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d.paddock\Desktop\Documentation\Sheets\Mlem\"/>
    </mc:Choice>
  </mc:AlternateContent>
  <bookViews>
    <workbookView xWindow="20280" yWindow="-120" windowWidth="29040" windowHeight="15840" activeTab="5"/>
  </bookViews>
  <sheets>
    <sheet name="New Score 2" sheetId="5" r:id="rId1"/>
    <sheet name="New Score" sheetId="4" r:id="rId2"/>
    <sheet name="Old ScoreSheet" sheetId="1" r:id="rId3"/>
    <sheet name="Prices" sheetId="3" r:id="rId4"/>
    <sheet name="Explanations" sheetId="2" r:id="rId5"/>
    <sheet name="Devlin Score Sheet"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6" l="1"/>
  <c r="L19" i="6" s="1"/>
  <c r="K4" i="6"/>
  <c r="K5" i="6"/>
  <c r="K6" i="6"/>
  <c r="K7" i="6"/>
  <c r="K8" i="6"/>
  <c r="K9" i="6"/>
  <c r="K10" i="6"/>
  <c r="K11" i="6"/>
  <c r="K12" i="6"/>
  <c r="K13" i="6"/>
  <c r="K14" i="6"/>
  <c r="K15" i="6"/>
  <c r="K16" i="6"/>
  <c r="K17" i="6"/>
  <c r="K18" i="6"/>
  <c r="K19" i="6"/>
  <c r="M5" i="6"/>
  <c r="M8" i="6"/>
  <c r="M10" i="6"/>
  <c r="M13" i="6"/>
  <c r="M14" i="6"/>
  <c r="M16" i="6"/>
  <c r="M17" i="6"/>
  <c r="M18" i="6"/>
  <c r="AB4" i="6"/>
  <c r="AB11" i="6"/>
  <c r="AB5" i="6"/>
  <c r="AB6" i="6"/>
  <c r="AB7" i="6"/>
  <c r="AB8" i="6"/>
  <c r="AB9" i="6"/>
  <c r="AB10" i="6"/>
  <c r="X20" i="6"/>
  <c r="Z19" i="6"/>
  <c r="Z11" i="6"/>
  <c r="Z5" i="6"/>
  <c r="Z6" i="6"/>
  <c r="Z7" i="6"/>
  <c r="Z8" i="6"/>
  <c r="Z9" i="6"/>
  <c r="Z10" i="6"/>
  <c r="Z12" i="6"/>
  <c r="Z13" i="6"/>
  <c r="Z14" i="6"/>
  <c r="Z15" i="6"/>
  <c r="Z16" i="6"/>
  <c r="Z17" i="6"/>
  <c r="Z18" i="6"/>
  <c r="Z4" i="6"/>
  <c r="V30" i="1"/>
  <c r="U30" i="1"/>
  <c r="U31" i="1"/>
  <c r="U32" i="1"/>
  <c r="U33" i="1"/>
  <c r="U34" i="1"/>
  <c r="T30" i="1"/>
  <c r="S22" i="3"/>
  <c r="S26" i="3" s="1"/>
  <c r="S21" i="3"/>
  <c r="S24" i="3"/>
  <c r="S13" i="3"/>
  <c r="S8" i="3"/>
  <c r="S6" i="3"/>
  <c r="S5" i="3"/>
  <c r="O5" i="3"/>
  <c r="I20" i="6"/>
  <c r="Y20" i="6"/>
  <c r="AA19" i="6" s="1"/>
  <c r="W20" i="6"/>
  <c r="V20" i="6"/>
  <c r="U20" i="6"/>
  <c r="T20" i="6"/>
  <c r="E20" i="6"/>
  <c r="F20" i="6"/>
  <c r="G20" i="6"/>
  <c r="H20" i="6"/>
  <c r="L18" i="6" l="1"/>
  <c r="L10" i="6"/>
  <c r="L14" i="6"/>
  <c r="L15" i="6"/>
  <c r="L8" i="6"/>
  <c r="L5" i="6"/>
  <c r="L13" i="6"/>
  <c r="L7" i="6"/>
  <c r="L17" i="6"/>
  <c r="L12" i="6"/>
  <c r="L11" i="6"/>
  <c r="L6" i="6"/>
  <c r="L16" i="6"/>
  <c r="L9" i="6"/>
  <c r="L4" i="6"/>
  <c r="K20" i="6"/>
  <c r="AA4" i="6"/>
  <c r="AA10" i="6"/>
  <c r="AA18" i="6"/>
  <c r="AA9" i="6"/>
  <c r="AA17" i="6"/>
  <c r="AA8" i="6"/>
  <c r="AA16" i="6"/>
  <c r="AA7" i="6"/>
  <c r="AA15" i="6"/>
  <c r="AA6" i="6"/>
  <c r="AA14" i="6"/>
  <c r="AA5" i="6"/>
  <c r="AA13" i="6"/>
  <c r="AA11" i="6"/>
  <c r="AA12" i="6"/>
  <c r="Z20" i="6"/>
  <c r="P26" i="3"/>
  <c r="Q26" i="3"/>
  <c r="O26" i="3"/>
  <c r="R26" i="3"/>
  <c r="H21" i="5"/>
  <c r="G21" i="5"/>
  <c r="F21" i="5"/>
  <c r="E21" i="5"/>
  <c r="H20" i="5"/>
  <c r="G20" i="5"/>
  <c r="F20" i="5"/>
  <c r="E20" i="5"/>
  <c r="H21" i="4"/>
  <c r="E21" i="4"/>
  <c r="F21" i="4"/>
  <c r="F22" i="4" s="1"/>
  <c r="G21" i="4"/>
  <c r="G22" i="4" s="1"/>
  <c r="F20" i="4"/>
  <c r="G20" i="4"/>
  <c r="H20" i="4"/>
  <c r="E20" i="4"/>
  <c r="O30" i="1"/>
  <c r="O28" i="1"/>
  <c r="O27" i="1"/>
  <c r="O26" i="1"/>
  <c r="O25" i="1"/>
  <c r="O24" i="1"/>
  <c r="O22" i="1"/>
  <c r="O25" i="3"/>
  <c r="O22" i="3"/>
  <c r="O21" i="3"/>
  <c r="R23" i="3"/>
  <c r="R22" i="3"/>
  <c r="R6" i="3"/>
  <c r="R21" i="3"/>
  <c r="Q23" i="3"/>
  <c r="Q22" i="3"/>
  <c r="Q21" i="3"/>
  <c r="P8" i="3"/>
  <c r="P6" i="3"/>
  <c r="P5" i="3"/>
  <c r="Q24" i="3"/>
  <c r="P24" i="3"/>
  <c r="P22" i="3"/>
  <c r="P21" i="3"/>
  <c r="P13" i="3"/>
  <c r="R13" i="3"/>
  <c r="Q13" i="3"/>
  <c r="O13" i="3"/>
  <c r="Q9" i="3"/>
  <c r="Q6" i="3"/>
  <c r="O8" i="3"/>
  <c r="R7" i="3"/>
  <c r="P7" i="3"/>
  <c r="O6" i="3"/>
  <c r="Q5" i="3"/>
  <c r="R5" i="3"/>
  <c r="N24" i="1"/>
  <c r="P24" i="1"/>
  <c r="N25" i="1"/>
  <c r="P25" i="1"/>
  <c r="N26" i="1"/>
  <c r="P26" i="1"/>
  <c r="N27" i="1"/>
  <c r="P27" i="1"/>
  <c r="N28" i="1"/>
  <c r="P28" i="1"/>
  <c r="M28" i="1"/>
  <c r="M27" i="1"/>
  <c r="M26" i="1"/>
  <c r="M25" i="1"/>
  <c r="M24" i="1"/>
  <c r="T22" i="1"/>
  <c r="U22" i="1"/>
  <c r="V22" i="1"/>
  <c r="T24" i="1"/>
  <c r="U24" i="1"/>
  <c r="V24" i="1"/>
  <c r="T25" i="1"/>
  <c r="U25" i="1"/>
  <c r="V25" i="1"/>
  <c r="T26" i="1"/>
  <c r="U26" i="1"/>
  <c r="V26" i="1"/>
  <c r="T27" i="1"/>
  <c r="U27" i="1"/>
  <c r="V27" i="1"/>
  <c r="T28" i="1"/>
  <c r="U28" i="1"/>
  <c r="V28" i="1"/>
  <c r="W32" i="1"/>
  <c r="W33" i="1"/>
  <c r="W34" i="1"/>
  <c r="V31" i="1"/>
  <c r="G24" i="3"/>
  <c r="F24" i="3"/>
  <c r="D24" i="3"/>
  <c r="G23" i="3"/>
  <c r="F23" i="3"/>
  <c r="E23" i="3"/>
  <c r="D23" i="3"/>
  <c r="G22" i="3"/>
  <c r="F22" i="3"/>
  <c r="E22" i="3"/>
  <c r="D22" i="3"/>
  <c r="D18" i="3"/>
  <c r="D8" i="3" s="1"/>
  <c r="E8" i="3" s="1"/>
  <c r="F8" i="3" s="1"/>
  <c r="D13" i="3"/>
  <c r="D9" i="3" s="1"/>
  <c r="E9" i="3" s="1"/>
  <c r="F9" i="3" s="1"/>
  <c r="I9" i="3"/>
  <c r="I8" i="3"/>
  <c r="I7" i="3"/>
  <c r="D7" i="3"/>
  <c r="E7" i="3" s="1"/>
  <c r="F7" i="3" s="1"/>
  <c r="I6" i="3"/>
  <c r="D6" i="3"/>
  <c r="E6" i="3" s="1"/>
  <c r="I4" i="3"/>
  <c r="D4" i="3" s="1"/>
  <c r="E4" i="3" s="1"/>
  <c r="I3" i="3"/>
  <c r="E3" i="3" s="1"/>
  <c r="I2" i="3"/>
  <c r="D2" i="3" s="1"/>
  <c r="E2" i="3" s="1"/>
  <c r="F2" i="3" s="1"/>
  <c r="M7" i="6" l="1"/>
  <c r="M6" i="6"/>
  <c r="M11" i="6"/>
  <c r="M4" i="6"/>
  <c r="M9" i="6"/>
  <c r="M19" i="6"/>
  <c r="M15" i="6"/>
  <c r="M12" i="6"/>
  <c r="X21" i="6"/>
  <c r="X24" i="6" s="1"/>
  <c r="L20" i="6"/>
  <c r="AA20" i="6"/>
  <c r="AB13" i="6"/>
  <c r="AB19" i="6"/>
  <c r="AB12" i="6"/>
  <c r="AB15" i="6"/>
  <c r="AB18" i="6"/>
  <c r="AB17" i="6"/>
  <c r="AB14" i="6"/>
  <c r="AB16" i="6"/>
  <c r="I21" i="6"/>
  <c r="I24" i="6" s="1"/>
  <c r="F21" i="6"/>
  <c r="F24" i="6" s="1"/>
  <c r="H21" i="6"/>
  <c r="H24" i="6" s="1"/>
  <c r="U21" i="6"/>
  <c r="U24" i="6" s="1"/>
  <c r="V21" i="6"/>
  <c r="V24" i="6" s="1"/>
  <c r="W21" i="6"/>
  <c r="W24" i="6" s="1"/>
  <c r="T21" i="6"/>
  <c r="E21" i="6"/>
  <c r="G21" i="6"/>
  <c r="G24" i="6" s="1"/>
  <c r="G22" i="5"/>
  <c r="H22" i="5"/>
  <c r="F22" i="5"/>
  <c r="E22" i="4"/>
  <c r="E22" i="5"/>
  <c r="H22" i="4"/>
  <c r="P29" i="1"/>
  <c r="P21" i="1" s="1"/>
  <c r="O29" i="1"/>
  <c r="O20" i="1" s="1"/>
  <c r="O21" i="1"/>
  <c r="D3" i="3"/>
  <c r="G4" i="3" s="1"/>
  <c r="V29" i="1"/>
  <c r="V19" i="1" s="1"/>
  <c r="U29" i="1"/>
  <c r="T33" i="1" s="1"/>
  <c r="X33" i="1" s="1"/>
  <c r="T29" i="1"/>
  <c r="T32" i="1" s="1"/>
  <c r="X32" i="1" s="1"/>
  <c r="M29" i="1"/>
  <c r="M21" i="1" s="1"/>
  <c r="N29" i="1"/>
  <c r="N20" i="1" s="1"/>
  <c r="N33" i="1" s="1"/>
  <c r="F4" i="3"/>
  <c r="M30" i="1" s="1"/>
  <c r="P32" i="1" s="1"/>
  <c r="A24" i="3"/>
  <c r="A22" i="3"/>
  <c r="F6" i="3"/>
  <c r="N30" i="1" s="1"/>
  <c r="P33" i="1" s="1"/>
  <c r="A23" i="3"/>
  <c r="F3" i="3"/>
  <c r="E24" i="3"/>
  <c r="P22" i="1"/>
  <c r="N22" i="1"/>
  <c r="M22" i="1"/>
  <c r="N31" i="1"/>
  <c r="O31" i="1"/>
  <c r="H2" i="1"/>
  <c r="I2" i="1"/>
  <c r="G2" i="1"/>
  <c r="H10" i="1"/>
  <c r="M21" i="6" l="1"/>
  <c r="T22" i="6"/>
  <c r="T23" i="6" s="1"/>
  <c r="T24" i="6"/>
  <c r="AB24" i="6" s="1"/>
  <c r="AB21" i="6"/>
  <c r="I22" i="6"/>
  <c r="F22" i="6"/>
  <c r="M20" i="6"/>
  <c r="E22" i="6"/>
  <c r="H22" i="6"/>
  <c r="G22" i="6"/>
  <c r="E24" i="6"/>
  <c r="M24" i="6" s="1"/>
  <c r="AB20" i="6"/>
  <c r="W22" i="6"/>
  <c r="W23" i="6" s="1"/>
  <c r="V22" i="6"/>
  <c r="V23" i="6" s="1"/>
  <c r="U22" i="6"/>
  <c r="U23" i="6" s="1"/>
  <c r="X22" i="6"/>
  <c r="X23" i="6" s="1"/>
  <c r="I22" i="5"/>
  <c r="P20" i="1"/>
  <c r="N34" i="1" s="1"/>
  <c r="I22" i="4"/>
  <c r="O19" i="1"/>
  <c r="U21" i="1"/>
  <c r="V33" i="1" s="1"/>
  <c r="U19" i="1"/>
  <c r="T20" i="1"/>
  <c r="T19" i="1"/>
  <c r="T21" i="1"/>
  <c r="V32" i="1" s="1"/>
  <c r="T34" i="1"/>
  <c r="X34" i="1" s="1"/>
  <c r="V20" i="1"/>
  <c r="U20" i="1"/>
  <c r="V21" i="1"/>
  <c r="V34" i="1" s="1"/>
  <c r="B23" i="3"/>
  <c r="P30" i="1"/>
  <c r="P34" i="1" s="1"/>
  <c r="H11" i="1"/>
  <c r="H12" i="1"/>
  <c r="M20" i="1"/>
  <c r="N21" i="1"/>
  <c r="B22" i="3"/>
  <c r="G3" i="3"/>
  <c r="G2" i="3"/>
  <c r="B24" i="3"/>
  <c r="M34" i="1"/>
  <c r="M33" i="1"/>
  <c r="Q33" i="1" s="1"/>
  <c r="M32" i="1"/>
  <c r="Q32" i="1" s="1"/>
  <c r="I8" i="1"/>
  <c r="H8" i="1"/>
  <c r="G8" i="1"/>
  <c r="F23" i="6" l="1"/>
  <c r="F25" i="6"/>
  <c r="I23" i="6"/>
  <c r="I25" i="6"/>
  <c r="G23" i="6"/>
  <c r="G25" i="6"/>
  <c r="E23" i="6"/>
  <c r="E25" i="6"/>
  <c r="M22" i="6"/>
  <c r="H23" i="6"/>
  <c r="H25" i="6"/>
  <c r="AB23" i="6"/>
  <c r="AB22" i="6"/>
  <c r="Q34" i="1"/>
  <c r="O34" i="1"/>
  <c r="P19" i="1"/>
  <c r="N19" i="1"/>
  <c r="O33" i="1"/>
  <c r="N32" i="1"/>
  <c r="O32" i="1"/>
  <c r="M19" i="1"/>
  <c r="H3" i="1"/>
  <c r="I3" i="1"/>
  <c r="G3" i="1"/>
  <c r="G7" i="1" s="1"/>
  <c r="G4" i="1"/>
  <c r="G5" i="1"/>
  <c r="M25" i="6" l="1"/>
  <c r="M23" i="6"/>
  <c r="I5" i="1"/>
  <c r="H5" i="1"/>
  <c r="I4" i="1"/>
  <c r="H4" i="1"/>
  <c r="H7" i="1" l="1"/>
  <c r="I7" i="1"/>
  <c r="G10" i="1" l="1"/>
  <c r="I10" i="1" s="1"/>
  <c r="G11" i="1"/>
  <c r="I11" i="1" s="1"/>
  <c r="G12" i="1"/>
  <c r="I12" i="1" s="1"/>
</calcChain>
</file>

<file path=xl/sharedStrings.xml><?xml version="1.0" encoding="utf-8"?>
<sst xmlns="http://schemas.openxmlformats.org/spreadsheetml/2006/main" count="534" uniqueCount="194">
  <si>
    <t>CPU</t>
  </si>
  <si>
    <t>HMI Cost</t>
  </si>
  <si>
    <t>SCADA Monitor Keyboard Mouse</t>
  </si>
  <si>
    <t>Siemens 1217</t>
  </si>
  <si>
    <t>Siemens Using Remote IO 1510sp</t>
  </si>
  <si>
    <t>Siemens 1214</t>
  </si>
  <si>
    <t>Siemens 1212</t>
  </si>
  <si>
    <t>Siemens 1211</t>
  </si>
  <si>
    <t>storage</t>
  </si>
  <si>
    <t>SCADA  PIResistiveTouchscreen keyboard Mouse</t>
  </si>
  <si>
    <t>Cost</t>
  </si>
  <si>
    <t>S7 1510sp</t>
  </si>
  <si>
    <t>Ease of setup</t>
  </si>
  <si>
    <t>Language Development Speed</t>
  </si>
  <si>
    <t>Library Expandability</t>
  </si>
  <si>
    <t>HMI Simplicity</t>
  </si>
  <si>
    <t>Maintainability</t>
  </si>
  <si>
    <t>Ease of Administration</t>
  </si>
  <si>
    <t>Cost of repair/Replacement</t>
  </si>
  <si>
    <t>Built In IO</t>
  </si>
  <si>
    <t>IO Expansion</t>
  </si>
  <si>
    <t>Adaptability</t>
  </si>
  <si>
    <t>Ability to do heavy workloads without impacting real time processes</t>
  </si>
  <si>
    <t>Dev Cost</t>
  </si>
  <si>
    <t>IO</t>
  </si>
  <si>
    <t>Experience of local engineers</t>
  </si>
  <si>
    <t>Designed for an industrial Setting</t>
  </si>
  <si>
    <t>Complexity</t>
  </si>
  <si>
    <t>Common Development Environment</t>
  </si>
  <si>
    <t>Documentation</t>
  </si>
  <si>
    <t>Comunication methods supported</t>
  </si>
  <si>
    <t>Overall</t>
  </si>
  <si>
    <t>SCADA  PIResistiveTouchscreen</t>
  </si>
  <si>
    <t>Multi Machine Support</t>
  </si>
  <si>
    <t>Scada</t>
  </si>
  <si>
    <t>1510sp</t>
  </si>
  <si>
    <t>Scada TouchScreen</t>
  </si>
  <si>
    <t>Receiveing Additional restrictions from server</t>
  </si>
  <si>
    <t>Siemens 1211C</t>
  </si>
  <si>
    <t>HMI</t>
  </si>
  <si>
    <t>Storage</t>
  </si>
  <si>
    <t>Percent Cheaper than 1510</t>
  </si>
  <si>
    <t>Percent Cheaper than 1211C</t>
  </si>
  <si>
    <t>Only supports SCL LAD and FBD</t>
  </si>
  <si>
    <t>Supports SCL LAD FBD GRAPH and LOAD</t>
  </si>
  <si>
    <t>Comes with boost isntalled and able to install other c++ libraries</t>
  </si>
  <si>
    <t>Still library expandable but less common than c++ libraries</t>
  </si>
  <si>
    <t>Very common language so some probably have some experience but its not even close to siemens</t>
  </si>
  <si>
    <t>Admin Website capable allowing remote administration and diagnostic however its would be an inhouse tool where siemens diagnostic is supported by siemens</t>
  </si>
  <si>
    <t>Device Cost</t>
  </si>
  <si>
    <t>Cost Per new machine</t>
  </si>
  <si>
    <t>Cost for 4 machines</t>
  </si>
  <si>
    <t>CPU cost</t>
  </si>
  <si>
    <t>Accessories</t>
  </si>
  <si>
    <t>Cant replace parts but the entire machine is much cheaper</t>
  </si>
  <si>
    <t>It’s a converted beagel bone black. Its not really designed for industrial settings</t>
  </si>
  <si>
    <t>New to all engineers here and it’s a custom development environment with a custom middle ware. To maintain a new development environment would have to be made available</t>
  </si>
  <si>
    <t>Siemens forums and several hundred page manuals at the tip of your fingers</t>
  </si>
  <si>
    <t>Very little documentation currently. It’s a work in progress system bugs will be found and they will cause problems</t>
  </si>
  <si>
    <t>All IO Comes built in ( 2 serial ports 4 themral interfaces 1 idra receiver 8 digital in 8 digital out 8 analog in</t>
  </si>
  <si>
    <t>0 inputs 0 outputs</t>
  </si>
  <si>
    <t>No possible expansion</t>
  </si>
  <si>
    <t>Flash the device then wire it in and the four machines it is going to be interfaceing with then wire in the four HMI's then configure it so that the HMI's match which machine it is on give it an iP Name and server to send to.</t>
  </si>
  <si>
    <t>Higher level language allows for much greater degree of comunication to and from server. Allowing for even direct queeries to be run against a database to check.</t>
  </si>
  <si>
    <t>Can assign different priorities to different threads allowing background threads to not slow down realtime performance.</t>
  </si>
  <si>
    <t xml:space="preserve">Same problem but shared amoung 4 machines meaning if one has a heavy task it can affect all of them </t>
  </si>
  <si>
    <t>Higher level language allows for greater server machine communication through different communication methods</t>
  </si>
  <si>
    <t>Restricted to only cummunication formats supported by the plc software/hardware</t>
  </si>
  <si>
    <t>Supports 4 machines. Limited by number of HMI's</t>
  </si>
  <si>
    <t>1212C</t>
  </si>
  <si>
    <t>S7 1212</t>
  </si>
  <si>
    <t>Score per Dollar</t>
  </si>
  <si>
    <t xml:space="preserve">SCADA  </t>
  </si>
  <si>
    <t>Straight Base</t>
  </si>
  <si>
    <t>Equal Weight</t>
  </si>
  <si>
    <t>Supports MQTT</t>
  </si>
  <si>
    <t>Background Tasks</t>
  </si>
  <si>
    <t>Easy Remote Administration</t>
  </si>
  <si>
    <t>Low cost to repair or replace</t>
  </si>
  <si>
    <t>Adding Restrictions from server</t>
  </si>
  <si>
    <t>Software Flexability</t>
  </si>
  <si>
    <t>Hardware Flexability</t>
  </si>
  <si>
    <t>Weighted for Better Maintainability and setup</t>
  </si>
  <si>
    <t>Supports Local HMI</t>
  </si>
  <si>
    <t>Weighted for better expansion and adaptability</t>
  </si>
  <si>
    <t>Software flexibilty</t>
  </si>
  <si>
    <t>Error Reporting Complexity</t>
  </si>
  <si>
    <t>Designed for an industrial setting</t>
  </si>
  <si>
    <t>Common development environment</t>
  </si>
  <si>
    <t>documentation</t>
  </si>
  <si>
    <t>It’s the language most people here know and as for ladder its very easy to understand in general for both technicians and engineers</t>
  </si>
  <si>
    <t>It’s the language most people here know and as for ladder its very easy to understand in general for both technicians and engineers In addition it supports SCL and Graph both can compile down to stl which is easeir to understand.</t>
  </si>
  <si>
    <t>Remote administration of plc's on the same network. Less user friendly than a purpose built site but will get a lot better support, and engineers atleast if not technicians are accustomed to and addept at remote connecting to the plcs unlike the scada box.</t>
  </si>
  <si>
    <t>Machine is much more expensive but individual parts can be replaced and are rated for a much higher ip level schock and temperature ratings.</t>
  </si>
  <si>
    <t>The most common development environment at osram, known to all a majority of the engineers at osram.</t>
  </si>
  <si>
    <t>Designed tested and implemented in industrial settings everywhere has waterproof ratings shock ratings etc ip20 15g -20 to 70 C</t>
  </si>
  <si>
    <t>10 input 4 output all digital</t>
  </si>
  <si>
    <t>0 signal boards 3 comunication modules 8 io modules per remote io.</t>
  </si>
  <si>
    <t>0 signal boards 3 comunication modules 8 io modules.</t>
  </si>
  <si>
    <t>Flash the device wire it in then change the ip,name,line, and server your pointing it to then it should be good to go</t>
  </si>
  <si>
    <t>higher level language support c/c++ and node red ( allowing for javascript &amp; php</t>
  </si>
  <si>
    <t>Just a screen that takes hdmi in. no specific programming needed</t>
  </si>
  <si>
    <t>Has to be programmed and connects over profinet or profi bus. Requires simatic step 7 software to program</t>
  </si>
  <si>
    <t>only a few extra pins would be limited with the number of specific error messages it could send back.</t>
  </si>
  <si>
    <t xml:space="preserve">High expandability means that it would be much less if not at all limited to error reporting complexity. </t>
  </si>
  <si>
    <t>Allows for background Tasks to be run without interupting realtime application.</t>
  </si>
  <si>
    <t>Able to assign different prioritys in xenomai which means that at a kernal level all realtime code will be excecuted before any non realtime code and things of the same priority are put on a first in first out stack</t>
  </si>
  <si>
    <t>Able to code in a way that it runs only a few instructions per scan of a heavy workload. Does not allow full backgorund task capability but can be used to do heavy workloads slowly without stoping realtime tasts. Just a bit more wastefull on time.</t>
  </si>
  <si>
    <t>Able to code in a way that it runs only a few instructions per scan of a heavy workload. Does not allow full backgorund task capability but can be used to do heavy workloads slowly without stoping realtime tasts. Just a bit more wastefull on time. One thing to note is one lines heavy load could impact all four lines realtime processes. in addition to the heaveir workload of manageing four seperate lines.</t>
  </si>
  <si>
    <t>Uses extra pins to not only report wether a product was bad or not but what machine code caused the error ( user defined on setup)</t>
  </si>
  <si>
    <t>Input/starving/blocking</t>
  </si>
  <si>
    <t>Weighted for Custom Weights</t>
  </si>
  <si>
    <t>Pac Lite Addons mentioned by dariusz/wade</t>
  </si>
  <si>
    <t>If capable add a pin input to tell whether the machine is being starved blocked or is receivieng input.</t>
  </si>
  <si>
    <t>Devlin thoughts</t>
  </si>
  <si>
    <t>Possibly make a broker that can also communicate through to Eng database as well as the camstar database.</t>
  </si>
  <si>
    <t>All code treated equal making it more difficult to balance Heavy background tasks. But very easy to debug and understand the code</t>
  </si>
  <si>
    <t>Suports 1 machine Limited in terms of IO, HMI</t>
  </si>
  <si>
    <t>Possibly use 1200 for multiple machines if I am stuck doing this for longer. Use IO Link Master and io slaves. Probably only able to support 2 machines ( one in one out 4 total supported) however you may be able to have multiple IO Link Masters.</t>
  </si>
  <si>
    <t>Supports one machine but can be augmented to support 2. Limited by IO supported by the link master that would be added to manage the remote io. Would further be limited to 2  remote io blocks per device to accomadate 2 This would be much more expensive per machine than one however and may end up being more per machine than the 1510sp. still it is an option</t>
  </si>
  <si>
    <t>Restricted to only comunication formats supported by the plc software/hardware</t>
  </si>
  <si>
    <t>Misc</t>
  </si>
  <si>
    <t>Reverse Scale from 123 to 321</t>
  </si>
  <si>
    <t>Mproject Name?</t>
  </si>
  <si>
    <t>Weight</t>
  </si>
  <si>
    <t>Weighted for Maintainability and Setup</t>
  </si>
  <si>
    <t>Weighted for Expansion and Adaptability</t>
  </si>
  <si>
    <t>Adding Restrictions from other software</t>
  </si>
  <si>
    <t>requirement based old (1 high 3 low</t>
  </si>
  <si>
    <t>Purely Requirement Based new 1 low 3 3 high</t>
  </si>
  <si>
    <t>Siemens only natively supports publishing in mqtt and communication in general is more limited on the PLC's thanks to its lowerlevel language development and less expandably library sets.</t>
  </si>
  <si>
    <t>1510 Single</t>
  </si>
  <si>
    <t>1510 Multi</t>
  </si>
  <si>
    <t>Display</t>
  </si>
  <si>
    <t>Expansion IO</t>
  </si>
  <si>
    <t>MISC (Keyboard Mouse wiring adapters)</t>
  </si>
  <si>
    <t>Based on four machines</t>
  </si>
  <si>
    <t>total</t>
  </si>
  <si>
    <t>Based on 6 machines</t>
  </si>
  <si>
    <t>GS Line</t>
  </si>
  <si>
    <t>1510sp muLTI</t>
  </si>
  <si>
    <t>1510sp single</t>
  </si>
  <si>
    <t>required</t>
  </si>
  <si>
    <t>yes</t>
  </si>
  <si>
    <t>no</t>
  </si>
  <si>
    <t>Experience of local engineers and E-Techs</t>
  </si>
  <si>
    <t>cost</t>
  </si>
  <si>
    <t>Score</t>
  </si>
  <si>
    <t>Without No's</t>
  </si>
  <si>
    <t>Percent Diff</t>
  </si>
  <si>
    <t>1510sp multi</t>
  </si>
  <si>
    <t>Supports Local HMI per machine</t>
  </si>
  <si>
    <t>Only Yes</t>
  </si>
  <si>
    <t>Complexity of setup/Configuration</t>
  </si>
  <si>
    <t>Bad Part Details</t>
  </si>
  <si>
    <t>Only Required</t>
  </si>
  <si>
    <t>is  weighted 1/4 larger due to change in score gradient really weighted 50 percent</t>
  </si>
  <si>
    <t>Average Diff</t>
  </si>
  <si>
    <t>Bad Part Reporting Details</t>
  </si>
  <si>
    <t>Score Unweighted</t>
  </si>
  <si>
    <t>Weight Real</t>
  </si>
  <si>
    <t>Weight Scaled</t>
  </si>
  <si>
    <t>Only Required Scaled</t>
  </si>
  <si>
    <t>Score weighted</t>
  </si>
  <si>
    <t>Notes</t>
  </si>
  <si>
    <t>Average Diff Percent</t>
  </si>
  <si>
    <t>Chart 2</t>
  </si>
  <si>
    <t>Percent Diff Betwean Required and Non</t>
  </si>
  <si>
    <t>Percent Impact of Base weighting</t>
  </si>
  <si>
    <t>Average Impact</t>
  </si>
  <si>
    <t>is  weighted 1/4 larger due to change in score gradient change to 4 instead of 3. really weighted 50 or x*5/4 in the case of scaled where x is the scaled score</t>
  </si>
  <si>
    <t>High weight as it is a main component to the project.</t>
  </si>
  <si>
    <t>Lower Weight as it can be avoided easily</t>
  </si>
  <si>
    <t>High weight as it greatly impacts maintainability</t>
  </si>
  <si>
    <t>Medium weight as it would be really helpful however isnt directly required at the moment.</t>
  </si>
  <si>
    <t>1212C Multi</t>
  </si>
  <si>
    <t>1212Csingle</t>
  </si>
  <si>
    <t>Only Required real</t>
  </si>
  <si>
    <t>medium weight as it is helpful but not directly required for setup and maintenance of the machines.</t>
  </si>
  <si>
    <t>Medium weight just like the cost. However it is an important factor for setup and maintenece so it is important</t>
  </si>
  <si>
    <t>low weight and importance since these will all  be inside external enclosures</t>
  </si>
  <si>
    <t>High weight and importance as it will directly influence future maintainablity here at the plant.</t>
  </si>
  <si>
    <t>low weight and importance since we do not need it to complete the project. It is however a nice benefit of the siemens series as it allows greater acuracy in some respects</t>
  </si>
  <si>
    <t>Low weight since they all atleast have the required IO</t>
  </si>
  <si>
    <t>low weight but high importance sinceit is a one time cost on setup but a direct cost for the project.</t>
  </si>
  <si>
    <t>Low wieght and importance since it is purely an addon feature.</t>
  </si>
  <si>
    <t>low weight and importance since it is purely an addon feature. It will however also affect the cost which gives it a higher impact than displayed in this category. Check price tab for more information</t>
  </si>
  <si>
    <t>Percent Impact of Only Required</t>
  </si>
  <si>
    <t>High weight and importance as it is currently understood to be important for each machine. Only if there is a large difference should this be considered being discarded.</t>
  </si>
  <si>
    <t>Average Weight Used to scale numbers to match across weights. Last two should be 1</t>
  </si>
  <si>
    <t>Average Score</t>
  </si>
  <si>
    <t xml:space="preserve">Average Score </t>
  </si>
  <si>
    <t>3 high 1 low</t>
  </si>
  <si>
    <t>Percent Impact from non weighted to weighted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</si>
</sst>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164" formatCode="&quot;$&quot;#,##0.00"/>
    <numFmt numFmtId="165" formatCode="&quot;$&quot;#,##0"/>
  </numFmts>
  <fonts count="7" x14ac:knownFonts="1">
    <font>
      <sz val="11"/>
      <color theme="1"/>
      <name val="Calibri"/>
      <family val="2"/>
      <scheme val="minor"/>
    </font>
    <font>
      <sz val="10.5"/>
      <color rgb="FF000000"/>
      <name val="Verdana"/>
    </font>
    <font>
      <sz val="14"/>
      <color rgb="FF000000"/>
      <name val="Verdana"/>
    </font>
    <font>
      <sz val="14"/>
      <color theme="1"/>
      <name val="Calibri"/>
      <family val="2"/>
      <scheme val="minor"/>
    </font>
    <font>
      <sz val="14"/>
      <color rgb="FF000000"/>
      <name val="Verdana"/>
      <family val="2"/>
    </font>
    <font>
      <sz val="16"/>
      <color theme="1"/>
      <name val="Calibri"/>
      <family val="2"/>
      <scheme val="minor"/>
    </font>
    <font>
      <sz val="10.5"/>
      <color rgb="FF000000"/>
      <name val="Verdana"/>
      <family val="2"/>
    </font>
  </fonts>
  <fills count="3">
    <fill>
      <patternFill patternType="none"/>
    </fill>
    <fill>
      <patternFill patternType="gray125"/>
    </fill>
    <fill>
      <patternFill patternType="solid">
        <fgColor theme="1"/>
        <bgColor indexed="64"/>
      </patternFill>
    </fill>
  </fills>
  <borders count="13">
    <border>
      <left/>
      <right/>
      <top/>
      <bottom/>
      <diagonal/>
    </border>
    <border>
      <left style="thin">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medium">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165" fontId="0" fillId="0" borderId="0" xfId="0" applyNumberFormat="1" applyFont="1" applyAlignment="1">
      <alignment vertical="top"/>
    </xf>
    <xf numFmtId="0" fontId="0" fillId="0" borderId="0" xfId="0" applyFont="1" applyAlignment="1">
      <alignment vertical="top"/>
    </xf>
    <xf numFmtId="164" fontId="0" fillId="0" borderId="0" xfId="0" applyNumberFormat="1" applyFont="1" applyAlignment="1">
      <alignment vertical="top"/>
    </xf>
    <xf numFmtId="7" fontId="0" fillId="0" borderId="0" xfId="0" applyNumberFormat="1" applyFont="1" applyAlignment="1">
      <alignment vertical="top"/>
    </xf>
    <xf numFmtId="0" fontId="1" fillId="0" borderId="4" xfId="0" applyFont="1" applyBorder="1" applyAlignment="1">
      <alignment vertical="top" wrapText="1" readingOrder="1"/>
    </xf>
    <xf numFmtId="3" fontId="0" fillId="0" borderId="0" xfId="0" applyNumberFormat="1" applyFont="1" applyAlignment="1">
      <alignment vertical="top"/>
    </xf>
    <xf numFmtId="2" fontId="0" fillId="0" borderId="0" xfId="0" applyNumberFormat="1" applyFont="1" applyAlignment="1">
      <alignment vertical="top"/>
    </xf>
    <xf numFmtId="0" fontId="1" fillId="0" borderId="6" xfId="0" applyFont="1" applyBorder="1" applyAlignment="1">
      <alignment vertical="top" wrapText="1" readingOrder="1"/>
    </xf>
    <xf numFmtId="0" fontId="1" fillId="0" borderId="2" xfId="0" applyFont="1" applyBorder="1" applyAlignment="1">
      <alignment vertical="top" wrapText="1" readingOrder="1"/>
    </xf>
    <xf numFmtId="0" fontId="1" fillId="0" borderId="10" xfId="0" applyFont="1" applyFill="1" applyBorder="1" applyAlignment="1">
      <alignment vertical="top" wrapText="1" readingOrder="1"/>
    </xf>
    <xf numFmtId="0" fontId="0" fillId="0" borderId="0" xfId="0" applyAlignment="1">
      <alignment vertical="top"/>
    </xf>
    <xf numFmtId="165" fontId="0" fillId="0" borderId="0" xfId="0" applyNumberFormat="1" applyAlignment="1">
      <alignment vertical="top"/>
    </xf>
    <xf numFmtId="0" fontId="2" fillId="0" borderId="3" xfId="0" applyFont="1" applyBorder="1" applyAlignment="1">
      <alignment vertical="top" wrapText="1" readingOrder="1"/>
    </xf>
    <xf numFmtId="2" fontId="0" fillId="0" borderId="0" xfId="0" applyNumberFormat="1" applyAlignment="1">
      <alignment vertical="top"/>
    </xf>
    <xf numFmtId="0" fontId="2" fillId="0" borderId="5" xfId="0" applyFont="1" applyBorder="1" applyAlignment="1">
      <alignment vertical="top" wrapText="1" readingOrder="1"/>
    </xf>
    <xf numFmtId="0" fontId="0" fillId="0" borderId="7" xfId="0" applyBorder="1" applyAlignment="1">
      <alignment vertical="top"/>
    </xf>
    <xf numFmtId="0" fontId="2" fillId="0" borderId="0" xfId="0" applyFont="1" applyFill="1" applyBorder="1" applyAlignment="1">
      <alignment vertical="top" wrapText="1" readingOrder="1"/>
    </xf>
    <xf numFmtId="0" fontId="0" fillId="0" borderId="8" xfId="0" applyBorder="1" applyAlignment="1">
      <alignment vertical="top"/>
    </xf>
    <xf numFmtId="0" fontId="1" fillId="0" borderId="1" xfId="0" applyFont="1" applyBorder="1" applyAlignment="1">
      <alignment vertical="top" wrapText="1" readingOrder="1"/>
    </xf>
    <xf numFmtId="0" fontId="2" fillId="0" borderId="9" xfId="0" applyFont="1" applyFill="1" applyBorder="1" applyAlignment="1">
      <alignment vertical="top" wrapText="1" readingOrder="1"/>
    </xf>
    <xf numFmtId="10" fontId="0" fillId="0" borderId="0" xfId="0" applyNumberFormat="1" applyAlignment="1">
      <alignment vertical="top"/>
    </xf>
    <xf numFmtId="164" fontId="0" fillId="0" borderId="0" xfId="0" applyNumberFormat="1" applyAlignment="1">
      <alignment vertical="top"/>
    </xf>
    <xf numFmtId="0" fontId="3" fillId="0" borderId="0" xfId="0" applyFont="1" applyFill="1" applyAlignment="1">
      <alignment vertical="top"/>
    </xf>
    <xf numFmtId="0" fontId="0" fillId="0" borderId="0" xfId="0" applyFill="1" applyAlignment="1">
      <alignment vertical="top"/>
    </xf>
    <xf numFmtId="0" fontId="1" fillId="0" borderId="4" xfId="0" applyFont="1" applyFill="1" applyBorder="1" applyAlignment="1">
      <alignment vertical="top" wrapText="1" readingOrder="1"/>
    </xf>
    <xf numFmtId="0" fontId="2" fillId="0" borderId="3" xfId="0" applyFont="1" applyFill="1" applyBorder="1" applyAlignment="1">
      <alignment vertical="top" wrapText="1" readingOrder="1"/>
    </xf>
    <xf numFmtId="0" fontId="1" fillId="0" borderId="6" xfId="0" applyFont="1" applyFill="1" applyBorder="1" applyAlignment="1">
      <alignment vertical="top" wrapText="1" readingOrder="1"/>
    </xf>
    <xf numFmtId="0" fontId="2" fillId="0" borderId="5" xfId="0" applyFont="1" applyFill="1" applyBorder="1" applyAlignment="1">
      <alignment vertical="top" wrapText="1" readingOrder="1"/>
    </xf>
    <xf numFmtId="0" fontId="1" fillId="0" borderId="1" xfId="0" applyFont="1" applyFill="1" applyBorder="1" applyAlignment="1">
      <alignment vertical="top" wrapText="1" readingOrder="1"/>
    </xf>
    <xf numFmtId="0" fontId="1" fillId="0" borderId="2" xfId="0" applyFont="1" applyFill="1" applyBorder="1" applyAlignment="1">
      <alignment vertical="top" wrapText="1" readingOrder="1"/>
    </xf>
    <xf numFmtId="164" fontId="0" fillId="0" borderId="0" xfId="0" applyNumberFormat="1" applyFill="1" applyAlignment="1">
      <alignment vertical="top"/>
    </xf>
    <xf numFmtId="165" fontId="0" fillId="0" borderId="0" xfId="0" applyNumberFormat="1" applyFill="1" applyAlignment="1">
      <alignment vertical="top"/>
    </xf>
    <xf numFmtId="165" fontId="0" fillId="0" borderId="0" xfId="0" applyNumberFormat="1" applyFont="1" applyFill="1" applyAlignment="1">
      <alignment vertical="top"/>
    </xf>
    <xf numFmtId="0" fontId="0" fillId="0" borderId="0" xfId="0" applyAlignment="1">
      <alignment vertical="top" wrapText="1"/>
    </xf>
    <xf numFmtId="1" fontId="0" fillId="0" borderId="0" xfId="0" applyNumberFormat="1" applyFill="1" applyAlignment="1">
      <alignment vertical="top"/>
    </xf>
    <xf numFmtId="1" fontId="0" fillId="0" borderId="0" xfId="0" applyNumberFormat="1" applyAlignment="1">
      <alignment vertical="top"/>
    </xf>
    <xf numFmtId="1" fontId="0" fillId="0" borderId="0" xfId="0" applyNumberFormat="1" applyFont="1" applyFill="1" applyAlignment="1">
      <alignment vertical="top"/>
    </xf>
    <xf numFmtId="0" fontId="4" fillId="0" borderId="3" xfId="0" applyFont="1" applyBorder="1" applyAlignment="1">
      <alignment vertical="top" wrapText="1" readingOrder="1"/>
    </xf>
    <xf numFmtId="0" fontId="0" fillId="0" borderId="0" xfId="0" applyAlignment="1">
      <alignment wrapText="1"/>
    </xf>
    <xf numFmtId="0" fontId="5" fillId="0" borderId="11" xfId="0" applyFont="1" applyBorder="1" applyAlignment="1">
      <alignment wrapText="1"/>
    </xf>
    <xf numFmtId="0" fontId="5" fillId="0" borderId="11" xfId="0" applyFont="1" applyBorder="1"/>
    <xf numFmtId="165" fontId="5" fillId="0" borderId="11" xfId="0" applyNumberFormat="1" applyFont="1" applyBorder="1" applyAlignment="1">
      <alignment wrapText="1"/>
    </xf>
    <xf numFmtId="0" fontId="0" fillId="0" borderId="0" xfId="0" applyFont="1" applyFill="1" applyAlignment="1">
      <alignment vertical="top"/>
    </xf>
    <xf numFmtId="0" fontId="6" fillId="0" borderId="4" xfId="0" applyFont="1" applyFill="1" applyBorder="1" applyAlignment="1">
      <alignment vertical="top" wrapText="1" readingOrder="1"/>
    </xf>
    <xf numFmtId="0" fontId="6" fillId="0" borderId="6" xfId="0" applyFont="1" applyFill="1" applyBorder="1" applyAlignment="1">
      <alignment vertical="top" wrapText="1" readingOrder="1"/>
    </xf>
    <xf numFmtId="0" fontId="2" fillId="0" borderId="6" xfId="0" applyFont="1" applyFill="1" applyBorder="1" applyAlignment="1">
      <alignment vertical="top" wrapText="1" readingOrder="1"/>
    </xf>
    <xf numFmtId="0" fontId="1" fillId="0" borderId="9" xfId="0" applyFont="1" applyFill="1" applyBorder="1" applyAlignment="1">
      <alignment vertical="top" wrapText="1" readingOrder="1"/>
    </xf>
    <xf numFmtId="0" fontId="4" fillId="0" borderId="6" xfId="0" applyFont="1" applyFill="1" applyBorder="1" applyAlignment="1">
      <alignment vertical="top" wrapText="1" readingOrder="1"/>
    </xf>
    <xf numFmtId="0" fontId="6" fillId="0" borderId="3" xfId="0" applyFont="1" applyFill="1" applyBorder="1" applyAlignment="1">
      <alignment vertical="top" wrapText="1" readingOrder="1"/>
    </xf>
    <xf numFmtId="0" fontId="0" fillId="2" borderId="0" xfId="0" applyFill="1" applyAlignment="1">
      <alignment vertical="top"/>
    </xf>
    <xf numFmtId="0" fontId="0" fillId="2" borderId="0" xfId="0" applyFont="1" applyFill="1" applyAlignment="1">
      <alignment vertical="top"/>
    </xf>
    <xf numFmtId="164" fontId="0" fillId="2" borderId="0" xfId="0" applyNumberFormat="1" applyFill="1" applyAlignment="1">
      <alignment vertical="top"/>
    </xf>
    <xf numFmtId="165" fontId="0" fillId="2" borderId="0" xfId="0" applyNumberFormat="1" applyFill="1" applyAlignment="1">
      <alignment vertical="top"/>
    </xf>
    <xf numFmtId="2" fontId="2" fillId="0" borderId="9" xfId="0" applyNumberFormat="1" applyFont="1" applyFill="1" applyBorder="1" applyAlignment="1">
      <alignment vertical="top" readingOrder="1"/>
    </xf>
    <xf numFmtId="0" fontId="5" fillId="0" borderId="12" xfId="0" applyFont="1" applyBorder="1" applyAlignment="1">
      <alignment horizontal="center" wrapText="1"/>
    </xf>
    <xf numFmtId="0" fontId="5" fillId="0" borderId="0" xfId="0" applyFont="1" applyBorder="1" applyAlignment="1">
      <alignment horizontal="center"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429946076879859E-2"/>
          <c:y val="4.2201979613852282E-2"/>
          <c:w val="0.88343622047244097"/>
          <c:h val="0.71038316442607252"/>
        </c:manualLayout>
      </c:layout>
      <c:barChart>
        <c:barDir val="col"/>
        <c:grouping val="clustered"/>
        <c:varyColors val="0"/>
        <c:ser>
          <c:idx val="0"/>
          <c:order val="0"/>
          <c:tx>
            <c:strRef>
              <c:f>'Old ScoreSheet'!$M$23</c:f>
              <c:strCache>
                <c:ptCount val="1"/>
                <c:pt idx="0">
                  <c:v>Scada</c:v>
                </c:pt>
              </c:strCache>
            </c:strRef>
          </c:tx>
          <c:spPr>
            <a:solidFill>
              <a:schemeClr val="accent1"/>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ScoreSheet'!$M$24:$M$30</c:f>
              <c:numCache>
                <c:formatCode>0</c:formatCode>
                <c:ptCount val="7"/>
                <c:pt idx="0">
                  <c:v>36</c:v>
                </c:pt>
                <c:pt idx="1">
                  <c:v>16</c:v>
                </c:pt>
                <c:pt idx="2">
                  <c:v>18</c:v>
                </c:pt>
                <c:pt idx="3">
                  <c:v>36</c:v>
                </c:pt>
                <c:pt idx="4">
                  <c:v>20</c:v>
                </c:pt>
                <c:pt idx="5">
                  <c:v>31.5</c:v>
                </c:pt>
                <c:pt idx="6" formatCode="&quot;$&quot;#,##0.00">
                  <c:v>21.08</c:v>
                </c:pt>
              </c:numCache>
            </c:numRef>
          </c:val>
          <c:extLst>
            <c:ext xmlns:c16="http://schemas.microsoft.com/office/drawing/2014/chart" uri="{C3380CC4-5D6E-409C-BE32-E72D297353CC}">
              <c16:uniqueId val="{00000000-9000-4D16-8D57-9AF57DF158C5}"/>
            </c:ext>
          </c:extLst>
        </c:ser>
        <c:ser>
          <c:idx val="1"/>
          <c:order val="1"/>
          <c:tx>
            <c:strRef>
              <c:f>'Old ScoreSheet'!$N$23</c:f>
              <c:strCache>
                <c:ptCount val="1"/>
                <c:pt idx="0">
                  <c:v>1212C</c:v>
                </c:pt>
              </c:strCache>
            </c:strRef>
          </c:tx>
          <c:spPr>
            <a:solidFill>
              <a:schemeClr val="accent2"/>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ScoreSheet'!$N$24:$N$30</c:f>
              <c:numCache>
                <c:formatCode>0</c:formatCode>
                <c:ptCount val="7"/>
                <c:pt idx="0">
                  <c:v>28</c:v>
                </c:pt>
                <c:pt idx="1">
                  <c:v>34</c:v>
                </c:pt>
                <c:pt idx="2">
                  <c:v>36</c:v>
                </c:pt>
                <c:pt idx="3">
                  <c:v>36</c:v>
                </c:pt>
                <c:pt idx="4">
                  <c:v>28</c:v>
                </c:pt>
                <c:pt idx="5">
                  <c:v>40.5</c:v>
                </c:pt>
                <c:pt idx="6" formatCode="&quot;$&quot;#,##0">
                  <c:v>29.52</c:v>
                </c:pt>
              </c:numCache>
            </c:numRef>
          </c:val>
          <c:extLst>
            <c:ext xmlns:c16="http://schemas.microsoft.com/office/drawing/2014/chart" uri="{C3380CC4-5D6E-409C-BE32-E72D297353CC}">
              <c16:uniqueId val="{00000000-1348-4830-95E5-B3C20D35E187}"/>
            </c:ext>
          </c:extLst>
        </c:ser>
        <c:ser>
          <c:idx val="2"/>
          <c:order val="2"/>
          <c:tx>
            <c:strRef>
              <c:f>'Old ScoreSheet'!$P$23</c:f>
              <c:strCache>
                <c:ptCount val="1"/>
                <c:pt idx="0">
                  <c:v>1510sp</c:v>
                </c:pt>
              </c:strCache>
            </c:strRef>
          </c:tx>
          <c:spPr>
            <a:solidFill>
              <a:schemeClr val="accent3"/>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ScoreSheet'!$P$24:$P$30</c:f>
              <c:numCache>
                <c:formatCode>0</c:formatCode>
                <c:ptCount val="7"/>
                <c:pt idx="0">
                  <c:v>28</c:v>
                </c:pt>
                <c:pt idx="1">
                  <c:v>32</c:v>
                </c:pt>
                <c:pt idx="2">
                  <c:v>36</c:v>
                </c:pt>
                <c:pt idx="3">
                  <c:v>24</c:v>
                </c:pt>
                <c:pt idx="4">
                  <c:v>32</c:v>
                </c:pt>
                <c:pt idx="5">
                  <c:v>38</c:v>
                </c:pt>
                <c:pt idx="6" formatCode="&quot;$&quot;#,##0">
                  <c:v>36.42</c:v>
                </c:pt>
              </c:numCache>
            </c:numRef>
          </c:val>
          <c:extLst>
            <c:ext xmlns:c16="http://schemas.microsoft.com/office/drawing/2014/chart" uri="{C3380CC4-5D6E-409C-BE32-E72D297353CC}">
              <c16:uniqueId val="{00000001-1348-4830-95E5-B3C20D35E187}"/>
            </c:ext>
          </c:extLst>
        </c:ser>
        <c:dLbls>
          <c:showLegendKey val="0"/>
          <c:showVal val="0"/>
          <c:showCatName val="0"/>
          <c:showSerName val="0"/>
          <c:showPercent val="0"/>
          <c:showBubbleSize val="0"/>
        </c:dLbls>
        <c:gapWidth val="219"/>
        <c:overlap val="-27"/>
        <c:axId val="640728632"/>
        <c:axId val="640726336"/>
      </c:barChart>
      <c:catAx>
        <c:axId val="64072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26336"/>
        <c:crosses val="autoZero"/>
        <c:auto val="1"/>
        <c:lblAlgn val="ctr"/>
        <c:lblOffset val="100"/>
        <c:noMultiLvlLbl val="0"/>
      </c:catAx>
      <c:valAx>
        <c:axId val="64072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28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987561337441515E-2"/>
          <c:y val="2.2980733881593728E-2"/>
          <c:w val="0.93665011982197877"/>
          <c:h val="0.66634259063960088"/>
        </c:manualLayout>
      </c:layout>
      <c:barChart>
        <c:barDir val="col"/>
        <c:grouping val="clustered"/>
        <c:varyColors val="0"/>
        <c:ser>
          <c:idx val="0"/>
          <c:order val="0"/>
          <c:tx>
            <c:strRef>
              <c:f>'Old ScoreSheet'!$L$32</c:f>
              <c:strCache>
                <c:ptCount val="1"/>
                <c:pt idx="0">
                  <c:v>Scada TouchScreen</c:v>
                </c:pt>
              </c:strCache>
            </c:strRef>
          </c:tx>
          <c:spPr>
            <a:solidFill>
              <a:schemeClr val="accent1"/>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ScoreSheet'!$M$32:$Q$32</c:f>
              <c:numCache>
                <c:formatCode>0</c:formatCode>
                <c:ptCount val="5"/>
                <c:pt idx="0">
                  <c:v>31.5</c:v>
                </c:pt>
                <c:pt idx="1">
                  <c:v>27.833333333333332</c:v>
                </c:pt>
                <c:pt idx="2">
                  <c:v>35.166666666666664</c:v>
                </c:pt>
                <c:pt idx="3" formatCode="&quot;$&quot;#,##0">
                  <c:v>48.92</c:v>
                </c:pt>
                <c:pt idx="4">
                  <c:v>29.886148007590133</c:v>
                </c:pt>
              </c:numCache>
            </c:numRef>
          </c:val>
          <c:extLst>
            <c:ext xmlns:c16="http://schemas.microsoft.com/office/drawing/2014/chart" uri="{C3380CC4-5D6E-409C-BE32-E72D297353CC}">
              <c16:uniqueId val="{00000000-66E4-4047-B3B0-10CE36D09DB4}"/>
            </c:ext>
          </c:extLst>
        </c:ser>
        <c:ser>
          <c:idx val="1"/>
          <c:order val="1"/>
          <c:tx>
            <c:strRef>
              <c:f>'Old ScoreSheet'!$L$33</c:f>
              <c:strCache>
                <c:ptCount val="1"/>
                <c:pt idx="0">
                  <c:v>S7 1212</c:v>
                </c:pt>
              </c:strCache>
            </c:strRef>
          </c:tx>
          <c:spPr>
            <a:solidFill>
              <a:schemeClr val="accent2"/>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ScoreSheet'!$M$33:$Q$33</c:f>
              <c:numCache>
                <c:formatCode>0</c:formatCode>
                <c:ptCount val="5"/>
                <c:pt idx="0">
                  <c:v>40.5</c:v>
                </c:pt>
                <c:pt idx="1">
                  <c:v>36.833333333333336</c:v>
                </c:pt>
                <c:pt idx="2">
                  <c:v>44.166666666666664</c:v>
                </c:pt>
                <c:pt idx="3" formatCode="&quot;$&quot;#,##0">
                  <c:v>40.480000000000004</c:v>
                </c:pt>
                <c:pt idx="4">
                  <c:v>27.439024390243905</c:v>
                </c:pt>
              </c:numCache>
            </c:numRef>
          </c:val>
          <c:extLst>
            <c:ext xmlns:c16="http://schemas.microsoft.com/office/drawing/2014/chart" uri="{C3380CC4-5D6E-409C-BE32-E72D297353CC}">
              <c16:uniqueId val="{00000001-66E4-4047-B3B0-10CE36D09DB4}"/>
            </c:ext>
          </c:extLst>
        </c:ser>
        <c:ser>
          <c:idx val="2"/>
          <c:order val="2"/>
          <c:tx>
            <c:strRef>
              <c:f>'Old ScoreSheet'!$L$34</c:f>
              <c:strCache>
                <c:ptCount val="1"/>
                <c:pt idx="0">
                  <c:v>S7 1510sp</c:v>
                </c:pt>
              </c:strCache>
            </c:strRef>
          </c:tx>
          <c:spPr>
            <a:solidFill>
              <a:schemeClr val="accent3"/>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ScoreSheet'!$M$34:$Q$34</c:f>
              <c:numCache>
                <c:formatCode>0</c:formatCode>
                <c:ptCount val="5"/>
                <c:pt idx="0">
                  <c:v>38</c:v>
                </c:pt>
                <c:pt idx="1">
                  <c:v>31.333333333333332</c:v>
                </c:pt>
                <c:pt idx="2">
                  <c:v>44.666666666666664</c:v>
                </c:pt>
                <c:pt idx="3" formatCode="&quot;$&quot;#,##0">
                  <c:v>33.58</c:v>
                </c:pt>
                <c:pt idx="4">
                  <c:v>20.867655134541462</c:v>
                </c:pt>
              </c:numCache>
            </c:numRef>
          </c:val>
          <c:extLst>
            <c:ext xmlns:c16="http://schemas.microsoft.com/office/drawing/2014/chart" uri="{C3380CC4-5D6E-409C-BE32-E72D297353CC}">
              <c16:uniqueId val="{00000002-66E4-4047-B3B0-10CE36D09DB4}"/>
            </c:ext>
          </c:extLst>
        </c:ser>
        <c:dLbls>
          <c:showLegendKey val="0"/>
          <c:showVal val="0"/>
          <c:showCatName val="0"/>
          <c:showSerName val="0"/>
          <c:showPercent val="0"/>
          <c:showBubbleSize val="0"/>
        </c:dLbls>
        <c:gapWidth val="219"/>
        <c:overlap val="-27"/>
        <c:axId val="334663992"/>
        <c:axId val="334664976"/>
      </c:barChart>
      <c:catAx>
        <c:axId val="33466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64976"/>
        <c:crosses val="autoZero"/>
        <c:auto val="1"/>
        <c:lblAlgn val="ctr"/>
        <c:lblOffset val="100"/>
        <c:noMultiLvlLbl val="0"/>
      </c:catAx>
      <c:valAx>
        <c:axId val="334664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63992"/>
        <c:crosses val="autoZero"/>
        <c:crossBetween val="between"/>
      </c:valAx>
      <c:spPr>
        <a:noFill/>
        <a:ln>
          <a:noFill/>
        </a:ln>
        <a:effectLst/>
      </c:spPr>
    </c:plotArea>
    <c:legend>
      <c:legendPos val="b"/>
      <c:layout>
        <c:manualLayout>
          <c:xMode val="edge"/>
          <c:yMode val="edge"/>
          <c:x val="9.153115371448136E-3"/>
          <c:y val="0.78347031066282791"/>
          <c:w val="0.97988217505420527"/>
          <c:h val="0.193548980731821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37270341207349"/>
          <c:y val="0.17171296296296298"/>
          <c:w val="0.85862729658792647"/>
          <c:h val="0.51327099737532811"/>
        </c:manualLayout>
      </c:layout>
      <c:barChart>
        <c:barDir val="col"/>
        <c:grouping val="stacked"/>
        <c:varyColors val="0"/>
        <c:ser>
          <c:idx val="0"/>
          <c:order val="0"/>
          <c:tx>
            <c:strRef>
              <c:f>Prices!$D$21</c:f>
              <c:strCache>
                <c:ptCount val="1"/>
                <c:pt idx="0">
                  <c:v>CPU</c:v>
                </c:pt>
              </c:strCache>
            </c:strRef>
          </c:tx>
          <c:spPr>
            <a:solidFill>
              <a:schemeClr val="accent1"/>
            </a:solidFill>
            <a:ln>
              <a:noFill/>
            </a:ln>
            <a:effectLst/>
          </c:spPr>
          <c:invertIfNegative val="0"/>
          <c:cat>
            <c:strRef>
              <c:f>Prices!$C$22:$C$24</c:f>
              <c:strCache>
                <c:ptCount val="3"/>
                <c:pt idx="0">
                  <c:v>1212C</c:v>
                </c:pt>
                <c:pt idx="1">
                  <c:v>1510sp</c:v>
                </c:pt>
                <c:pt idx="2">
                  <c:v>SCADA  </c:v>
                </c:pt>
              </c:strCache>
            </c:strRef>
          </c:cat>
          <c:val>
            <c:numRef>
              <c:f>Prices!$D$22:$D$24</c:f>
              <c:numCache>
                <c:formatCode>"$"#,##0</c:formatCode>
                <c:ptCount val="3"/>
                <c:pt idx="0">
                  <c:v>926.6</c:v>
                </c:pt>
                <c:pt idx="1">
                  <c:v>816.46</c:v>
                </c:pt>
                <c:pt idx="2">
                  <c:v>1720</c:v>
                </c:pt>
              </c:numCache>
            </c:numRef>
          </c:val>
          <c:extLst>
            <c:ext xmlns:c16="http://schemas.microsoft.com/office/drawing/2014/chart" uri="{C3380CC4-5D6E-409C-BE32-E72D297353CC}">
              <c16:uniqueId val="{00000000-E56B-46C6-84D7-ECBAF6BCDD3E}"/>
            </c:ext>
          </c:extLst>
        </c:ser>
        <c:ser>
          <c:idx val="1"/>
          <c:order val="1"/>
          <c:tx>
            <c:strRef>
              <c:f>Prices!$E$21</c:f>
              <c:strCache>
                <c:ptCount val="1"/>
                <c:pt idx="0">
                  <c:v>HMI</c:v>
                </c:pt>
              </c:strCache>
            </c:strRef>
          </c:tx>
          <c:spPr>
            <a:solidFill>
              <a:schemeClr val="accent2"/>
            </a:solidFill>
            <a:ln>
              <a:noFill/>
            </a:ln>
            <a:effectLst/>
          </c:spPr>
          <c:invertIfNegative val="0"/>
          <c:cat>
            <c:strRef>
              <c:f>Prices!$C$22:$C$24</c:f>
              <c:strCache>
                <c:ptCount val="3"/>
                <c:pt idx="0">
                  <c:v>1212C</c:v>
                </c:pt>
                <c:pt idx="1">
                  <c:v>1510sp</c:v>
                </c:pt>
                <c:pt idx="2">
                  <c:v>SCADA  </c:v>
                </c:pt>
              </c:strCache>
            </c:strRef>
          </c:cat>
          <c:val>
            <c:numRef>
              <c:f>Prices!$E$22:$E$24</c:f>
              <c:numCache>
                <c:formatCode>"$"#,##0</c:formatCode>
                <c:ptCount val="3"/>
                <c:pt idx="0">
                  <c:v>1386.84</c:v>
                </c:pt>
                <c:pt idx="1">
                  <c:v>1386.84</c:v>
                </c:pt>
                <c:pt idx="2">
                  <c:v>388</c:v>
                </c:pt>
              </c:numCache>
            </c:numRef>
          </c:val>
          <c:extLst>
            <c:ext xmlns:c16="http://schemas.microsoft.com/office/drawing/2014/chart" uri="{C3380CC4-5D6E-409C-BE32-E72D297353CC}">
              <c16:uniqueId val="{00000001-E56B-46C6-84D7-ECBAF6BCDD3E}"/>
            </c:ext>
          </c:extLst>
        </c:ser>
        <c:ser>
          <c:idx val="2"/>
          <c:order val="2"/>
          <c:tx>
            <c:strRef>
              <c:f>Prices!$F$21</c:f>
              <c:strCache>
                <c:ptCount val="1"/>
                <c:pt idx="0">
                  <c:v>Storage</c:v>
                </c:pt>
              </c:strCache>
            </c:strRef>
          </c:tx>
          <c:spPr>
            <a:solidFill>
              <a:schemeClr val="accent3"/>
            </a:solidFill>
            <a:ln>
              <a:noFill/>
            </a:ln>
            <a:effectLst/>
          </c:spPr>
          <c:invertIfNegative val="0"/>
          <c:cat>
            <c:strRef>
              <c:f>Prices!$C$22:$C$24</c:f>
              <c:strCache>
                <c:ptCount val="3"/>
                <c:pt idx="0">
                  <c:v>1212C</c:v>
                </c:pt>
                <c:pt idx="1">
                  <c:v>1510sp</c:v>
                </c:pt>
                <c:pt idx="2">
                  <c:v>SCADA  </c:v>
                </c:pt>
              </c:strCache>
            </c:strRef>
          </c:cat>
          <c:val>
            <c:numRef>
              <c:f>Prices!$F$22:$F$24</c:f>
              <c:numCache>
                <c:formatCode>"$"#,##0</c:formatCode>
                <c:ptCount val="3"/>
                <c:pt idx="0">
                  <c:v>637.96</c:v>
                </c:pt>
                <c:pt idx="1">
                  <c:v>637.96</c:v>
                </c:pt>
                <c:pt idx="2">
                  <c:v>0</c:v>
                </c:pt>
              </c:numCache>
            </c:numRef>
          </c:val>
          <c:extLst>
            <c:ext xmlns:c16="http://schemas.microsoft.com/office/drawing/2014/chart" uri="{C3380CC4-5D6E-409C-BE32-E72D297353CC}">
              <c16:uniqueId val="{00000002-E56B-46C6-84D7-ECBAF6BCDD3E}"/>
            </c:ext>
          </c:extLst>
        </c:ser>
        <c:ser>
          <c:idx val="3"/>
          <c:order val="3"/>
          <c:tx>
            <c:strRef>
              <c:f>Prices!$G$21</c:f>
              <c:strCache>
                <c:ptCount val="1"/>
                <c:pt idx="0">
                  <c:v>IO Expansion</c:v>
                </c:pt>
              </c:strCache>
            </c:strRef>
          </c:tx>
          <c:spPr>
            <a:solidFill>
              <a:schemeClr val="accent4"/>
            </a:solidFill>
            <a:ln>
              <a:noFill/>
            </a:ln>
            <a:effectLst/>
          </c:spPr>
          <c:invertIfNegative val="0"/>
          <c:cat>
            <c:strRef>
              <c:f>Prices!$C$22:$C$24</c:f>
              <c:strCache>
                <c:ptCount val="3"/>
                <c:pt idx="0">
                  <c:v>1212C</c:v>
                </c:pt>
                <c:pt idx="1">
                  <c:v>1510sp</c:v>
                </c:pt>
                <c:pt idx="2">
                  <c:v>SCADA  </c:v>
                </c:pt>
              </c:strCache>
            </c:strRef>
          </c:cat>
          <c:val>
            <c:numRef>
              <c:f>Prices!$G$22:$G$24</c:f>
              <c:numCache>
                <c:formatCode>"$"#,##0</c:formatCode>
                <c:ptCount val="3"/>
                <c:pt idx="0">
                  <c:v>0</c:v>
                </c:pt>
                <c:pt idx="1">
                  <c:v>799.96</c:v>
                </c:pt>
                <c:pt idx="2">
                  <c:v>0</c:v>
                </c:pt>
              </c:numCache>
            </c:numRef>
          </c:val>
          <c:extLst>
            <c:ext xmlns:c16="http://schemas.microsoft.com/office/drawing/2014/chart" uri="{C3380CC4-5D6E-409C-BE32-E72D297353CC}">
              <c16:uniqueId val="{00000003-E56B-46C6-84D7-ECBAF6BCDD3E}"/>
            </c:ext>
          </c:extLst>
        </c:ser>
        <c:dLbls>
          <c:showLegendKey val="0"/>
          <c:showVal val="0"/>
          <c:showCatName val="0"/>
          <c:showSerName val="0"/>
          <c:showPercent val="0"/>
          <c:showBubbleSize val="0"/>
        </c:dLbls>
        <c:gapWidth val="150"/>
        <c:overlap val="100"/>
        <c:axId val="665363480"/>
        <c:axId val="665363808"/>
      </c:barChart>
      <c:catAx>
        <c:axId val="66536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63808"/>
        <c:crosses val="autoZero"/>
        <c:auto val="1"/>
        <c:lblAlgn val="ctr"/>
        <c:lblOffset val="100"/>
        <c:noMultiLvlLbl val="0"/>
      </c:catAx>
      <c:valAx>
        <c:axId val="66536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6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Prices!$N$21</c:f>
              <c:strCache>
                <c:ptCount val="1"/>
                <c:pt idx="0">
                  <c:v>CPU</c:v>
                </c:pt>
              </c:strCache>
            </c:strRef>
          </c:tx>
          <c:spPr>
            <a:solidFill>
              <a:schemeClr val="accent1"/>
            </a:solidFill>
            <a:ln>
              <a:noFill/>
            </a:ln>
            <a:effectLst/>
          </c:spPr>
          <c:invertIfNegative val="0"/>
          <c:cat>
            <c:strRef>
              <c:f>Prices!$O$20:$O$20</c:f>
              <c:strCache>
                <c:ptCount val="1"/>
                <c:pt idx="0">
                  <c:v>Scada</c:v>
                </c:pt>
              </c:strCache>
            </c:strRef>
          </c:cat>
          <c:val>
            <c:numRef>
              <c:f>Prices!$O$21:$O$21</c:f>
              <c:numCache>
                <c:formatCode>"$"#,##0</c:formatCode>
                <c:ptCount val="1"/>
                <c:pt idx="0">
                  <c:v>2580</c:v>
                </c:pt>
              </c:numCache>
            </c:numRef>
          </c:val>
          <c:extLst>
            <c:ext xmlns:c16="http://schemas.microsoft.com/office/drawing/2014/chart" uri="{C3380CC4-5D6E-409C-BE32-E72D297353CC}">
              <c16:uniqueId val="{00000000-45F8-46F4-A522-4162656CF439}"/>
            </c:ext>
          </c:extLst>
        </c:ser>
        <c:ser>
          <c:idx val="1"/>
          <c:order val="1"/>
          <c:tx>
            <c:strRef>
              <c:f>Prices!$N$22</c:f>
              <c:strCache>
                <c:ptCount val="1"/>
                <c:pt idx="0">
                  <c:v>Display</c:v>
                </c:pt>
              </c:strCache>
            </c:strRef>
          </c:tx>
          <c:spPr>
            <a:solidFill>
              <a:schemeClr val="accent2"/>
            </a:solidFill>
            <a:ln>
              <a:noFill/>
            </a:ln>
            <a:effectLst/>
          </c:spPr>
          <c:invertIfNegative val="0"/>
          <c:cat>
            <c:strRef>
              <c:f>Prices!$O$20:$O$20</c:f>
              <c:strCache>
                <c:ptCount val="1"/>
                <c:pt idx="0">
                  <c:v>Scada</c:v>
                </c:pt>
              </c:strCache>
            </c:strRef>
          </c:cat>
          <c:val>
            <c:numRef>
              <c:f>Prices!$O$22:$O$22</c:f>
              <c:numCache>
                <c:formatCode>"$"#,##0</c:formatCode>
                <c:ptCount val="1"/>
                <c:pt idx="0">
                  <c:v>444</c:v>
                </c:pt>
              </c:numCache>
            </c:numRef>
          </c:val>
          <c:extLst>
            <c:ext xmlns:c16="http://schemas.microsoft.com/office/drawing/2014/chart" uri="{C3380CC4-5D6E-409C-BE32-E72D297353CC}">
              <c16:uniqueId val="{00000001-45F8-46F4-A522-4162656CF439}"/>
            </c:ext>
          </c:extLst>
        </c:ser>
        <c:ser>
          <c:idx val="2"/>
          <c:order val="2"/>
          <c:tx>
            <c:strRef>
              <c:f>Prices!$N$23</c:f>
              <c:strCache>
                <c:ptCount val="1"/>
                <c:pt idx="0">
                  <c:v>Expansion IO</c:v>
                </c:pt>
              </c:strCache>
            </c:strRef>
          </c:tx>
          <c:spPr>
            <a:solidFill>
              <a:schemeClr val="accent3"/>
            </a:solidFill>
            <a:ln>
              <a:noFill/>
            </a:ln>
            <a:effectLst/>
          </c:spPr>
          <c:invertIfNegative val="0"/>
          <c:cat>
            <c:strRef>
              <c:f>Prices!$O$20:$O$20</c:f>
              <c:strCache>
                <c:ptCount val="1"/>
                <c:pt idx="0">
                  <c:v>Scada</c:v>
                </c:pt>
              </c:strCache>
            </c:strRef>
          </c:cat>
          <c:val>
            <c:numRef>
              <c:f>Prices!$O$23:$O$23</c:f>
              <c:numCache>
                <c:formatCode>"$"#,##0</c:formatCode>
                <c:ptCount val="1"/>
                <c:pt idx="0">
                  <c:v>0</c:v>
                </c:pt>
              </c:numCache>
            </c:numRef>
          </c:val>
          <c:extLst>
            <c:ext xmlns:c16="http://schemas.microsoft.com/office/drawing/2014/chart" uri="{C3380CC4-5D6E-409C-BE32-E72D297353CC}">
              <c16:uniqueId val="{00000002-45F8-46F4-A522-4162656CF439}"/>
            </c:ext>
          </c:extLst>
        </c:ser>
        <c:ser>
          <c:idx val="3"/>
          <c:order val="3"/>
          <c:tx>
            <c:strRef>
              <c:f>Prices!$N$24</c:f>
              <c:strCache>
                <c:ptCount val="1"/>
                <c:pt idx="0">
                  <c:v>Storage</c:v>
                </c:pt>
              </c:strCache>
            </c:strRef>
          </c:tx>
          <c:spPr>
            <a:solidFill>
              <a:schemeClr val="accent4"/>
            </a:solidFill>
            <a:ln>
              <a:noFill/>
            </a:ln>
            <a:effectLst/>
          </c:spPr>
          <c:invertIfNegative val="0"/>
          <c:cat>
            <c:strRef>
              <c:f>Prices!$O$20:$O$20</c:f>
              <c:strCache>
                <c:ptCount val="1"/>
                <c:pt idx="0">
                  <c:v>Scada</c:v>
                </c:pt>
              </c:strCache>
            </c:strRef>
          </c:cat>
          <c:val>
            <c:numRef>
              <c:f>Prices!$O$24:$O$24</c:f>
              <c:numCache>
                <c:formatCode>"$"#,##0</c:formatCode>
                <c:ptCount val="1"/>
                <c:pt idx="0">
                  <c:v>0</c:v>
                </c:pt>
              </c:numCache>
            </c:numRef>
          </c:val>
          <c:extLst>
            <c:ext xmlns:c16="http://schemas.microsoft.com/office/drawing/2014/chart" uri="{C3380CC4-5D6E-409C-BE32-E72D297353CC}">
              <c16:uniqueId val="{00000003-45F8-46F4-A522-4162656CF439}"/>
            </c:ext>
          </c:extLst>
        </c:ser>
        <c:ser>
          <c:idx val="4"/>
          <c:order val="4"/>
          <c:tx>
            <c:strRef>
              <c:f>Prices!$N$25</c:f>
              <c:strCache>
                <c:ptCount val="1"/>
                <c:pt idx="0">
                  <c:v>Misc</c:v>
                </c:pt>
              </c:strCache>
            </c:strRef>
          </c:tx>
          <c:spPr>
            <a:solidFill>
              <a:schemeClr val="accent5"/>
            </a:solidFill>
            <a:ln>
              <a:noFill/>
            </a:ln>
            <a:effectLst/>
          </c:spPr>
          <c:invertIfNegative val="0"/>
          <c:cat>
            <c:strRef>
              <c:f>Prices!$O$20:$O$20</c:f>
              <c:strCache>
                <c:ptCount val="1"/>
                <c:pt idx="0">
                  <c:v>Scada</c:v>
                </c:pt>
              </c:strCache>
            </c:strRef>
          </c:cat>
          <c:val>
            <c:numRef>
              <c:f>Prices!$O$25:$O$25</c:f>
              <c:numCache>
                <c:formatCode>"$"#,##0</c:formatCode>
                <c:ptCount val="1"/>
                <c:pt idx="0">
                  <c:v>192</c:v>
                </c:pt>
              </c:numCache>
            </c:numRef>
          </c:val>
          <c:extLst>
            <c:ext xmlns:c16="http://schemas.microsoft.com/office/drawing/2014/chart" uri="{C3380CC4-5D6E-409C-BE32-E72D297353CC}">
              <c16:uniqueId val="{00000005-45F8-46F4-A522-4162656CF439}"/>
            </c:ext>
          </c:extLst>
        </c:ser>
        <c:dLbls>
          <c:showLegendKey val="0"/>
          <c:showVal val="0"/>
          <c:showCatName val="0"/>
          <c:showSerName val="0"/>
          <c:showPercent val="0"/>
          <c:showBubbleSize val="0"/>
        </c:dLbls>
        <c:gapWidth val="150"/>
        <c:overlap val="100"/>
        <c:axId val="507289192"/>
        <c:axId val="507284272"/>
      </c:barChart>
      <c:catAx>
        <c:axId val="507289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84272"/>
        <c:crosses val="autoZero"/>
        <c:auto val="1"/>
        <c:lblAlgn val="ctr"/>
        <c:lblOffset val="100"/>
        <c:noMultiLvlLbl val="0"/>
      </c:catAx>
      <c:valAx>
        <c:axId val="507284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89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69273</xdr:colOff>
      <xdr:row>17</xdr:row>
      <xdr:rowOff>55418</xdr:rowOff>
    </xdr:from>
    <xdr:to>
      <xdr:col>5</xdr:col>
      <xdr:colOff>22859</xdr:colOff>
      <xdr:row>32</xdr:row>
      <xdr:rowOff>137385</xdr:rowOff>
    </xdr:to>
    <xdr:graphicFrame macro="">
      <xdr:nvGraphicFramePr>
        <xdr:cNvPr id="3" name="Chart 2">
          <a:extLst>
            <a:ext uri="{FF2B5EF4-FFF2-40B4-BE49-F238E27FC236}">
              <a16:creationId xmlns:a16="http://schemas.microsoft.com/office/drawing/2014/main" id="{068A0899-96B4-4147-A0F7-A62B5C390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138545</xdr:colOff>
      <xdr:row>17</xdr:row>
      <xdr:rowOff>83116</xdr:rowOff>
    </xdr:from>
    <xdr:to>
      <xdr:col>9</xdr:col>
      <xdr:colOff>80071</xdr:colOff>
      <xdr:row>33</xdr:row>
      <xdr:rowOff>130385</xdr:rowOff>
    </xdr:to>
    <xdr:graphicFrame macro="">
      <xdr:nvGraphicFramePr>
        <xdr:cNvPr id="2" name="Chart 1">
          <a:extLst>
            <a:ext uri="{FF2B5EF4-FFF2-40B4-BE49-F238E27FC236}">
              <a16:creationId xmlns:a16="http://schemas.microsoft.com/office/drawing/2014/main" id="{20F53BFE-548D-4652-810D-6069F4147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477690</xdr:colOff>
      <xdr:row>24</xdr:row>
      <xdr:rowOff>12809</xdr:rowOff>
    </xdr:from>
    <xdr:to>
      <xdr:col>11</xdr:col>
      <xdr:colOff>101174</xdr:colOff>
      <xdr:row>38</xdr:row>
      <xdr:rowOff>146639</xdr:rowOff>
    </xdr:to>
    <xdr:graphicFrame macro="">
      <xdr:nvGraphicFramePr>
        <xdr:cNvPr id="2" name="Chart 1">
          <a:extLst>
            <a:ext uri="{FF2B5EF4-FFF2-40B4-BE49-F238E27FC236}">
              <a16:creationId xmlns:a16="http://schemas.microsoft.com/office/drawing/2014/main" id="{F7BDB571-F30D-4A7C-B25D-D9F493FE4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6403</xdr:rowOff>
    </xdr:from>
    <xdr:to>
      <xdr:col>6</xdr:col>
      <xdr:colOff>478971</xdr:colOff>
      <xdr:row>37</xdr:row>
      <xdr:rowOff>51227</xdr:rowOff>
    </xdr:to>
    <xdr:graphicFrame macro="">
      <xdr:nvGraphicFramePr>
        <xdr:cNvPr id="3" name="Chart 2">
          <a:extLst>
            <a:ext uri="{FF2B5EF4-FFF2-40B4-BE49-F238E27FC236}">
              <a16:creationId xmlns:a16="http://schemas.microsoft.com/office/drawing/2014/main" id="{EF360361-4757-4CFF-AE38-753CA6F77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5"/>
  <sheetViews>
    <sheetView zoomScale="70" zoomScaleNormal="70" workbookViewId="0">
      <pane ySplit="3" topLeftCell="A4" activePane="bottomLeft" state="frozen"/>
      <selection pane="bottomLeft" activeCell="D23" sqref="D23"/>
    </sheetView>
  </sheetViews>
  <sheetFormatPr defaultColWidth="8.85546875" defaultRowHeight="15" x14ac:dyDescent="0.25"/>
  <cols>
    <col min="1" max="1" width="14.28515625" style="2" customWidth="1"/>
    <col min="2" max="2" width="8.85546875" style="11"/>
    <col min="3" max="3" width="16.28515625" style="2" bestFit="1" customWidth="1"/>
    <col min="4" max="4" width="43.7109375" style="11" customWidth="1"/>
    <col min="5" max="5" width="13.42578125" style="11" bestFit="1" customWidth="1"/>
    <col min="6" max="6" width="11.85546875" style="11" customWidth="1"/>
    <col min="7" max="7" width="16.42578125" style="11" customWidth="1"/>
    <col min="8" max="8" width="16.7109375" style="11" customWidth="1"/>
    <col min="9" max="9" width="7" style="11" bestFit="1" customWidth="1"/>
    <col min="10" max="10" width="12.85546875" style="11" bestFit="1" customWidth="1"/>
    <col min="11" max="11" width="15" style="11" customWidth="1"/>
    <col min="12" max="16384" width="8.85546875" style="11"/>
  </cols>
  <sheetData>
    <row r="2" spans="1:10" ht="18.75" x14ac:dyDescent="0.25">
      <c r="A2" s="23"/>
      <c r="C2" s="23"/>
      <c r="D2" s="23" t="s">
        <v>129</v>
      </c>
      <c r="E2" s="23"/>
      <c r="F2" s="23"/>
      <c r="G2" s="23"/>
    </row>
    <row r="3" spans="1:10" ht="18.75" x14ac:dyDescent="0.25">
      <c r="A3" s="23" t="s">
        <v>142</v>
      </c>
      <c r="C3" s="23"/>
      <c r="D3" s="23"/>
      <c r="E3" s="23" t="s">
        <v>34</v>
      </c>
      <c r="F3" s="23" t="s">
        <v>69</v>
      </c>
      <c r="G3" s="23" t="s">
        <v>141</v>
      </c>
      <c r="H3" s="23" t="s">
        <v>150</v>
      </c>
      <c r="I3" s="11" t="s">
        <v>124</v>
      </c>
      <c r="J3" s="24" t="s">
        <v>155</v>
      </c>
    </row>
    <row r="4" spans="1:10" ht="18" x14ac:dyDescent="0.25">
      <c r="A4" s="43" t="s">
        <v>144</v>
      </c>
      <c r="B4" s="11">
        <v>2</v>
      </c>
      <c r="C4" s="43"/>
      <c r="D4" s="25" t="s">
        <v>76</v>
      </c>
      <c r="E4" s="26">
        <v>3</v>
      </c>
      <c r="F4" s="26">
        <v>2</v>
      </c>
      <c r="G4" s="26">
        <v>2</v>
      </c>
      <c r="H4" s="26">
        <v>2</v>
      </c>
      <c r="I4" s="26">
        <v>10</v>
      </c>
      <c r="J4" s="26">
        <v>0</v>
      </c>
    </row>
    <row r="5" spans="1:10" ht="18" x14ac:dyDescent="0.25">
      <c r="A5" s="43" t="s">
        <v>144</v>
      </c>
      <c r="B5" s="11">
        <v>3</v>
      </c>
      <c r="C5" s="43"/>
      <c r="D5" s="44" t="s">
        <v>151</v>
      </c>
      <c r="E5" s="26">
        <v>3</v>
      </c>
      <c r="F5" s="26">
        <v>3</v>
      </c>
      <c r="G5" s="26">
        <v>3</v>
      </c>
      <c r="H5" s="26">
        <v>1</v>
      </c>
      <c r="I5" s="26">
        <v>40</v>
      </c>
      <c r="J5" s="26">
        <v>0</v>
      </c>
    </row>
    <row r="6" spans="1:10" ht="18.75" thickBot="1" x14ac:dyDescent="0.3">
      <c r="A6" s="43" t="s">
        <v>144</v>
      </c>
      <c r="B6" s="11">
        <v>5</v>
      </c>
      <c r="C6" s="43"/>
      <c r="D6" s="27" t="s">
        <v>77</v>
      </c>
      <c r="E6" s="28">
        <v>2</v>
      </c>
      <c r="F6" s="28">
        <v>2</v>
      </c>
      <c r="G6" s="28">
        <v>2</v>
      </c>
      <c r="H6" s="28">
        <v>2</v>
      </c>
      <c r="I6" s="26">
        <v>40</v>
      </c>
      <c r="J6" s="26">
        <v>0</v>
      </c>
    </row>
    <row r="7" spans="1:10" ht="17.45" customHeight="1" x14ac:dyDescent="0.25">
      <c r="A7" s="43" t="s">
        <v>144</v>
      </c>
      <c r="B7" s="11">
        <v>7</v>
      </c>
      <c r="C7" s="43"/>
      <c r="D7" s="25" t="s">
        <v>87</v>
      </c>
      <c r="E7" s="26">
        <v>1</v>
      </c>
      <c r="F7" s="26">
        <v>3</v>
      </c>
      <c r="G7" s="26">
        <v>3</v>
      </c>
      <c r="H7" s="26">
        <v>3</v>
      </c>
      <c r="I7" s="26">
        <v>10</v>
      </c>
      <c r="J7" s="26">
        <v>0</v>
      </c>
    </row>
    <row r="8" spans="1:10" ht="18" x14ac:dyDescent="0.25">
      <c r="A8" s="43" t="s">
        <v>144</v>
      </c>
      <c r="B8" s="11">
        <v>10</v>
      </c>
      <c r="C8" s="43" t="s">
        <v>24</v>
      </c>
      <c r="D8" s="25" t="s">
        <v>19</v>
      </c>
      <c r="E8" s="26">
        <v>2</v>
      </c>
      <c r="F8" s="26">
        <v>3</v>
      </c>
      <c r="G8" s="26">
        <v>1</v>
      </c>
      <c r="H8" s="26">
        <v>1</v>
      </c>
      <c r="I8" s="26">
        <v>10</v>
      </c>
      <c r="J8" s="26">
        <v>0</v>
      </c>
    </row>
    <row r="9" spans="1:10" ht="18.75" thickBot="1" x14ac:dyDescent="0.3">
      <c r="A9" s="43" t="s">
        <v>144</v>
      </c>
      <c r="B9" s="11">
        <v>11</v>
      </c>
      <c r="C9" s="43"/>
      <c r="D9" s="27" t="s">
        <v>20</v>
      </c>
      <c r="E9" s="28">
        <v>1</v>
      </c>
      <c r="F9" s="28">
        <v>3</v>
      </c>
      <c r="G9" s="28">
        <v>3</v>
      </c>
      <c r="H9" s="28">
        <v>3</v>
      </c>
      <c r="I9" s="26">
        <v>10</v>
      </c>
      <c r="J9" s="26">
        <v>0</v>
      </c>
    </row>
    <row r="10" spans="1:10" ht="18.75" thickBot="1" x14ac:dyDescent="0.3">
      <c r="A10" s="43" t="s">
        <v>144</v>
      </c>
      <c r="B10" s="11">
        <v>13</v>
      </c>
      <c r="C10" s="43" t="s">
        <v>21</v>
      </c>
      <c r="D10" s="27" t="s">
        <v>127</v>
      </c>
      <c r="E10" s="28">
        <v>3</v>
      </c>
      <c r="F10" s="28">
        <v>2</v>
      </c>
      <c r="G10" s="28">
        <v>2</v>
      </c>
      <c r="H10" s="28">
        <v>2</v>
      </c>
      <c r="I10" s="26">
        <v>10</v>
      </c>
      <c r="J10" s="26">
        <v>0</v>
      </c>
    </row>
    <row r="11" spans="1:10" ht="18.75" thickBot="1" x14ac:dyDescent="0.3">
      <c r="A11" s="43" t="s">
        <v>144</v>
      </c>
      <c r="B11" s="11">
        <v>14</v>
      </c>
      <c r="C11" s="43"/>
      <c r="D11" s="46" t="s">
        <v>33</v>
      </c>
      <c r="E11" s="28">
        <v>1</v>
      </c>
      <c r="F11" s="28">
        <v>1</v>
      </c>
      <c r="G11" s="28">
        <v>1</v>
      </c>
      <c r="H11" s="28">
        <v>3</v>
      </c>
      <c r="I11" s="26">
        <v>10</v>
      </c>
      <c r="J11" s="26">
        <v>0</v>
      </c>
    </row>
    <row r="12" spans="1:10" ht="18.75" thickBot="1" x14ac:dyDescent="0.3">
      <c r="A12" s="43" t="s">
        <v>144</v>
      </c>
      <c r="B12" s="11">
        <v>15</v>
      </c>
      <c r="C12" s="43"/>
      <c r="D12" s="48" t="s">
        <v>154</v>
      </c>
      <c r="E12" s="28">
        <v>1</v>
      </c>
      <c r="F12" s="28">
        <v>3</v>
      </c>
      <c r="G12" s="28">
        <v>3</v>
      </c>
      <c r="H12" s="28">
        <v>3</v>
      </c>
      <c r="I12" s="26">
        <v>10</v>
      </c>
      <c r="J12" s="26">
        <v>0</v>
      </c>
    </row>
    <row r="13" spans="1:10" ht="17.45" customHeight="1" x14ac:dyDescent="0.25">
      <c r="A13" s="43" t="s">
        <v>143</v>
      </c>
      <c r="B13" s="11">
        <v>1</v>
      </c>
      <c r="C13" s="43" t="s">
        <v>85</v>
      </c>
      <c r="D13" s="25" t="s">
        <v>75</v>
      </c>
      <c r="E13" s="26">
        <v>3</v>
      </c>
      <c r="F13" s="26">
        <v>2</v>
      </c>
      <c r="G13" s="26">
        <v>2</v>
      </c>
      <c r="H13" s="26">
        <v>2</v>
      </c>
      <c r="I13" s="26">
        <v>100</v>
      </c>
      <c r="J13" s="26">
        <v>100</v>
      </c>
    </row>
    <row r="14" spans="1:10" ht="18" customHeight="1" thickBot="1" x14ac:dyDescent="0.3">
      <c r="A14" s="43" t="s">
        <v>143</v>
      </c>
      <c r="B14" s="11">
        <v>4</v>
      </c>
      <c r="C14" s="43" t="s">
        <v>16</v>
      </c>
      <c r="D14" s="45" t="s">
        <v>145</v>
      </c>
      <c r="E14" s="28">
        <v>1</v>
      </c>
      <c r="F14" s="28">
        <v>3</v>
      </c>
      <c r="G14" s="28">
        <v>3</v>
      </c>
      <c r="H14" s="28">
        <v>3</v>
      </c>
      <c r="I14" s="26">
        <v>60</v>
      </c>
      <c r="J14" s="26">
        <v>60</v>
      </c>
    </row>
    <row r="15" spans="1:10" ht="17.45" customHeight="1" thickBot="1" x14ac:dyDescent="0.3">
      <c r="A15" s="43" t="s">
        <v>143</v>
      </c>
      <c r="B15" s="11">
        <v>6</v>
      </c>
      <c r="C15" s="43"/>
      <c r="D15" s="29" t="s">
        <v>78</v>
      </c>
      <c r="E15" s="26">
        <v>1</v>
      </c>
      <c r="F15" s="26">
        <v>3</v>
      </c>
      <c r="G15" s="26">
        <v>3</v>
      </c>
      <c r="H15" s="26">
        <v>3</v>
      </c>
      <c r="I15" s="26">
        <v>50</v>
      </c>
      <c r="J15" s="26">
        <v>50</v>
      </c>
    </row>
    <row r="16" spans="1:10" ht="16.149999999999999" customHeight="1" x14ac:dyDescent="0.25">
      <c r="A16" s="43" t="s">
        <v>143</v>
      </c>
      <c r="B16" s="11">
        <v>8</v>
      </c>
      <c r="C16" s="43"/>
      <c r="D16" s="30" t="s">
        <v>88</v>
      </c>
      <c r="E16" s="26">
        <v>1</v>
      </c>
      <c r="F16" s="26">
        <v>3</v>
      </c>
      <c r="G16" s="26">
        <v>3</v>
      </c>
      <c r="H16" s="26">
        <v>3</v>
      </c>
      <c r="I16" s="26">
        <v>75</v>
      </c>
      <c r="J16" s="26">
        <v>75</v>
      </c>
    </row>
    <row r="17" spans="1:11" ht="20.45" customHeight="1" x14ac:dyDescent="0.25">
      <c r="A17" s="43" t="s">
        <v>143</v>
      </c>
      <c r="B17" s="11">
        <v>9</v>
      </c>
      <c r="C17" s="43"/>
      <c r="D17" s="47" t="s">
        <v>89</v>
      </c>
      <c r="E17" s="20">
        <v>1</v>
      </c>
      <c r="F17" s="20">
        <v>3</v>
      </c>
      <c r="G17" s="20">
        <v>3</v>
      </c>
      <c r="H17" s="20">
        <v>3</v>
      </c>
      <c r="I17" s="26">
        <v>100</v>
      </c>
      <c r="J17" s="26">
        <v>100</v>
      </c>
    </row>
    <row r="18" spans="1:11" ht="18" x14ac:dyDescent="0.25">
      <c r="A18" s="43" t="s">
        <v>143</v>
      </c>
      <c r="B18" s="11">
        <v>12</v>
      </c>
      <c r="C18" s="43" t="s">
        <v>12</v>
      </c>
      <c r="D18" s="49" t="s">
        <v>153</v>
      </c>
      <c r="E18" s="26">
        <v>3</v>
      </c>
      <c r="F18" s="26">
        <v>3</v>
      </c>
      <c r="G18" s="26">
        <v>3</v>
      </c>
      <c r="H18" s="26">
        <v>2</v>
      </c>
      <c r="I18" s="26">
        <v>10</v>
      </c>
      <c r="J18" s="26">
        <v>10</v>
      </c>
    </row>
    <row r="19" spans="1:11" ht="90" x14ac:dyDescent="0.25">
      <c r="A19" s="43" t="s">
        <v>143</v>
      </c>
      <c r="B19" s="11">
        <v>16</v>
      </c>
      <c r="C19" s="43" t="s">
        <v>146</v>
      </c>
      <c r="D19" s="26" t="s">
        <v>10</v>
      </c>
      <c r="E19" s="26">
        <v>3</v>
      </c>
      <c r="F19" s="26">
        <v>2</v>
      </c>
      <c r="G19" s="26">
        <v>1</v>
      </c>
      <c r="H19" s="26">
        <v>4</v>
      </c>
      <c r="I19" s="26">
        <v>37.5</v>
      </c>
      <c r="J19" s="26">
        <v>37.5</v>
      </c>
      <c r="K19" s="34" t="s">
        <v>156</v>
      </c>
    </row>
    <row r="20" spans="1:11" x14ac:dyDescent="0.25">
      <c r="A20" s="43"/>
      <c r="C20" s="43"/>
      <c r="D20" s="24" t="s">
        <v>147</v>
      </c>
      <c r="E20" s="35">
        <f>SUMPRODUCT(E4:E19,$I4:$I19)</f>
        <v>1047.5</v>
      </c>
      <c r="F20" s="35">
        <f>SUMPRODUCT(F4:F19,$I4:$I19)</f>
        <v>1530</v>
      </c>
      <c r="G20" s="35">
        <f>SUMPRODUCT(G4:G19,$I4:$I19)</f>
        <v>1472.5</v>
      </c>
      <c r="H20" s="35">
        <f>SUMPRODUCT(H4:H19,$I4:$I19)</f>
        <v>1515</v>
      </c>
      <c r="I20" s="35"/>
    </row>
    <row r="21" spans="1:11" x14ac:dyDescent="0.25">
      <c r="A21" s="43"/>
      <c r="C21" s="43"/>
      <c r="D21" s="24" t="s">
        <v>155</v>
      </c>
      <c r="E21" s="35">
        <f>SUMPRODUCT(E4:E19,$J4:$J19)</f>
        <v>727.5</v>
      </c>
      <c r="F21" s="35">
        <f>SUMPRODUCT(F4:F19,$J4:$J19)</f>
        <v>1160</v>
      </c>
      <c r="G21" s="35">
        <f>SUMPRODUCT(G4:G19,$J4:$J19)</f>
        <v>1122.5</v>
      </c>
      <c r="H21" s="35">
        <f>SUMPRODUCT(H4:H19,$J4:$J19)</f>
        <v>1225</v>
      </c>
    </row>
    <row r="22" spans="1:11" x14ac:dyDescent="0.25">
      <c r="A22" s="43"/>
      <c r="C22" s="43"/>
      <c r="D22" s="24" t="s">
        <v>149</v>
      </c>
      <c r="E22" s="35">
        <f>(E21-E20)/E20*100</f>
        <v>-30.548926014319811</v>
      </c>
      <c r="F22" s="35">
        <f>(F21-F20)/F20*100</f>
        <v>-24.183006535947712</v>
      </c>
      <c r="G22" s="35">
        <f>(G21-G20)/G20*100</f>
        <v>-23.769100169779286</v>
      </c>
      <c r="H22" s="35">
        <f>(H21-H20)/H20*100</f>
        <v>-19.141914191419144</v>
      </c>
      <c r="I22" s="36">
        <f>(AVERAGE(E22:H22))</f>
        <v>-24.410736727866489</v>
      </c>
      <c r="J22" s="11" t="s">
        <v>157</v>
      </c>
    </row>
    <row r="23" spans="1:11" ht="28.15" customHeight="1" x14ac:dyDescent="0.25">
      <c r="A23" s="43"/>
      <c r="C23" s="43"/>
      <c r="E23" s="35"/>
      <c r="F23" s="35"/>
      <c r="G23" s="35"/>
      <c r="H23" s="35"/>
    </row>
    <row r="24" spans="1:11" ht="18" customHeight="1" x14ac:dyDescent="0.25">
      <c r="A24" s="43"/>
      <c r="C24" s="43"/>
      <c r="D24" s="24"/>
      <c r="E24" s="24"/>
      <c r="F24" s="24"/>
      <c r="G24" s="24"/>
      <c r="H24" s="24"/>
    </row>
    <row r="25" spans="1:11" ht="18" customHeight="1" x14ac:dyDescent="0.25">
      <c r="A25" s="43"/>
      <c r="C25" s="43"/>
      <c r="D25" s="24"/>
      <c r="E25" s="35"/>
      <c r="F25" s="35"/>
      <c r="G25" s="35"/>
      <c r="H25" s="35"/>
    </row>
    <row r="26" spans="1:11" ht="27.6" customHeight="1" x14ac:dyDescent="0.25">
      <c r="A26" s="43"/>
      <c r="C26" s="43"/>
      <c r="D26" s="24"/>
      <c r="E26" s="35"/>
      <c r="F26" s="35"/>
      <c r="G26" s="35"/>
      <c r="H26" s="35"/>
    </row>
    <row r="27" spans="1:11" x14ac:dyDescent="0.25">
      <c r="A27" s="43"/>
      <c r="C27" s="43"/>
      <c r="D27" s="24"/>
      <c r="E27" s="35"/>
      <c r="F27" s="35"/>
      <c r="G27" s="35"/>
      <c r="H27" s="35"/>
    </row>
    <row r="28" spans="1:11" x14ac:dyDescent="0.25">
      <c r="A28" s="43"/>
      <c r="C28" s="43"/>
      <c r="D28" s="24"/>
      <c r="E28" s="35"/>
      <c r="F28" s="35"/>
      <c r="G28" s="35"/>
      <c r="H28" s="35"/>
    </row>
    <row r="29" spans="1:11" x14ac:dyDescent="0.25">
      <c r="A29" s="43"/>
      <c r="C29" s="43"/>
      <c r="D29" s="24"/>
      <c r="E29" s="35"/>
      <c r="F29" s="35"/>
      <c r="G29" s="35"/>
      <c r="H29" s="35"/>
    </row>
    <row r="30" spans="1:11" x14ac:dyDescent="0.25">
      <c r="A30" s="43"/>
      <c r="C30" s="43"/>
      <c r="D30" s="24"/>
      <c r="E30" s="35"/>
      <c r="F30" s="35"/>
      <c r="G30" s="35"/>
      <c r="H30" s="35"/>
    </row>
    <row r="31" spans="1:11" x14ac:dyDescent="0.25">
      <c r="A31" s="43"/>
      <c r="C31" s="43"/>
      <c r="D31" s="24"/>
      <c r="E31" s="31"/>
      <c r="F31" s="32"/>
      <c r="G31" s="32"/>
      <c r="H31" s="32"/>
    </row>
    <row r="32" spans="1:11" ht="17.45" customHeight="1" x14ac:dyDescent="0.25">
      <c r="A32" s="43"/>
      <c r="C32" s="43"/>
      <c r="D32" s="33"/>
      <c r="E32" s="33"/>
      <c r="F32" s="24"/>
      <c r="G32" s="24"/>
      <c r="H32" s="1"/>
      <c r="I32" s="2"/>
    </row>
    <row r="33" spans="1:9" ht="17.45" customHeight="1" x14ac:dyDescent="0.25">
      <c r="A33" s="43"/>
      <c r="C33" s="43"/>
      <c r="D33" s="24"/>
      <c r="E33" s="37"/>
      <c r="F33" s="35"/>
      <c r="G33" s="35"/>
      <c r="H33" s="1"/>
      <c r="I33" s="37"/>
    </row>
    <row r="34" spans="1:9" ht="18" customHeight="1" x14ac:dyDescent="0.25">
      <c r="D34" s="24"/>
      <c r="E34" s="37"/>
      <c r="F34" s="35"/>
      <c r="G34" s="35"/>
      <c r="H34" s="12"/>
      <c r="I34" s="37"/>
    </row>
    <row r="35" spans="1:9" x14ac:dyDescent="0.25">
      <c r="D35" s="24"/>
      <c r="E35" s="37"/>
      <c r="F35" s="35"/>
      <c r="G35" s="35"/>
      <c r="H35" s="1"/>
      <c r="I35" s="37"/>
    </row>
  </sheetData>
  <sortState ref="A4:J19">
    <sortCondition ref="A4:A19"/>
  </sortState>
  <conditionalFormatting sqref="D16">
    <cfRule type="duplicateValues" dxfId="17" priority="4"/>
  </conditionalFormatting>
  <conditionalFormatting sqref="C19 A19 C16:C17">
    <cfRule type="duplicateValues" dxfId="16" priority="3"/>
  </conditionalFormatting>
  <conditionalFormatting sqref="AA8">
    <cfRule type="duplicateValues" dxfId="15" priority="2"/>
  </conditionalFormatting>
  <conditionalFormatting sqref="AD7 AD5 AA7:AB7">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zoomScale="85" zoomScaleNormal="85" workbookViewId="0">
      <pane ySplit="3" topLeftCell="A4" activePane="bottomLeft" state="frozen"/>
      <selection pane="bottomLeft" activeCell="B26" sqref="B26"/>
    </sheetView>
  </sheetViews>
  <sheetFormatPr defaultColWidth="8.85546875" defaultRowHeight="15" x14ac:dyDescent="0.25"/>
  <cols>
    <col min="1" max="1" width="8.85546875" style="11"/>
    <col min="2" max="2" width="16.28515625" style="2" bestFit="1" customWidth="1"/>
    <col min="3" max="3" width="14.28515625" style="2" customWidth="1"/>
    <col min="4" max="4" width="42.28515625" style="11" customWidth="1"/>
    <col min="5" max="5" width="13.42578125" style="11" bestFit="1" customWidth="1"/>
    <col min="6" max="6" width="11.85546875" style="11" customWidth="1"/>
    <col min="7" max="7" width="16.42578125" style="11" customWidth="1"/>
    <col min="8" max="8" width="16.7109375" style="11" customWidth="1"/>
    <col min="9" max="9" width="7" style="11" bestFit="1" customWidth="1"/>
    <col min="10" max="16384" width="8.85546875" style="11"/>
  </cols>
  <sheetData>
    <row r="2" spans="1:10" ht="18.75" x14ac:dyDescent="0.25">
      <c r="B2" s="23"/>
      <c r="C2" s="23"/>
      <c r="D2" s="23" t="s">
        <v>129</v>
      </c>
      <c r="E2" s="23"/>
      <c r="F2" s="23"/>
      <c r="G2" s="23"/>
    </row>
    <row r="3" spans="1:10" ht="18.75" x14ac:dyDescent="0.25">
      <c r="B3" s="23"/>
      <c r="C3" s="23" t="s">
        <v>142</v>
      </c>
      <c r="D3" s="23"/>
      <c r="E3" s="23" t="s">
        <v>34</v>
      </c>
      <c r="F3" s="23" t="s">
        <v>69</v>
      </c>
      <c r="G3" s="23" t="s">
        <v>141</v>
      </c>
      <c r="H3" s="23" t="s">
        <v>150</v>
      </c>
      <c r="I3" s="11" t="s">
        <v>124</v>
      </c>
      <c r="J3" s="11" t="s">
        <v>152</v>
      </c>
    </row>
    <row r="4" spans="1:10" ht="18" x14ac:dyDescent="0.25">
      <c r="A4" s="11">
        <v>1</v>
      </c>
      <c r="B4" s="43" t="s">
        <v>85</v>
      </c>
      <c r="C4" s="43" t="s">
        <v>143</v>
      </c>
      <c r="D4" s="25" t="s">
        <v>75</v>
      </c>
      <c r="E4" s="26">
        <v>3</v>
      </c>
      <c r="F4" s="26">
        <v>2</v>
      </c>
      <c r="G4" s="26">
        <v>2</v>
      </c>
      <c r="H4" s="26">
        <v>2</v>
      </c>
      <c r="I4" s="26">
        <v>100</v>
      </c>
      <c r="J4" s="26">
        <v>100</v>
      </c>
    </row>
    <row r="5" spans="1:10" ht="18" x14ac:dyDescent="0.25">
      <c r="A5" s="11">
        <v>2</v>
      </c>
      <c r="B5" s="43"/>
      <c r="C5" s="43" t="s">
        <v>144</v>
      </c>
      <c r="D5" s="25" t="s">
        <v>76</v>
      </c>
      <c r="E5" s="26">
        <v>3</v>
      </c>
      <c r="F5" s="26">
        <v>2</v>
      </c>
      <c r="G5" s="26">
        <v>2</v>
      </c>
      <c r="H5" s="26">
        <v>2</v>
      </c>
      <c r="I5" s="26">
        <v>10</v>
      </c>
      <c r="J5" s="26">
        <v>0</v>
      </c>
    </row>
    <row r="6" spans="1:10" ht="18.75" thickBot="1" x14ac:dyDescent="0.3">
      <c r="A6" s="11">
        <v>3</v>
      </c>
      <c r="B6" s="43"/>
      <c r="C6" s="43" t="s">
        <v>144</v>
      </c>
      <c r="D6" s="45" t="s">
        <v>151</v>
      </c>
      <c r="E6" s="28">
        <v>3</v>
      </c>
      <c r="F6" s="28">
        <v>3</v>
      </c>
      <c r="G6" s="28">
        <v>3</v>
      </c>
      <c r="H6" s="28">
        <v>1</v>
      </c>
      <c r="I6" s="26">
        <v>40</v>
      </c>
      <c r="J6" s="26">
        <v>0</v>
      </c>
    </row>
    <row r="7" spans="1:10" ht="17.45" customHeight="1" x14ac:dyDescent="0.25">
      <c r="A7" s="11">
        <v>4</v>
      </c>
      <c r="B7" s="43" t="s">
        <v>16</v>
      </c>
      <c r="C7" s="43" t="s">
        <v>143</v>
      </c>
      <c r="D7" s="44" t="s">
        <v>145</v>
      </c>
      <c r="E7" s="26">
        <v>1</v>
      </c>
      <c r="F7" s="26">
        <v>3</v>
      </c>
      <c r="G7" s="26">
        <v>3</v>
      </c>
      <c r="H7" s="26">
        <v>3</v>
      </c>
      <c r="I7" s="26">
        <v>60</v>
      </c>
      <c r="J7" s="26">
        <v>60</v>
      </c>
    </row>
    <row r="8" spans="1:10" ht="18" x14ac:dyDescent="0.25">
      <c r="A8" s="11">
        <v>5</v>
      </c>
      <c r="B8" s="43"/>
      <c r="C8" s="43" t="s">
        <v>143</v>
      </c>
      <c r="D8" s="25" t="s">
        <v>77</v>
      </c>
      <c r="E8" s="26">
        <v>3</v>
      </c>
      <c r="F8" s="26">
        <v>2</v>
      </c>
      <c r="G8" s="26">
        <v>2</v>
      </c>
      <c r="H8" s="26">
        <v>2</v>
      </c>
      <c r="I8" s="26">
        <v>40</v>
      </c>
      <c r="J8" s="26">
        <v>40</v>
      </c>
    </row>
    <row r="9" spans="1:10" ht="18.75" thickBot="1" x14ac:dyDescent="0.3">
      <c r="A9" s="11">
        <v>6</v>
      </c>
      <c r="B9" s="43"/>
      <c r="C9" s="43" t="s">
        <v>143</v>
      </c>
      <c r="D9" s="27" t="s">
        <v>78</v>
      </c>
      <c r="E9" s="28">
        <v>1</v>
      </c>
      <c r="F9" s="28">
        <v>3</v>
      </c>
      <c r="G9" s="28">
        <v>2</v>
      </c>
      <c r="H9" s="28">
        <v>2</v>
      </c>
      <c r="I9" s="26">
        <v>50</v>
      </c>
      <c r="J9" s="26">
        <v>50</v>
      </c>
    </row>
    <row r="10" spans="1:10" ht="18.75" thickBot="1" x14ac:dyDescent="0.3">
      <c r="A10" s="11">
        <v>7</v>
      </c>
      <c r="B10" s="43"/>
      <c r="C10" s="43" t="s">
        <v>144</v>
      </c>
      <c r="D10" s="27" t="s">
        <v>87</v>
      </c>
      <c r="E10" s="28">
        <v>1</v>
      </c>
      <c r="F10" s="28">
        <v>3</v>
      </c>
      <c r="G10" s="28">
        <v>3</v>
      </c>
      <c r="H10" s="28">
        <v>3</v>
      </c>
      <c r="I10" s="26">
        <v>10</v>
      </c>
      <c r="J10" s="26">
        <v>0</v>
      </c>
    </row>
    <row r="11" spans="1:10" ht="18.75" thickBot="1" x14ac:dyDescent="0.3">
      <c r="A11" s="11">
        <v>8</v>
      </c>
      <c r="B11" s="43"/>
      <c r="C11" s="43" t="s">
        <v>143</v>
      </c>
      <c r="D11" s="27" t="s">
        <v>88</v>
      </c>
      <c r="E11" s="28">
        <v>1</v>
      </c>
      <c r="F11" s="28">
        <v>3</v>
      </c>
      <c r="G11" s="28">
        <v>3</v>
      </c>
      <c r="H11" s="28">
        <v>3</v>
      </c>
      <c r="I11" s="26">
        <v>75</v>
      </c>
      <c r="J11" s="26">
        <v>75</v>
      </c>
    </row>
    <row r="12" spans="1:10" ht="18.75" thickBot="1" x14ac:dyDescent="0.3">
      <c r="A12" s="11">
        <v>9</v>
      </c>
      <c r="B12" s="43"/>
      <c r="C12" s="43" t="s">
        <v>143</v>
      </c>
      <c r="D12" s="27" t="s">
        <v>89</v>
      </c>
      <c r="E12" s="28">
        <v>1</v>
      </c>
      <c r="F12" s="28">
        <v>3</v>
      </c>
      <c r="G12" s="28">
        <v>3</v>
      </c>
      <c r="H12" s="28">
        <v>3</v>
      </c>
      <c r="I12" s="26">
        <v>100</v>
      </c>
      <c r="J12" s="26">
        <v>100</v>
      </c>
    </row>
    <row r="13" spans="1:10" ht="17.45" customHeight="1" x14ac:dyDescent="0.25">
      <c r="A13" s="11">
        <v>10</v>
      </c>
      <c r="B13" s="43" t="s">
        <v>24</v>
      </c>
      <c r="C13" s="43" t="s">
        <v>144</v>
      </c>
      <c r="D13" s="25" t="s">
        <v>19</v>
      </c>
      <c r="E13" s="26">
        <v>2</v>
      </c>
      <c r="F13" s="26">
        <v>3</v>
      </c>
      <c r="G13" s="26">
        <v>1</v>
      </c>
      <c r="H13" s="26">
        <v>1</v>
      </c>
      <c r="I13" s="26">
        <v>10</v>
      </c>
      <c r="J13" s="26">
        <v>0</v>
      </c>
    </row>
    <row r="14" spans="1:10" ht="18" customHeight="1" thickBot="1" x14ac:dyDescent="0.3">
      <c r="A14" s="11">
        <v>11</v>
      </c>
      <c r="B14" s="43"/>
      <c r="C14" s="43" t="s">
        <v>144</v>
      </c>
      <c r="D14" s="27" t="s">
        <v>20</v>
      </c>
      <c r="E14" s="28">
        <v>1</v>
      </c>
      <c r="F14" s="28">
        <v>3</v>
      </c>
      <c r="G14" s="28">
        <v>3</v>
      </c>
      <c r="H14" s="28">
        <v>3</v>
      </c>
      <c r="I14" s="26">
        <v>10</v>
      </c>
      <c r="J14" s="26">
        <v>0</v>
      </c>
    </row>
    <row r="15" spans="1:10" ht="17.45" customHeight="1" thickBot="1" x14ac:dyDescent="0.3">
      <c r="A15" s="11">
        <v>12</v>
      </c>
      <c r="B15" s="43" t="s">
        <v>12</v>
      </c>
      <c r="C15" s="43" t="s">
        <v>144</v>
      </c>
      <c r="D15" s="29" t="s">
        <v>27</v>
      </c>
      <c r="E15" s="26">
        <v>3</v>
      </c>
      <c r="F15" s="26">
        <v>3</v>
      </c>
      <c r="G15" s="26">
        <v>2</v>
      </c>
      <c r="H15" s="26">
        <v>2</v>
      </c>
      <c r="I15" s="26">
        <v>10</v>
      </c>
      <c r="J15" s="26">
        <v>0</v>
      </c>
    </row>
    <row r="16" spans="1:10" ht="16.149999999999999" customHeight="1" x14ac:dyDescent="0.25">
      <c r="A16" s="11">
        <v>13</v>
      </c>
      <c r="B16" s="43" t="s">
        <v>21</v>
      </c>
      <c r="C16" s="43" t="s">
        <v>144</v>
      </c>
      <c r="D16" s="30" t="s">
        <v>127</v>
      </c>
      <c r="E16" s="26">
        <v>3</v>
      </c>
      <c r="F16" s="26">
        <v>2</v>
      </c>
      <c r="G16" s="26">
        <v>2</v>
      </c>
      <c r="H16" s="26">
        <v>2</v>
      </c>
      <c r="I16" s="26">
        <v>10</v>
      </c>
      <c r="J16" s="26">
        <v>0</v>
      </c>
    </row>
    <row r="17" spans="1:10" ht="20.45" customHeight="1" x14ac:dyDescent="0.25">
      <c r="A17" s="11">
        <v>14</v>
      </c>
      <c r="B17" s="43"/>
      <c r="C17" s="43" t="s">
        <v>144</v>
      </c>
      <c r="D17" s="20" t="s">
        <v>33</v>
      </c>
      <c r="E17" s="20">
        <v>1</v>
      </c>
      <c r="F17" s="20">
        <v>2</v>
      </c>
      <c r="G17" s="20">
        <v>3</v>
      </c>
      <c r="H17" s="20">
        <v>3</v>
      </c>
      <c r="I17" s="26">
        <v>10</v>
      </c>
      <c r="J17" s="26">
        <v>0</v>
      </c>
    </row>
    <row r="18" spans="1:10" ht="18" x14ac:dyDescent="0.25">
      <c r="A18" s="11">
        <v>15</v>
      </c>
      <c r="B18" s="43"/>
      <c r="C18" s="43" t="s">
        <v>144</v>
      </c>
      <c r="D18" s="26" t="s">
        <v>86</v>
      </c>
      <c r="E18" s="26">
        <v>1</v>
      </c>
      <c r="F18" s="26">
        <v>3</v>
      </c>
      <c r="G18" s="26">
        <v>3</v>
      </c>
      <c r="H18" s="26">
        <v>3</v>
      </c>
      <c r="I18" s="26">
        <v>10</v>
      </c>
      <c r="J18" s="26">
        <v>0</v>
      </c>
    </row>
    <row r="19" spans="1:10" ht="18" x14ac:dyDescent="0.25">
      <c r="A19" s="11">
        <v>16</v>
      </c>
      <c r="B19" s="43" t="s">
        <v>146</v>
      </c>
      <c r="C19" s="43" t="s">
        <v>143</v>
      </c>
      <c r="D19" s="26" t="s">
        <v>10</v>
      </c>
      <c r="E19" s="26">
        <v>2</v>
      </c>
      <c r="F19" s="26">
        <v>3</v>
      </c>
      <c r="G19" s="26">
        <v>3</v>
      </c>
      <c r="H19" s="26">
        <v>1</v>
      </c>
      <c r="I19" s="26">
        <v>50</v>
      </c>
      <c r="J19" s="26">
        <v>50</v>
      </c>
    </row>
    <row r="20" spans="1:10" x14ac:dyDescent="0.25">
      <c r="B20" s="43"/>
      <c r="C20" s="43"/>
      <c r="D20" s="24" t="s">
        <v>147</v>
      </c>
      <c r="E20" s="35">
        <f>SUMPRODUCT(E4:E19,$I4:$I19)</f>
        <v>1075</v>
      </c>
      <c r="F20" s="35">
        <f>SUMPRODUCT(F4:F19,$I4:$I19)</f>
        <v>1615</v>
      </c>
      <c r="G20" s="35">
        <f>SUMPRODUCT(G4:G19,$I4:$I19)</f>
        <v>1545</v>
      </c>
      <c r="H20" s="35">
        <f>SUMPRODUCT(H4:H19,$I4:$I19)</f>
        <v>1365</v>
      </c>
      <c r="I20" s="35"/>
    </row>
    <row r="21" spans="1:10" x14ac:dyDescent="0.25">
      <c r="B21" s="43"/>
      <c r="C21" s="43"/>
      <c r="D21" s="24" t="s">
        <v>148</v>
      </c>
      <c r="E21" s="35">
        <f>SUMPRODUCT(E4:E19,$J4:$J19)</f>
        <v>805</v>
      </c>
      <c r="F21" s="35">
        <f>SUMPRODUCT(F4:F19,$J4:$J19)</f>
        <v>1285</v>
      </c>
      <c r="G21" s="35">
        <f>SUMPRODUCT(G4:G19,$J4:$J19)</f>
        <v>1235</v>
      </c>
      <c r="H21" s="35">
        <f>SUMPRODUCT(H4:H19,$J4:$J19)</f>
        <v>1135</v>
      </c>
    </row>
    <row r="22" spans="1:10" x14ac:dyDescent="0.25">
      <c r="B22" s="43"/>
      <c r="C22" s="43"/>
      <c r="D22" s="24" t="s">
        <v>149</v>
      </c>
      <c r="E22" s="35">
        <f>(E21-E20)/E20*100</f>
        <v>-25.116279069767444</v>
      </c>
      <c r="F22" s="35">
        <f>(F21-F20)/F20*100</f>
        <v>-20.433436532507741</v>
      </c>
      <c r="G22" s="35">
        <f>(G21-G20)/G20*100</f>
        <v>-20.064724919093852</v>
      </c>
      <c r="H22" s="35">
        <f>(H21-H20)/H20*100</f>
        <v>-16.84981684981685</v>
      </c>
      <c r="I22" s="36">
        <f>(AVERAGE(E22:H22))</f>
        <v>-20.61606434279647</v>
      </c>
    </row>
    <row r="23" spans="1:10" ht="28.15" customHeight="1" x14ac:dyDescent="0.25">
      <c r="B23" s="43"/>
      <c r="C23" s="43"/>
      <c r="E23" s="35"/>
      <c r="F23" s="35"/>
      <c r="G23" s="35"/>
      <c r="H23" s="35"/>
    </row>
    <row r="24" spans="1:10" ht="18" customHeight="1" x14ac:dyDescent="0.25">
      <c r="B24" s="43"/>
      <c r="C24" s="43"/>
      <c r="D24" s="24"/>
      <c r="E24" s="24"/>
      <c r="F24" s="24"/>
      <c r="G24" s="24"/>
      <c r="H24" s="24"/>
    </row>
    <row r="25" spans="1:10" ht="18" customHeight="1" x14ac:dyDescent="0.25">
      <c r="B25" s="43"/>
      <c r="C25" s="43"/>
      <c r="D25" s="24"/>
      <c r="E25" s="35"/>
      <c r="F25" s="35"/>
      <c r="G25" s="35"/>
      <c r="H25" s="35"/>
    </row>
    <row r="26" spans="1:10" ht="27.6" customHeight="1" x14ac:dyDescent="0.25">
      <c r="B26" s="43"/>
      <c r="C26" s="43"/>
      <c r="D26" s="24"/>
      <c r="E26" s="35"/>
      <c r="F26" s="35"/>
      <c r="G26" s="35"/>
      <c r="H26" s="35"/>
    </row>
    <row r="27" spans="1:10" x14ac:dyDescent="0.25">
      <c r="B27" s="43"/>
      <c r="C27" s="43"/>
      <c r="D27" s="24"/>
      <c r="E27" s="35"/>
      <c r="F27" s="35"/>
      <c r="G27" s="35"/>
      <c r="H27" s="35"/>
    </row>
    <row r="28" spans="1:10" x14ac:dyDescent="0.25">
      <c r="B28" s="43"/>
      <c r="C28" s="43"/>
      <c r="D28" s="24"/>
      <c r="E28" s="35"/>
      <c r="F28" s="35"/>
      <c r="G28" s="35"/>
      <c r="H28" s="35"/>
    </row>
    <row r="29" spans="1:10" x14ac:dyDescent="0.25">
      <c r="B29" s="43"/>
      <c r="C29" s="43"/>
      <c r="D29" s="24"/>
      <c r="E29" s="35"/>
      <c r="F29" s="35"/>
      <c r="G29" s="35"/>
      <c r="H29" s="35"/>
    </row>
    <row r="30" spans="1:10" x14ac:dyDescent="0.25">
      <c r="B30" s="43"/>
      <c r="C30" s="43"/>
      <c r="D30" s="24"/>
      <c r="E30" s="35"/>
      <c r="F30" s="35"/>
      <c r="G30" s="35"/>
      <c r="H30" s="35"/>
    </row>
    <row r="31" spans="1:10" x14ac:dyDescent="0.25">
      <c r="B31" s="43"/>
      <c r="C31" s="43"/>
      <c r="D31" s="24"/>
      <c r="E31" s="31"/>
      <c r="F31" s="32"/>
      <c r="G31" s="32"/>
      <c r="H31" s="32"/>
    </row>
    <row r="32" spans="1:10" ht="17.45" customHeight="1" x14ac:dyDescent="0.25">
      <c r="B32" s="43"/>
      <c r="C32" s="43"/>
      <c r="D32" s="33"/>
      <c r="E32" s="33"/>
      <c r="F32" s="24"/>
      <c r="G32" s="24"/>
      <c r="H32" s="1"/>
      <c r="I32" s="2"/>
    </row>
    <row r="33" spans="2:9" ht="17.45" customHeight="1" x14ac:dyDescent="0.25">
      <c r="B33" s="43"/>
      <c r="C33" s="43"/>
      <c r="D33" s="24"/>
      <c r="E33" s="37"/>
      <c r="F33" s="35"/>
      <c r="G33" s="35"/>
      <c r="H33" s="1"/>
      <c r="I33" s="37"/>
    </row>
    <row r="34" spans="2:9" ht="18" customHeight="1" x14ac:dyDescent="0.25">
      <c r="D34" s="24"/>
      <c r="E34" s="37"/>
      <c r="F34" s="35"/>
      <c r="G34" s="35"/>
      <c r="H34" s="12"/>
      <c r="I34" s="37"/>
    </row>
    <row r="35" spans="2:9" x14ac:dyDescent="0.25">
      <c r="D35" s="24"/>
      <c r="E35" s="37"/>
      <c r="F35" s="35"/>
      <c r="G35" s="35"/>
      <c r="H35" s="1"/>
      <c r="I35" s="37"/>
    </row>
  </sheetData>
  <conditionalFormatting sqref="D16">
    <cfRule type="duplicateValues" dxfId="13" priority="4"/>
  </conditionalFormatting>
  <conditionalFormatting sqref="B19:C19 B16:B17">
    <cfRule type="duplicateValues" dxfId="12"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zoomScale="55" zoomScaleNormal="55" workbookViewId="0">
      <selection activeCell="L38" sqref="L38"/>
    </sheetView>
  </sheetViews>
  <sheetFormatPr defaultColWidth="8.85546875" defaultRowHeight="15" x14ac:dyDescent="0.25"/>
  <cols>
    <col min="1" max="1" width="14.42578125" style="11" bestFit="1" customWidth="1"/>
    <col min="2" max="2" width="63.85546875" style="11" customWidth="1"/>
    <col min="3" max="3" width="7.5703125" style="11" bestFit="1" customWidth="1"/>
    <col min="4" max="4" width="6.7109375" style="11" bestFit="1" customWidth="1"/>
    <col min="5" max="5" width="7.5703125" style="11" bestFit="1" customWidth="1"/>
    <col min="6" max="6" width="21.28515625" style="11" bestFit="1" customWidth="1"/>
    <col min="7" max="7" width="8" style="11" bestFit="1" customWidth="1"/>
    <col min="8" max="8" width="6.7109375" style="11" bestFit="1" customWidth="1"/>
    <col min="9" max="9" width="16.28515625" style="11" bestFit="1" customWidth="1"/>
    <col min="10" max="10" width="2.5703125" style="11" bestFit="1" customWidth="1"/>
    <col min="11" max="11" width="14.28515625" style="11" bestFit="1" customWidth="1"/>
    <col min="12" max="12" width="45.28515625" style="11" bestFit="1" customWidth="1"/>
    <col min="13" max="13" width="13.42578125" style="11" bestFit="1" customWidth="1"/>
    <col min="14" max="14" width="11.85546875" style="11" customWidth="1"/>
    <col min="15" max="15" width="16.42578125" style="11" customWidth="1"/>
    <col min="16" max="16" width="16.7109375" style="11" customWidth="1"/>
    <col min="17" max="17" width="19" style="11" customWidth="1"/>
    <col min="18" max="18" width="22.28515625" style="11" bestFit="1" customWidth="1"/>
    <col min="19" max="19" width="49.28515625" style="11" bestFit="1" customWidth="1"/>
    <col min="20" max="20" width="10.7109375" style="11" bestFit="1" customWidth="1"/>
    <col min="21" max="21" width="7.28515625" style="11" customWidth="1"/>
    <col min="22" max="22" width="8.85546875" style="11" customWidth="1"/>
    <col min="23" max="23" width="8.28515625" style="11" bestFit="1" customWidth="1"/>
    <col min="24" max="24" width="16.28515625" style="11" bestFit="1" customWidth="1"/>
    <col min="25" max="26" width="8.28515625" style="11" bestFit="1" customWidth="1"/>
    <col min="27" max="16384" width="8.85546875" style="11"/>
  </cols>
  <sheetData>
    <row r="1" spans="1:23" x14ac:dyDescent="0.25">
      <c r="C1" s="11" t="s">
        <v>34</v>
      </c>
      <c r="D1" s="11" t="s">
        <v>69</v>
      </c>
      <c r="E1" s="11" t="s">
        <v>35</v>
      </c>
      <c r="G1" s="11" t="s">
        <v>34</v>
      </c>
      <c r="H1" s="11" t="s">
        <v>69</v>
      </c>
      <c r="I1" s="11" t="s">
        <v>35</v>
      </c>
    </row>
    <row r="2" spans="1:23" ht="18.75" x14ac:dyDescent="0.25">
      <c r="A2" s="11" t="s">
        <v>23</v>
      </c>
      <c r="B2" s="5" t="s">
        <v>13</v>
      </c>
      <c r="C2" s="13">
        <v>10</v>
      </c>
      <c r="D2" s="13">
        <v>6</v>
      </c>
      <c r="E2" s="13">
        <v>8</v>
      </c>
      <c r="F2" s="11" t="s">
        <v>80</v>
      </c>
      <c r="G2" s="35">
        <f>(SUM(C2:C4))+(SUM(C14:C17))</f>
        <v>54</v>
      </c>
      <c r="H2" s="35">
        <f>(SUM(D2:D4))+(SUM(D14:D17))</f>
        <v>37</v>
      </c>
      <c r="I2" s="35">
        <f>(SUM(E2:E4))+(SUM(E14:E17))</f>
        <v>39</v>
      </c>
      <c r="K2" s="23"/>
      <c r="L2" s="23" t="s">
        <v>129</v>
      </c>
      <c r="M2" s="23"/>
      <c r="N2" s="23"/>
      <c r="O2" s="23"/>
      <c r="R2" s="23"/>
      <c r="S2" s="23" t="s">
        <v>128</v>
      </c>
      <c r="T2" s="23"/>
      <c r="U2" s="23"/>
      <c r="V2" s="23"/>
    </row>
    <row r="3" spans="1:23" ht="18.75" x14ac:dyDescent="0.25">
      <c r="B3" s="5" t="s">
        <v>14</v>
      </c>
      <c r="C3" s="13">
        <v>8</v>
      </c>
      <c r="D3" s="13">
        <v>6</v>
      </c>
      <c r="E3" s="13">
        <v>6</v>
      </c>
      <c r="F3" s="11" t="s">
        <v>16</v>
      </c>
      <c r="G3" s="35">
        <f>(SUM(C5:C10))/2</f>
        <v>9.5</v>
      </c>
      <c r="H3" s="35">
        <f>(SUM(D5:D10))/2</f>
        <v>27</v>
      </c>
      <c r="I3" s="35">
        <f>(SUM(E5:E10))/2</f>
        <v>27</v>
      </c>
      <c r="K3" s="23"/>
      <c r="L3" s="23"/>
      <c r="M3" s="23" t="s">
        <v>34</v>
      </c>
      <c r="N3" s="23" t="s">
        <v>69</v>
      </c>
      <c r="O3" s="23" t="s">
        <v>141</v>
      </c>
      <c r="P3" s="23" t="s">
        <v>140</v>
      </c>
      <c r="Q3" s="11" t="s">
        <v>124</v>
      </c>
      <c r="R3" s="23"/>
      <c r="S3" s="23"/>
      <c r="T3" s="23" t="s">
        <v>34</v>
      </c>
      <c r="U3" s="23" t="s">
        <v>69</v>
      </c>
      <c r="V3" s="23" t="s">
        <v>35</v>
      </c>
      <c r="W3" s="11" t="s">
        <v>124</v>
      </c>
    </row>
    <row r="4" spans="1:23" ht="18.75" thickBot="1" x14ac:dyDescent="0.3">
      <c r="B4" s="8" t="s">
        <v>15</v>
      </c>
      <c r="C4" s="15">
        <v>10</v>
      </c>
      <c r="D4" s="15">
        <v>7</v>
      </c>
      <c r="E4" s="15">
        <v>4</v>
      </c>
      <c r="F4" s="11" t="s">
        <v>81</v>
      </c>
      <c r="G4" s="35">
        <f>(SUM(C11:C12))*3</f>
        <v>27</v>
      </c>
      <c r="H4" s="35">
        <f>(SUM(D11:D12))*3</f>
        <v>33</v>
      </c>
      <c r="I4" s="35">
        <f>(SUM(E11:E12))*3</f>
        <v>24</v>
      </c>
      <c r="K4" s="24" t="s">
        <v>85</v>
      </c>
      <c r="L4" s="25" t="s">
        <v>75</v>
      </c>
      <c r="M4" s="26">
        <v>3</v>
      </c>
      <c r="N4" s="26">
        <v>2</v>
      </c>
      <c r="O4" s="26">
        <v>2</v>
      </c>
      <c r="P4" s="26">
        <v>2</v>
      </c>
      <c r="Q4" s="26">
        <v>2</v>
      </c>
      <c r="R4" s="24" t="s">
        <v>85</v>
      </c>
      <c r="S4" s="25" t="s">
        <v>75</v>
      </c>
      <c r="T4" s="26">
        <v>1</v>
      </c>
      <c r="U4" s="26">
        <v>2</v>
      </c>
      <c r="V4" s="26">
        <v>2</v>
      </c>
      <c r="W4" s="26">
        <v>2</v>
      </c>
    </row>
    <row r="5" spans="1:23" ht="18" x14ac:dyDescent="0.25">
      <c r="A5" s="11" t="s">
        <v>16</v>
      </c>
      <c r="B5" s="5" t="s">
        <v>25</v>
      </c>
      <c r="C5" s="13">
        <v>2</v>
      </c>
      <c r="D5" s="13">
        <v>10</v>
      </c>
      <c r="E5" s="13">
        <v>10</v>
      </c>
      <c r="F5" s="11" t="s">
        <v>12</v>
      </c>
      <c r="G5" s="35">
        <f>(SUM(C13))*3</f>
        <v>18</v>
      </c>
      <c r="H5" s="35">
        <f>(SUM(D13))*3</f>
        <v>24</v>
      </c>
      <c r="I5" s="35">
        <f>(SUM(E13))*3</f>
        <v>9</v>
      </c>
      <c r="K5" s="24"/>
      <c r="L5" s="25" t="s">
        <v>76</v>
      </c>
      <c r="M5" s="26">
        <v>3</v>
      </c>
      <c r="N5" s="26">
        <v>2</v>
      </c>
      <c r="O5" s="26">
        <v>2</v>
      </c>
      <c r="P5" s="26">
        <v>2</v>
      </c>
      <c r="Q5" s="26">
        <v>1</v>
      </c>
      <c r="R5" s="24"/>
      <c r="S5" s="25" t="s">
        <v>76</v>
      </c>
      <c r="T5" s="26">
        <v>1</v>
      </c>
      <c r="U5" s="26">
        <v>2</v>
      </c>
      <c r="V5" s="26">
        <v>2</v>
      </c>
      <c r="W5" s="26">
        <v>1</v>
      </c>
    </row>
    <row r="6" spans="1:23" ht="18.75" thickBot="1" x14ac:dyDescent="0.3">
      <c r="B6" s="5" t="s">
        <v>17</v>
      </c>
      <c r="C6" s="13">
        <v>6</v>
      </c>
      <c r="D6" s="13">
        <v>8</v>
      </c>
      <c r="E6" s="13">
        <v>8</v>
      </c>
      <c r="K6" s="24"/>
      <c r="L6" s="27" t="s">
        <v>83</v>
      </c>
      <c r="M6" s="28">
        <v>3</v>
      </c>
      <c r="N6" s="28">
        <v>3</v>
      </c>
      <c r="O6" s="28">
        <v>3</v>
      </c>
      <c r="P6" s="28">
        <v>3</v>
      </c>
      <c r="Q6" s="26">
        <v>2</v>
      </c>
      <c r="R6" s="24"/>
      <c r="S6" s="27" t="s">
        <v>83</v>
      </c>
      <c r="T6" s="28">
        <v>1</v>
      </c>
      <c r="U6" s="28">
        <v>1</v>
      </c>
      <c r="V6" s="28">
        <v>1</v>
      </c>
      <c r="W6" s="26">
        <v>2</v>
      </c>
    </row>
    <row r="7" spans="1:23" ht="17.45" customHeight="1" thickBot="1" x14ac:dyDescent="0.3">
      <c r="B7" s="8" t="s">
        <v>18</v>
      </c>
      <c r="C7" s="15">
        <v>4</v>
      </c>
      <c r="D7" s="15">
        <v>8</v>
      </c>
      <c r="E7" s="15">
        <v>8</v>
      </c>
      <c r="F7" s="11" t="s">
        <v>31</v>
      </c>
      <c r="G7" s="35">
        <f>(SUM(G2:G5,G3))/5</f>
        <v>23.6</v>
      </c>
      <c r="H7" s="35">
        <f>(SUM(H2:H5,H3))/5</f>
        <v>29.6</v>
      </c>
      <c r="I7" s="35">
        <f>(SUM(I2:I5,I3))/5</f>
        <v>25.2</v>
      </c>
      <c r="K7" s="24" t="s">
        <v>16</v>
      </c>
      <c r="L7" s="25" t="s">
        <v>25</v>
      </c>
      <c r="M7" s="26">
        <v>1</v>
      </c>
      <c r="N7" s="26">
        <v>3</v>
      </c>
      <c r="O7" s="26">
        <v>3</v>
      </c>
      <c r="P7" s="26">
        <v>3</v>
      </c>
      <c r="Q7" s="26">
        <v>2</v>
      </c>
      <c r="R7" s="24" t="s">
        <v>16</v>
      </c>
      <c r="S7" s="25" t="s">
        <v>25</v>
      </c>
      <c r="T7" s="26">
        <v>3</v>
      </c>
      <c r="U7" s="26">
        <v>1</v>
      </c>
      <c r="V7" s="26">
        <v>1</v>
      </c>
      <c r="W7" s="26">
        <v>2</v>
      </c>
    </row>
    <row r="8" spans="1:23" ht="18" x14ac:dyDescent="0.25">
      <c r="B8" s="16" t="s">
        <v>26</v>
      </c>
      <c r="C8" s="17">
        <v>3</v>
      </c>
      <c r="D8" s="17">
        <v>10</v>
      </c>
      <c r="E8" s="17">
        <v>10</v>
      </c>
      <c r="F8" s="11" t="s">
        <v>10</v>
      </c>
      <c r="G8" s="22">
        <f>1000/((Prices!F4)/100)</f>
        <v>47.438330170777995</v>
      </c>
      <c r="H8" s="12">
        <f>1000/((Prices!F6)/100)</f>
        <v>33.875338753387531</v>
      </c>
      <c r="I8" s="12">
        <f>1000/((Prices!F3)/100)</f>
        <v>27.45744096650192</v>
      </c>
      <c r="J8" s="11">
        <v>6</v>
      </c>
      <c r="K8" s="24"/>
      <c r="L8" s="25" t="s">
        <v>77</v>
      </c>
      <c r="M8" s="26">
        <v>3</v>
      </c>
      <c r="N8" s="26">
        <v>2</v>
      </c>
      <c r="O8" s="26">
        <v>2</v>
      </c>
      <c r="P8" s="26">
        <v>2</v>
      </c>
      <c r="Q8" s="26">
        <v>1</v>
      </c>
      <c r="R8" s="24"/>
      <c r="S8" s="25" t="s">
        <v>77</v>
      </c>
      <c r="T8" s="26">
        <v>1</v>
      </c>
      <c r="U8" s="26">
        <v>2</v>
      </c>
      <c r="V8" s="26">
        <v>2</v>
      </c>
      <c r="W8" s="26">
        <v>1</v>
      </c>
    </row>
    <row r="9" spans="1:23" ht="18.75" thickBot="1" x14ac:dyDescent="0.3">
      <c r="B9" s="11" t="s">
        <v>28</v>
      </c>
      <c r="C9" s="17">
        <v>1</v>
      </c>
      <c r="D9" s="17">
        <v>8</v>
      </c>
      <c r="E9" s="17">
        <v>8</v>
      </c>
      <c r="F9" s="1"/>
      <c r="G9" s="1" t="s">
        <v>31</v>
      </c>
      <c r="H9" s="1" t="s">
        <v>10</v>
      </c>
      <c r="I9" s="2" t="s">
        <v>71</v>
      </c>
      <c r="J9" s="1"/>
      <c r="K9" s="24"/>
      <c r="L9" s="27" t="s">
        <v>78</v>
      </c>
      <c r="M9" s="28">
        <v>1</v>
      </c>
      <c r="N9" s="28">
        <v>3</v>
      </c>
      <c r="O9" s="28">
        <v>2</v>
      </c>
      <c r="P9" s="28">
        <v>2</v>
      </c>
      <c r="Q9" s="26">
        <v>1</v>
      </c>
      <c r="R9" s="24"/>
      <c r="S9" s="27" t="s">
        <v>78</v>
      </c>
      <c r="T9" s="28">
        <v>3</v>
      </c>
      <c r="U9" s="28">
        <v>1</v>
      </c>
      <c r="V9" s="28">
        <v>2</v>
      </c>
      <c r="W9" s="26">
        <v>1</v>
      </c>
    </row>
    <row r="10" spans="1:23" ht="18.75" thickBot="1" x14ac:dyDescent="0.3">
      <c r="B10" s="18" t="s">
        <v>29</v>
      </c>
      <c r="C10" s="17">
        <v>3</v>
      </c>
      <c r="D10" s="17">
        <v>10</v>
      </c>
      <c r="E10" s="17">
        <v>10</v>
      </c>
      <c r="F10" s="11" t="s">
        <v>36</v>
      </c>
      <c r="G10" s="6">
        <f>(G7)</f>
        <v>23.6</v>
      </c>
      <c r="H10" s="1">
        <f>(1000/((Prices!F4)/100))</f>
        <v>47.438330170777995</v>
      </c>
      <c r="I10" s="7">
        <f>(G10/(Prices!F4/100)*40)</f>
        <v>44.781783681214421</v>
      </c>
      <c r="K10" s="24"/>
      <c r="L10" s="27" t="s">
        <v>87</v>
      </c>
      <c r="M10" s="28">
        <v>1</v>
      </c>
      <c r="N10" s="28">
        <v>3</v>
      </c>
      <c r="O10" s="28">
        <v>3</v>
      </c>
      <c r="P10" s="28">
        <v>3</v>
      </c>
      <c r="Q10" s="26">
        <v>1</v>
      </c>
      <c r="R10" s="24"/>
      <c r="S10" s="27" t="s">
        <v>87</v>
      </c>
      <c r="T10" s="28">
        <v>3</v>
      </c>
      <c r="U10" s="28">
        <v>1</v>
      </c>
      <c r="V10" s="28">
        <v>1</v>
      </c>
      <c r="W10" s="26">
        <v>1</v>
      </c>
    </row>
    <row r="11" spans="1:23" ht="18.75" thickBot="1" x14ac:dyDescent="0.3">
      <c r="A11" s="11" t="s">
        <v>24</v>
      </c>
      <c r="B11" s="5" t="s">
        <v>19</v>
      </c>
      <c r="C11" s="13">
        <v>8</v>
      </c>
      <c r="D11" s="13">
        <v>4</v>
      </c>
      <c r="E11" s="13">
        <v>1</v>
      </c>
      <c r="F11" s="11" t="s">
        <v>70</v>
      </c>
      <c r="G11" s="6">
        <f>(H7)</f>
        <v>29.6</v>
      </c>
      <c r="H11" s="1">
        <f>(1000/((Prices!F6)/100))</f>
        <v>33.875338753387531</v>
      </c>
      <c r="I11" s="7">
        <f>(G11/(Prices!F6/100)*40)</f>
        <v>40.108401084010843</v>
      </c>
      <c r="K11" s="24"/>
      <c r="L11" s="27" t="s">
        <v>88</v>
      </c>
      <c r="M11" s="28">
        <v>1</v>
      </c>
      <c r="N11" s="28">
        <v>3</v>
      </c>
      <c r="O11" s="28">
        <v>3</v>
      </c>
      <c r="P11" s="28">
        <v>3</v>
      </c>
      <c r="Q11" s="26">
        <v>2</v>
      </c>
      <c r="R11" s="24"/>
      <c r="S11" s="27" t="s">
        <v>88</v>
      </c>
      <c r="T11" s="28">
        <v>3</v>
      </c>
      <c r="U11" s="28">
        <v>1</v>
      </c>
      <c r="V11" s="28">
        <v>1</v>
      </c>
      <c r="W11" s="26">
        <v>2</v>
      </c>
    </row>
    <row r="12" spans="1:23" ht="18.75" thickBot="1" x14ac:dyDescent="0.3">
      <c r="B12" s="8" t="s">
        <v>20</v>
      </c>
      <c r="C12" s="15">
        <v>1</v>
      </c>
      <c r="D12" s="15">
        <v>7</v>
      </c>
      <c r="E12" s="15">
        <v>7</v>
      </c>
      <c r="F12" s="11" t="s">
        <v>11</v>
      </c>
      <c r="G12" s="6">
        <f>(I7)</f>
        <v>25.2</v>
      </c>
      <c r="H12" s="1">
        <f>(1000/((Prices!F3)/100))</f>
        <v>27.45744096650192</v>
      </c>
      <c r="I12" s="7">
        <f>(G12/(Prices!F3/100)*40)</f>
        <v>27.677100494233933</v>
      </c>
      <c r="K12" s="24"/>
      <c r="L12" s="27" t="s">
        <v>89</v>
      </c>
      <c r="M12" s="28">
        <v>1</v>
      </c>
      <c r="N12" s="28">
        <v>3</v>
      </c>
      <c r="O12" s="28">
        <v>3</v>
      </c>
      <c r="P12" s="28">
        <v>3</v>
      </c>
      <c r="Q12" s="26">
        <v>2</v>
      </c>
      <c r="R12" s="24"/>
      <c r="S12" s="27" t="s">
        <v>89</v>
      </c>
      <c r="T12" s="28">
        <v>3</v>
      </c>
      <c r="U12" s="28">
        <v>1</v>
      </c>
      <c r="V12" s="28">
        <v>1</v>
      </c>
      <c r="W12" s="26">
        <v>2</v>
      </c>
    </row>
    <row r="13" spans="1:23" ht="17.45" customHeight="1" thickBot="1" x14ac:dyDescent="0.3">
      <c r="A13" s="11" t="s">
        <v>12</v>
      </c>
      <c r="B13" s="19" t="s">
        <v>27</v>
      </c>
      <c r="C13" s="13">
        <v>6</v>
      </c>
      <c r="D13" s="13">
        <v>8</v>
      </c>
      <c r="E13" s="13">
        <v>3</v>
      </c>
      <c r="K13" s="24" t="s">
        <v>24</v>
      </c>
      <c r="L13" s="25" t="s">
        <v>19</v>
      </c>
      <c r="M13" s="26">
        <v>2</v>
      </c>
      <c r="N13" s="26">
        <v>3</v>
      </c>
      <c r="O13" s="26">
        <v>3</v>
      </c>
      <c r="P13" s="26">
        <v>3</v>
      </c>
      <c r="Q13" s="26">
        <v>1</v>
      </c>
      <c r="R13" s="24" t="s">
        <v>24</v>
      </c>
      <c r="S13" s="25" t="s">
        <v>19</v>
      </c>
      <c r="T13" s="26">
        <v>1</v>
      </c>
      <c r="U13" s="26">
        <v>2</v>
      </c>
      <c r="V13" s="26">
        <v>3</v>
      </c>
      <c r="W13" s="26">
        <v>1</v>
      </c>
    </row>
    <row r="14" spans="1:23" ht="18" customHeight="1" thickBot="1" x14ac:dyDescent="0.3">
      <c r="A14" s="11" t="s">
        <v>21</v>
      </c>
      <c r="B14" s="9" t="s">
        <v>37</v>
      </c>
      <c r="C14" s="13">
        <v>8</v>
      </c>
      <c r="D14" s="13">
        <v>5</v>
      </c>
      <c r="E14" s="13">
        <v>5</v>
      </c>
      <c r="K14" s="24"/>
      <c r="L14" s="27" t="s">
        <v>20</v>
      </c>
      <c r="M14" s="28">
        <v>1</v>
      </c>
      <c r="N14" s="28">
        <v>3</v>
      </c>
      <c r="O14" s="28">
        <v>3</v>
      </c>
      <c r="P14" s="28">
        <v>3</v>
      </c>
      <c r="Q14" s="26">
        <v>1.5</v>
      </c>
      <c r="R14" s="24"/>
      <c r="S14" s="27" t="s">
        <v>20</v>
      </c>
      <c r="T14" s="28">
        <v>3</v>
      </c>
      <c r="U14" s="28">
        <v>1</v>
      </c>
      <c r="V14" s="28">
        <v>1</v>
      </c>
      <c r="W14" s="26">
        <v>1.5</v>
      </c>
    </row>
    <row r="15" spans="1:23" ht="17.45" customHeight="1" thickBot="1" x14ac:dyDescent="0.3">
      <c r="B15" s="8" t="s">
        <v>22</v>
      </c>
      <c r="C15" s="15">
        <v>8</v>
      </c>
      <c r="D15" s="15">
        <v>5</v>
      </c>
      <c r="E15" s="15">
        <v>4</v>
      </c>
      <c r="K15" s="24" t="s">
        <v>12</v>
      </c>
      <c r="L15" s="29" t="s">
        <v>27</v>
      </c>
      <c r="M15" s="26">
        <v>3</v>
      </c>
      <c r="N15" s="26">
        <v>3</v>
      </c>
      <c r="O15" s="26">
        <v>2</v>
      </c>
      <c r="P15" s="26">
        <v>2</v>
      </c>
      <c r="Q15" s="26">
        <v>1</v>
      </c>
      <c r="R15" s="24" t="s">
        <v>12</v>
      </c>
      <c r="S15" s="29" t="s">
        <v>27</v>
      </c>
      <c r="T15" s="26">
        <v>1</v>
      </c>
      <c r="U15" s="26">
        <v>1</v>
      </c>
      <c r="V15" s="26">
        <v>2</v>
      </c>
      <c r="W15" s="26">
        <v>1</v>
      </c>
    </row>
    <row r="16" spans="1:23" ht="16.149999999999999" customHeight="1" x14ac:dyDescent="0.25">
      <c r="B16" s="10" t="s">
        <v>30</v>
      </c>
      <c r="C16" s="20">
        <v>8</v>
      </c>
      <c r="D16" s="20">
        <v>4</v>
      </c>
      <c r="E16" s="20">
        <v>4</v>
      </c>
      <c r="K16" s="24" t="s">
        <v>21</v>
      </c>
      <c r="L16" s="30" t="s">
        <v>127</v>
      </c>
      <c r="M16" s="26">
        <v>3</v>
      </c>
      <c r="N16" s="26">
        <v>2</v>
      </c>
      <c r="O16" s="26">
        <v>2</v>
      </c>
      <c r="P16" s="26">
        <v>2</v>
      </c>
      <c r="Q16" s="26">
        <v>1</v>
      </c>
      <c r="R16" s="24" t="s">
        <v>21</v>
      </c>
      <c r="S16" s="30" t="s">
        <v>79</v>
      </c>
      <c r="T16" s="26">
        <v>1</v>
      </c>
      <c r="U16" s="26">
        <v>2</v>
      </c>
      <c r="V16" s="26">
        <v>2</v>
      </c>
      <c r="W16" s="26">
        <v>1</v>
      </c>
    </row>
    <row r="17" spans="2:25" ht="20.45" customHeight="1" x14ac:dyDescent="0.25">
      <c r="B17" s="11" t="s">
        <v>33</v>
      </c>
      <c r="C17" s="20">
        <v>2</v>
      </c>
      <c r="D17" s="20">
        <v>4</v>
      </c>
      <c r="E17" s="20">
        <v>8</v>
      </c>
      <c r="K17" s="24"/>
      <c r="L17" s="20" t="s">
        <v>33</v>
      </c>
      <c r="M17" s="20">
        <v>1</v>
      </c>
      <c r="N17" s="20">
        <v>2</v>
      </c>
      <c r="O17" s="20">
        <v>3</v>
      </c>
      <c r="P17" s="20">
        <v>3</v>
      </c>
      <c r="Q17" s="26">
        <v>1</v>
      </c>
      <c r="R17" s="24"/>
      <c r="S17" s="20" t="s">
        <v>33</v>
      </c>
      <c r="T17" s="20">
        <v>3</v>
      </c>
      <c r="U17" s="20">
        <v>2</v>
      </c>
      <c r="V17" s="20">
        <v>1</v>
      </c>
      <c r="W17" s="26">
        <v>1</v>
      </c>
    </row>
    <row r="18" spans="2:25" ht="18" x14ac:dyDescent="0.25">
      <c r="K18" s="24"/>
      <c r="L18" s="20" t="s">
        <v>86</v>
      </c>
      <c r="M18" s="20">
        <v>1</v>
      </c>
      <c r="N18" s="20">
        <v>3</v>
      </c>
      <c r="O18" s="20">
        <v>3</v>
      </c>
      <c r="P18" s="20">
        <v>3</v>
      </c>
      <c r="Q18" s="26">
        <v>1.5</v>
      </c>
      <c r="R18" s="24"/>
      <c r="S18" s="20" t="s">
        <v>86</v>
      </c>
      <c r="T18" s="20">
        <v>3</v>
      </c>
      <c r="U18" s="20">
        <v>1</v>
      </c>
      <c r="V18" s="20">
        <v>1</v>
      </c>
      <c r="W18" s="26">
        <v>1.5</v>
      </c>
    </row>
    <row r="19" spans="2:25" x14ac:dyDescent="0.25">
      <c r="K19" s="24"/>
      <c r="L19" s="24" t="s">
        <v>74</v>
      </c>
      <c r="M19" s="35">
        <f>(M29)</f>
        <v>31.5</v>
      </c>
      <c r="N19" s="35">
        <f>(N29)</f>
        <v>40.5</v>
      </c>
      <c r="O19" s="35">
        <f>(O29)</f>
        <v>38</v>
      </c>
      <c r="P19" s="35">
        <f>(P29)</f>
        <v>38</v>
      </c>
      <c r="R19" s="24"/>
      <c r="S19" s="24" t="s">
        <v>74</v>
      </c>
      <c r="T19" s="24">
        <f>(T29)</f>
        <v>27</v>
      </c>
      <c r="U19" s="24">
        <f>(U29)</f>
        <v>21</v>
      </c>
      <c r="V19" s="24">
        <f>(V29)</f>
        <v>25</v>
      </c>
    </row>
    <row r="20" spans="2:25" x14ac:dyDescent="0.25">
      <c r="K20" s="24"/>
      <c r="L20" s="24" t="s">
        <v>125</v>
      </c>
      <c r="M20" s="35">
        <f>(M29+M25+M27)/3</f>
        <v>27.833333333333332</v>
      </c>
      <c r="N20" s="35">
        <f>(N29+N25+N27)/3</f>
        <v>36.833333333333336</v>
      </c>
      <c r="O20" s="35">
        <f>(O29+O25+O27)/3</f>
        <v>31.333333333333332</v>
      </c>
      <c r="P20" s="35">
        <f>(P29+P25+P27)/3</f>
        <v>31.333333333333332</v>
      </c>
      <c r="R20" s="24"/>
      <c r="S20" s="24" t="s">
        <v>82</v>
      </c>
      <c r="T20" s="24">
        <f>(T29+T25+T27)</f>
        <v>38</v>
      </c>
      <c r="U20" s="24">
        <f>(U29+U25+U27)</f>
        <v>27.5</v>
      </c>
      <c r="V20" s="24">
        <f>(V29+V25+V27)</f>
        <v>35</v>
      </c>
    </row>
    <row r="21" spans="2:25" x14ac:dyDescent="0.25">
      <c r="K21" s="24"/>
      <c r="L21" s="24" t="s">
        <v>126</v>
      </c>
      <c r="M21" s="35">
        <f>(M29+M28+M26+M24)/3</f>
        <v>35.166666666666664</v>
      </c>
      <c r="N21" s="35">
        <f>(N29+N28+N26+N24)/3</f>
        <v>44.166666666666664</v>
      </c>
      <c r="O21" s="35">
        <f>(O29+O28+O26+O24)/3</f>
        <v>44.666666666666664</v>
      </c>
      <c r="P21" s="35">
        <f>(P29+P28+P26+P24)/3</f>
        <v>44.666666666666664</v>
      </c>
      <c r="R21" s="24"/>
      <c r="S21" s="24" t="s">
        <v>84</v>
      </c>
      <c r="T21" s="24">
        <f>(T29+T28+T26+T24)</f>
        <v>43</v>
      </c>
      <c r="U21" s="24">
        <f>(U29+U28+U26+U24)</f>
        <v>35.5</v>
      </c>
      <c r="V21" s="24">
        <f>(V29+V28+V26+V24)</f>
        <v>40</v>
      </c>
    </row>
    <row r="22" spans="2:25" x14ac:dyDescent="0.25">
      <c r="K22" s="24"/>
      <c r="L22" s="11" t="s">
        <v>111</v>
      </c>
      <c r="M22" s="35">
        <f>(M4*Q4+M5*Q5+M6*Q6+M7*Q7+M8*Q8+M9*Q9+M10*Q10+M11*Q11+M12*Q12+M13*Q13+M14*Q14+M15*Q15+M16*Q16+M17*Q17+M18*Q18)</f>
        <v>38</v>
      </c>
      <c r="N22" s="35">
        <f>(N4*Q4+N5*Q5+N6*Q6+N7*Q7+N8*Q8+N9*Q9+N10*Q10+N11*Q11+N12*Q12+N13*Q13+N14*Q14+N15*Q15+N16*Q16+N17*Q17+N18*Q18)</f>
        <v>57</v>
      </c>
      <c r="O22" s="35">
        <f>(O4*P4+O5*P5+O6*P6+O7*P7+O8*P8+O9*P9+O10*P10+O11*P11+O12*P12+O13*P13+O14*P14+O15*P15+O16*P16+O17*P17+O18*P18)</f>
        <v>105</v>
      </c>
      <c r="P22" s="35">
        <f>(P4*Q4+P5*Q5+P6*Q6+P7*Q7+P8*Q8+P9*Q9+P10*Q10+P11*Q11+P12*Q12+P13*Q13+P14*Q14+P15*Q15+P16*Q16+P17*Q17+P18*Q18)</f>
        <v>56</v>
      </c>
      <c r="R22" s="24"/>
      <c r="S22" s="11" t="s">
        <v>111</v>
      </c>
      <c r="T22" s="11">
        <f>(T4*W4+T5*W5+T6*W6+T7*W7+T8*W8+T9*W9+T10*W10+T11*W11+T12*W12+T13*W13+T14*W14+T15*W15+T16*W16+T17*W17+T18*W18)</f>
        <v>45</v>
      </c>
      <c r="U22" s="11">
        <f>(U4*W4+U5*W5+U6*W6+U7*W7+U8*W8+U9*W9+U10*W10+U11*W11+U12*W12+U13*W13+U14*W14+U15*W15+U16*W16+U17*W17+U18*W18)</f>
        <v>28</v>
      </c>
      <c r="V22" s="11">
        <f>(V4*W4+V5*W5+V6*W6+V7*W7+V8*W8+V9*W9+V10*W10+V11*W11+V12*W12+V13*W13+V14*W14+V15*W15+V16*W16+V17*W17+V18*W18)</f>
        <v>30</v>
      </c>
    </row>
    <row r="23" spans="2:25" ht="28.15" customHeight="1" x14ac:dyDescent="0.25">
      <c r="K23" s="24"/>
      <c r="L23" s="24"/>
      <c r="M23" s="24" t="s">
        <v>34</v>
      </c>
      <c r="N23" s="24" t="s">
        <v>69</v>
      </c>
      <c r="O23" s="24" t="s">
        <v>35</v>
      </c>
      <c r="P23" s="24" t="s">
        <v>35</v>
      </c>
      <c r="R23" s="24"/>
      <c r="S23" s="24"/>
      <c r="T23" s="24" t="s">
        <v>34</v>
      </c>
      <c r="U23" s="24" t="s">
        <v>69</v>
      </c>
      <c r="V23" s="24" t="s">
        <v>35</v>
      </c>
    </row>
    <row r="24" spans="2:25" ht="18" customHeight="1" x14ac:dyDescent="0.25">
      <c r="K24" s="24"/>
      <c r="L24" s="24" t="s">
        <v>80</v>
      </c>
      <c r="M24" s="35">
        <f>(SUM(M4:M6))*4</f>
        <v>36</v>
      </c>
      <c r="N24" s="35">
        <f>(SUM(N4:N6))*4</f>
        <v>28</v>
      </c>
      <c r="O24" s="35">
        <f>(SUM(O4:O6))*4</f>
        <v>28</v>
      </c>
      <c r="P24" s="35">
        <f>(SUM(P4:P6))*4</f>
        <v>28</v>
      </c>
      <c r="R24" s="24"/>
      <c r="S24" s="24" t="s">
        <v>80</v>
      </c>
      <c r="T24" s="35">
        <f>(SUM(T4:T6))</f>
        <v>3</v>
      </c>
      <c r="U24" s="35">
        <f>(SUM(U4:U6))</f>
        <v>5</v>
      </c>
      <c r="V24" s="35">
        <f>(SUM(V4:V6))</f>
        <v>5</v>
      </c>
    </row>
    <row r="25" spans="2:25" ht="18" customHeight="1" x14ac:dyDescent="0.25">
      <c r="K25" s="24"/>
      <c r="L25" s="24" t="s">
        <v>16</v>
      </c>
      <c r="M25" s="35">
        <f>SUM(M7:M12)*2</f>
        <v>16</v>
      </c>
      <c r="N25" s="35">
        <f>SUM(N7:N12)*2</f>
        <v>34</v>
      </c>
      <c r="O25" s="35">
        <f>SUM(O7:O12)*2</f>
        <v>32</v>
      </c>
      <c r="P25" s="35">
        <f>SUM(P7:P12)*2</f>
        <v>32</v>
      </c>
      <c r="R25" s="24"/>
      <c r="S25" s="24" t="s">
        <v>16</v>
      </c>
      <c r="T25" s="35">
        <f>SUM(T7:T12)/2</f>
        <v>8</v>
      </c>
      <c r="U25" s="35">
        <f>SUM(U7:U12)/2</f>
        <v>3.5</v>
      </c>
      <c r="V25" s="35">
        <f>SUM(V7:V12)/2</f>
        <v>4</v>
      </c>
    </row>
    <row r="26" spans="2:25" ht="27.6" customHeight="1" x14ac:dyDescent="0.25">
      <c r="K26" s="24"/>
      <c r="L26" s="24" t="s">
        <v>81</v>
      </c>
      <c r="M26" s="35">
        <f>SUM(M13:M14)*6</f>
        <v>18</v>
      </c>
      <c r="N26" s="35">
        <f>SUM(N13:N14)*6</f>
        <v>36</v>
      </c>
      <c r="O26" s="35">
        <f>SUM(O13:O14)*6</f>
        <v>36</v>
      </c>
      <c r="P26" s="35">
        <f>SUM(P13:P14)*6</f>
        <v>36</v>
      </c>
      <c r="R26" s="24"/>
      <c r="S26" s="24" t="s">
        <v>81</v>
      </c>
      <c r="T26" s="35">
        <f>SUM(T13:T14)*1.5</f>
        <v>6</v>
      </c>
      <c r="U26" s="35">
        <f>SUM(U13:U14)*1.5</f>
        <v>4.5</v>
      </c>
      <c r="V26" s="35">
        <f>SUM(V13:V14)*1.5</f>
        <v>6</v>
      </c>
    </row>
    <row r="27" spans="2:25" x14ac:dyDescent="0.25">
      <c r="K27" s="24"/>
      <c r="L27" s="24" t="s">
        <v>12</v>
      </c>
      <c r="M27" s="35">
        <f>(SUM(M15))*12</f>
        <v>36</v>
      </c>
      <c r="N27" s="35">
        <f>(SUM(N15))*12</f>
        <v>36</v>
      </c>
      <c r="O27" s="35">
        <f>(SUM(O15))*12</f>
        <v>24</v>
      </c>
      <c r="P27" s="35">
        <f>(SUM(P15))*12</f>
        <v>24</v>
      </c>
      <c r="R27" s="24"/>
      <c r="S27" s="24" t="s">
        <v>12</v>
      </c>
      <c r="T27" s="35">
        <f>(SUM(T15))*3</f>
        <v>3</v>
      </c>
      <c r="U27" s="35">
        <f>(SUM(U15))*3</f>
        <v>3</v>
      </c>
      <c r="V27" s="35">
        <f>(SUM(V15))*3</f>
        <v>6</v>
      </c>
    </row>
    <row r="28" spans="2:25" x14ac:dyDescent="0.25">
      <c r="K28" s="24"/>
      <c r="L28" s="24" t="s">
        <v>21</v>
      </c>
      <c r="M28" s="35">
        <f>(SUM(M16:M18))*4</f>
        <v>20</v>
      </c>
      <c r="N28" s="35">
        <f>(SUM(N16:N18))*4</f>
        <v>28</v>
      </c>
      <c r="O28" s="35">
        <f>(SUM(O16:O18))*4</f>
        <v>32</v>
      </c>
      <c r="P28" s="35">
        <f>(SUM(P16:P18))*4</f>
        <v>32</v>
      </c>
      <c r="R28" s="24"/>
      <c r="S28" s="24" t="s">
        <v>21</v>
      </c>
      <c r="T28" s="35">
        <f>(SUM(T16:T18))</f>
        <v>7</v>
      </c>
      <c r="U28" s="35">
        <f>(SUM(U16:U18))</f>
        <v>5</v>
      </c>
      <c r="V28" s="35">
        <f>(SUM(V16:V18))</f>
        <v>4</v>
      </c>
    </row>
    <row r="29" spans="2:25" x14ac:dyDescent="0.25">
      <c r="H29" s="1"/>
      <c r="I29" s="1"/>
      <c r="K29" s="24"/>
      <c r="L29" s="24" t="s">
        <v>31</v>
      </c>
      <c r="M29" s="35">
        <f>(SUM(M24:M28))/4</f>
        <v>31.5</v>
      </c>
      <c r="N29" s="35">
        <f>(SUM(N24:N28))/4</f>
        <v>40.5</v>
      </c>
      <c r="O29" s="35">
        <f>(SUM(O24:O28))/4</f>
        <v>38</v>
      </c>
      <c r="P29" s="35">
        <f>(SUM(P24:P28))/4</f>
        <v>38</v>
      </c>
      <c r="R29" s="24"/>
      <c r="S29" s="24" t="s">
        <v>31</v>
      </c>
      <c r="T29" s="35">
        <f>(SUM(T24:T28))</f>
        <v>27</v>
      </c>
      <c r="U29" s="35">
        <f>(SUM(U24:U28))</f>
        <v>21</v>
      </c>
      <c r="V29" s="35">
        <f>(SUM(V24:V28))</f>
        <v>25</v>
      </c>
    </row>
    <row r="30" spans="2:25" x14ac:dyDescent="0.25">
      <c r="I30" s="6"/>
      <c r="K30" s="24"/>
      <c r="L30" s="24" t="s">
        <v>10</v>
      </c>
      <c r="M30" s="31">
        <f>(Prices!F4)/100</f>
        <v>21.08</v>
      </c>
      <c r="N30" s="32">
        <f>(Prices!F6)/100</f>
        <v>29.52</v>
      </c>
      <c r="O30" s="32">
        <f>(Prices!E3)/100</f>
        <v>7.0619000000000005</v>
      </c>
      <c r="P30" s="32">
        <f>(Prices!F3)/100</f>
        <v>36.42</v>
      </c>
      <c r="R30" s="24"/>
      <c r="S30" s="24" t="s">
        <v>10</v>
      </c>
      <c r="T30" s="31">
        <f>(Prices!D4)</f>
        <v>527</v>
      </c>
      <c r="U30" s="32">
        <f>(Prices!D6)</f>
        <v>737.85</v>
      </c>
      <c r="V30" s="32">
        <f>(Prices!D3)</f>
        <v>1523</v>
      </c>
    </row>
    <row r="31" spans="2:25" x14ac:dyDescent="0.25">
      <c r="I31" s="6"/>
      <c r="K31" s="24"/>
      <c r="L31" s="33"/>
      <c r="M31" s="33" t="s">
        <v>74</v>
      </c>
      <c r="N31" s="24" t="str">
        <f>(L20)</f>
        <v>Weighted for Maintainability and Setup</v>
      </c>
      <c r="O31" s="24" t="str">
        <f>(L21)</f>
        <v>Weighted for Expansion and Adaptability</v>
      </c>
      <c r="P31" s="1" t="s">
        <v>10</v>
      </c>
      <c r="Q31" s="2" t="s">
        <v>71</v>
      </c>
      <c r="R31" s="24"/>
      <c r="S31" s="33"/>
      <c r="T31" s="33" t="s">
        <v>74</v>
      </c>
      <c r="U31" s="24" t="str">
        <f>(S20)</f>
        <v>Weighted for Better Maintainability and setup</v>
      </c>
      <c r="V31" s="24" t="str">
        <f>(S21)</f>
        <v>Weighted for better expansion and adaptability</v>
      </c>
      <c r="W31" s="1" t="s">
        <v>10</v>
      </c>
      <c r="X31" s="2" t="s">
        <v>71</v>
      </c>
    </row>
    <row r="32" spans="2:25" ht="17.45" customHeight="1" x14ac:dyDescent="0.25">
      <c r="I32" s="6"/>
      <c r="K32" s="24"/>
      <c r="L32" s="24" t="s">
        <v>36</v>
      </c>
      <c r="M32" s="37">
        <f>(M29)</f>
        <v>31.5</v>
      </c>
      <c r="N32" s="35">
        <f>(M20)</f>
        <v>27.833333333333332</v>
      </c>
      <c r="O32" s="35">
        <f>(M21)</f>
        <v>35.166666666666664</v>
      </c>
      <c r="P32" s="1">
        <f>70-((M30))</f>
        <v>48.92</v>
      </c>
      <c r="Q32" s="37">
        <f>(M32/(M30)*20)</f>
        <v>29.886148007590133</v>
      </c>
      <c r="R32" s="24"/>
      <c r="S32" s="24" t="s">
        <v>36</v>
      </c>
      <c r="T32" s="35">
        <f>70-(T29)</f>
        <v>43</v>
      </c>
      <c r="U32" s="35">
        <f>70-(T20)</f>
        <v>32</v>
      </c>
      <c r="V32" s="35">
        <f>70-(T21)</f>
        <v>27</v>
      </c>
      <c r="W32" s="1">
        <f>1000/((T30)/100)</f>
        <v>189.75332068311198</v>
      </c>
      <c r="X32" s="35">
        <f>(T32/(T30/100)*20)</f>
        <v>163.18785578747628</v>
      </c>
      <c r="Y32" s="35"/>
    </row>
    <row r="33" spans="11:25" ht="17.45" customHeight="1" x14ac:dyDescent="0.25">
      <c r="K33" s="24"/>
      <c r="L33" s="24" t="s">
        <v>70</v>
      </c>
      <c r="M33" s="37">
        <f>(N29)</f>
        <v>40.5</v>
      </c>
      <c r="N33" s="35">
        <f>(N20)</f>
        <v>36.833333333333336</v>
      </c>
      <c r="O33" s="35">
        <f>(N21)</f>
        <v>44.166666666666664</v>
      </c>
      <c r="P33" s="12">
        <f>70-((N30))</f>
        <v>40.480000000000004</v>
      </c>
      <c r="Q33" s="37">
        <f>(M33/(N30)*20)</f>
        <v>27.439024390243905</v>
      </c>
      <c r="R33" s="24"/>
      <c r="S33" s="24" t="s">
        <v>70</v>
      </c>
      <c r="T33" s="35">
        <f>70-(U29)</f>
        <v>49</v>
      </c>
      <c r="U33" s="35">
        <f>70-(U20)</f>
        <v>42.5</v>
      </c>
      <c r="V33" s="35">
        <f>70-(U21)</f>
        <v>34.5</v>
      </c>
      <c r="W33" s="12">
        <f>1000/((U30)/100)</f>
        <v>135.52890153825302</v>
      </c>
      <c r="X33" s="35">
        <f>(T33/(U30/100)*20)</f>
        <v>132.81832350748797</v>
      </c>
      <c r="Y33" s="35"/>
    </row>
    <row r="34" spans="11:25" ht="18" customHeight="1" x14ac:dyDescent="0.25">
      <c r="L34" s="24" t="s">
        <v>11</v>
      </c>
      <c r="M34" s="37">
        <f>(P29)</f>
        <v>38</v>
      </c>
      <c r="N34" s="35">
        <f>(P20)</f>
        <v>31.333333333333332</v>
      </c>
      <c r="O34" s="35">
        <f>(P21)</f>
        <v>44.666666666666664</v>
      </c>
      <c r="P34" s="1">
        <f>70-((P30))</f>
        <v>33.58</v>
      </c>
      <c r="Q34" s="37">
        <f>(M34/(P30))*20</f>
        <v>20.867655134541462</v>
      </c>
      <c r="S34" s="24" t="s">
        <v>11</v>
      </c>
      <c r="T34" s="35">
        <f>70-(V29)</f>
        <v>45</v>
      </c>
      <c r="U34" s="35">
        <f>70-(V20)</f>
        <v>35</v>
      </c>
      <c r="V34" s="35">
        <f>70-(V21)</f>
        <v>30</v>
      </c>
      <c r="W34" s="1">
        <f>1000/((V30)/100)</f>
        <v>65.659881812212731</v>
      </c>
      <c r="X34" s="35">
        <f>(T34/(V30/100))*20</f>
        <v>59.09389363099146</v>
      </c>
      <c r="Y34" s="35"/>
    </row>
    <row r="35" spans="11:25" x14ac:dyDescent="0.25">
      <c r="T35" s="6"/>
      <c r="W35" s="12"/>
      <c r="X35" s="7"/>
    </row>
    <row r="36" spans="11:25" x14ac:dyDescent="0.25">
      <c r="T36" s="6"/>
      <c r="W36" s="1"/>
      <c r="X36" s="7"/>
    </row>
    <row r="53" spans="1:5" x14ac:dyDescent="0.25">
      <c r="A53" s="34"/>
      <c r="B53" s="34"/>
      <c r="C53" s="34"/>
      <c r="D53" s="34"/>
      <c r="E53" s="34"/>
    </row>
    <row r="54" spans="1:5" x14ac:dyDescent="0.25">
      <c r="A54" s="34"/>
      <c r="B54" s="34"/>
      <c r="C54" s="34"/>
      <c r="D54" s="34"/>
      <c r="E54" s="34"/>
    </row>
    <row r="55" spans="1:5" x14ac:dyDescent="0.25">
      <c r="A55" s="34"/>
      <c r="B55" s="34"/>
      <c r="C55" s="34"/>
      <c r="D55" s="34"/>
      <c r="E55" s="34"/>
    </row>
    <row r="56" spans="1:5" x14ac:dyDescent="0.25">
      <c r="A56" s="34"/>
      <c r="B56" s="34"/>
      <c r="C56" s="34"/>
      <c r="D56" s="34"/>
      <c r="E56" s="34"/>
    </row>
    <row r="57" spans="1:5" x14ac:dyDescent="0.25">
      <c r="A57" s="34"/>
      <c r="B57" s="34"/>
      <c r="C57" s="34"/>
      <c r="D57" s="34"/>
      <c r="E57" s="34"/>
    </row>
    <row r="58" spans="1:5" x14ac:dyDescent="0.25">
      <c r="A58" s="34"/>
      <c r="B58" s="34"/>
      <c r="C58" s="34"/>
      <c r="D58" s="34"/>
      <c r="E58" s="34"/>
    </row>
    <row r="59" spans="1:5" x14ac:dyDescent="0.25">
      <c r="A59" s="34"/>
      <c r="B59" s="34"/>
      <c r="C59" s="34"/>
      <c r="D59" s="34"/>
      <c r="E59" s="34"/>
    </row>
    <row r="60" spans="1:5" x14ac:dyDescent="0.25">
      <c r="A60" s="34"/>
      <c r="B60" s="34"/>
      <c r="C60" s="34"/>
      <c r="D60" s="34"/>
      <c r="E60" s="34"/>
    </row>
    <row r="61" spans="1:5" x14ac:dyDescent="0.25">
      <c r="A61" s="34"/>
      <c r="B61" s="34"/>
      <c r="C61" s="34"/>
      <c r="D61" s="34"/>
      <c r="E61" s="34"/>
    </row>
    <row r="62" spans="1:5" x14ac:dyDescent="0.25">
      <c r="A62" s="34"/>
      <c r="B62" s="34"/>
      <c r="C62" s="34"/>
      <c r="D62" s="34"/>
      <c r="E62" s="34"/>
    </row>
    <row r="63" spans="1:5" x14ac:dyDescent="0.25">
      <c r="A63" s="34"/>
      <c r="B63" s="34"/>
      <c r="C63" s="34"/>
      <c r="D63" s="34"/>
      <c r="E63" s="34"/>
    </row>
  </sheetData>
  <conditionalFormatting sqref="B17 B14:B15">
    <cfRule type="duplicateValues" dxfId="11" priority="25"/>
  </conditionalFormatting>
  <conditionalFormatting sqref="B19">
    <cfRule type="duplicateValues" dxfId="10" priority="26"/>
  </conditionalFormatting>
  <conditionalFormatting sqref="A17 A14:A15">
    <cfRule type="duplicateValues" dxfId="9" priority="19"/>
  </conditionalFormatting>
  <conditionalFormatting sqref="A19">
    <cfRule type="duplicateValues" dxfId="8" priority="20"/>
  </conditionalFormatting>
  <conditionalFormatting sqref="L16">
    <cfRule type="duplicateValues" dxfId="7" priority="6"/>
  </conditionalFormatting>
  <conditionalFormatting sqref="K19 K16:K17">
    <cfRule type="duplicateValues" dxfId="6" priority="5"/>
  </conditionalFormatting>
  <conditionalFormatting sqref="S16">
    <cfRule type="duplicateValues" dxfId="5" priority="2"/>
  </conditionalFormatting>
  <conditionalFormatting sqref="R19 R16:R17">
    <cfRule type="duplicateValues" dxfId="4"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zoomScale="70" zoomScaleNormal="70" workbookViewId="0">
      <selection activeCell="T18" sqref="T18"/>
    </sheetView>
  </sheetViews>
  <sheetFormatPr defaultRowHeight="15" x14ac:dyDescent="0.25"/>
  <cols>
    <col min="3" max="3" width="15.28515625" customWidth="1"/>
    <col min="14" max="14" width="19.85546875" style="39" customWidth="1"/>
    <col min="15" max="15" width="9.7109375" bestFit="1" customWidth="1"/>
    <col min="16" max="16" width="15.42578125" bestFit="1" customWidth="1"/>
    <col min="17" max="17" width="14.7109375" customWidth="1"/>
    <col min="18" max="18" width="14.7109375" bestFit="1" customWidth="1"/>
    <col min="19" max="20" width="16" customWidth="1"/>
  </cols>
  <sheetData>
    <row r="1" spans="1:19" x14ac:dyDescent="0.25">
      <c r="A1" s="11"/>
      <c r="B1" s="11"/>
      <c r="C1" s="11"/>
      <c r="D1" s="11" t="s">
        <v>49</v>
      </c>
      <c r="E1" s="11" t="s">
        <v>50</v>
      </c>
      <c r="F1" s="11" t="s">
        <v>51</v>
      </c>
      <c r="G1" s="11" t="s">
        <v>73</v>
      </c>
      <c r="H1" s="11" t="s">
        <v>52</v>
      </c>
      <c r="I1" s="11" t="s">
        <v>53</v>
      </c>
      <c r="J1" s="11"/>
      <c r="K1" s="11"/>
      <c r="L1" s="11"/>
      <c r="M1" s="11"/>
    </row>
    <row r="2" spans="1:19" x14ac:dyDescent="0.25">
      <c r="A2" s="11"/>
      <c r="B2" s="11"/>
      <c r="C2" s="1" t="s">
        <v>38</v>
      </c>
      <c r="D2" s="1">
        <f>ROUNDUP((H2)+I2,0)</f>
        <v>678</v>
      </c>
      <c r="E2" s="1">
        <f>(D2)</f>
        <v>678</v>
      </c>
      <c r="F2" s="1">
        <f>ROUNDUP((E2*4),0)</f>
        <v>2712</v>
      </c>
      <c r="G2" s="14">
        <f>(F4/4*'Old ScoreSheet'!J8)</f>
        <v>3162</v>
      </c>
      <c r="H2" s="1">
        <v>170.89</v>
      </c>
      <c r="I2" s="12">
        <f>(D11+E11+F11)</f>
        <v>506.2</v>
      </c>
      <c r="J2" s="11"/>
      <c r="K2" s="11"/>
      <c r="L2" s="11"/>
      <c r="M2" s="11"/>
    </row>
    <row r="3" spans="1:19" ht="28.9" customHeight="1" x14ac:dyDescent="0.25">
      <c r="A3" s="11"/>
      <c r="B3" s="11"/>
      <c r="C3" s="1" t="s">
        <v>4</v>
      </c>
      <c r="D3" s="1">
        <f>ROUNDUP((H3)+I3,0)</f>
        <v>1523</v>
      </c>
      <c r="E3" s="1">
        <f>(I3)</f>
        <v>706.19</v>
      </c>
      <c r="F3" s="1">
        <f>ROUNDUP((E3*(3)+D3),0)</f>
        <v>3642</v>
      </c>
      <c r="G3" s="14">
        <f>(F6/4*'Old ScoreSheet'!J8)</f>
        <v>4428</v>
      </c>
      <c r="H3" s="1">
        <v>816.46</v>
      </c>
      <c r="I3" s="12">
        <f>(D12+E12+F12)</f>
        <v>706.19</v>
      </c>
      <c r="J3" s="11"/>
      <c r="K3" s="11"/>
      <c r="L3" s="11"/>
      <c r="M3" s="11"/>
      <c r="N3" s="39" t="s">
        <v>136</v>
      </c>
      <c r="O3" s="39"/>
      <c r="P3" s="39"/>
      <c r="Q3" s="39"/>
    </row>
    <row r="4" spans="1:19" x14ac:dyDescent="0.25">
      <c r="A4" s="11"/>
      <c r="B4" s="11"/>
      <c r="C4" s="1" t="s">
        <v>9</v>
      </c>
      <c r="D4" s="1">
        <f>ROUNDUP((H4)+I4,0)</f>
        <v>527</v>
      </c>
      <c r="E4" s="1">
        <f>(D4)</f>
        <v>527</v>
      </c>
      <c r="F4" s="1">
        <f>ROUNDUP((E4*4),0)</f>
        <v>2108</v>
      </c>
      <c r="G4" s="14">
        <f>(D3*ROUNDUP('Old ScoreSheet'!J8/4,0)+E3*('Old ScoreSheet'!J8-ROUNDUP('Old ScoreSheet'!J8/4,0)))</f>
        <v>5870.76</v>
      </c>
      <c r="H4" s="1">
        <v>430</v>
      </c>
      <c r="I4" s="12">
        <f>(D13+E13+F13)</f>
        <v>97</v>
      </c>
      <c r="J4" s="11"/>
      <c r="K4" s="11"/>
      <c r="L4" s="11"/>
      <c r="M4" s="11"/>
      <c r="O4" t="s">
        <v>69</v>
      </c>
      <c r="P4" t="s">
        <v>131</v>
      </c>
      <c r="Q4" t="s">
        <v>34</v>
      </c>
      <c r="R4" t="s">
        <v>132</v>
      </c>
      <c r="S4" t="s">
        <v>175</v>
      </c>
    </row>
    <row r="5" spans="1:19" x14ac:dyDescent="0.25">
      <c r="A5" s="11"/>
      <c r="B5" s="11"/>
      <c r="C5" s="11"/>
      <c r="D5" s="11"/>
      <c r="E5" s="11"/>
      <c r="F5" s="11"/>
      <c r="G5" s="11"/>
      <c r="H5" s="11"/>
      <c r="I5" s="11"/>
      <c r="J5" s="11"/>
      <c r="K5" s="11"/>
      <c r="L5" s="11"/>
      <c r="M5" s="11"/>
      <c r="N5" s="39" t="s">
        <v>0</v>
      </c>
      <c r="O5" s="1">
        <f>(232*4)</f>
        <v>928</v>
      </c>
      <c r="P5" s="1">
        <f>(816)*4</f>
        <v>3264</v>
      </c>
      <c r="Q5" s="1">
        <f>(430*4)</f>
        <v>1720</v>
      </c>
      <c r="R5" s="1">
        <f>(816)</f>
        <v>816</v>
      </c>
      <c r="S5" s="1">
        <f>(232*4)</f>
        <v>928</v>
      </c>
    </row>
    <row r="6" spans="1:19" x14ac:dyDescent="0.25">
      <c r="A6" s="11"/>
      <c r="B6" s="11"/>
      <c r="C6" s="1" t="s">
        <v>6</v>
      </c>
      <c r="D6" s="1">
        <f>(H6)+D17+E17+F14</f>
        <v>737.85</v>
      </c>
      <c r="E6" s="1">
        <f>(D6)</f>
        <v>737.85</v>
      </c>
      <c r="F6" s="1">
        <f>ROUNDUP((E6*4),0)</f>
        <v>2952</v>
      </c>
      <c r="G6" s="11"/>
      <c r="H6" s="1">
        <v>231.65</v>
      </c>
      <c r="I6" s="12">
        <f>(D15+E15+F15)</f>
        <v>506.2</v>
      </c>
      <c r="J6" s="11"/>
      <c r="K6" s="11"/>
      <c r="L6" s="11"/>
      <c r="M6" s="11"/>
      <c r="N6" s="39" t="s">
        <v>133</v>
      </c>
      <c r="O6">
        <f>(347*4)</f>
        <v>1388</v>
      </c>
      <c r="P6">
        <f>(347*4)</f>
        <v>1388</v>
      </c>
      <c r="Q6">
        <f>(74*4)</f>
        <v>296</v>
      </c>
      <c r="R6">
        <f>(347*1)</f>
        <v>347</v>
      </c>
      <c r="S6">
        <f>(347)</f>
        <v>347</v>
      </c>
    </row>
    <row r="7" spans="1:19" x14ac:dyDescent="0.25">
      <c r="A7" s="11"/>
      <c r="B7" s="11"/>
      <c r="C7" s="1" t="s">
        <v>5</v>
      </c>
      <c r="D7" s="1">
        <f>(H7)+D12+E12+F15</f>
        <v>855.56999999999994</v>
      </c>
      <c r="E7" s="1">
        <f>(D7)</f>
        <v>855.56999999999994</v>
      </c>
      <c r="F7" s="1">
        <f>ROUNDUP((E7*4),0)</f>
        <v>3423</v>
      </c>
      <c r="G7" s="11"/>
      <c r="H7" s="1">
        <v>349.37</v>
      </c>
      <c r="I7" s="12">
        <f>(D16+E16+F16)</f>
        <v>506.2</v>
      </c>
      <c r="J7" s="11"/>
      <c r="K7" s="11"/>
      <c r="L7" s="11"/>
      <c r="M7" s="11"/>
      <c r="N7" s="39" t="s">
        <v>134</v>
      </c>
      <c r="O7">
        <v>0</v>
      </c>
      <c r="P7">
        <f>(200*4)</f>
        <v>800</v>
      </c>
      <c r="Q7">
        <v>0</v>
      </c>
      <c r="R7">
        <f>(200*4)</f>
        <v>800</v>
      </c>
      <c r="S7">
        <v>0</v>
      </c>
    </row>
    <row r="8" spans="1:19" x14ac:dyDescent="0.25">
      <c r="A8" s="11"/>
      <c r="B8" s="11"/>
      <c r="C8" s="1" t="s">
        <v>3</v>
      </c>
      <c r="D8" s="1">
        <f>(H8)+D18+E18+F16</f>
        <v>915.7</v>
      </c>
      <c r="E8" s="1">
        <f>(D8)</f>
        <v>915.7</v>
      </c>
      <c r="F8" s="1">
        <f>ROUNDUP((E8*4),0)</f>
        <v>3663</v>
      </c>
      <c r="G8" s="11"/>
      <c r="H8" s="1">
        <v>755.7</v>
      </c>
      <c r="I8" s="12">
        <f>(D17+E17+F17)</f>
        <v>506.2</v>
      </c>
      <c r="J8" s="11"/>
      <c r="K8" s="11"/>
      <c r="L8" s="11"/>
      <c r="M8" s="11"/>
      <c r="N8" s="39" t="s">
        <v>40</v>
      </c>
      <c r="O8">
        <f>(159*4)</f>
        <v>636</v>
      </c>
      <c r="P8">
        <f>(159*4)</f>
        <v>636</v>
      </c>
      <c r="Q8">
        <v>0</v>
      </c>
      <c r="R8">
        <v>159</v>
      </c>
      <c r="S8">
        <f>(159*4)</f>
        <v>636</v>
      </c>
    </row>
    <row r="9" spans="1:19" ht="45" x14ac:dyDescent="0.25">
      <c r="A9" s="11"/>
      <c r="B9" s="11"/>
      <c r="C9" s="1" t="s">
        <v>2</v>
      </c>
      <c r="D9" s="1">
        <f>(H9)+E13+D13+F17</f>
        <v>527</v>
      </c>
      <c r="E9" s="1">
        <f>(D9)</f>
        <v>527</v>
      </c>
      <c r="F9" s="1">
        <f>ROUNDUP((E9*4),0)</f>
        <v>2108</v>
      </c>
      <c r="G9" s="11"/>
      <c r="H9" s="1">
        <v>430</v>
      </c>
      <c r="I9" s="12">
        <f>(D18+E18+F18)</f>
        <v>160</v>
      </c>
      <c r="J9" s="11"/>
      <c r="K9" s="11"/>
      <c r="L9" s="11"/>
      <c r="M9" s="11"/>
      <c r="N9" s="39" t="s">
        <v>135</v>
      </c>
      <c r="O9">
        <v>0</v>
      </c>
      <c r="P9">
        <v>0</v>
      </c>
      <c r="Q9">
        <f>((25+3.5+3.5)*4)</f>
        <v>128</v>
      </c>
      <c r="R9">
        <v>0</v>
      </c>
      <c r="S9">
        <v>0</v>
      </c>
    </row>
    <row r="10" spans="1:19" x14ac:dyDescent="0.25">
      <c r="A10" s="11"/>
      <c r="B10" s="11"/>
      <c r="C10" s="11"/>
      <c r="D10" s="1" t="s">
        <v>1</v>
      </c>
      <c r="E10" s="1" t="s">
        <v>8</v>
      </c>
      <c r="F10" s="11" t="s">
        <v>20</v>
      </c>
      <c r="G10" s="1"/>
      <c r="H10" s="1"/>
      <c r="I10" s="11"/>
      <c r="J10" s="11"/>
      <c r="K10" s="11"/>
      <c r="L10" s="11"/>
      <c r="M10" s="11"/>
    </row>
    <row r="11" spans="1:19" x14ac:dyDescent="0.25">
      <c r="A11" s="11"/>
      <c r="B11" s="11"/>
      <c r="C11" s="1" t="s">
        <v>7</v>
      </c>
      <c r="D11" s="1">
        <v>346.71</v>
      </c>
      <c r="E11" s="1">
        <v>159.49</v>
      </c>
      <c r="F11" s="1"/>
      <c r="G11" s="11"/>
      <c r="H11" s="11"/>
      <c r="I11" s="11"/>
      <c r="J11" s="11"/>
      <c r="K11" s="11"/>
      <c r="L11" s="11"/>
      <c r="M11" s="11"/>
    </row>
    <row r="12" spans="1:19" x14ac:dyDescent="0.25">
      <c r="A12" s="11"/>
      <c r="B12" s="11"/>
      <c r="C12" s="1" t="s">
        <v>4</v>
      </c>
      <c r="D12" s="1">
        <v>346.71</v>
      </c>
      <c r="E12" s="1">
        <v>159.49</v>
      </c>
      <c r="F12" s="1">
        <v>199.99</v>
      </c>
      <c r="G12" s="11"/>
      <c r="H12" s="11"/>
      <c r="I12" s="11"/>
      <c r="J12" s="11"/>
      <c r="K12" s="11"/>
      <c r="L12" s="11"/>
      <c r="M12" s="11"/>
    </row>
    <row r="13" spans="1:19" x14ac:dyDescent="0.25">
      <c r="A13" s="11"/>
      <c r="B13" s="11"/>
      <c r="C13" s="1" t="s">
        <v>32</v>
      </c>
      <c r="D13" s="1">
        <f>(75+15+3.5+3.5)</f>
        <v>97</v>
      </c>
      <c r="E13" s="1">
        <v>0</v>
      </c>
      <c r="F13" s="1"/>
      <c r="G13" s="11"/>
      <c r="H13" s="11"/>
      <c r="I13" s="11"/>
      <c r="J13" s="11"/>
      <c r="K13" s="11"/>
      <c r="L13" s="11"/>
      <c r="M13" s="11"/>
      <c r="N13" s="39" t="s">
        <v>137</v>
      </c>
      <c r="O13">
        <f>(SUM(O5:O12))</f>
        <v>2952</v>
      </c>
      <c r="P13">
        <f>(SUM(P5:P12))</f>
        <v>6088</v>
      </c>
      <c r="Q13">
        <f>(SUM(Q5:Q12))</f>
        <v>2144</v>
      </c>
      <c r="R13">
        <f>(SUM(R5:R12))</f>
        <v>2122</v>
      </c>
      <c r="S13">
        <f>(SUM(S5:S12))</f>
        <v>1911</v>
      </c>
    </row>
    <row r="14" spans="1:19" x14ac:dyDescent="0.25">
      <c r="A14" s="11"/>
      <c r="B14" s="11"/>
      <c r="C14" s="11"/>
      <c r="D14" s="11"/>
      <c r="E14" s="11"/>
      <c r="F14" s="1"/>
      <c r="G14" s="2"/>
      <c r="H14" s="11"/>
      <c r="I14" s="11"/>
      <c r="J14" s="11"/>
      <c r="K14" s="11"/>
      <c r="L14" s="11"/>
      <c r="M14" s="11"/>
    </row>
    <row r="15" spans="1:19" x14ac:dyDescent="0.25">
      <c r="A15" s="11"/>
      <c r="B15" s="11"/>
      <c r="C15" s="1" t="s">
        <v>6</v>
      </c>
      <c r="D15" s="1">
        <v>346.71</v>
      </c>
      <c r="E15" s="1">
        <v>159.49</v>
      </c>
      <c r="F15" s="1"/>
      <c r="G15" s="3"/>
      <c r="H15" s="11"/>
      <c r="I15" s="11"/>
      <c r="J15" s="11"/>
      <c r="K15" s="11"/>
      <c r="L15" s="11"/>
      <c r="M15" s="11"/>
    </row>
    <row r="16" spans="1:19" x14ac:dyDescent="0.25">
      <c r="A16" s="11"/>
      <c r="B16" s="11"/>
      <c r="C16" s="1" t="s">
        <v>5</v>
      </c>
      <c r="D16" s="1">
        <v>346.71</v>
      </c>
      <c r="E16" s="1">
        <v>159.49</v>
      </c>
      <c r="F16" s="1"/>
      <c r="G16" s="3"/>
      <c r="H16" s="11"/>
      <c r="I16" s="11"/>
      <c r="J16" s="11"/>
      <c r="K16" s="11"/>
      <c r="L16" s="11"/>
      <c r="M16" s="11"/>
    </row>
    <row r="17" spans="1:19" x14ac:dyDescent="0.25">
      <c r="A17" s="11"/>
      <c r="B17" s="11"/>
      <c r="C17" s="1" t="s">
        <v>3</v>
      </c>
      <c r="D17" s="1">
        <v>346.71</v>
      </c>
      <c r="E17" s="1">
        <v>159.49</v>
      </c>
      <c r="F17" s="1"/>
      <c r="G17" s="3"/>
      <c r="H17" s="11"/>
      <c r="I17" s="11"/>
      <c r="J17" s="11"/>
      <c r="K17" s="11"/>
      <c r="L17" s="11"/>
      <c r="M17" s="11"/>
    </row>
    <row r="18" spans="1:19" ht="21" customHeight="1" x14ac:dyDescent="0.35">
      <c r="A18" s="4"/>
      <c r="B18" s="11"/>
      <c r="C18" s="1" t="s">
        <v>2</v>
      </c>
      <c r="D18" s="1">
        <f>(65+3.5+3.5+88)</f>
        <v>160</v>
      </c>
      <c r="E18" s="1">
        <v>0</v>
      </c>
      <c r="F18" s="2"/>
      <c r="G18" s="11"/>
      <c r="H18" s="11"/>
      <c r="I18" s="11"/>
      <c r="J18" s="11"/>
      <c r="K18" s="11"/>
      <c r="L18" s="11"/>
      <c r="M18" s="11"/>
      <c r="N18" s="55" t="s">
        <v>139</v>
      </c>
      <c r="O18" s="56"/>
      <c r="P18" s="56"/>
      <c r="Q18" s="56"/>
      <c r="R18" s="56"/>
      <c r="S18" s="56"/>
    </row>
    <row r="19" spans="1:19" ht="21" customHeight="1" x14ac:dyDescent="0.35">
      <c r="A19" s="4"/>
      <c r="B19" s="11"/>
      <c r="C19" s="11"/>
      <c r="D19" s="11"/>
      <c r="E19" s="11"/>
      <c r="F19" s="11"/>
      <c r="G19" s="11"/>
      <c r="H19" s="11"/>
      <c r="I19" s="11"/>
      <c r="J19" s="11"/>
      <c r="K19" s="11"/>
      <c r="L19" s="11"/>
      <c r="M19" s="11"/>
      <c r="N19" s="55" t="s">
        <v>138</v>
      </c>
      <c r="O19" s="56"/>
      <c r="P19" s="56"/>
      <c r="Q19" s="56"/>
      <c r="R19" s="56"/>
      <c r="S19" s="56"/>
    </row>
    <row r="20" spans="1:19" ht="21" x14ac:dyDescent="0.35">
      <c r="A20" s="4"/>
      <c r="B20" s="11"/>
      <c r="C20" s="11"/>
      <c r="D20" s="11"/>
      <c r="E20" s="11"/>
      <c r="F20" s="11"/>
      <c r="G20" s="11"/>
      <c r="H20" s="11"/>
      <c r="I20" s="11"/>
      <c r="J20" s="11"/>
      <c r="K20" s="11"/>
      <c r="L20" s="11"/>
      <c r="M20" s="11"/>
      <c r="N20" s="40"/>
      <c r="O20" s="41" t="s">
        <v>34</v>
      </c>
      <c r="P20" s="41" t="s">
        <v>69</v>
      </c>
      <c r="Q20" s="41" t="s">
        <v>131</v>
      </c>
      <c r="R20" s="41" t="s">
        <v>132</v>
      </c>
      <c r="S20" s="41" t="s">
        <v>175</v>
      </c>
    </row>
    <row r="21" spans="1:19" ht="21" x14ac:dyDescent="0.35">
      <c r="A21" s="4" t="s">
        <v>42</v>
      </c>
      <c r="B21" s="11" t="s">
        <v>41</v>
      </c>
      <c r="C21" s="1"/>
      <c r="D21" s="11" t="s">
        <v>0</v>
      </c>
      <c r="E21" s="11" t="s">
        <v>39</v>
      </c>
      <c r="F21" s="11" t="s">
        <v>40</v>
      </c>
      <c r="G21" s="11" t="s">
        <v>20</v>
      </c>
      <c r="H21" s="11"/>
      <c r="I21" s="11"/>
      <c r="J21" s="11"/>
      <c r="K21" s="11"/>
      <c r="L21" s="11"/>
      <c r="M21" s="11"/>
      <c r="N21" s="40" t="s">
        <v>0</v>
      </c>
      <c r="O21" s="42">
        <f>(430*6)</f>
        <v>2580</v>
      </c>
      <c r="P21" s="42">
        <f>(232*6)</f>
        <v>1392</v>
      </c>
      <c r="Q21" s="42">
        <f>(816)*6</f>
        <v>4896</v>
      </c>
      <c r="R21" s="42">
        <f>(816)</f>
        <v>816</v>
      </c>
      <c r="S21" s="42">
        <f>(232*6)</f>
        <v>1392</v>
      </c>
    </row>
    <row r="22" spans="1:19" ht="21" x14ac:dyDescent="0.35">
      <c r="A22" s="21">
        <f>1-(E6)/E6</f>
        <v>0</v>
      </c>
      <c r="B22" s="21">
        <f>1-(F6)/F3</f>
        <v>0.18945634266886324</v>
      </c>
      <c r="C22" s="1" t="s">
        <v>69</v>
      </c>
      <c r="D22" s="12">
        <f>(H6)*4</f>
        <v>926.6</v>
      </c>
      <c r="E22" s="12">
        <f>(D15)*4</f>
        <v>1386.84</v>
      </c>
      <c r="F22" s="12">
        <f>(E15)*4</f>
        <v>637.96</v>
      </c>
      <c r="G22" s="12">
        <f>(F15)*4</f>
        <v>0</v>
      </c>
      <c r="H22" s="11"/>
      <c r="I22" s="11"/>
      <c r="J22" s="11"/>
      <c r="K22" s="11"/>
      <c r="L22" s="11"/>
      <c r="M22" s="11"/>
      <c r="N22" s="40" t="s">
        <v>133</v>
      </c>
      <c r="O22" s="42">
        <f>(74*6)</f>
        <v>444</v>
      </c>
      <c r="P22" s="42">
        <f>(347*6)</f>
        <v>2082</v>
      </c>
      <c r="Q22" s="42">
        <f>(347*6)</f>
        <v>2082</v>
      </c>
      <c r="R22" s="42">
        <f>(347*1)</f>
        <v>347</v>
      </c>
      <c r="S22" s="42">
        <f>(347)</f>
        <v>347</v>
      </c>
    </row>
    <row r="23" spans="1:19" ht="21" x14ac:dyDescent="0.35">
      <c r="A23" s="21">
        <f>1-(E3)/E6</f>
        <v>4.2908450227010841E-2</v>
      </c>
      <c r="B23" s="21">
        <f>1-(F3)/F3</f>
        <v>0</v>
      </c>
      <c r="C23" s="1" t="s">
        <v>35</v>
      </c>
      <c r="D23" s="12">
        <f>(H3)</f>
        <v>816.46</v>
      </c>
      <c r="E23" s="12">
        <f t="shared" ref="E23:G24" si="0">(D12)*4</f>
        <v>1386.84</v>
      </c>
      <c r="F23" s="12">
        <f t="shared" si="0"/>
        <v>637.96</v>
      </c>
      <c r="G23" s="12">
        <f t="shared" si="0"/>
        <v>799.96</v>
      </c>
      <c r="H23" s="11"/>
      <c r="I23" s="11"/>
      <c r="J23" s="11"/>
      <c r="K23" s="11"/>
      <c r="L23" s="11"/>
      <c r="M23" s="11"/>
      <c r="N23" s="40" t="s">
        <v>134</v>
      </c>
      <c r="O23" s="42">
        <v>0</v>
      </c>
      <c r="P23" s="42">
        <v>0</v>
      </c>
      <c r="Q23" s="42">
        <f>(200*6)</f>
        <v>1200</v>
      </c>
      <c r="R23" s="42">
        <f>(200*6)</f>
        <v>1200</v>
      </c>
      <c r="S23" s="42">
        <v>0</v>
      </c>
    </row>
    <row r="24" spans="1:19" ht="21" x14ac:dyDescent="0.35">
      <c r="A24" s="21">
        <f>1-(E4)/E6</f>
        <v>0.2857626888934065</v>
      </c>
      <c r="B24" s="21">
        <f>1-(F4)/F3</f>
        <v>0.42119714442613954</v>
      </c>
      <c r="C24" s="1" t="s">
        <v>72</v>
      </c>
      <c r="D24" s="12">
        <f>(H4)*4</f>
        <v>1720</v>
      </c>
      <c r="E24" s="12">
        <f t="shared" si="0"/>
        <v>388</v>
      </c>
      <c r="F24" s="12">
        <f t="shared" si="0"/>
        <v>0</v>
      </c>
      <c r="G24" s="12">
        <f t="shared" si="0"/>
        <v>0</v>
      </c>
      <c r="H24" s="11"/>
      <c r="I24" s="11"/>
      <c r="J24" s="11"/>
      <c r="K24" s="11"/>
      <c r="L24" s="11"/>
      <c r="M24" s="11"/>
      <c r="N24" s="40" t="s">
        <v>40</v>
      </c>
      <c r="O24" s="42">
        <v>0</v>
      </c>
      <c r="P24" s="42">
        <f>(159*6)</f>
        <v>954</v>
      </c>
      <c r="Q24" s="42">
        <f>(159*6)</f>
        <v>954</v>
      </c>
      <c r="R24" s="42">
        <v>159</v>
      </c>
      <c r="S24" s="42">
        <f>(159*6)</f>
        <v>954</v>
      </c>
    </row>
    <row r="25" spans="1:19" ht="21" x14ac:dyDescent="0.35">
      <c r="A25" s="11"/>
      <c r="B25" s="11"/>
      <c r="C25" s="11"/>
      <c r="D25" s="11"/>
      <c r="E25" s="11"/>
      <c r="F25" s="11"/>
      <c r="G25" s="11"/>
      <c r="H25" s="11"/>
      <c r="I25" s="11"/>
      <c r="J25" s="11"/>
      <c r="K25" s="11"/>
      <c r="L25" s="11"/>
      <c r="M25" s="11"/>
      <c r="N25" s="40" t="s">
        <v>121</v>
      </c>
      <c r="O25" s="42">
        <f>((25+3.5+3.5)*6)</f>
        <v>192</v>
      </c>
      <c r="P25" s="42">
        <v>0</v>
      </c>
      <c r="Q25" s="42">
        <v>0</v>
      </c>
      <c r="R25" s="42">
        <v>0</v>
      </c>
      <c r="S25" s="42">
        <v>0</v>
      </c>
    </row>
    <row r="26" spans="1:19" ht="21" x14ac:dyDescent="0.35">
      <c r="A26" s="11"/>
      <c r="B26" s="11"/>
      <c r="C26" s="11"/>
      <c r="D26" s="11"/>
      <c r="E26" s="11"/>
      <c r="F26" s="11"/>
      <c r="G26" s="11"/>
      <c r="H26" s="11"/>
      <c r="I26" s="11"/>
      <c r="J26" s="11"/>
      <c r="K26" s="11"/>
      <c r="L26" s="11"/>
      <c r="M26" s="11"/>
      <c r="N26" s="40" t="s">
        <v>137</v>
      </c>
      <c r="O26" s="42">
        <f>(SUM(O21:O25))</f>
        <v>3216</v>
      </c>
      <c r="P26" s="42">
        <f>(SUM(P21:P25))</f>
        <v>4428</v>
      </c>
      <c r="Q26" s="42">
        <f>(SUM(Q21:Q25))</f>
        <v>9132</v>
      </c>
      <c r="R26" s="42">
        <f>(SUM(R21:R25))</f>
        <v>2522</v>
      </c>
      <c r="S26" s="42">
        <f>(SUM(S21:S25))</f>
        <v>2693</v>
      </c>
    </row>
    <row r="27" spans="1:19" x14ac:dyDescent="0.25">
      <c r="A27" s="11"/>
      <c r="B27" s="11"/>
      <c r="C27" s="11"/>
      <c r="D27" s="11"/>
      <c r="E27" s="11"/>
      <c r="F27" s="11"/>
      <c r="G27" s="11"/>
      <c r="H27" s="11"/>
      <c r="I27" s="11"/>
      <c r="J27" s="11"/>
      <c r="K27" s="11"/>
      <c r="L27" s="11"/>
      <c r="M27" s="11"/>
    </row>
    <row r="28" spans="1:19" x14ac:dyDescent="0.25">
      <c r="A28" s="11"/>
      <c r="B28" s="11"/>
      <c r="C28" s="11"/>
      <c r="D28" s="11"/>
      <c r="E28" s="11"/>
      <c r="F28" s="11"/>
      <c r="G28" s="11"/>
      <c r="H28" s="11"/>
      <c r="I28" s="11"/>
      <c r="J28" s="11"/>
      <c r="K28" s="11"/>
      <c r="L28" s="11"/>
      <c r="M28" s="11"/>
    </row>
    <row r="29" spans="1:19" x14ac:dyDescent="0.25">
      <c r="A29" s="11"/>
      <c r="B29" s="11"/>
      <c r="C29" s="11"/>
      <c r="D29" s="11"/>
      <c r="E29" s="11"/>
      <c r="F29" s="11"/>
      <c r="G29" s="11"/>
      <c r="H29" s="11"/>
      <c r="I29" s="11"/>
      <c r="J29" s="11"/>
      <c r="K29" s="11"/>
      <c r="L29" s="11"/>
      <c r="M29" s="11"/>
    </row>
    <row r="30" spans="1:19" x14ac:dyDescent="0.25">
      <c r="A30" s="11"/>
      <c r="B30" s="11"/>
      <c r="C30" s="11"/>
      <c r="D30" s="11"/>
      <c r="E30" s="11"/>
      <c r="F30" s="11"/>
      <c r="G30" s="11"/>
      <c r="H30" s="11"/>
      <c r="I30" s="11"/>
      <c r="J30" s="11"/>
      <c r="K30" s="11"/>
      <c r="L30" s="11"/>
      <c r="M30" s="11"/>
    </row>
  </sheetData>
  <mergeCells count="2">
    <mergeCell ref="N19:S19"/>
    <mergeCell ref="N18:S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B12" zoomScale="70" zoomScaleNormal="70" workbookViewId="0">
      <selection activeCell="B15" sqref="B15"/>
    </sheetView>
  </sheetViews>
  <sheetFormatPr defaultRowHeight="15" x14ac:dyDescent="0.25"/>
  <cols>
    <col min="1" max="1" width="63.28515625" bestFit="1" customWidth="1"/>
    <col min="2" max="2" width="57.28515625" customWidth="1"/>
    <col min="3" max="3" width="42.28515625" customWidth="1"/>
    <col min="5" max="5" width="31.85546875" bestFit="1" customWidth="1"/>
    <col min="7" max="7" width="19.7109375" customWidth="1"/>
    <col min="8" max="8" width="32.5703125" customWidth="1"/>
    <col min="9" max="9" width="31.7109375" customWidth="1"/>
  </cols>
  <sheetData>
    <row r="1" spans="1:27" x14ac:dyDescent="0.25">
      <c r="A1" s="11" t="s">
        <v>34</v>
      </c>
      <c r="B1" s="11" t="s">
        <v>69</v>
      </c>
      <c r="C1" s="11" t="s">
        <v>35</v>
      </c>
      <c r="D1" s="11"/>
      <c r="E1" s="11"/>
      <c r="F1" s="11"/>
      <c r="G1" s="11"/>
      <c r="H1" s="11"/>
      <c r="I1" s="11"/>
      <c r="J1" s="11"/>
      <c r="K1" s="11"/>
      <c r="L1" s="11"/>
      <c r="M1" s="11"/>
      <c r="N1" s="11"/>
      <c r="O1" s="11"/>
      <c r="P1" s="11"/>
      <c r="Q1" s="11"/>
      <c r="R1" s="11"/>
      <c r="S1" s="11"/>
      <c r="T1" s="11"/>
      <c r="U1" s="11"/>
      <c r="V1" s="11"/>
      <c r="W1" s="11"/>
      <c r="X1" s="11"/>
      <c r="Y1" s="11"/>
      <c r="Z1" s="11"/>
      <c r="AA1" s="11"/>
    </row>
    <row r="2" spans="1:27" ht="45" x14ac:dyDescent="0.25">
      <c r="A2" s="13" t="s">
        <v>100</v>
      </c>
      <c r="B2" s="13" t="s">
        <v>43</v>
      </c>
      <c r="C2" s="13" t="s">
        <v>44</v>
      </c>
      <c r="D2" s="11" t="s">
        <v>23</v>
      </c>
      <c r="E2" s="5" t="s">
        <v>13</v>
      </c>
      <c r="F2" s="11" t="s">
        <v>121</v>
      </c>
      <c r="G2" s="34" t="s">
        <v>112</v>
      </c>
      <c r="H2" s="34"/>
      <c r="I2" s="11" t="s">
        <v>114</v>
      </c>
      <c r="J2" s="11"/>
      <c r="K2" s="11"/>
      <c r="L2" s="11"/>
      <c r="M2" s="11"/>
      <c r="N2" s="11"/>
      <c r="O2" s="11"/>
      <c r="P2" s="11"/>
      <c r="Q2" s="11"/>
      <c r="R2" s="11"/>
      <c r="S2" s="11"/>
      <c r="T2" s="11"/>
      <c r="U2" s="11"/>
      <c r="V2" s="11"/>
      <c r="W2" s="11"/>
      <c r="X2" s="11"/>
      <c r="Y2" s="11"/>
      <c r="Z2" s="11"/>
      <c r="AA2" s="11"/>
    </row>
    <row r="3" spans="1:27" ht="60" x14ac:dyDescent="0.25">
      <c r="A3" s="13" t="s">
        <v>45</v>
      </c>
      <c r="B3" s="13" t="s">
        <v>46</v>
      </c>
      <c r="C3" s="13" t="s">
        <v>46</v>
      </c>
      <c r="D3" s="11"/>
      <c r="E3" s="5" t="s">
        <v>14</v>
      </c>
      <c r="F3" s="11" t="s">
        <v>122</v>
      </c>
      <c r="G3" s="34" t="s">
        <v>86</v>
      </c>
      <c r="H3" s="34" t="s">
        <v>109</v>
      </c>
      <c r="I3" s="34" t="s">
        <v>115</v>
      </c>
      <c r="J3" s="11"/>
      <c r="K3" s="11"/>
      <c r="L3" s="11"/>
      <c r="M3" s="11"/>
      <c r="N3" s="11"/>
      <c r="O3" s="11"/>
      <c r="P3" s="11"/>
      <c r="Q3" s="11"/>
      <c r="R3" s="11"/>
      <c r="S3" s="11"/>
      <c r="T3" s="11"/>
      <c r="U3" s="11"/>
      <c r="V3" s="11"/>
      <c r="W3" s="11"/>
      <c r="X3" s="11"/>
      <c r="Y3" s="11"/>
      <c r="Z3" s="11"/>
      <c r="AA3" s="11"/>
    </row>
    <row r="4" spans="1:27" ht="120.75" thickBot="1" x14ac:dyDescent="0.3">
      <c r="A4" s="15" t="s">
        <v>101</v>
      </c>
      <c r="B4" s="15" t="s">
        <v>102</v>
      </c>
      <c r="C4" s="15" t="s">
        <v>102</v>
      </c>
      <c r="D4" s="11"/>
      <c r="E4" s="8" t="s">
        <v>15</v>
      </c>
      <c r="F4" s="11" t="s">
        <v>123</v>
      </c>
      <c r="G4" s="34" t="s">
        <v>110</v>
      </c>
      <c r="H4" s="34" t="s">
        <v>113</v>
      </c>
      <c r="I4" s="34" t="s">
        <v>118</v>
      </c>
      <c r="J4" s="11"/>
      <c r="K4" s="11"/>
      <c r="L4" s="11"/>
      <c r="M4" s="11"/>
      <c r="N4" s="11"/>
      <c r="O4" s="11"/>
      <c r="P4" s="11"/>
      <c r="Q4" s="11"/>
      <c r="R4" s="11"/>
      <c r="S4" s="11"/>
      <c r="T4" s="11"/>
      <c r="U4" s="11"/>
      <c r="V4" s="11"/>
      <c r="W4" s="11"/>
      <c r="X4" s="11"/>
      <c r="Y4" s="11"/>
      <c r="Z4" s="11"/>
      <c r="AA4" s="11"/>
    </row>
    <row r="5" spans="1:27" ht="180" x14ac:dyDescent="0.25">
      <c r="A5" s="13" t="s">
        <v>47</v>
      </c>
      <c r="B5" s="13" t="s">
        <v>90</v>
      </c>
      <c r="C5" s="13" t="s">
        <v>91</v>
      </c>
      <c r="D5" s="11" t="s">
        <v>16</v>
      </c>
      <c r="E5" s="5" t="s">
        <v>25</v>
      </c>
      <c r="F5" s="11"/>
      <c r="G5" s="11"/>
      <c r="H5" s="11"/>
      <c r="I5" s="11"/>
      <c r="J5" s="11"/>
      <c r="K5" s="11"/>
      <c r="L5" s="11"/>
      <c r="M5" s="11"/>
      <c r="N5" s="11"/>
      <c r="O5" s="11"/>
      <c r="P5" s="11"/>
      <c r="Q5" s="11"/>
      <c r="R5" s="11"/>
      <c r="S5" s="11"/>
      <c r="T5" s="11"/>
      <c r="U5" s="11"/>
      <c r="V5" s="11"/>
      <c r="W5" s="11"/>
      <c r="X5" s="11"/>
      <c r="Y5" s="11"/>
      <c r="Z5" s="11"/>
      <c r="AA5" s="11"/>
    </row>
    <row r="6" spans="1:27" ht="180" x14ac:dyDescent="0.25">
      <c r="A6" s="13" t="s">
        <v>48</v>
      </c>
      <c r="B6" s="13" t="s">
        <v>92</v>
      </c>
      <c r="C6" s="13" t="s">
        <v>92</v>
      </c>
      <c r="D6" s="11"/>
      <c r="E6" s="5" t="s">
        <v>17</v>
      </c>
      <c r="F6" s="11"/>
      <c r="G6" s="11"/>
      <c r="H6" s="11"/>
      <c r="I6" s="11"/>
      <c r="J6" s="11"/>
      <c r="K6" s="11"/>
      <c r="L6" s="11"/>
      <c r="M6" s="11"/>
      <c r="N6" s="11"/>
      <c r="O6" s="11"/>
      <c r="P6" s="11"/>
      <c r="Q6" s="11"/>
      <c r="R6" s="11"/>
      <c r="S6" s="11"/>
      <c r="T6" s="11"/>
      <c r="U6" s="11"/>
      <c r="V6" s="11"/>
      <c r="W6" s="11"/>
      <c r="X6" s="11"/>
      <c r="Y6" s="11"/>
      <c r="Z6" s="11"/>
      <c r="AA6" s="11"/>
    </row>
    <row r="7" spans="1:27" ht="108.75" thickBot="1" x14ac:dyDescent="0.3">
      <c r="A7" s="15" t="s">
        <v>54</v>
      </c>
      <c r="B7" s="15" t="s">
        <v>93</v>
      </c>
      <c r="C7" s="15" t="s">
        <v>93</v>
      </c>
      <c r="D7" s="11"/>
      <c r="E7" s="8" t="s">
        <v>18</v>
      </c>
      <c r="F7" s="11"/>
      <c r="G7" s="11"/>
      <c r="H7" s="11"/>
      <c r="I7" s="11"/>
      <c r="J7" s="11"/>
      <c r="K7" s="11"/>
      <c r="L7" s="11"/>
      <c r="M7" s="11"/>
      <c r="N7" s="11"/>
      <c r="O7" s="11"/>
      <c r="P7" s="11"/>
      <c r="Q7" s="11"/>
      <c r="R7" s="11"/>
      <c r="S7" s="11"/>
      <c r="T7" s="11"/>
      <c r="U7" s="11"/>
      <c r="V7" s="11"/>
      <c r="W7" s="11"/>
      <c r="X7" s="11"/>
      <c r="Y7" s="11"/>
      <c r="Z7" s="11"/>
      <c r="AA7" s="11"/>
    </row>
    <row r="8" spans="1:27" ht="108" x14ac:dyDescent="0.25">
      <c r="A8" s="17" t="s">
        <v>55</v>
      </c>
      <c r="B8" s="17" t="s">
        <v>95</v>
      </c>
      <c r="C8" s="17" t="s">
        <v>95</v>
      </c>
      <c r="D8" s="11"/>
      <c r="E8" s="16" t="s">
        <v>26</v>
      </c>
      <c r="F8" s="11"/>
      <c r="G8" s="11"/>
      <c r="H8" s="11"/>
      <c r="I8" s="11"/>
      <c r="J8" s="11"/>
      <c r="K8" s="11"/>
      <c r="L8" s="11"/>
      <c r="M8" s="11"/>
      <c r="N8" s="11"/>
      <c r="O8" s="11"/>
      <c r="P8" s="11"/>
      <c r="Q8" s="11"/>
      <c r="R8" s="11"/>
      <c r="S8" s="11"/>
      <c r="T8" s="11"/>
      <c r="U8" s="11"/>
      <c r="V8" s="11"/>
      <c r="W8" s="11"/>
      <c r="X8" s="11"/>
      <c r="Y8" s="11"/>
      <c r="Z8" s="11"/>
      <c r="AA8" s="11"/>
    </row>
    <row r="9" spans="1:27" ht="90" x14ac:dyDescent="0.25">
      <c r="A9" s="17" t="s">
        <v>56</v>
      </c>
      <c r="B9" s="17" t="s">
        <v>94</v>
      </c>
      <c r="C9" s="17" t="s">
        <v>94</v>
      </c>
      <c r="D9" s="11"/>
      <c r="E9" s="11" t="s">
        <v>28</v>
      </c>
      <c r="F9" s="11"/>
      <c r="G9" s="11"/>
      <c r="H9" s="11"/>
      <c r="I9" s="11"/>
      <c r="J9" s="11"/>
      <c r="K9" s="11"/>
      <c r="L9" s="11"/>
      <c r="M9" s="11"/>
      <c r="N9" s="11"/>
      <c r="O9" s="11"/>
      <c r="P9" s="11"/>
      <c r="Q9" s="11"/>
      <c r="R9" s="11"/>
      <c r="S9" s="11"/>
      <c r="T9" s="11"/>
      <c r="U9" s="11"/>
      <c r="V9" s="11"/>
      <c r="W9" s="11"/>
      <c r="X9" s="11"/>
      <c r="Y9" s="11"/>
      <c r="Z9" s="11"/>
      <c r="AA9" s="11"/>
    </row>
    <row r="10" spans="1:27" ht="54" x14ac:dyDescent="0.25">
      <c r="A10" s="17" t="s">
        <v>58</v>
      </c>
      <c r="B10" s="17" t="s">
        <v>57</v>
      </c>
      <c r="C10" s="17" t="s">
        <v>57</v>
      </c>
      <c r="D10" s="11"/>
      <c r="E10" s="18" t="s">
        <v>29</v>
      </c>
      <c r="F10" s="11"/>
      <c r="G10" s="11"/>
      <c r="H10" s="11"/>
      <c r="I10" s="11"/>
      <c r="J10" s="11"/>
      <c r="K10" s="11"/>
      <c r="L10" s="11"/>
      <c r="M10" s="11"/>
      <c r="N10" s="11"/>
      <c r="O10" s="11"/>
      <c r="P10" s="11"/>
      <c r="Q10" s="11"/>
      <c r="R10" s="11"/>
      <c r="S10" s="11"/>
      <c r="T10" s="11"/>
      <c r="U10" s="11"/>
      <c r="V10" s="11"/>
      <c r="W10" s="11"/>
      <c r="X10" s="11"/>
      <c r="Y10" s="11"/>
      <c r="Z10" s="11"/>
      <c r="AA10" s="11"/>
    </row>
    <row r="11" spans="1:27" ht="54" x14ac:dyDescent="0.25">
      <c r="A11" s="13" t="s">
        <v>59</v>
      </c>
      <c r="B11" s="13" t="s">
        <v>96</v>
      </c>
      <c r="C11" s="13" t="s">
        <v>60</v>
      </c>
      <c r="D11" s="11" t="s">
        <v>24</v>
      </c>
      <c r="E11" s="5" t="s">
        <v>19</v>
      </c>
      <c r="F11" s="11"/>
      <c r="G11" s="11"/>
      <c r="H11" s="11"/>
      <c r="I11" s="11"/>
      <c r="J11" s="11"/>
      <c r="K11" s="11"/>
      <c r="L11" s="11"/>
      <c r="M11" s="11"/>
      <c r="N11" s="11"/>
      <c r="O11" s="11"/>
      <c r="P11" s="11"/>
      <c r="Q11" s="11"/>
      <c r="R11" s="11"/>
      <c r="S11" s="11"/>
      <c r="T11" s="11"/>
      <c r="U11" s="11"/>
      <c r="V11" s="11"/>
      <c r="W11" s="11"/>
      <c r="X11" s="11"/>
      <c r="Y11" s="11"/>
      <c r="Z11" s="11"/>
      <c r="AA11" s="11"/>
    </row>
    <row r="12" spans="1:27" ht="54.75" thickBot="1" x14ac:dyDescent="0.3">
      <c r="A12" s="15" t="s">
        <v>61</v>
      </c>
      <c r="B12" s="15" t="s">
        <v>98</v>
      </c>
      <c r="C12" s="15" t="s">
        <v>97</v>
      </c>
      <c r="D12" s="11"/>
      <c r="E12" s="8" t="s">
        <v>20</v>
      </c>
      <c r="F12" s="11"/>
      <c r="G12" s="11"/>
      <c r="H12" s="11"/>
      <c r="I12" s="11"/>
      <c r="J12" s="11"/>
      <c r="K12" s="11"/>
      <c r="L12" s="11"/>
      <c r="M12" s="11"/>
      <c r="N12" s="11"/>
      <c r="O12" s="11"/>
      <c r="P12" s="11"/>
      <c r="Q12" s="11"/>
      <c r="R12" s="11"/>
      <c r="S12" s="11"/>
      <c r="T12" s="11"/>
      <c r="U12" s="11"/>
      <c r="V12" s="11"/>
      <c r="W12" s="11"/>
      <c r="X12" s="11"/>
      <c r="Y12" s="11"/>
      <c r="Z12" s="11"/>
      <c r="AA12" s="11"/>
    </row>
    <row r="13" spans="1:27" ht="144.75" thickBot="1" x14ac:dyDescent="0.3">
      <c r="A13" s="13" t="s">
        <v>99</v>
      </c>
      <c r="B13" s="13" t="s">
        <v>99</v>
      </c>
      <c r="C13" s="13" t="s">
        <v>62</v>
      </c>
      <c r="D13" s="11" t="s">
        <v>12</v>
      </c>
      <c r="E13" s="19" t="s">
        <v>27</v>
      </c>
      <c r="F13" s="11"/>
      <c r="G13" s="11"/>
      <c r="H13" s="11"/>
      <c r="I13" s="11"/>
      <c r="J13" s="11"/>
      <c r="K13" s="11"/>
      <c r="L13" s="11"/>
      <c r="M13" s="11"/>
      <c r="N13" s="11"/>
      <c r="O13" s="11"/>
      <c r="P13" s="11"/>
      <c r="Q13" s="11"/>
      <c r="R13" s="11"/>
      <c r="S13" s="11"/>
      <c r="T13" s="11"/>
      <c r="U13" s="11"/>
      <c r="V13" s="11"/>
      <c r="W13" s="11"/>
      <c r="X13" s="11"/>
      <c r="Y13" s="11"/>
      <c r="Z13" s="11"/>
      <c r="AA13" s="11"/>
    </row>
    <row r="14" spans="1:27" ht="144" x14ac:dyDescent="0.25">
      <c r="A14" s="13" t="s">
        <v>63</v>
      </c>
      <c r="B14" s="38" t="s">
        <v>130</v>
      </c>
      <c r="C14" s="13" t="s">
        <v>130</v>
      </c>
      <c r="D14" s="11" t="s">
        <v>21</v>
      </c>
      <c r="E14" s="9" t="s">
        <v>37</v>
      </c>
      <c r="F14" s="11"/>
      <c r="G14" s="11"/>
      <c r="H14" s="11"/>
      <c r="I14" s="11"/>
      <c r="J14" s="11"/>
      <c r="K14" s="11"/>
      <c r="L14" s="11"/>
      <c r="M14" s="11"/>
      <c r="N14" s="11"/>
      <c r="O14" s="11"/>
      <c r="P14" s="11"/>
      <c r="Q14" s="11"/>
      <c r="R14" s="11"/>
      <c r="S14" s="11"/>
      <c r="T14" s="11"/>
      <c r="U14" s="11"/>
      <c r="V14" s="11"/>
      <c r="W14" s="11"/>
      <c r="X14" s="11"/>
      <c r="Y14" s="11"/>
      <c r="Z14" s="11"/>
      <c r="AA14" s="11"/>
    </row>
    <row r="15" spans="1:27" ht="97.15" customHeight="1" thickBot="1" x14ac:dyDescent="0.3">
      <c r="A15" s="15" t="s">
        <v>64</v>
      </c>
      <c r="B15" s="15" t="s">
        <v>116</v>
      </c>
      <c r="C15" s="15" t="s">
        <v>65</v>
      </c>
      <c r="D15" s="11"/>
      <c r="E15" s="8" t="s">
        <v>22</v>
      </c>
      <c r="F15" s="11"/>
      <c r="G15" s="11"/>
      <c r="H15" s="11"/>
      <c r="I15" s="11"/>
      <c r="J15" s="11"/>
      <c r="K15" s="11"/>
      <c r="L15" s="11"/>
      <c r="M15" s="11"/>
      <c r="N15" s="11"/>
      <c r="O15" s="11"/>
      <c r="P15" s="11"/>
      <c r="Q15" s="11"/>
      <c r="R15" s="11"/>
      <c r="S15" s="11"/>
      <c r="T15" s="11"/>
      <c r="U15" s="11"/>
      <c r="V15" s="11"/>
      <c r="W15" s="11"/>
      <c r="X15" s="11"/>
      <c r="Y15" s="11"/>
      <c r="Z15" s="11"/>
      <c r="AA15" s="11"/>
    </row>
    <row r="16" spans="1:27" ht="72" x14ac:dyDescent="0.25">
      <c r="A16" s="20" t="s">
        <v>66</v>
      </c>
      <c r="B16" s="20" t="s">
        <v>120</v>
      </c>
      <c r="C16" s="20" t="s">
        <v>67</v>
      </c>
      <c r="D16" s="11"/>
      <c r="E16" s="10" t="s">
        <v>30</v>
      </c>
      <c r="F16" s="11"/>
      <c r="G16" s="11"/>
      <c r="H16" s="11"/>
      <c r="I16" s="11"/>
      <c r="J16" s="11"/>
      <c r="K16" s="11"/>
      <c r="L16" s="11"/>
      <c r="M16" s="11"/>
      <c r="N16" s="11"/>
      <c r="O16" s="11"/>
      <c r="P16" s="11"/>
      <c r="Q16" s="11"/>
      <c r="R16" s="11"/>
      <c r="S16" s="11"/>
      <c r="T16" s="11"/>
      <c r="U16" s="11"/>
      <c r="V16" s="11"/>
      <c r="W16" s="11"/>
      <c r="X16" s="11"/>
      <c r="Y16" s="11"/>
      <c r="Z16" s="11"/>
      <c r="AA16" s="11"/>
    </row>
    <row r="17" spans="1:27" ht="198" x14ac:dyDescent="0.25">
      <c r="A17" s="20" t="s">
        <v>117</v>
      </c>
      <c r="B17" s="20" t="s">
        <v>119</v>
      </c>
      <c r="C17" s="20" t="s">
        <v>68</v>
      </c>
      <c r="D17" s="11"/>
      <c r="E17" s="11" t="s">
        <v>33</v>
      </c>
      <c r="F17" s="11"/>
      <c r="G17" s="11"/>
      <c r="H17" s="11"/>
      <c r="I17" s="11"/>
      <c r="J17" s="11"/>
      <c r="K17" s="11"/>
      <c r="L17" s="11"/>
      <c r="M17" s="11"/>
      <c r="N17" s="11"/>
      <c r="O17" s="11"/>
      <c r="P17" s="11"/>
      <c r="Q17" s="11"/>
      <c r="R17" s="11"/>
      <c r="S17" s="11"/>
      <c r="T17" s="11"/>
      <c r="U17" s="11"/>
      <c r="V17" s="11"/>
      <c r="W17" s="11"/>
      <c r="X17" s="11"/>
      <c r="Y17" s="11"/>
      <c r="Z17" s="11"/>
      <c r="AA17" s="11"/>
    </row>
    <row r="18" spans="1:27" ht="45" x14ac:dyDescent="0.25">
      <c r="A18" s="34" t="s">
        <v>103</v>
      </c>
      <c r="B18" s="34" t="s">
        <v>104</v>
      </c>
      <c r="C18" s="34" t="s">
        <v>104</v>
      </c>
      <c r="D18" s="34"/>
      <c r="E18" s="34" t="s">
        <v>86</v>
      </c>
      <c r="F18" s="11"/>
      <c r="G18" s="11"/>
      <c r="H18" s="11"/>
      <c r="I18" s="11"/>
      <c r="J18" s="11"/>
      <c r="K18" s="11"/>
      <c r="L18" s="11"/>
      <c r="M18" s="11"/>
      <c r="N18" s="11"/>
      <c r="O18" s="11"/>
      <c r="P18" s="11"/>
      <c r="Q18" s="11"/>
      <c r="R18" s="11"/>
      <c r="S18" s="11"/>
      <c r="T18" s="11"/>
      <c r="U18" s="11"/>
      <c r="V18" s="11"/>
      <c r="W18" s="11"/>
      <c r="X18" s="11"/>
      <c r="Y18" s="11"/>
      <c r="Z18" s="11"/>
      <c r="AA18" s="11"/>
    </row>
    <row r="19" spans="1:27" ht="150" x14ac:dyDescent="0.25">
      <c r="A19" s="34" t="s">
        <v>106</v>
      </c>
      <c r="B19" s="34" t="s">
        <v>107</v>
      </c>
      <c r="C19" s="34" t="s">
        <v>108</v>
      </c>
      <c r="D19" s="34"/>
      <c r="E19" s="34" t="s">
        <v>105</v>
      </c>
      <c r="F19" s="11"/>
      <c r="G19" s="11"/>
      <c r="H19" s="11"/>
      <c r="I19" s="11"/>
      <c r="J19" s="11"/>
      <c r="K19" s="11"/>
      <c r="L19" s="11"/>
      <c r="M19" s="11"/>
      <c r="N19" s="11"/>
      <c r="O19" s="11"/>
      <c r="P19" s="11"/>
      <c r="Q19" s="11"/>
      <c r="R19" s="11"/>
      <c r="S19" s="11"/>
      <c r="T19" s="11"/>
      <c r="U19" s="11"/>
      <c r="V19" s="11"/>
      <c r="W19" s="11"/>
      <c r="X19" s="11"/>
      <c r="Y19" s="11"/>
      <c r="Z19" s="11"/>
      <c r="AA19" s="11"/>
    </row>
  </sheetData>
  <conditionalFormatting sqref="E17 E14:E15">
    <cfRule type="duplicateValues" dxfId="3" priority="2"/>
  </conditionalFormatting>
  <conditionalFormatting sqref="D17 D14:D15">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tabSelected="1" topLeftCell="L1" zoomScale="55" zoomScaleNormal="55" workbookViewId="0">
      <pane ySplit="3" topLeftCell="A4" activePane="bottomLeft" state="frozen"/>
      <selection pane="bottomLeft" activeCell="J12" sqref="J12"/>
    </sheetView>
  </sheetViews>
  <sheetFormatPr defaultColWidth="8.85546875" defaultRowHeight="15" x14ac:dyDescent="0.25"/>
  <cols>
    <col min="1" max="1" width="12" style="2" bestFit="1" customWidth="1"/>
    <col min="2" max="2" width="8.7109375" style="11" bestFit="1" customWidth="1"/>
    <col min="3" max="3" width="25.7109375" style="2" bestFit="1" customWidth="1"/>
    <col min="4" max="4" width="79.140625" style="11" bestFit="1" customWidth="1"/>
    <col min="5" max="5" width="9.5703125" style="11" bestFit="1" customWidth="1"/>
    <col min="6" max="6" width="9.7109375" style="11" bestFit="1" customWidth="1"/>
    <col min="7" max="7" width="19.5703125" style="11" bestFit="1" customWidth="1"/>
    <col min="8" max="8" width="18.28515625" style="11" bestFit="1" customWidth="1"/>
    <col min="9" max="9" width="17.140625" style="11" bestFit="1" customWidth="1"/>
    <col min="10" max="10" width="17.28515625" style="11" bestFit="1" customWidth="1"/>
    <col min="11" max="11" width="25.7109375" style="11" bestFit="1" customWidth="1"/>
    <col min="12" max="12" width="20.7109375" style="11" bestFit="1" customWidth="1"/>
    <col min="13" max="13" width="30" style="11" bestFit="1" customWidth="1"/>
    <col min="14" max="14" width="74.85546875" style="11" customWidth="1"/>
    <col min="15" max="15" width="16.140625" style="50" customWidth="1"/>
    <col min="16" max="16" width="12" style="11" bestFit="1" customWidth="1"/>
    <col min="17" max="17" width="8.7109375" style="11" bestFit="1" customWidth="1"/>
    <col min="18" max="18" width="25.7109375" style="11" bestFit="1" customWidth="1"/>
    <col min="19" max="19" width="59.85546875" style="11" bestFit="1" customWidth="1"/>
    <col min="20" max="20" width="9.5703125" style="11" bestFit="1" customWidth="1"/>
    <col min="21" max="21" width="17.28515625" style="11" bestFit="1" customWidth="1"/>
    <col min="22" max="22" width="19.5703125" style="11" bestFit="1" customWidth="1"/>
    <col min="23" max="23" width="18.28515625" style="11" bestFit="1" customWidth="1"/>
    <col min="24" max="24" width="17.140625" style="11" bestFit="1" customWidth="1"/>
    <col min="25" max="25" width="17.28515625" style="11" bestFit="1" customWidth="1"/>
    <col min="26" max="26" width="19.7109375" style="11" bestFit="1" customWidth="1"/>
    <col min="27" max="27" width="20.7109375" style="11" bestFit="1" customWidth="1"/>
    <col min="28" max="28" width="30" style="11" bestFit="1" customWidth="1"/>
    <col min="29" max="29" width="66.7109375" style="11" customWidth="1"/>
    <col min="30" max="16384" width="8.85546875" style="11"/>
  </cols>
  <sheetData>
    <row r="1" spans="1:29" ht="18" x14ac:dyDescent="0.25">
      <c r="A1" s="54"/>
      <c r="B1" s="54"/>
      <c r="C1" s="54"/>
      <c r="D1" s="54"/>
      <c r="E1" s="54"/>
      <c r="F1" s="54"/>
      <c r="G1" s="54"/>
      <c r="H1" s="54"/>
      <c r="I1" s="54"/>
      <c r="J1" s="54"/>
      <c r="K1" s="54"/>
      <c r="L1" s="54"/>
      <c r="M1" s="54"/>
      <c r="N1" s="54"/>
      <c r="P1" s="54"/>
      <c r="Q1" s="54"/>
      <c r="R1" s="54"/>
      <c r="S1" s="54"/>
      <c r="T1" s="54"/>
      <c r="U1" s="54"/>
      <c r="V1" s="54"/>
      <c r="W1" s="54"/>
      <c r="X1" s="54"/>
      <c r="Y1" s="54"/>
      <c r="Z1" s="54"/>
      <c r="AA1" s="54"/>
      <c r="AB1" s="54"/>
      <c r="AC1" s="54"/>
    </row>
    <row r="2" spans="1:29" ht="18" x14ac:dyDescent="0.25">
      <c r="A2" s="54"/>
      <c r="B2" s="54"/>
      <c r="C2" s="54"/>
      <c r="D2" s="54" t="s">
        <v>129</v>
      </c>
      <c r="E2" s="54"/>
      <c r="F2" s="54"/>
      <c r="G2" s="54"/>
      <c r="H2" s="54"/>
      <c r="I2" s="54"/>
      <c r="J2" s="54"/>
      <c r="K2" s="54"/>
      <c r="L2" s="54"/>
      <c r="M2" s="54"/>
      <c r="N2" s="54"/>
      <c r="P2" s="54" t="s">
        <v>166</v>
      </c>
      <c r="Q2" s="54"/>
      <c r="R2" s="54"/>
      <c r="S2" s="54"/>
      <c r="T2" s="54"/>
      <c r="U2" s="54"/>
      <c r="V2" s="54"/>
      <c r="W2" s="54"/>
      <c r="X2" s="54"/>
      <c r="Y2" s="54"/>
      <c r="Z2" s="54"/>
      <c r="AA2" s="54"/>
      <c r="AB2" s="54"/>
      <c r="AC2" s="54"/>
    </row>
    <row r="3" spans="1:29" ht="18" x14ac:dyDescent="0.25">
      <c r="A3" s="54" t="s">
        <v>142</v>
      </c>
      <c r="B3" s="54"/>
      <c r="C3" s="54"/>
      <c r="D3" s="54"/>
      <c r="E3" s="54" t="s">
        <v>34</v>
      </c>
      <c r="F3" s="54" t="s">
        <v>69</v>
      </c>
      <c r="G3" s="54" t="s">
        <v>141</v>
      </c>
      <c r="H3" s="54" t="s">
        <v>150</v>
      </c>
      <c r="I3" s="54" t="s">
        <v>175</v>
      </c>
      <c r="J3" s="54" t="s">
        <v>160</v>
      </c>
      <c r="K3" s="54" t="s">
        <v>177</v>
      </c>
      <c r="L3" s="54" t="s">
        <v>161</v>
      </c>
      <c r="M3" s="54" t="s">
        <v>162</v>
      </c>
      <c r="N3" s="54" t="s">
        <v>164</v>
      </c>
      <c r="P3" s="54" t="s">
        <v>142</v>
      </c>
      <c r="Q3" s="54"/>
      <c r="R3" s="54"/>
      <c r="S3" s="54" t="s">
        <v>192</v>
      </c>
      <c r="T3" s="54" t="s">
        <v>34</v>
      </c>
      <c r="U3" s="54" t="s">
        <v>176</v>
      </c>
      <c r="V3" s="54" t="s">
        <v>141</v>
      </c>
      <c r="W3" s="54" t="s">
        <v>150</v>
      </c>
      <c r="X3" s="54" t="s">
        <v>175</v>
      </c>
      <c r="Y3" s="54" t="s">
        <v>160</v>
      </c>
      <c r="Z3" s="54" t="s">
        <v>155</v>
      </c>
      <c r="AA3" s="54" t="s">
        <v>161</v>
      </c>
      <c r="AB3" s="54" t="s">
        <v>162</v>
      </c>
      <c r="AC3" s="54" t="s">
        <v>164</v>
      </c>
    </row>
    <row r="4" spans="1:29" ht="18" x14ac:dyDescent="0.25">
      <c r="A4" s="54" t="s">
        <v>143</v>
      </c>
      <c r="B4" s="54">
        <v>1</v>
      </c>
      <c r="C4" s="54" t="s">
        <v>85</v>
      </c>
      <c r="D4" s="54" t="s">
        <v>75</v>
      </c>
      <c r="E4" s="54">
        <v>3</v>
      </c>
      <c r="F4" s="54">
        <v>2</v>
      </c>
      <c r="G4" s="54">
        <v>2</v>
      </c>
      <c r="H4" s="54">
        <v>2</v>
      </c>
      <c r="I4" s="54">
        <v>2</v>
      </c>
      <c r="J4" s="54">
        <v>1</v>
      </c>
      <c r="K4" s="54">
        <f t="shared" ref="K4:K18" si="0">(IF(ISNUMBER(SEARCH("yes",A4)),J4,0))</f>
        <v>1</v>
      </c>
      <c r="L4" s="54">
        <f t="shared" ref="L4:L18" si="1">(J4*(1/$J$20))</f>
        <v>2.895927601809956</v>
      </c>
      <c r="M4" s="54">
        <f t="shared" ref="M4:M18" si="2">(IF(ISNUMBER(SEARCH("yes",A4)),(K4*(1/$K$20)),0))</f>
        <v>3.615819209039548</v>
      </c>
      <c r="N4" s="54" t="s">
        <v>171</v>
      </c>
      <c r="P4" s="54" t="s">
        <v>144</v>
      </c>
      <c r="Q4" s="54">
        <v>2</v>
      </c>
      <c r="R4" s="54"/>
      <c r="S4" s="54" t="s">
        <v>76</v>
      </c>
      <c r="T4" s="54">
        <v>3</v>
      </c>
      <c r="U4" s="54">
        <v>2</v>
      </c>
      <c r="V4" s="54">
        <v>2</v>
      </c>
      <c r="W4" s="54">
        <v>2</v>
      </c>
      <c r="X4" s="54">
        <v>2</v>
      </c>
      <c r="Y4" s="54">
        <v>0.1</v>
      </c>
      <c r="Z4" s="54">
        <f t="shared" ref="Z4:Z19" si="3">(IF(ISNUMBER(SEARCH("yes",P4)),Y4,0))</f>
        <v>0</v>
      </c>
      <c r="AA4" s="54">
        <f t="shared" ref="AA4:AA19" si="4">(Y4*(1/$Y$20))</f>
        <v>0.2895927601809955</v>
      </c>
      <c r="AB4" s="54">
        <f t="shared" ref="AB4:AB19" si="5">(IF(ISNUMBER(SEARCH("yes",P4)),(Z4*(1/$Z$20)),0))</f>
        <v>0</v>
      </c>
      <c r="AC4" s="54" t="s">
        <v>172</v>
      </c>
    </row>
    <row r="5" spans="1:29" ht="18" x14ac:dyDescent="0.25">
      <c r="A5" s="54" t="s">
        <v>144</v>
      </c>
      <c r="B5" s="54">
        <v>2</v>
      </c>
      <c r="C5" s="54"/>
      <c r="D5" s="54" t="s">
        <v>76</v>
      </c>
      <c r="E5" s="54">
        <v>3</v>
      </c>
      <c r="F5" s="54">
        <v>2</v>
      </c>
      <c r="G5" s="54">
        <v>2</v>
      </c>
      <c r="H5" s="54">
        <v>2</v>
      </c>
      <c r="I5" s="54">
        <v>2</v>
      </c>
      <c r="J5" s="54">
        <v>0.1</v>
      </c>
      <c r="K5" s="54">
        <f t="shared" si="0"/>
        <v>0</v>
      </c>
      <c r="L5" s="54">
        <f t="shared" si="1"/>
        <v>0.28959276018099561</v>
      </c>
      <c r="M5" s="54">
        <f t="shared" si="2"/>
        <v>0</v>
      </c>
      <c r="N5" s="54" t="s">
        <v>172</v>
      </c>
      <c r="P5" s="54" t="s">
        <v>144</v>
      </c>
      <c r="Q5" s="54">
        <v>7</v>
      </c>
      <c r="R5" s="54"/>
      <c r="S5" s="54" t="s">
        <v>87</v>
      </c>
      <c r="T5" s="54">
        <v>1</v>
      </c>
      <c r="U5" s="54">
        <v>3</v>
      </c>
      <c r="V5" s="54">
        <v>3</v>
      </c>
      <c r="W5" s="54">
        <v>3</v>
      </c>
      <c r="X5" s="54">
        <v>3</v>
      </c>
      <c r="Y5" s="54">
        <v>0.1</v>
      </c>
      <c r="Z5" s="54">
        <f t="shared" si="3"/>
        <v>0</v>
      </c>
      <c r="AA5" s="54">
        <f t="shared" si="4"/>
        <v>0.2895927601809955</v>
      </c>
      <c r="AB5" s="54">
        <f t="shared" si="5"/>
        <v>0</v>
      </c>
      <c r="AC5" s="54" t="s">
        <v>180</v>
      </c>
    </row>
    <row r="6" spans="1:29" ht="18" x14ac:dyDescent="0.25">
      <c r="A6" s="54" t="s">
        <v>143</v>
      </c>
      <c r="B6" s="54">
        <v>3</v>
      </c>
      <c r="C6" s="54"/>
      <c r="D6" s="54" t="s">
        <v>151</v>
      </c>
      <c r="E6" s="54">
        <v>3</v>
      </c>
      <c r="F6" s="54">
        <v>3</v>
      </c>
      <c r="G6" s="54">
        <v>3</v>
      </c>
      <c r="H6" s="54">
        <v>1</v>
      </c>
      <c r="I6" s="54">
        <v>1</v>
      </c>
      <c r="J6" s="54">
        <v>1</v>
      </c>
      <c r="K6" s="54">
        <f t="shared" si="0"/>
        <v>1</v>
      </c>
      <c r="L6" s="54">
        <f t="shared" si="1"/>
        <v>2.895927601809956</v>
      </c>
      <c r="M6" s="54">
        <f t="shared" si="2"/>
        <v>3.615819209039548</v>
      </c>
      <c r="N6" s="54" t="s">
        <v>174</v>
      </c>
      <c r="P6" s="54" t="s">
        <v>144</v>
      </c>
      <c r="Q6" s="54">
        <v>10</v>
      </c>
      <c r="R6" s="54" t="s">
        <v>24</v>
      </c>
      <c r="S6" s="54" t="s">
        <v>19</v>
      </c>
      <c r="T6" s="54">
        <v>2</v>
      </c>
      <c r="U6" s="54">
        <v>3</v>
      </c>
      <c r="V6" s="54">
        <v>1</v>
      </c>
      <c r="W6" s="54">
        <v>1</v>
      </c>
      <c r="X6" s="54">
        <v>1</v>
      </c>
      <c r="Y6" s="54">
        <v>0.1</v>
      </c>
      <c r="Z6" s="54">
        <f t="shared" si="3"/>
        <v>0</v>
      </c>
      <c r="AA6" s="54">
        <f t="shared" si="4"/>
        <v>0.2895927601809955</v>
      </c>
      <c r="AB6" s="54">
        <f t="shared" si="5"/>
        <v>0</v>
      </c>
      <c r="AC6" s="54" t="s">
        <v>183</v>
      </c>
    </row>
    <row r="7" spans="1:29" ht="18" x14ac:dyDescent="0.25">
      <c r="A7" s="54" t="s">
        <v>143</v>
      </c>
      <c r="B7" s="54">
        <v>4</v>
      </c>
      <c r="C7" s="54" t="s">
        <v>16</v>
      </c>
      <c r="D7" s="54" t="s">
        <v>145</v>
      </c>
      <c r="E7" s="54">
        <v>1</v>
      </c>
      <c r="F7" s="54">
        <v>3</v>
      </c>
      <c r="G7" s="54">
        <v>3</v>
      </c>
      <c r="H7" s="54">
        <v>3</v>
      </c>
      <c r="I7" s="54">
        <v>3</v>
      </c>
      <c r="J7" s="54">
        <v>0.6</v>
      </c>
      <c r="K7" s="54">
        <f t="shared" si="0"/>
        <v>0.6</v>
      </c>
      <c r="L7" s="54">
        <f t="shared" si="1"/>
        <v>1.7375565610859736</v>
      </c>
      <c r="M7" s="54">
        <f t="shared" si="2"/>
        <v>2.1694915254237288</v>
      </c>
      <c r="N7" s="54" t="s">
        <v>173</v>
      </c>
      <c r="P7" s="54" t="s">
        <v>144</v>
      </c>
      <c r="Q7" s="54">
        <v>11</v>
      </c>
      <c r="R7" s="54"/>
      <c r="S7" s="54" t="s">
        <v>20</v>
      </c>
      <c r="T7" s="54">
        <v>1</v>
      </c>
      <c r="U7" s="54">
        <v>3</v>
      </c>
      <c r="V7" s="54">
        <v>3</v>
      </c>
      <c r="W7" s="54">
        <v>3</v>
      </c>
      <c r="X7" s="54">
        <v>3</v>
      </c>
      <c r="Y7" s="54">
        <v>0.1</v>
      </c>
      <c r="Z7" s="54">
        <f t="shared" si="3"/>
        <v>0</v>
      </c>
      <c r="AA7" s="54">
        <f t="shared" si="4"/>
        <v>0.2895927601809955</v>
      </c>
      <c r="AB7" s="54">
        <f t="shared" si="5"/>
        <v>0</v>
      </c>
      <c r="AC7" s="54" t="s">
        <v>182</v>
      </c>
    </row>
    <row r="8" spans="1:29" ht="18" x14ac:dyDescent="0.25">
      <c r="A8" s="54" t="s">
        <v>144</v>
      </c>
      <c r="B8" s="54">
        <v>5</v>
      </c>
      <c r="C8" s="54"/>
      <c r="D8" s="54" t="s">
        <v>77</v>
      </c>
      <c r="E8" s="54">
        <v>3</v>
      </c>
      <c r="F8" s="54">
        <v>2</v>
      </c>
      <c r="G8" s="54">
        <v>2</v>
      </c>
      <c r="H8" s="54">
        <v>2</v>
      </c>
      <c r="I8" s="54">
        <v>2</v>
      </c>
      <c r="J8" s="54">
        <v>0.4</v>
      </c>
      <c r="K8" s="54">
        <f t="shared" si="0"/>
        <v>0</v>
      </c>
      <c r="L8" s="54">
        <f t="shared" si="1"/>
        <v>1.1583710407239824</v>
      </c>
      <c r="M8" s="54">
        <f t="shared" si="2"/>
        <v>0</v>
      </c>
      <c r="N8" s="54" t="s">
        <v>178</v>
      </c>
      <c r="P8" s="54" t="s">
        <v>144</v>
      </c>
      <c r="Q8" s="54">
        <v>13</v>
      </c>
      <c r="R8" s="54" t="s">
        <v>21</v>
      </c>
      <c r="S8" s="54" t="s">
        <v>127</v>
      </c>
      <c r="T8" s="54">
        <v>3</v>
      </c>
      <c r="U8" s="54">
        <v>2</v>
      </c>
      <c r="V8" s="54">
        <v>2</v>
      </c>
      <c r="W8" s="54">
        <v>2</v>
      </c>
      <c r="X8" s="54">
        <v>2</v>
      </c>
      <c r="Y8" s="54">
        <v>0.1</v>
      </c>
      <c r="Z8" s="54">
        <f t="shared" si="3"/>
        <v>0</v>
      </c>
      <c r="AA8" s="54">
        <f t="shared" si="4"/>
        <v>0.2895927601809955</v>
      </c>
      <c r="AB8" s="54">
        <f t="shared" si="5"/>
        <v>0</v>
      </c>
      <c r="AC8" s="54" t="s">
        <v>185</v>
      </c>
    </row>
    <row r="9" spans="1:29" ht="18" x14ac:dyDescent="0.25">
      <c r="A9" s="54" t="s">
        <v>143</v>
      </c>
      <c r="B9" s="54">
        <v>6</v>
      </c>
      <c r="C9" s="54"/>
      <c r="D9" s="54" t="s">
        <v>78</v>
      </c>
      <c r="E9" s="54">
        <v>1</v>
      </c>
      <c r="F9" s="54">
        <v>3</v>
      </c>
      <c r="G9" s="54">
        <v>3</v>
      </c>
      <c r="H9" s="54">
        <v>3</v>
      </c>
      <c r="I9" s="54">
        <v>3</v>
      </c>
      <c r="J9" s="54">
        <v>0.5</v>
      </c>
      <c r="K9" s="54">
        <f t="shared" si="0"/>
        <v>0.5</v>
      </c>
      <c r="L9" s="54">
        <f t="shared" si="1"/>
        <v>1.447963800904978</v>
      </c>
      <c r="M9" s="54">
        <f t="shared" si="2"/>
        <v>1.807909604519774</v>
      </c>
      <c r="N9" s="54" t="s">
        <v>179</v>
      </c>
      <c r="P9" s="54" t="s">
        <v>144</v>
      </c>
      <c r="Q9" s="54">
        <v>14</v>
      </c>
      <c r="R9" s="54"/>
      <c r="S9" s="54" t="s">
        <v>33</v>
      </c>
      <c r="T9" s="54">
        <v>1</v>
      </c>
      <c r="U9" s="54">
        <v>1</v>
      </c>
      <c r="V9" s="54">
        <v>1</v>
      </c>
      <c r="W9" s="54">
        <v>3</v>
      </c>
      <c r="X9" s="54">
        <v>3</v>
      </c>
      <c r="Y9" s="54">
        <v>0.1</v>
      </c>
      <c r="Z9" s="54">
        <f t="shared" si="3"/>
        <v>0</v>
      </c>
      <c r="AA9" s="54">
        <f t="shared" si="4"/>
        <v>0.2895927601809955</v>
      </c>
      <c r="AB9" s="54">
        <f t="shared" si="5"/>
        <v>0</v>
      </c>
      <c r="AC9" s="54" t="s">
        <v>186</v>
      </c>
    </row>
    <row r="10" spans="1:29" ht="18" x14ac:dyDescent="0.25">
      <c r="A10" s="54" t="s">
        <v>144</v>
      </c>
      <c r="B10" s="54">
        <v>7</v>
      </c>
      <c r="C10" s="54"/>
      <c r="D10" s="54" t="s">
        <v>87</v>
      </c>
      <c r="E10" s="54">
        <v>1</v>
      </c>
      <c r="F10" s="54">
        <v>3</v>
      </c>
      <c r="G10" s="54">
        <v>3</v>
      </c>
      <c r="H10" s="54">
        <v>3</v>
      </c>
      <c r="I10" s="54">
        <v>3</v>
      </c>
      <c r="J10" s="54">
        <v>0.1</v>
      </c>
      <c r="K10" s="54">
        <f t="shared" si="0"/>
        <v>0</v>
      </c>
      <c r="L10" s="54">
        <f t="shared" si="1"/>
        <v>0.28959276018099561</v>
      </c>
      <c r="M10" s="54">
        <f t="shared" si="2"/>
        <v>0</v>
      </c>
      <c r="N10" s="54" t="s">
        <v>180</v>
      </c>
      <c r="P10" s="54" t="s">
        <v>144</v>
      </c>
      <c r="Q10" s="54">
        <v>15</v>
      </c>
      <c r="R10" s="54"/>
      <c r="S10" s="54" t="s">
        <v>158</v>
      </c>
      <c r="T10" s="54">
        <v>1</v>
      </c>
      <c r="U10" s="54">
        <v>3</v>
      </c>
      <c r="V10" s="54">
        <v>3</v>
      </c>
      <c r="W10" s="54">
        <v>3</v>
      </c>
      <c r="X10" s="54">
        <v>3</v>
      </c>
      <c r="Y10" s="54">
        <v>0.1</v>
      </c>
      <c r="Z10" s="54">
        <f t="shared" si="3"/>
        <v>0</v>
      </c>
      <c r="AA10" s="54">
        <f t="shared" si="4"/>
        <v>0.2895927601809955</v>
      </c>
      <c r="AB10" s="54">
        <f t="shared" si="5"/>
        <v>0</v>
      </c>
      <c r="AC10" s="54" t="s">
        <v>185</v>
      </c>
    </row>
    <row r="11" spans="1:29" ht="18" x14ac:dyDescent="0.25">
      <c r="A11" s="54" t="s">
        <v>143</v>
      </c>
      <c r="B11" s="54">
        <v>8</v>
      </c>
      <c r="C11" s="54"/>
      <c r="D11" s="54" t="s">
        <v>88</v>
      </c>
      <c r="E11" s="54">
        <v>1</v>
      </c>
      <c r="F11" s="54">
        <v>3</v>
      </c>
      <c r="G11" s="54">
        <v>3</v>
      </c>
      <c r="H11" s="54">
        <v>3</v>
      </c>
      <c r="I11" s="54">
        <v>3</v>
      </c>
      <c r="J11" s="54">
        <v>0.75</v>
      </c>
      <c r="K11" s="54">
        <f t="shared" si="0"/>
        <v>0.75</v>
      </c>
      <c r="L11" s="54">
        <f t="shared" si="1"/>
        <v>2.1719457013574672</v>
      </c>
      <c r="M11" s="54">
        <f t="shared" si="2"/>
        <v>2.7118644067796609</v>
      </c>
      <c r="N11" s="54" t="s">
        <v>181</v>
      </c>
      <c r="P11" s="54" t="s">
        <v>144</v>
      </c>
      <c r="Q11" s="54">
        <v>5</v>
      </c>
      <c r="R11" s="54"/>
      <c r="S11" s="54" t="s">
        <v>77</v>
      </c>
      <c r="T11" s="54">
        <v>3</v>
      </c>
      <c r="U11" s="54">
        <v>2</v>
      </c>
      <c r="V11" s="54">
        <v>2</v>
      </c>
      <c r="W11" s="54">
        <v>2</v>
      </c>
      <c r="X11" s="54">
        <v>2</v>
      </c>
      <c r="Y11" s="54">
        <v>0.4</v>
      </c>
      <c r="Z11" s="54">
        <f t="shared" si="3"/>
        <v>0</v>
      </c>
      <c r="AA11" s="54">
        <f t="shared" si="4"/>
        <v>1.158371040723982</v>
      </c>
      <c r="AB11" s="54">
        <f t="shared" si="5"/>
        <v>0</v>
      </c>
      <c r="AC11" s="54" t="s">
        <v>178</v>
      </c>
    </row>
    <row r="12" spans="1:29" ht="18" x14ac:dyDescent="0.25">
      <c r="A12" s="54" t="s">
        <v>143</v>
      </c>
      <c r="B12" s="54">
        <v>9</v>
      </c>
      <c r="C12" s="54"/>
      <c r="D12" s="54" t="s">
        <v>89</v>
      </c>
      <c r="E12" s="54">
        <v>1</v>
      </c>
      <c r="F12" s="54">
        <v>3</v>
      </c>
      <c r="G12" s="54">
        <v>3</v>
      </c>
      <c r="H12" s="54">
        <v>3</v>
      </c>
      <c r="I12" s="54">
        <v>3</v>
      </c>
      <c r="J12" s="54">
        <v>0.1</v>
      </c>
      <c r="K12" s="54">
        <f t="shared" si="0"/>
        <v>0.1</v>
      </c>
      <c r="L12" s="54">
        <f t="shared" si="1"/>
        <v>0.28959276018099561</v>
      </c>
      <c r="M12" s="54">
        <f t="shared" si="2"/>
        <v>0.3615819209039548</v>
      </c>
      <c r="N12" s="54" t="s">
        <v>181</v>
      </c>
      <c r="P12" s="54" t="s">
        <v>143</v>
      </c>
      <c r="Q12" s="54">
        <v>9</v>
      </c>
      <c r="R12" s="54"/>
      <c r="S12" s="54" t="s">
        <v>89</v>
      </c>
      <c r="T12" s="54">
        <v>1</v>
      </c>
      <c r="U12" s="54">
        <v>3</v>
      </c>
      <c r="V12" s="54">
        <v>3</v>
      </c>
      <c r="W12" s="54">
        <v>3</v>
      </c>
      <c r="X12" s="54">
        <v>3</v>
      </c>
      <c r="Y12" s="54">
        <v>0.1</v>
      </c>
      <c r="Z12" s="54">
        <f t="shared" si="3"/>
        <v>0.1</v>
      </c>
      <c r="AA12" s="54">
        <f t="shared" si="4"/>
        <v>0.2895927601809955</v>
      </c>
      <c r="AB12" s="54">
        <f t="shared" si="5"/>
        <v>0.3615819209039548</v>
      </c>
      <c r="AC12" s="54" t="s">
        <v>181</v>
      </c>
    </row>
    <row r="13" spans="1:29" ht="18" x14ac:dyDescent="0.25">
      <c r="A13" s="54" t="s">
        <v>144</v>
      </c>
      <c r="B13" s="54">
        <v>10</v>
      </c>
      <c r="C13" s="54" t="s">
        <v>24</v>
      </c>
      <c r="D13" s="54" t="s">
        <v>19</v>
      </c>
      <c r="E13" s="54">
        <v>2</v>
      </c>
      <c r="F13" s="54">
        <v>3</v>
      </c>
      <c r="G13" s="54">
        <v>1</v>
      </c>
      <c r="H13" s="54">
        <v>1</v>
      </c>
      <c r="I13" s="54">
        <v>1</v>
      </c>
      <c r="J13" s="54">
        <v>0.1</v>
      </c>
      <c r="K13" s="54">
        <f t="shared" si="0"/>
        <v>0</v>
      </c>
      <c r="L13" s="54">
        <f t="shared" si="1"/>
        <v>0.28959276018099561</v>
      </c>
      <c r="M13" s="54">
        <f t="shared" si="2"/>
        <v>0</v>
      </c>
      <c r="N13" s="54" t="s">
        <v>183</v>
      </c>
      <c r="P13" s="54" t="s">
        <v>143</v>
      </c>
      <c r="Q13" s="54">
        <v>12</v>
      </c>
      <c r="R13" s="54" t="s">
        <v>12</v>
      </c>
      <c r="S13" s="54" t="s">
        <v>153</v>
      </c>
      <c r="T13" s="54">
        <v>3</v>
      </c>
      <c r="U13" s="54">
        <v>3</v>
      </c>
      <c r="V13" s="54">
        <v>3</v>
      </c>
      <c r="W13" s="54">
        <v>2</v>
      </c>
      <c r="X13" s="54">
        <v>2</v>
      </c>
      <c r="Y13" s="54">
        <v>0.1</v>
      </c>
      <c r="Z13" s="54">
        <f t="shared" si="3"/>
        <v>0.1</v>
      </c>
      <c r="AA13" s="54">
        <f t="shared" si="4"/>
        <v>0.2895927601809955</v>
      </c>
      <c r="AB13" s="54">
        <f t="shared" si="5"/>
        <v>0.3615819209039548</v>
      </c>
      <c r="AC13" s="54" t="s">
        <v>184</v>
      </c>
    </row>
    <row r="14" spans="1:29" ht="18" x14ac:dyDescent="0.25">
      <c r="A14" s="54" t="s">
        <v>144</v>
      </c>
      <c r="B14" s="54">
        <v>11</v>
      </c>
      <c r="C14" s="54"/>
      <c r="D14" s="54" t="s">
        <v>20</v>
      </c>
      <c r="E14" s="54">
        <v>1</v>
      </c>
      <c r="F14" s="54">
        <v>3</v>
      </c>
      <c r="G14" s="54">
        <v>3</v>
      </c>
      <c r="H14" s="54">
        <v>3</v>
      </c>
      <c r="I14" s="54">
        <v>3</v>
      </c>
      <c r="J14" s="54">
        <v>0.1</v>
      </c>
      <c r="K14" s="54">
        <f t="shared" si="0"/>
        <v>0</v>
      </c>
      <c r="L14" s="54">
        <f t="shared" si="1"/>
        <v>0.28959276018099561</v>
      </c>
      <c r="M14" s="54">
        <f t="shared" si="2"/>
        <v>0</v>
      </c>
      <c r="N14" s="54" t="s">
        <v>182</v>
      </c>
      <c r="P14" s="54" t="s">
        <v>143</v>
      </c>
      <c r="Q14" s="54">
        <v>16</v>
      </c>
      <c r="R14" s="54" t="s">
        <v>146</v>
      </c>
      <c r="S14" s="54" t="s">
        <v>10</v>
      </c>
      <c r="T14" s="54">
        <v>3</v>
      </c>
      <c r="U14" s="54">
        <v>2</v>
      </c>
      <c r="V14" s="54">
        <v>1</v>
      </c>
      <c r="W14" s="54">
        <v>4</v>
      </c>
      <c r="X14" s="54">
        <v>4</v>
      </c>
      <c r="Y14" s="54">
        <v>0.375</v>
      </c>
      <c r="Z14" s="54">
        <f t="shared" si="3"/>
        <v>0.375</v>
      </c>
      <c r="AA14" s="54">
        <f t="shared" si="4"/>
        <v>1.0859728506787329</v>
      </c>
      <c r="AB14" s="54">
        <f t="shared" si="5"/>
        <v>1.3559322033898304</v>
      </c>
      <c r="AC14" s="54" t="s">
        <v>170</v>
      </c>
    </row>
    <row r="15" spans="1:29" ht="18" x14ac:dyDescent="0.25">
      <c r="A15" s="54" t="s">
        <v>143</v>
      </c>
      <c r="B15" s="54">
        <v>12</v>
      </c>
      <c r="C15" s="54" t="s">
        <v>12</v>
      </c>
      <c r="D15" s="54" t="s">
        <v>153</v>
      </c>
      <c r="E15" s="54">
        <v>3</v>
      </c>
      <c r="F15" s="54">
        <v>3</v>
      </c>
      <c r="G15" s="54">
        <v>3</v>
      </c>
      <c r="H15" s="54">
        <v>2</v>
      </c>
      <c r="I15" s="54">
        <v>2</v>
      </c>
      <c r="J15" s="54">
        <v>0.1</v>
      </c>
      <c r="K15" s="54">
        <f t="shared" si="0"/>
        <v>0.1</v>
      </c>
      <c r="L15" s="54">
        <f t="shared" si="1"/>
        <v>0.28959276018099561</v>
      </c>
      <c r="M15" s="54">
        <f t="shared" si="2"/>
        <v>0.3615819209039548</v>
      </c>
      <c r="N15" s="54" t="s">
        <v>184</v>
      </c>
      <c r="P15" s="54" t="s">
        <v>143</v>
      </c>
      <c r="Q15" s="54">
        <v>6</v>
      </c>
      <c r="R15" s="54"/>
      <c r="S15" s="54" t="s">
        <v>78</v>
      </c>
      <c r="T15" s="54">
        <v>1</v>
      </c>
      <c r="U15" s="54">
        <v>3</v>
      </c>
      <c r="V15" s="54">
        <v>3</v>
      </c>
      <c r="W15" s="54">
        <v>3</v>
      </c>
      <c r="X15" s="54">
        <v>3</v>
      </c>
      <c r="Y15" s="54">
        <v>0.5</v>
      </c>
      <c r="Z15" s="54">
        <f t="shared" si="3"/>
        <v>0.5</v>
      </c>
      <c r="AA15" s="54">
        <f t="shared" si="4"/>
        <v>1.4479638009049773</v>
      </c>
      <c r="AB15" s="54">
        <f t="shared" si="5"/>
        <v>1.807909604519774</v>
      </c>
      <c r="AC15" s="54" t="s">
        <v>179</v>
      </c>
    </row>
    <row r="16" spans="1:29" ht="18" x14ac:dyDescent="0.25">
      <c r="A16" s="54" t="s">
        <v>144</v>
      </c>
      <c r="B16" s="54">
        <v>13</v>
      </c>
      <c r="C16" s="54" t="s">
        <v>21</v>
      </c>
      <c r="D16" s="54" t="s">
        <v>127</v>
      </c>
      <c r="E16" s="54">
        <v>3</v>
      </c>
      <c r="F16" s="54">
        <v>2</v>
      </c>
      <c r="G16" s="54">
        <v>2</v>
      </c>
      <c r="H16" s="54">
        <v>2</v>
      </c>
      <c r="I16" s="54">
        <v>2</v>
      </c>
      <c r="J16" s="54">
        <v>0.1</v>
      </c>
      <c r="K16" s="54">
        <f t="shared" si="0"/>
        <v>0</v>
      </c>
      <c r="L16" s="54">
        <f t="shared" si="1"/>
        <v>0.28959276018099561</v>
      </c>
      <c r="M16" s="54">
        <f t="shared" si="2"/>
        <v>0</v>
      </c>
      <c r="N16" s="54" t="s">
        <v>185</v>
      </c>
      <c r="P16" s="54" t="s">
        <v>143</v>
      </c>
      <c r="Q16" s="54">
        <v>4</v>
      </c>
      <c r="R16" s="54" t="s">
        <v>16</v>
      </c>
      <c r="S16" s="54" t="s">
        <v>145</v>
      </c>
      <c r="T16" s="54">
        <v>1</v>
      </c>
      <c r="U16" s="54">
        <v>3</v>
      </c>
      <c r="V16" s="54">
        <v>3</v>
      </c>
      <c r="W16" s="54">
        <v>3</v>
      </c>
      <c r="X16" s="54">
        <v>3</v>
      </c>
      <c r="Y16" s="54">
        <v>0.6</v>
      </c>
      <c r="Z16" s="54">
        <f t="shared" si="3"/>
        <v>0.6</v>
      </c>
      <c r="AA16" s="54">
        <f t="shared" si="4"/>
        <v>1.7375565610859727</v>
      </c>
      <c r="AB16" s="54">
        <f t="shared" si="5"/>
        <v>2.1694915254237288</v>
      </c>
      <c r="AC16" s="54" t="s">
        <v>173</v>
      </c>
    </row>
    <row r="17" spans="1:29" ht="18" x14ac:dyDescent="0.25">
      <c r="A17" s="54" t="s">
        <v>144</v>
      </c>
      <c r="B17" s="54">
        <v>14</v>
      </c>
      <c r="C17" s="54"/>
      <c r="D17" s="54" t="s">
        <v>33</v>
      </c>
      <c r="E17" s="54">
        <v>1</v>
      </c>
      <c r="F17" s="54">
        <v>1</v>
      </c>
      <c r="G17" s="54">
        <v>1</v>
      </c>
      <c r="H17" s="54">
        <v>3</v>
      </c>
      <c r="I17" s="54">
        <v>3</v>
      </c>
      <c r="J17" s="54">
        <v>0.1</v>
      </c>
      <c r="K17" s="54">
        <f t="shared" si="0"/>
        <v>0</v>
      </c>
      <c r="L17" s="54">
        <f t="shared" si="1"/>
        <v>0.28959276018099561</v>
      </c>
      <c r="M17" s="54">
        <f t="shared" si="2"/>
        <v>0</v>
      </c>
      <c r="N17" s="54" t="s">
        <v>186</v>
      </c>
      <c r="P17" s="54" t="s">
        <v>143</v>
      </c>
      <c r="Q17" s="54">
        <v>8</v>
      </c>
      <c r="R17" s="54"/>
      <c r="S17" s="54" t="s">
        <v>88</v>
      </c>
      <c r="T17" s="54">
        <v>1</v>
      </c>
      <c r="U17" s="54">
        <v>3</v>
      </c>
      <c r="V17" s="54">
        <v>3</v>
      </c>
      <c r="W17" s="54">
        <v>3</v>
      </c>
      <c r="X17" s="54">
        <v>3</v>
      </c>
      <c r="Y17" s="54">
        <v>0.75</v>
      </c>
      <c r="Z17" s="54">
        <f t="shared" si="3"/>
        <v>0.75</v>
      </c>
      <c r="AA17" s="54">
        <f t="shared" si="4"/>
        <v>2.1719457013574659</v>
      </c>
      <c r="AB17" s="54">
        <f t="shared" si="5"/>
        <v>2.7118644067796609</v>
      </c>
      <c r="AC17" s="54" t="s">
        <v>181</v>
      </c>
    </row>
    <row r="18" spans="1:29" ht="18" x14ac:dyDescent="0.25">
      <c r="A18" s="54" t="s">
        <v>144</v>
      </c>
      <c r="B18" s="54">
        <v>15</v>
      </c>
      <c r="C18" s="54"/>
      <c r="D18" s="54" t="s">
        <v>158</v>
      </c>
      <c r="E18" s="54">
        <v>1</v>
      </c>
      <c r="F18" s="54">
        <v>3</v>
      </c>
      <c r="G18" s="54">
        <v>3</v>
      </c>
      <c r="H18" s="54">
        <v>3</v>
      </c>
      <c r="I18" s="54">
        <v>3</v>
      </c>
      <c r="J18" s="54">
        <v>0.1</v>
      </c>
      <c r="K18" s="54">
        <f t="shared" si="0"/>
        <v>0</v>
      </c>
      <c r="L18" s="54">
        <f t="shared" si="1"/>
        <v>0.28959276018099561</v>
      </c>
      <c r="M18" s="54">
        <f t="shared" si="2"/>
        <v>0</v>
      </c>
      <c r="N18" s="54" t="s">
        <v>185</v>
      </c>
      <c r="P18" s="54" t="s">
        <v>143</v>
      </c>
      <c r="Q18" s="54">
        <v>1</v>
      </c>
      <c r="R18" s="54" t="s">
        <v>85</v>
      </c>
      <c r="S18" s="54" t="s">
        <v>75</v>
      </c>
      <c r="T18" s="54">
        <v>3</v>
      </c>
      <c r="U18" s="54">
        <v>2</v>
      </c>
      <c r="V18" s="54">
        <v>2</v>
      </c>
      <c r="W18" s="54">
        <v>2</v>
      </c>
      <c r="X18" s="54">
        <v>2</v>
      </c>
      <c r="Y18" s="54">
        <v>1</v>
      </c>
      <c r="Z18" s="54">
        <f t="shared" si="3"/>
        <v>1</v>
      </c>
      <c r="AA18" s="54">
        <f t="shared" si="4"/>
        <v>2.8959276018099547</v>
      </c>
      <c r="AB18" s="54">
        <f t="shared" si="5"/>
        <v>3.615819209039548</v>
      </c>
      <c r="AC18" s="54" t="s">
        <v>171</v>
      </c>
    </row>
    <row r="19" spans="1:29" ht="18" x14ac:dyDescent="0.25">
      <c r="A19" s="54" t="s">
        <v>143</v>
      </c>
      <c r="B19" s="54">
        <v>16</v>
      </c>
      <c r="C19" s="54" t="s">
        <v>146</v>
      </c>
      <c r="D19" s="54" t="s">
        <v>10</v>
      </c>
      <c r="E19" s="54">
        <v>3</v>
      </c>
      <c r="F19" s="54">
        <v>2</v>
      </c>
      <c r="G19" s="54">
        <v>1</v>
      </c>
      <c r="H19" s="54">
        <v>4</v>
      </c>
      <c r="I19" s="54">
        <v>4</v>
      </c>
      <c r="J19" s="54">
        <v>0.375</v>
      </c>
      <c r="K19" s="54">
        <f>(IF(ISNUMBER(SEARCH("yes",A19)),J19,0))</f>
        <v>0.375</v>
      </c>
      <c r="L19" s="54">
        <f>(J19*(1/$J$20))</f>
        <v>1.0859728506787336</v>
      </c>
      <c r="M19" s="54">
        <f>(IF(ISNUMBER(SEARCH("yes",A19)),(K19*(1/$K$20)),0))</f>
        <v>1.3559322033898304</v>
      </c>
      <c r="N19" s="54" t="s">
        <v>170</v>
      </c>
      <c r="P19" s="54" t="s">
        <v>143</v>
      </c>
      <c r="Q19" s="54">
        <v>3</v>
      </c>
      <c r="R19" s="54"/>
      <c r="S19" s="54" t="s">
        <v>151</v>
      </c>
      <c r="T19" s="54">
        <v>3</v>
      </c>
      <c r="U19" s="54">
        <v>3</v>
      </c>
      <c r="V19" s="54">
        <v>3</v>
      </c>
      <c r="W19" s="54">
        <v>1</v>
      </c>
      <c r="X19" s="54">
        <v>1</v>
      </c>
      <c r="Y19" s="54">
        <v>1</v>
      </c>
      <c r="Z19" s="54">
        <f t="shared" si="3"/>
        <v>1</v>
      </c>
      <c r="AA19" s="54">
        <f t="shared" si="4"/>
        <v>2.8959276018099547</v>
      </c>
      <c r="AB19" s="54">
        <f t="shared" si="5"/>
        <v>3.615819209039548</v>
      </c>
      <c r="AC19" s="54" t="s">
        <v>188</v>
      </c>
    </row>
    <row r="20" spans="1:29" ht="18" x14ac:dyDescent="0.25">
      <c r="A20" s="54"/>
      <c r="B20" s="54"/>
      <c r="C20" s="54"/>
      <c r="D20" s="54" t="s">
        <v>159</v>
      </c>
      <c r="E20" s="54">
        <f>(SUM(E4:E19))</f>
        <v>31</v>
      </c>
      <c r="F20" s="54">
        <f>(SUM(F4:F19))</f>
        <v>41</v>
      </c>
      <c r="G20" s="54">
        <f>(SUM(G4:G19))</f>
        <v>38</v>
      </c>
      <c r="H20" s="54">
        <f>(SUM(H4:H19))</f>
        <v>40</v>
      </c>
      <c r="I20" s="54">
        <f>(SUM(I4:I19))</f>
        <v>40</v>
      </c>
      <c r="J20" s="54">
        <f>(AVERAGE(J4:J19))</f>
        <v>0.34531249999999986</v>
      </c>
      <c r="K20" s="54">
        <f>(AVERAGE(K4:K19))</f>
        <v>0.27656249999999999</v>
      </c>
      <c r="L20" s="54">
        <f>(AVERAGE(L4:L19))</f>
        <v>1.0000000000000009</v>
      </c>
      <c r="M20" s="54">
        <f>(AVERAGE(M4:M19))</f>
        <v>1</v>
      </c>
      <c r="N20" s="54" t="s">
        <v>189</v>
      </c>
      <c r="P20" s="54"/>
      <c r="Q20" s="54"/>
      <c r="R20" s="54"/>
      <c r="S20" s="54" t="s">
        <v>159</v>
      </c>
      <c r="T20" s="54">
        <f>(SUM(T4:T19))</f>
        <v>31</v>
      </c>
      <c r="U20" s="54">
        <f>(SUM(U4:U19))</f>
        <v>41</v>
      </c>
      <c r="V20" s="54">
        <f>(SUM(V4:V19))</f>
        <v>38</v>
      </c>
      <c r="W20" s="54">
        <f>(SUM(W4:W19))</f>
        <v>40</v>
      </c>
      <c r="X20" s="54">
        <f>(SUM(X4:X19))</f>
        <v>40</v>
      </c>
      <c r="Y20" s="54">
        <f>(AVERAGE(Y4:Y19))</f>
        <v>0.34531250000000002</v>
      </c>
      <c r="Z20" s="54">
        <f>(AVERAGE(Z4:Z19))</f>
        <v>0.27656249999999999</v>
      </c>
      <c r="AA20" s="54">
        <f>(AVERAGE(AA4:AA19))</f>
        <v>1</v>
      </c>
      <c r="AB20" s="54">
        <f>(AVERAGE(AB4:AB19))</f>
        <v>1</v>
      </c>
      <c r="AC20" s="54" t="s">
        <v>189</v>
      </c>
    </row>
    <row r="21" spans="1:29" ht="18" x14ac:dyDescent="0.25">
      <c r="A21" s="54"/>
      <c r="B21" s="54"/>
      <c r="C21" s="54"/>
      <c r="D21" s="54" t="s">
        <v>163</v>
      </c>
      <c r="E21" s="54">
        <f>SUMPRODUCT(E4:E19,$L4:$L19)</f>
        <v>34.099547511312231</v>
      </c>
      <c r="F21" s="54">
        <f>SUMPRODUCT(F4:F19,$L4:$L19)</f>
        <v>41.701357466063349</v>
      </c>
      <c r="G21" s="54">
        <f>SUMPRODUCT(G4:G19,$L4:$L19)</f>
        <v>40.036199095022631</v>
      </c>
      <c r="H21" s="54">
        <f>SUMPRODUCT(H4:H19,$L4:$L19)</f>
        <v>37.791855203619917</v>
      </c>
      <c r="I21" s="54">
        <f>SUMPRODUCT(I4:I19,$L4:$L19)</f>
        <v>37.791855203619917</v>
      </c>
      <c r="J21" s="54"/>
      <c r="K21" s="54"/>
      <c r="L21" s="54"/>
      <c r="M21" s="54">
        <f>(AVERAGE(E21:I21))</f>
        <v>38.284162895927608</v>
      </c>
      <c r="N21" s="54" t="s">
        <v>190</v>
      </c>
      <c r="P21" s="54"/>
      <c r="Q21" s="54"/>
      <c r="R21" s="54"/>
      <c r="S21" s="54" t="s">
        <v>163</v>
      </c>
      <c r="T21" s="54">
        <f>SUMPRODUCT(T4:T19,$AA4:$AA19)</f>
        <v>34.09954751131221</v>
      </c>
      <c r="U21" s="54">
        <f>SUMPRODUCT(U4:U19,$AA4:$AA19)</f>
        <v>41.701357466063349</v>
      </c>
      <c r="V21" s="54">
        <f>SUMPRODUCT(V4:V19,$AA4:$AA19)</f>
        <v>40.036199095022624</v>
      </c>
      <c r="W21" s="54">
        <f>SUMPRODUCT(W4:W19,$AA4:$AA19)</f>
        <v>37.791855203619903</v>
      </c>
      <c r="X21" s="54">
        <f>SUMPRODUCT(X4:X19,$AA4:$AA19)</f>
        <v>37.791855203619903</v>
      </c>
      <c r="Y21" s="54"/>
      <c r="Z21" s="54"/>
      <c r="AA21" s="54"/>
      <c r="AB21" s="54">
        <f>(AVERAGE(T21:X21))</f>
        <v>38.284162895927594</v>
      </c>
      <c r="AC21" s="54" t="s">
        <v>190</v>
      </c>
    </row>
    <row r="22" spans="1:29" ht="18" x14ac:dyDescent="0.25">
      <c r="A22" s="54"/>
      <c r="B22" s="54"/>
      <c r="C22" s="54"/>
      <c r="D22" s="54" t="s">
        <v>155</v>
      </c>
      <c r="E22" s="54">
        <f>SUMPRODUCT(E4:E19,$M4:$M19)</f>
        <v>33.898305084745765</v>
      </c>
      <c r="F22" s="54">
        <f>SUMPRODUCT(F4:F19,$M4:$M19)</f>
        <v>43.028248587570616</v>
      </c>
      <c r="G22" s="54">
        <f>SUMPRODUCT(G4:G19,$M4:$M19)</f>
        <v>41.672316384180789</v>
      </c>
      <c r="H22" s="54">
        <f>SUMPRODUCT(H4:H19,$M4:$M19)</f>
        <v>38.146892655367232</v>
      </c>
      <c r="I22" s="54">
        <f>SUMPRODUCT(I4:I19,$M4:$M19)</f>
        <v>38.146892655367232</v>
      </c>
      <c r="J22" s="54"/>
      <c r="K22" s="54"/>
      <c r="L22" s="54"/>
      <c r="M22" s="54">
        <f>(AVERAGE(E22:I22))</f>
        <v>38.97853107344632</v>
      </c>
      <c r="N22" s="54" t="s">
        <v>191</v>
      </c>
      <c r="P22" s="54"/>
      <c r="Q22" s="54"/>
      <c r="R22" s="54"/>
      <c r="S22" s="54" t="s">
        <v>155</v>
      </c>
      <c r="T22" s="54">
        <f>SUMPRODUCT(T4:T19,$AB4:$AB19)</f>
        <v>33.898305084745758</v>
      </c>
      <c r="U22" s="54">
        <f>SUMPRODUCT(U4:U19,$AB4:$AB19)</f>
        <v>43.028248587570616</v>
      </c>
      <c r="V22" s="54">
        <f>SUMPRODUCT(V4:V19,$AB4:$AB19)</f>
        <v>41.672316384180789</v>
      </c>
      <c r="W22" s="54">
        <f>SUMPRODUCT(W4:W19,$AB4:$AB19)</f>
        <v>38.146892655367232</v>
      </c>
      <c r="X22" s="54">
        <f>SUMPRODUCT(X4:X19,$AB4:$AB19)</f>
        <v>38.146892655367232</v>
      </c>
      <c r="Y22" s="54"/>
      <c r="Z22" s="54"/>
      <c r="AA22" s="54"/>
      <c r="AB22" s="54">
        <f>(AVERAGE(T22:X22))</f>
        <v>38.97853107344632</v>
      </c>
      <c r="AC22" s="54" t="s">
        <v>191</v>
      </c>
    </row>
    <row r="23" spans="1:29" ht="18" x14ac:dyDescent="0.25">
      <c r="A23" s="54"/>
      <c r="B23" s="54"/>
      <c r="C23" s="54"/>
      <c r="D23" s="54" t="s">
        <v>167</v>
      </c>
      <c r="E23" s="54">
        <f>(E22-E21)/E21*100</f>
        <v>-0.59016157472384601</v>
      </c>
      <c r="F23" s="54">
        <f>(F22-F21)/F21*100</f>
        <v>3.1818895166352634</v>
      </c>
      <c r="G23" s="54">
        <f>(G22-G21)/G21*100</f>
        <v>4.0865949469253247</v>
      </c>
      <c r="H23" s="54">
        <f>(H22-H21)/H21*100</f>
        <v>0.93945494296164378</v>
      </c>
      <c r="I23" s="54">
        <f>(I22-I21)/I21*100</f>
        <v>0.93945494296164378</v>
      </c>
      <c r="J23" s="54"/>
      <c r="K23" s="54"/>
      <c r="L23" s="54"/>
      <c r="M23" s="54">
        <f>(AVERAGE(E23:I23))</f>
        <v>1.7114465549520059</v>
      </c>
      <c r="N23" s="54" t="s">
        <v>165</v>
      </c>
      <c r="P23" s="54"/>
      <c r="Q23" s="54"/>
      <c r="R23" s="54"/>
      <c r="S23" s="54" t="s">
        <v>187</v>
      </c>
      <c r="T23" s="54">
        <f>(T22-T21)/T21*100</f>
        <v>-0.59016157472380459</v>
      </c>
      <c r="U23" s="54">
        <f>(U22-U21)/U21*100</f>
        <v>3.1818895166352634</v>
      </c>
      <c r="V23" s="54">
        <f>(V22-V21)/V21*100</f>
        <v>4.0865949469253433</v>
      </c>
      <c r="W23" s="54">
        <f>(W22-W21)/W21*100</f>
        <v>0.93945494296168164</v>
      </c>
      <c r="X23" s="54">
        <f>(X22-X21)/X21*100</f>
        <v>0.93945494296168164</v>
      </c>
      <c r="Y23" s="54"/>
      <c r="Z23" s="54"/>
      <c r="AA23" s="54"/>
      <c r="AB23" s="54">
        <f>(AVERAGE(T23:X23))</f>
        <v>1.7114465549520332</v>
      </c>
      <c r="AC23" s="54" t="s">
        <v>165</v>
      </c>
    </row>
    <row r="24" spans="1:29" ht="18" x14ac:dyDescent="0.25">
      <c r="A24" s="54"/>
      <c r="B24" s="54"/>
      <c r="C24" s="54"/>
      <c r="D24" s="54" t="s">
        <v>168</v>
      </c>
      <c r="E24" s="54">
        <f>(E21-E20)/E20*100</f>
        <v>9.998540359071713</v>
      </c>
      <c r="F24" s="54">
        <f t="shared" ref="F24:H24" si="6">(F21-F20)/F20*100</f>
        <v>1.7106279660081696</v>
      </c>
      <c r="G24" s="54">
        <f t="shared" si="6"/>
        <v>5.3584186711121884</v>
      </c>
      <c r="H24" s="54">
        <f t="shared" si="6"/>
        <v>-5.5203619909502066</v>
      </c>
      <c r="I24" s="54">
        <f>(I21-I20)/I20*100</f>
        <v>-5.5203619909502066</v>
      </c>
      <c r="J24" s="54"/>
      <c r="K24" s="54"/>
      <c r="L24" s="54"/>
      <c r="M24" s="54">
        <f>(AVERAGE(E24:I24))</f>
        <v>1.2053726028583314</v>
      </c>
      <c r="N24" s="54" t="s">
        <v>169</v>
      </c>
      <c r="P24" s="54"/>
      <c r="Q24" s="54"/>
      <c r="R24" s="54"/>
      <c r="S24" s="54" t="s">
        <v>168</v>
      </c>
      <c r="T24" s="54">
        <f>(T21-T20)/T20*100</f>
        <v>9.9985403590716455</v>
      </c>
      <c r="U24" s="54">
        <f>(U21-U20)/U20*100</f>
        <v>1.7106279660081696</v>
      </c>
      <c r="V24" s="54">
        <f>(V21-V20)/V20*100</f>
        <v>5.3584186711121697</v>
      </c>
      <c r="W24" s="54">
        <f>(W21-W20)/W20*100</f>
        <v>-5.5203619909502422</v>
      </c>
      <c r="X24" s="54">
        <f>(X21-X20)/X20*100</f>
        <v>-5.5203619909502422</v>
      </c>
      <c r="Y24" s="54"/>
      <c r="Z24" s="54"/>
      <c r="AA24" s="54"/>
      <c r="AB24" s="54">
        <f>(AVERAGE(T24:X24))</f>
        <v>1.2053726028583001</v>
      </c>
      <c r="AC24" s="54" t="s">
        <v>169</v>
      </c>
    </row>
    <row r="25" spans="1:29" ht="18" x14ac:dyDescent="0.25">
      <c r="A25" s="54"/>
      <c r="B25" s="54"/>
      <c r="C25" s="54"/>
      <c r="D25" s="54" t="s">
        <v>193</v>
      </c>
      <c r="E25" s="54">
        <f>(E22-E20)/E20*100</f>
        <v>9.3493712411153709</v>
      </c>
      <c r="F25" s="54">
        <f>(F22-F20)/F20*100</f>
        <v>4.9469477745624779</v>
      </c>
      <c r="G25" s="54">
        <f>(G22-G20)/G20*100</f>
        <v>9.6639904846862876</v>
      </c>
      <c r="H25" s="54">
        <f>(H22-H20)/H20*100</f>
        <v>-4.6327683615819204</v>
      </c>
      <c r="I25" s="54">
        <f>(I22-I20)/I20*100</f>
        <v>-4.6327683615819204</v>
      </c>
      <c r="J25" s="54"/>
      <c r="K25" s="54"/>
      <c r="L25" s="54"/>
      <c r="M25" s="54">
        <f>(AVERAGE(E25:I25))</f>
        <v>2.9389545554400591</v>
      </c>
      <c r="N25" s="54" t="s">
        <v>169</v>
      </c>
      <c r="P25" s="54"/>
      <c r="Q25" s="54"/>
      <c r="R25" s="54"/>
      <c r="S25" s="54"/>
      <c r="T25" s="54"/>
      <c r="U25" s="54"/>
      <c r="V25" s="54"/>
      <c r="W25" s="54"/>
      <c r="X25" s="54"/>
      <c r="Y25" s="54"/>
      <c r="Z25" s="54"/>
      <c r="AA25" s="54"/>
      <c r="AB25" s="54"/>
      <c r="AC25" s="54"/>
    </row>
    <row r="26" spans="1:29" ht="18" x14ac:dyDescent="0.25">
      <c r="A26" s="54"/>
      <c r="B26" s="54"/>
      <c r="C26" s="54"/>
      <c r="D26" s="54"/>
      <c r="E26" s="54"/>
      <c r="F26" s="54"/>
      <c r="G26" s="54"/>
      <c r="H26" s="54"/>
      <c r="I26" s="54"/>
      <c r="J26" s="54"/>
      <c r="K26" s="54"/>
      <c r="L26" s="54"/>
      <c r="M26" s="54"/>
      <c r="N26" s="54"/>
      <c r="P26" s="54"/>
      <c r="Q26" s="54"/>
      <c r="R26" s="54"/>
      <c r="S26" s="54"/>
      <c r="T26" s="54"/>
      <c r="U26" s="54"/>
      <c r="V26" s="54"/>
      <c r="W26" s="54"/>
      <c r="X26" s="54"/>
      <c r="Y26" s="54"/>
      <c r="Z26" s="54"/>
      <c r="AA26" s="54"/>
      <c r="AB26" s="54"/>
      <c r="AC26" s="54"/>
    </row>
    <row r="27" spans="1:29" ht="18" x14ac:dyDescent="0.25">
      <c r="A27" s="54"/>
      <c r="B27" s="54"/>
      <c r="C27" s="54"/>
      <c r="D27" s="54"/>
      <c r="E27" s="54"/>
      <c r="F27" s="54"/>
      <c r="G27" s="54"/>
      <c r="H27" s="54"/>
      <c r="I27" s="54"/>
      <c r="J27" s="54"/>
      <c r="K27" s="54"/>
      <c r="L27" s="54"/>
      <c r="M27" s="54"/>
      <c r="N27" s="54"/>
      <c r="P27" s="54"/>
      <c r="Q27" s="54"/>
      <c r="R27" s="54"/>
      <c r="S27" s="54"/>
      <c r="T27" s="54"/>
      <c r="U27" s="54"/>
      <c r="V27" s="54"/>
      <c r="W27" s="54"/>
      <c r="X27" s="54"/>
      <c r="Y27" s="54"/>
      <c r="Z27" s="54"/>
      <c r="AA27" s="54"/>
      <c r="AB27" s="54"/>
      <c r="AC27" s="54"/>
    </row>
    <row r="28" spans="1:29" ht="18" x14ac:dyDescent="0.25">
      <c r="A28" s="54"/>
      <c r="B28" s="54"/>
      <c r="C28" s="54"/>
      <c r="D28" s="54"/>
      <c r="E28" s="54"/>
      <c r="F28" s="54"/>
      <c r="G28" s="54"/>
      <c r="H28" s="54"/>
      <c r="I28" s="54"/>
      <c r="J28" s="54"/>
      <c r="K28" s="54"/>
      <c r="L28" s="54"/>
      <c r="M28" s="54"/>
      <c r="N28" s="54"/>
      <c r="P28" s="54"/>
      <c r="Q28" s="54"/>
      <c r="R28" s="54"/>
      <c r="S28" s="54"/>
      <c r="T28" s="54"/>
      <c r="U28" s="54"/>
      <c r="V28" s="54"/>
      <c r="W28" s="54"/>
      <c r="X28" s="54"/>
      <c r="Y28" s="54"/>
      <c r="Z28" s="54"/>
      <c r="AA28" s="54"/>
      <c r="AB28" s="54"/>
      <c r="AC28" s="54"/>
    </row>
    <row r="29" spans="1:29" ht="18" x14ac:dyDescent="0.25">
      <c r="A29" s="54"/>
      <c r="B29" s="54"/>
      <c r="C29" s="54"/>
      <c r="D29" s="54"/>
      <c r="E29" s="54"/>
      <c r="F29" s="54"/>
      <c r="G29" s="54"/>
      <c r="H29" s="54"/>
      <c r="I29" s="54"/>
      <c r="J29" s="54"/>
      <c r="K29" s="54"/>
      <c r="L29" s="54"/>
      <c r="M29" s="54"/>
      <c r="N29" s="54"/>
      <c r="P29" s="54"/>
      <c r="Q29" s="54"/>
      <c r="R29" s="54"/>
      <c r="S29" s="54"/>
      <c r="T29" s="54"/>
      <c r="U29" s="54"/>
      <c r="V29" s="54"/>
      <c r="W29" s="54"/>
      <c r="X29" s="54"/>
      <c r="Y29" s="54"/>
      <c r="Z29" s="54"/>
      <c r="AA29" s="54"/>
      <c r="AB29" s="54"/>
      <c r="AC29" s="54"/>
    </row>
    <row r="30" spans="1:29" ht="18" x14ac:dyDescent="0.25">
      <c r="A30" s="54"/>
      <c r="B30" s="54"/>
      <c r="C30" s="54"/>
      <c r="D30" s="54"/>
      <c r="E30" s="54"/>
      <c r="F30" s="54"/>
      <c r="G30" s="54"/>
      <c r="H30" s="54"/>
      <c r="I30" s="54"/>
      <c r="J30" s="54"/>
      <c r="K30" s="54"/>
      <c r="L30" s="54"/>
      <c r="M30" s="54"/>
      <c r="N30" s="54"/>
      <c r="P30" s="54"/>
      <c r="Q30" s="54"/>
      <c r="R30" s="54"/>
      <c r="S30" s="54"/>
      <c r="T30" s="54"/>
      <c r="U30" s="54"/>
      <c r="V30" s="54"/>
      <c r="W30" s="54"/>
      <c r="X30" s="54"/>
      <c r="Y30" s="54"/>
      <c r="Z30" s="54"/>
      <c r="AA30" s="54"/>
      <c r="AB30" s="54"/>
      <c r="AC30" s="54"/>
    </row>
    <row r="31" spans="1:29" s="50" customFormat="1" x14ac:dyDescent="0.25">
      <c r="A31" s="51"/>
      <c r="C31" s="51"/>
      <c r="E31" s="52"/>
      <c r="F31" s="53"/>
      <c r="G31" s="53"/>
      <c r="H31" s="53"/>
    </row>
    <row r="32" spans="1:29" x14ac:dyDescent="0.25">
      <c r="A32" s="43"/>
      <c r="C32" s="43"/>
      <c r="D32" s="33"/>
      <c r="E32" s="33"/>
      <c r="F32" s="24"/>
      <c r="G32" s="24"/>
      <c r="H32" s="1"/>
      <c r="I32" s="2"/>
    </row>
    <row r="33" spans="1:9" x14ac:dyDescent="0.25">
      <c r="A33" s="43"/>
      <c r="C33" s="43"/>
      <c r="D33" s="24"/>
      <c r="E33" s="37"/>
      <c r="F33" s="35"/>
      <c r="G33" s="35"/>
      <c r="H33" s="1"/>
      <c r="I33" s="37"/>
    </row>
    <row r="34" spans="1:9" x14ac:dyDescent="0.25">
      <c r="D34" s="24"/>
      <c r="E34" s="37"/>
      <c r="F34" s="35"/>
      <c r="G34" s="35"/>
      <c r="H34" s="12"/>
      <c r="I34" s="37"/>
    </row>
    <row r="35" spans="1:9" x14ac:dyDescent="0.25">
      <c r="D35" s="24"/>
      <c r="E35" s="37"/>
      <c r="F35" s="35"/>
      <c r="G35" s="35"/>
      <c r="H35" s="1"/>
      <c r="I35" s="37"/>
    </row>
  </sheetData>
  <sortState ref="P4:AC19">
    <sortCondition ref="P4:P19"/>
    <sortCondition ref="AA4:AA19"/>
  </sortState>
  <conditionalFormatting sqref="S16">
    <cfRule type="duplicateValues" dxfId="1" priority="2"/>
  </conditionalFormatting>
  <conditionalFormatting sqref="R19 P19 R16:R1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Score 2</vt:lpstr>
      <vt:lpstr>New Score</vt:lpstr>
      <vt:lpstr>Old ScoreSheet</vt:lpstr>
      <vt:lpstr>Prices</vt:lpstr>
      <vt:lpstr>Explanations</vt:lpstr>
      <vt:lpstr>Devlin Score Sheet</vt:lpstr>
    </vt:vector>
  </TitlesOfParts>
  <Company>OSRAM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Paddock, Devlin</dc:creator>
  <cp:lastModifiedBy>Paddock, Devlin</cp:lastModifiedBy>
  <dcterms:created xsi:type="dcterms:W3CDTF">2019-05-29T12:42:23Z</dcterms:created>
  <dcterms:modified xsi:type="dcterms:W3CDTF">2019-07-22T17:06:21Z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c8e0fde-d954-47be-ab67-d16694a3feef_Enabled">
    <vt:lpwstr>True</vt:lpwstr>
  </property>
  <property fmtid="{D5CDD505-2E9C-101B-9397-08002B2CF9AE}" pid="3" name="MSIP_Label_1c8e0fde-d954-47be-ab67-d16694a3feef_SiteId">
    <vt:lpwstr>ec1ca250-c234-4d56-a76b-7dfb9eee0c46</vt:lpwstr>
  </property>
  <property fmtid="{D5CDD505-2E9C-101B-9397-08002B2CF9AE}" pid="4" name="MSIP_Label_1c8e0fde-d954-47be-ab67-d16694a3feef_Owner">
    <vt:lpwstr>D.Paddock@osram.com</vt:lpwstr>
  </property>
  <property fmtid="{D5CDD505-2E9C-101B-9397-08002B2CF9AE}" pid="5" name="MSIP_Label_1c8e0fde-d954-47be-ab67-d16694a3feef_SetDate">
    <vt:lpwstr>2019-05-31T15:56:43.1352232Z</vt:lpwstr>
  </property>
  <property fmtid="{D5CDD505-2E9C-101B-9397-08002B2CF9AE}" pid="6" name="MSIP_Label_1c8e0fde-d954-47be-ab67-d16694a3feef_Name">
    <vt:lpwstr>Internal Use</vt:lpwstr>
  </property>
  <property fmtid="{D5CDD505-2E9C-101B-9397-08002B2CF9AE}" pid="7" name="MSIP_Label_1c8e0fde-d954-47be-ab67-d16694a3feef_Application">
    <vt:lpwstr>Microsoft Azure Information Protection</vt:lpwstr>
  </property>
  <property fmtid="{D5CDD505-2E9C-101B-9397-08002B2CF9AE}" pid="8" name="MSIP_Label_1c8e0fde-d954-47be-ab67-d16694a3feef_Extended_MSFT_Method">
    <vt:lpwstr>Automatic</vt:lpwstr>
  </property>
  <property fmtid="{D5CDD505-2E9C-101B-9397-08002B2CF9AE}" pid="9" name="MSIP_Label_f9dda1df-3fca-45c7-91be-5629a3733338_Enabled">
    <vt:lpwstr>True</vt:lpwstr>
  </property>
  <property fmtid="{D5CDD505-2E9C-101B-9397-08002B2CF9AE}" pid="10" name="MSIP_Label_f9dda1df-3fca-45c7-91be-5629a3733338_SiteId">
    <vt:lpwstr>ec1ca250-c234-4d56-a76b-7dfb9eee0c46</vt:lpwstr>
  </property>
  <property fmtid="{D5CDD505-2E9C-101B-9397-08002B2CF9AE}" pid="11" name="MSIP_Label_f9dda1df-3fca-45c7-91be-5629a3733338_Owner">
    <vt:lpwstr>D.Paddock@osram.com</vt:lpwstr>
  </property>
  <property fmtid="{D5CDD505-2E9C-101B-9397-08002B2CF9AE}" pid="12" name="MSIP_Label_f9dda1df-3fca-45c7-91be-5629a3733338_SetDate">
    <vt:lpwstr>2019-05-31T15:56:43.1352232Z</vt:lpwstr>
  </property>
  <property fmtid="{D5CDD505-2E9C-101B-9397-08002B2CF9AE}" pid="13" name="MSIP_Label_f9dda1df-3fca-45c7-91be-5629a3733338_Name">
    <vt:lpwstr>All employees (unprotected)</vt:lpwstr>
  </property>
  <property fmtid="{D5CDD505-2E9C-101B-9397-08002B2CF9AE}" pid="14" name="MSIP_Label_f9dda1df-3fca-45c7-91be-5629a3733338_Application">
    <vt:lpwstr>Microsoft Azure Information Protection</vt:lpwstr>
  </property>
  <property fmtid="{D5CDD505-2E9C-101B-9397-08002B2CF9AE}" pid="15" name="MSIP_Label_f9dda1df-3fca-45c7-91be-5629a3733338_Parent">
    <vt:lpwstr>1c8e0fde-d954-47be-ab67-d16694a3feef</vt:lpwstr>
  </property>
  <property fmtid="{D5CDD505-2E9C-101B-9397-08002B2CF9AE}" pid="16" name="MSIP_Label_f9dda1df-3fca-45c7-91be-5629a3733338_Extended_MSFT_Method">
    <vt:lpwstr>Automatic</vt:lpwstr>
  </property>
  <property fmtid="{D5CDD505-2E9C-101B-9397-08002B2CF9AE}" pid="17" name="Sensitivity">
    <vt:lpwstr>Internal Use All employees (unprotected)</vt:lpwstr>
  </property>
</Properties>
</file>