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d.paddock\Desktop\Documentation\Sheets\Mlem\"/>
    </mc:Choice>
  </mc:AlternateContent>
  <bookViews>
    <workbookView xWindow="0" yWindow="-120" windowWidth="19200" windowHeight="11115"/>
  </bookViews>
  <sheets>
    <sheet name="Weighted Perato Charts" sheetId="11" r:id="rId1"/>
    <sheet name="Pareto Charts" sheetId="10" r:id="rId2"/>
    <sheet name="Devlin Score Sheet new" sheetId="7" r:id="rId3"/>
    <sheet name="Prices" sheetId="3" r:id="rId4"/>
    <sheet name="Price Per Machine Graph" sheetId="9" r:id="rId5"/>
    <sheet name="Explanations" sheetId="2" r:id="rId6"/>
    <sheet name="Old ScoreSheet" sheetId="1" r:id="rId7"/>
    <sheet name="New Score 2" sheetId="5"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9" l="1"/>
  <c r="Q3" i="9"/>
  <c r="T59" i="3"/>
  <c r="S59" i="3"/>
  <c r="R59" i="3"/>
  <c r="Q4" i="9"/>
  <c r="Q5" i="9"/>
  <c r="Q6" i="9"/>
  <c r="Q7" i="9"/>
  <c r="Q8" i="9"/>
  <c r="Q9" i="9"/>
  <c r="Q10" i="9"/>
  <c r="Q11" i="9"/>
  <c r="Q12" i="9"/>
  <c r="Q13" i="9"/>
  <c r="Q14" i="9"/>
  <c r="Q15" i="9"/>
  <c r="Q16" i="9"/>
  <c r="Q17" i="9"/>
  <c r="Q18" i="9"/>
  <c r="Q19" i="9"/>
  <c r="Q20" i="9"/>
  <c r="Q21" i="9"/>
  <c r="Q22" i="9"/>
  <c r="Q23" i="9"/>
  <c r="Q24" i="9"/>
  <c r="Q25" i="9"/>
  <c r="Q26" i="9"/>
  <c r="Q27" i="9"/>
  <c r="Q28" i="9"/>
  <c r="Q29" i="9"/>
  <c r="Q30" i="9"/>
  <c r="Q31" i="9"/>
  <c r="R60" i="3"/>
  <c r="S60" i="3"/>
  <c r="T60" i="3"/>
  <c r="Q59" i="3"/>
  <c r="Q60" i="3"/>
  <c r="T63" i="3"/>
  <c r="T64" i="3"/>
  <c r="T65" i="3"/>
  <c r="H4" i="9" l="1"/>
  <c r="G4" i="9"/>
  <c r="F4" i="9"/>
  <c r="E4" i="9"/>
  <c r="V45" i="3"/>
  <c r="U47" i="3"/>
  <c r="V47" i="3"/>
  <c r="W47" i="3"/>
  <c r="T47" i="3"/>
  <c r="T35" i="3"/>
  <c r="U35" i="3"/>
  <c r="V35" i="3"/>
  <c r="W35" i="3"/>
  <c r="T22" i="3"/>
  <c r="U22" i="3"/>
  <c r="V22" i="3"/>
  <c r="W22" i="3"/>
  <c r="W10" i="3"/>
  <c r="T10" i="3"/>
  <c r="U10" i="3"/>
  <c r="V10" i="3"/>
  <c r="Q27" i="7" l="1"/>
  <c r="R27" i="7"/>
  <c r="P27" i="7"/>
  <c r="M27" i="7"/>
  <c r="N27" i="7"/>
  <c r="O27" i="7"/>
  <c r="L27" i="7"/>
  <c r="B17" i="11" l="1"/>
  <c r="B16" i="11"/>
  <c r="B15" i="11"/>
  <c r="B14" i="11"/>
  <c r="B13" i="11"/>
  <c r="B12" i="11"/>
  <c r="B11" i="11"/>
  <c r="B10" i="11"/>
  <c r="B9" i="11"/>
  <c r="B8" i="11"/>
  <c r="B7" i="11"/>
  <c r="B6" i="11"/>
  <c r="B5" i="11"/>
  <c r="B4" i="11"/>
  <c r="B3" i="11"/>
  <c r="D3" i="11"/>
  <c r="E3" i="11"/>
  <c r="F3" i="11"/>
  <c r="G3" i="11"/>
  <c r="H3" i="11"/>
  <c r="I3" i="11"/>
  <c r="J3" i="11"/>
  <c r="K3" i="11"/>
  <c r="L3" i="11"/>
  <c r="M3" i="11"/>
  <c r="N3" i="11"/>
  <c r="O3" i="11"/>
  <c r="D4" i="11"/>
  <c r="E4" i="11"/>
  <c r="F4" i="11"/>
  <c r="G4" i="11"/>
  <c r="H4" i="11"/>
  <c r="I4" i="11"/>
  <c r="J4" i="11"/>
  <c r="K4" i="11"/>
  <c r="L4" i="11"/>
  <c r="M4" i="11"/>
  <c r="N4" i="11"/>
  <c r="O4" i="11"/>
  <c r="D5" i="11"/>
  <c r="E5" i="11"/>
  <c r="F5" i="11"/>
  <c r="G5" i="11"/>
  <c r="H5" i="11"/>
  <c r="I5" i="11"/>
  <c r="J5" i="11"/>
  <c r="K5" i="11"/>
  <c r="L5" i="11"/>
  <c r="M5" i="11"/>
  <c r="N5" i="11"/>
  <c r="O5" i="11"/>
  <c r="D6" i="11"/>
  <c r="E6" i="11"/>
  <c r="F6" i="11"/>
  <c r="G6" i="11"/>
  <c r="H6" i="11"/>
  <c r="I6" i="11"/>
  <c r="J6" i="11"/>
  <c r="K6" i="11"/>
  <c r="L6" i="11"/>
  <c r="M6" i="11"/>
  <c r="N6" i="11"/>
  <c r="O6" i="11"/>
  <c r="D7" i="11"/>
  <c r="E7" i="11"/>
  <c r="F7" i="11"/>
  <c r="G7" i="11"/>
  <c r="H7" i="11"/>
  <c r="I7" i="11"/>
  <c r="J7" i="11"/>
  <c r="K7" i="11"/>
  <c r="L7" i="11"/>
  <c r="M7" i="11"/>
  <c r="N7" i="11"/>
  <c r="O7" i="11"/>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D12" i="11"/>
  <c r="E12" i="11"/>
  <c r="F12" i="11"/>
  <c r="G12" i="11"/>
  <c r="H12" i="11"/>
  <c r="I12" i="11"/>
  <c r="J12" i="11"/>
  <c r="K12" i="11"/>
  <c r="L12" i="11"/>
  <c r="M12" i="11"/>
  <c r="N12" i="11"/>
  <c r="O12" i="11"/>
  <c r="D13" i="11"/>
  <c r="E13" i="11"/>
  <c r="F13" i="11"/>
  <c r="G13" i="11"/>
  <c r="H13" i="11"/>
  <c r="I13" i="11"/>
  <c r="J13" i="11"/>
  <c r="K13" i="11"/>
  <c r="L13" i="11"/>
  <c r="M13" i="11"/>
  <c r="N13" i="11"/>
  <c r="O13" i="11"/>
  <c r="D14" i="11"/>
  <c r="E14" i="11"/>
  <c r="F14" i="11"/>
  <c r="G14" i="11"/>
  <c r="H14" i="11"/>
  <c r="I14" i="11"/>
  <c r="J14" i="11"/>
  <c r="K14" i="11"/>
  <c r="L14" i="11"/>
  <c r="M14" i="11"/>
  <c r="N14" i="11"/>
  <c r="O14" i="11"/>
  <c r="D15" i="11"/>
  <c r="E15" i="11"/>
  <c r="F15" i="11"/>
  <c r="G15" i="11"/>
  <c r="H15" i="11"/>
  <c r="I15" i="11"/>
  <c r="J15" i="11"/>
  <c r="K15" i="11"/>
  <c r="L15" i="11"/>
  <c r="M15" i="11"/>
  <c r="N15" i="11"/>
  <c r="O15" i="11"/>
  <c r="D16" i="11"/>
  <c r="E16" i="11"/>
  <c r="F16" i="11"/>
  <c r="G16" i="11"/>
  <c r="H16" i="11"/>
  <c r="I16" i="11"/>
  <c r="J16" i="11"/>
  <c r="K16" i="11"/>
  <c r="L16" i="11"/>
  <c r="M16" i="11"/>
  <c r="N16" i="11"/>
  <c r="O16" i="11"/>
  <c r="D17" i="11"/>
  <c r="E17" i="11"/>
  <c r="F17" i="11"/>
  <c r="G17" i="11"/>
  <c r="H17" i="11"/>
  <c r="I17" i="11"/>
  <c r="J17" i="11"/>
  <c r="K17" i="11"/>
  <c r="L17" i="11"/>
  <c r="M17" i="11"/>
  <c r="N17" i="11"/>
  <c r="O17" i="11"/>
  <c r="C4" i="11"/>
  <c r="C5" i="11"/>
  <c r="C6" i="11"/>
  <c r="C7" i="11"/>
  <c r="C8" i="11"/>
  <c r="C9" i="11"/>
  <c r="C10" i="11"/>
  <c r="C11" i="11"/>
  <c r="C12" i="11"/>
  <c r="C13" i="11"/>
  <c r="C14" i="11"/>
  <c r="C15" i="11"/>
  <c r="C16" i="11"/>
  <c r="C17" i="11"/>
  <c r="C3" i="11"/>
  <c r="AE17" i="11"/>
  <c r="AE16" i="11"/>
  <c r="AE15" i="11"/>
  <c r="AE14" i="11"/>
  <c r="AE13" i="11"/>
  <c r="AE12" i="11"/>
  <c r="AE11" i="11"/>
  <c r="AE10" i="11"/>
  <c r="AE9" i="11"/>
  <c r="AE8" i="11"/>
  <c r="AE7" i="11"/>
  <c r="AE6" i="11"/>
  <c r="AE5" i="11"/>
  <c r="AE4" i="11"/>
  <c r="AE3" i="11"/>
  <c r="AC17" i="11"/>
  <c r="AC16" i="11"/>
  <c r="AC15" i="11"/>
  <c r="AC14" i="11"/>
  <c r="AC13" i="11"/>
  <c r="AC12" i="11"/>
  <c r="AC11" i="11"/>
  <c r="AC10" i="11"/>
  <c r="AC9" i="11"/>
  <c r="AC8" i="11"/>
  <c r="AC7" i="11"/>
  <c r="AC6" i="11"/>
  <c r="AC5" i="11"/>
  <c r="AC4" i="11"/>
  <c r="AC3" i="11"/>
  <c r="AA17" i="11"/>
  <c r="AA16" i="11"/>
  <c r="AA15" i="11"/>
  <c r="AA14" i="11"/>
  <c r="AA13" i="11"/>
  <c r="AA12" i="11"/>
  <c r="AA11" i="11"/>
  <c r="AA10" i="11"/>
  <c r="AA9" i="11"/>
  <c r="AA8" i="11"/>
  <c r="AA7" i="11"/>
  <c r="AA6" i="11"/>
  <c r="AA5" i="11"/>
  <c r="AA4" i="11"/>
  <c r="AA3" i="11"/>
  <c r="Y17" i="11"/>
  <c r="Y16" i="11"/>
  <c r="Y15" i="11"/>
  <c r="Y14" i="11"/>
  <c r="Y13" i="11"/>
  <c r="Y12" i="11"/>
  <c r="Y11" i="11"/>
  <c r="Y10" i="11"/>
  <c r="Y9" i="11"/>
  <c r="Y8" i="11"/>
  <c r="Y7" i="11"/>
  <c r="Y6" i="11"/>
  <c r="Y5" i="11"/>
  <c r="Y4" i="11"/>
  <c r="Y3" i="11"/>
  <c r="W17" i="11"/>
  <c r="W16" i="11"/>
  <c r="W15" i="11"/>
  <c r="W14" i="11"/>
  <c r="W13" i="11"/>
  <c r="W12" i="11"/>
  <c r="W11" i="11"/>
  <c r="W10" i="11"/>
  <c r="W9" i="11"/>
  <c r="W8" i="11"/>
  <c r="W7" i="11"/>
  <c r="W6" i="11"/>
  <c r="W5" i="11"/>
  <c r="W4" i="11"/>
  <c r="W3" i="11"/>
  <c r="U17" i="11"/>
  <c r="U16" i="11"/>
  <c r="U15" i="11"/>
  <c r="U14" i="11"/>
  <c r="U13" i="11"/>
  <c r="U12" i="11"/>
  <c r="U11" i="11"/>
  <c r="U10" i="11"/>
  <c r="U9" i="11"/>
  <c r="U8" i="11"/>
  <c r="U7" i="11"/>
  <c r="U6" i="11"/>
  <c r="U5" i="11"/>
  <c r="U4" i="11"/>
  <c r="U3" i="11"/>
  <c r="S4" i="11"/>
  <c r="S5" i="11"/>
  <c r="S6" i="11"/>
  <c r="S7" i="11"/>
  <c r="S8" i="11"/>
  <c r="S9" i="11"/>
  <c r="S10" i="11"/>
  <c r="S11" i="11"/>
  <c r="S12" i="11"/>
  <c r="S13" i="11"/>
  <c r="S14" i="11"/>
  <c r="S15" i="11"/>
  <c r="S16" i="11"/>
  <c r="S17" i="11"/>
  <c r="S3" i="11"/>
  <c r="O17" i="10"/>
  <c r="O16" i="10"/>
  <c r="O15" i="10"/>
  <c r="O14" i="10"/>
  <c r="O13" i="10"/>
  <c r="O12" i="10"/>
  <c r="O11" i="10"/>
  <c r="O10" i="10"/>
  <c r="O9" i="10"/>
  <c r="O8" i="10"/>
  <c r="O7" i="10"/>
  <c r="O6" i="10"/>
  <c r="O5" i="10"/>
  <c r="O4" i="10"/>
  <c r="O3" i="10"/>
  <c r="M17" i="10"/>
  <c r="M16" i="10"/>
  <c r="M15" i="10"/>
  <c r="M14" i="10"/>
  <c r="M13" i="10"/>
  <c r="M12" i="10"/>
  <c r="M11" i="10"/>
  <c r="M10" i="10"/>
  <c r="M9" i="10"/>
  <c r="M8" i="10"/>
  <c r="M7" i="10"/>
  <c r="M6" i="10"/>
  <c r="M5" i="10"/>
  <c r="M4" i="10"/>
  <c r="M3" i="10"/>
  <c r="K17" i="10"/>
  <c r="K16" i="10"/>
  <c r="K15" i="10"/>
  <c r="K14" i="10"/>
  <c r="K13" i="10"/>
  <c r="K12" i="10"/>
  <c r="K11" i="10"/>
  <c r="K10" i="10"/>
  <c r="K9" i="10"/>
  <c r="K8" i="10"/>
  <c r="K7" i="10"/>
  <c r="K6" i="10"/>
  <c r="K5" i="10"/>
  <c r="K4" i="10"/>
  <c r="K3" i="10"/>
  <c r="I17" i="10"/>
  <c r="I16" i="10"/>
  <c r="I15" i="10"/>
  <c r="I14" i="10"/>
  <c r="I13" i="10"/>
  <c r="I12" i="10"/>
  <c r="I11" i="10"/>
  <c r="I10" i="10"/>
  <c r="I9" i="10"/>
  <c r="I8" i="10"/>
  <c r="I7" i="10"/>
  <c r="I6" i="10"/>
  <c r="I5" i="10"/>
  <c r="I4" i="10"/>
  <c r="I3" i="10"/>
  <c r="G17" i="10"/>
  <c r="G16" i="10"/>
  <c r="G15" i="10"/>
  <c r="G14" i="10"/>
  <c r="G13" i="10"/>
  <c r="G12" i="10"/>
  <c r="G11" i="10"/>
  <c r="G10" i="10"/>
  <c r="G9" i="10"/>
  <c r="G8" i="10"/>
  <c r="G7" i="10"/>
  <c r="G6" i="10"/>
  <c r="G5" i="10"/>
  <c r="G4" i="10"/>
  <c r="G3" i="10"/>
  <c r="E17" i="10"/>
  <c r="E16" i="10"/>
  <c r="E15" i="10"/>
  <c r="E14" i="10"/>
  <c r="E13" i="10"/>
  <c r="E12" i="10"/>
  <c r="E11" i="10"/>
  <c r="E10" i="10"/>
  <c r="E9" i="10"/>
  <c r="E8" i="10"/>
  <c r="E7" i="10"/>
  <c r="E6" i="10"/>
  <c r="E5" i="10"/>
  <c r="E4" i="10"/>
  <c r="E3" i="10"/>
  <c r="C4" i="10"/>
  <c r="C5" i="10"/>
  <c r="C6" i="10"/>
  <c r="C7" i="10"/>
  <c r="C8" i="10"/>
  <c r="C9" i="10"/>
  <c r="C10" i="10"/>
  <c r="C11" i="10"/>
  <c r="C12" i="10"/>
  <c r="C13" i="10"/>
  <c r="C14" i="10"/>
  <c r="C15" i="10"/>
  <c r="C16" i="10"/>
  <c r="C17" i="10"/>
  <c r="C3" i="10"/>
  <c r="H3" i="9"/>
  <c r="G3" i="9"/>
  <c r="F3" i="9"/>
  <c r="E3" i="9"/>
  <c r="C3" i="9"/>
  <c r="B3" i="9"/>
  <c r="B4" i="9"/>
  <c r="D3" i="9"/>
  <c r="H2" i="9"/>
  <c r="G2" i="9"/>
  <c r="S49" i="3"/>
  <c r="W48" i="3"/>
  <c r="V48" i="3"/>
  <c r="U48" i="3"/>
  <c r="T48" i="3"/>
  <c r="R48" i="3"/>
  <c r="Q48" i="3"/>
  <c r="R47" i="3"/>
  <c r="Q47" i="3"/>
  <c r="W46" i="3"/>
  <c r="V46" i="3"/>
  <c r="U46" i="3"/>
  <c r="T46" i="3"/>
  <c r="S46" i="3"/>
  <c r="R46" i="3"/>
  <c r="Q46" i="3"/>
  <c r="W45" i="3"/>
  <c r="U45" i="3"/>
  <c r="U53" i="3" s="1"/>
  <c r="T45" i="3"/>
  <c r="S45" i="3"/>
  <c r="R45" i="3"/>
  <c r="Q45" i="3"/>
  <c r="AE33" i="3"/>
  <c r="AD33" i="3"/>
  <c r="AC33" i="3"/>
  <c r="AB33" i="3"/>
  <c r="V34" i="3"/>
  <c r="V33" i="3"/>
  <c r="AE38" i="3"/>
  <c r="AD38" i="3"/>
  <c r="AC38" i="3"/>
  <c r="AB38" i="3"/>
  <c r="AB32" i="3"/>
  <c r="AC32" i="3"/>
  <c r="AD32" i="3"/>
  <c r="AE32" i="3"/>
  <c r="AB35" i="3"/>
  <c r="AC35" i="3"/>
  <c r="AD35" i="3"/>
  <c r="AE35" i="3"/>
  <c r="AE37" i="3"/>
  <c r="AD37" i="3"/>
  <c r="AC37" i="3"/>
  <c r="AB37" i="3"/>
  <c r="AB34" i="3"/>
  <c r="AC34" i="3"/>
  <c r="AF34" i="3"/>
  <c r="AE36" i="3"/>
  <c r="AD36" i="3"/>
  <c r="AC36" i="3"/>
  <c r="AB36" i="3"/>
  <c r="S37" i="3"/>
  <c r="W36" i="3"/>
  <c r="V36" i="3"/>
  <c r="U36" i="3"/>
  <c r="T36" i="3"/>
  <c r="R36" i="3"/>
  <c r="Q36" i="3"/>
  <c r="R35" i="3"/>
  <c r="Q35" i="3"/>
  <c r="W34" i="3"/>
  <c r="U34" i="3"/>
  <c r="T34" i="3"/>
  <c r="S34" i="3"/>
  <c r="R34" i="3"/>
  <c r="Q34" i="3"/>
  <c r="W33" i="3"/>
  <c r="U33" i="3"/>
  <c r="T33" i="3"/>
  <c r="S33" i="3"/>
  <c r="R33" i="3"/>
  <c r="Q33" i="3"/>
  <c r="S24" i="3"/>
  <c r="W23" i="3"/>
  <c r="V23" i="3"/>
  <c r="U23" i="3"/>
  <c r="T23" i="3"/>
  <c r="R23" i="3"/>
  <c r="Q23" i="3"/>
  <c r="R22" i="3"/>
  <c r="Q22" i="3"/>
  <c r="W21" i="3"/>
  <c r="V21" i="3"/>
  <c r="U21" i="3"/>
  <c r="T21" i="3"/>
  <c r="S21" i="3"/>
  <c r="R21" i="3"/>
  <c r="Q21" i="3"/>
  <c r="W20" i="3"/>
  <c r="V20" i="3"/>
  <c r="U20" i="3"/>
  <c r="T20" i="3"/>
  <c r="S20" i="3"/>
  <c r="R20" i="3"/>
  <c r="Q20" i="3"/>
  <c r="S12" i="3"/>
  <c r="S9" i="3"/>
  <c r="V11" i="3"/>
  <c r="W11" i="3"/>
  <c r="V8" i="3"/>
  <c r="U11" i="3"/>
  <c r="T11" i="3"/>
  <c r="T8" i="3"/>
  <c r="R11" i="3"/>
  <c r="Q11" i="3"/>
  <c r="Q8" i="3"/>
  <c r="Q10" i="3"/>
  <c r="R10" i="3"/>
  <c r="W9" i="3"/>
  <c r="V9" i="3"/>
  <c r="U9" i="3"/>
  <c r="T9" i="3"/>
  <c r="R9" i="3"/>
  <c r="Q9" i="3"/>
  <c r="W8" i="3"/>
  <c r="U8" i="3"/>
  <c r="S8" i="3"/>
  <c r="R8" i="3"/>
  <c r="J63" i="9" l="1"/>
  <c r="F63" i="9"/>
  <c r="H63" i="9"/>
  <c r="G63" i="9"/>
  <c r="I63" i="9"/>
  <c r="E63" i="9"/>
  <c r="D63" i="9"/>
  <c r="T53" i="3"/>
  <c r="V53" i="3"/>
  <c r="S53" i="3"/>
  <c r="W53" i="3"/>
  <c r="Q53" i="3"/>
  <c r="R53" i="3"/>
  <c r="U41" i="3"/>
  <c r="W41" i="3"/>
  <c r="AJ35" i="3"/>
  <c r="AJ37" i="3"/>
  <c r="AJ32" i="3"/>
  <c r="AJ34" i="3"/>
  <c r="AJ33" i="3"/>
  <c r="AJ38" i="3"/>
  <c r="AJ36" i="3"/>
  <c r="Q41" i="3"/>
  <c r="R41" i="3"/>
  <c r="S28" i="3"/>
  <c r="Q16" i="3"/>
  <c r="S41" i="3"/>
  <c r="V41" i="3"/>
  <c r="T41" i="3"/>
  <c r="U28" i="3"/>
  <c r="V28" i="3"/>
  <c r="R28" i="3"/>
  <c r="T28" i="3"/>
  <c r="W28" i="3"/>
  <c r="Q28" i="3"/>
  <c r="T16" i="3"/>
  <c r="U16" i="3"/>
  <c r="V16" i="3"/>
  <c r="W16" i="3"/>
  <c r="S16" i="3"/>
  <c r="R16" i="3"/>
  <c r="N13" i="7"/>
  <c r="F35" i="7"/>
  <c r="I35" i="7"/>
  <c r="K35" i="7"/>
  <c r="K20" i="7"/>
  <c r="J20" i="7"/>
  <c r="J35" i="7" s="1"/>
  <c r="L20" i="7"/>
  <c r="N19" i="7" s="1"/>
  <c r="I20" i="7"/>
  <c r="H20" i="7"/>
  <c r="H35" i="7" s="1"/>
  <c r="G20" i="7"/>
  <c r="G35" i="7" s="1"/>
  <c r="F20" i="7"/>
  <c r="E20" i="7"/>
  <c r="E35" i="7" s="1"/>
  <c r="M19" i="7"/>
  <c r="O18" i="7"/>
  <c r="M18" i="7"/>
  <c r="O17" i="7"/>
  <c r="M17" i="7"/>
  <c r="O16" i="7"/>
  <c r="M16" i="7"/>
  <c r="M15" i="7"/>
  <c r="O14" i="7"/>
  <c r="M14" i="7"/>
  <c r="O13" i="7"/>
  <c r="M13" i="7"/>
  <c r="M12" i="7"/>
  <c r="M11" i="7"/>
  <c r="O10" i="7"/>
  <c r="M10" i="7"/>
  <c r="M9" i="7"/>
  <c r="O8" i="7"/>
  <c r="M8" i="7"/>
  <c r="M7" i="7"/>
  <c r="M6" i="7"/>
  <c r="O5" i="7"/>
  <c r="M5" i="7"/>
  <c r="M4" i="7"/>
  <c r="O20" i="7" l="1"/>
  <c r="N17" i="7"/>
  <c r="N9" i="7"/>
  <c r="N12" i="7"/>
  <c r="N14" i="7"/>
  <c r="N5" i="7"/>
  <c r="N8" i="7"/>
  <c r="N16" i="7"/>
  <c r="N11" i="7"/>
  <c r="M20" i="7"/>
  <c r="O9" i="7" s="1"/>
  <c r="N18" i="7"/>
  <c r="N6" i="7"/>
  <c r="N4" i="7"/>
  <c r="N7" i="7"/>
  <c r="N10" i="7"/>
  <c r="N15" i="7"/>
  <c r="U31" i="1"/>
  <c r="U32" i="1"/>
  <c r="U33" i="1"/>
  <c r="U34" i="1"/>
  <c r="K21" i="7" l="1"/>
  <c r="J21" i="7"/>
  <c r="O6" i="7"/>
  <c r="G21" i="7"/>
  <c r="F21" i="7"/>
  <c r="I21" i="7"/>
  <c r="H21" i="7"/>
  <c r="O7" i="7"/>
  <c r="O19" i="7"/>
  <c r="E21" i="7"/>
  <c r="O4" i="7"/>
  <c r="O15" i="7"/>
  <c r="O11" i="7"/>
  <c r="O12" i="7"/>
  <c r="H21" i="5"/>
  <c r="G21" i="5"/>
  <c r="F21" i="5"/>
  <c r="E21" i="5"/>
  <c r="H20" i="5"/>
  <c r="G20" i="5"/>
  <c r="F20" i="5"/>
  <c r="E20" i="5"/>
  <c r="O28" i="1"/>
  <c r="O27" i="1"/>
  <c r="O26" i="1"/>
  <c r="O25" i="1"/>
  <c r="O24" i="1"/>
  <c r="O22" i="1"/>
  <c r="N24" i="1"/>
  <c r="P24" i="1"/>
  <c r="N25" i="1"/>
  <c r="P25" i="1"/>
  <c r="N26" i="1"/>
  <c r="P26" i="1"/>
  <c r="N27" i="1"/>
  <c r="P27" i="1"/>
  <c r="N28" i="1"/>
  <c r="P28" i="1"/>
  <c r="M28" i="1"/>
  <c r="M27" i="1"/>
  <c r="M26" i="1"/>
  <c r="M25" i="1"/>
  <c r="M24" i="1"/>
  <c r="T22" i="1"/>
  <c r="U22" i="1"/>
  <c r="V22" i="1"/>
  <c r="T24" i="1"/>
  <c r="U24" i="1"/>
  <c r="V24" i="1"/>
  <c r="T25" i="1"/>
  <c r="U25" i="1"/>
  <c r="V25" i="1"/>
  <c r="T26" i="1"/>
  <c r="U26" i="1"/>
  <c r="V26" i="1"/>
  <c r="T27" i="1"/>
  <c r="U27" i="1"/>
  <c r="V27" i="1"/>
  <c r="T28" i="1"/>
  <c r="U28" i="1"/>
  <c r="V28" i="1"/>
  <c r="V31" i="1"/>
  <c r="G24" i="3"/>
  <c r="F24" i="3"/>
  <c r="D24" i="3"/>
  <c r="G23" i="3"/>
  <c r="F23" i="3"/>
  <c r="E23" i="3"/>
  <c r="D23" i="3"/>
  <c r="G22" i="3"/>
  <c r="F22" i="3"/>
  <c r="E22" i="3"/>
  <c r="D22" i="3"/>
  <c r="D18" i="3"/>
  <c r="D8" i="3" s="1"/>
  <c r="E8" i="3" s="1"/>
  <c r="F8" i="3" s="1"/>
  <c r="D13" i="3"/>
  <c r="D9" i="3" s="1"/>
  <c r="E9" i="3" s="1"/>
  <c r="F9" i="3" s="1"/>
  <c r="I9" i="3"/>
  <c r="I8" i="3"/>
  <c r="I7" i="3"/>
  <c r="D7" i="3"/>
  <c r="E7" i="3" s="1"/>
  <c r="F7" i="3" s="1"/>
  <c r="I6" i="3"/>
  <c r="D6" i="3"/>
  <c r="I3" i="3"/>
  <c r="E3" i="3" s="1"/>
  <c r="O30" i="1" s="1"/>
  <c r="I2" i="3"/>
  <c r="D2" i="3" s="1"/>
  <c r="E2" i="3" s="1"/>
  <c r="F2" i="3" s="1"/>
  <c r="E6" i="3" l="1"/>
  <c r="F6" i="3" s="1"/>
  <c r="N30" i="1" s="1"/>
  <c r="P33" i="1" s="1"/>
  <c r="U30" i="1"/>
  <c r="W33" i="1" s="1"/>
  <c r="I4" i="3"/>
  <c r="D4" i="3" s="1"/>
  <c r="K36" i="7"/>
  <c r="H36" i="7"/>
  <c r="I36" i="7"/>
  <c r="F36" i="7"/>
  <c r="G36" i="7"/>
  <c r="E36" i="7"/>
  <c r="J36" i="7"/>
  <c r="E24" i="7"/>
  <c r="O21" i="7"/>
  <c r="H24" i="7"/>
  <c r="I24" i="7"/>
  <c r="F24" i="7"/>
  <c r="G24" i="7"/>
  <c r="J24" i="7"/>
  <c r="K24" i="7"/>
  <c r="F22" i="7"/>
  <c r="K22" i="7"/>
  <c r="J22" i="7"/>
  <c r="G22" i="7"/>
  <c r="H22" i="7"/>
  <c r="I22" i="7"/>
  <c r="E22" i="7"/>
  <c r="G22" i="5"/>
  <c r="H22" i="5"/>
  <c r="F22" i="5"/>
  <c r="E22" i="5"/>
  <c r="P29" i="1"/>
  <c r="P21" i="1" s="1"/>
  <c r="O29" i="1"/>
  <c r="O20" i="1" s="1"/>
  <c r="O21" i="1"/>
  <c r="D3" i="3"/>
  <c r="F3" i="3" s="1"/>
  <c r="V29" i="1"/>
  <c r="V19" i="1" s="1"/>
  <c r="U29" i="1"/>
  <c r="T33" i="1" s="1"/>
  <c r="T29" i="1"/>
  <c r="T32" i="1" s="1"/>
  <c r="M29" i="1"/>
  <c r="M21" i="1" s="1"/>
  <c r="N29" i="1"/>
  <c r="N20" i="1" s="1"/>
  <c r="N33" i="1" s="1"/>
  <c r="A22" i="3"/>
  <c r="A23" i="3"/>
  <c r="E24" i="3"/>
  <c r="P22" i="1"/>
  <c r="N22" i="1"/>
  <c r="M22" i="1"/>
  <c r="N31" i="1"/>
  <c r="O31" i="1"/>
  <c r="H2" i="1"/>
  <c r="I2" i="1"/>
  <c r="G2" i="1"/>
  <c r="X33" i="1" l="1"/>
  <c r="G4" i="3"/>
  <c r="V30" i="1"/>
  <c r="W34" i="1" s="1"/>
  <c r="E4" i="3"/>
  <c r="T30" i="1"/>
  <c r="W32" i="1" s="1"/>
  <c r="O22" i="7"/>
  <c r="I25" i="7"/>
  <c r="H25" i="7"/>
  <c r="G25" i="7"/>
  <c r="F23" i="7"/>
  <c r="F25" i="7"/>
  <c r="O24" i="7"/>
  <c r="G23" i="7"/>
  <c r="J25" i="7"/>
  <c r="J23" i="7"/>
  <c r="K23" i="7"/>
  <c r="K25" i="7"/>
  <c r="H23" i="7"/>
  <c r="E23" i="7"/>
  <c r="E25" i="7"/>
  <c r="I23" i="7"/>
  <c r="I22" i="5"/>
  <c r="P20" i="1"/>
  <c r="N34" i="1" s="1"/>
  <c r="O19" i="1"/>
  <c r="U21" i="1"/>
  <c r="V33" i="1" s="1"/>
  <c r="U19" i="1"/>
  <c r="T20" i="1"/>
  <c r="T19" i="1"/>
  <c r="T21" i="1"/>
  <c r="V32" i="1" s="1"/>
  <c r="T34" i="1"/>
  <c r="V20" i="1"/>
  <c r="U20" i="1"/>
  <c r="V21" i="1"/>
  <c r="V34" i="1" s="1"/>
  <c r="B23" i="3"/>
  <c r="P30" i="1"/>
  <c r="P34" i="1" s="1"/>
  <c r="H11" i="1"/>
  <c r="H12" i="1"/>
  <c r="M20" i="1"/>
  <c r="N21" i="1"/>
  <c r="B22" i="3"/>
  <c r="G3" i="3"/>
  <c r="M34" i="1"/>
  <c r="M33" i="1"/>
  <c r="Q33" i="1" s="1"/>
  <c r="M32" i="1"/>
  <c r="I8" i="1"/>
  <c r="H8" i="1"/>
  <c r="X34" i="1" l="1"/>
  <c r="F4" i="3"/>
  <c r="A24" i="3"/>
  <c r="X32" i="1"/>
  <c r="O26" i="7"/>
  <c r="F26" i="7" s="1"/>
  <c r="F37" i="7" s="1"/>
  <c r="O23" i="7"/>
  <c r="O25" i="7"/>
  <c r="Q34" i="1"/>
  <c r="O34" i="1"/>
  <c r="P19" i="1"/>
  <c r="N19" i="1"/>
  <c r="O33" i="1"/>
  <c r="N32" i="1"/>
  <c r="O32" i="1"/>
  <c r="M19" i="1"/>
  <c r="H3" i="1"/>
  <c r="I3" i="1"/>
  <c r="G3" i="1"/>
  <c r="G7" i="1" s="1"/>
  <c r="G4" i="1"/>
  <c r="G5" i="1"/>
  <c r="M30" i="1" l="1"/>
  <c r="H10" i="1"/>
  <c r="G8" i="1"/>
  <c r="G2" i="3"/>
  <c r="B24" i="3"/>
  <c r="J26" i="7"/>
  <c r="J37" i="7" s="1"/>
  <c r="E26" i="7"/>
  <c r="K26" i="7"/>
  <c r="K37" i="7" s="1"/>
  <c r="G26" i="7"/>
  <c r="G37" i="7" s="1"/>
  <c r="I26" i="7"/>
  <c r="I37" i="7" s="1"/>
  <c r="H26" i="7"/>
  <c r="H37" i="7" s="1"/>
  <c r="I5" i="1"/>
  <c r="H5" i="1"/>
  <c r="I4" i="1"/>
  <c r="H4" i="1"/>
  <c r="G30" i="7" l="1"/>
  <c r="E32" i="7"/>
  <c r="F31" i="7"/>
  <c r="K30" i="7"/>
  <c r="P32" i="1"/>
  <c r="Q32" i="1"/>
  <c r="J31" i="7"/>
  <c r="F30" i="7"/>
  <c r="G32" i="7"/>
  <c r="I30" i="7"/>
  <c r="G31" i="7"/>
  <c r="K31" i="7"/>
  <c r="E37" i="7"/>
  <c r="H31" i="7"/>
  <c r="E30" i="7"/>
  <c r="H30" i="7"/>
  <c r="K32" i="7"/>
  <c r="F32" i="7"/>
  <c r="J32" i="7"/>
  <c r="I32" i="7"/>
  <c r="E31" i="7"/>
  <c r="J30" i="7"/>
  <c r="H32" i="7"/>
  <c r="I31" i="7"/>
  <c r="H7" i="1"/>
  <c r="I7" i="1"/>
  <c r="G10" i="1" l="1"/>
  <c r="I10" i="1" s="1"/>
  <c r="G11" i="1"/>
  <c r="I11" i="1" s="1"/>
  <c r="G12" i="1"/>
  <c r="I12" i="1" s="1"/>
  <c r="J2" i="9"/>
  <c r="R70" i="9" l="1"/>
  <c r="R56" i="9"/>
  <c r="R60" i="9"/>
  <c r="N46" i="9"/>
  <c r="N53" i="9"/>
  <c r="N67" i="9"/>
  <c r="P57" i="9"/>
  <c r="P67" i="9"/>
  <c r="P45" i="9"/>
  <c r="P68" i="9"/>
  <c r="L63" i="9"/>
  <c r="L55" i="9"/>
  <c r="L62" i="9"/>
  <c r="O47" i="9"/>
  <c r="O45" i="9"/>
  <c r="O66" i="9"/>
  <c r="Q58" i="9"/>
  <c r="Q64" i="9"/>
  <c r="Q46" i="9"/>
  <c r="Q61" i="9"/>
  <c r="M53" i="9"/>
  <c r="M67" i="9"/>
  <c r="M47" i="9"/>
  <c r="M63" i="9"/>
  <c r="M70" i="9"/>
  <c r="Q57" i="9"/>
  <c r="N65" i="9"/>
  <c r="L60" i="9"/>
  <c r="L50" i="9"/>
  <c r="L46" i="9"/>
  <c r="O70" i="9"/>
  <c r="Q59" i="9"/>
  <c r="M65" i="9"/>
  <c r="R51" i="9"/>
  <c r="R45" i="9"/>
  <c r="R54" i="9"/>
  <c r="R68" i="9"/>
  <c r="N54" i="9"/>
  <c r="N61" i="9"/>
  <c r="N50" i="9"/>
  <c r="P65" i="9"/>
  <c r="P47" i="9"/>
  <c r="P53" i="9"/>
  <c r="L45" i="9"/>
  <c r="L51" i="9"/>
  <c r="L49" i="9"/>
  <c r="L70" i="9"/>
  <c r="O55" i="9"/>
  <c r="O53" i="9"/>
  <c r="O49" i="9"/>
  <c r="Q66" i="9"/>
  <c r="Q53" i="9"/>
  <c r="Q54" i="9"/>
  <c r="M61" i="9"/>
  <c r="M56" i="9"/>
  <c r="M55" i="9"/>
  <c r="M50" i="9"/>
  <c r="Q63" i="9"/>
  <c r="N63" i="9"/>
  <c r="P54" i="9"/>
  <c r="Q60" i="9"/>
  <c r="Q68" i="9"/>
  <c r="R59" i="9"/>
  <c r="R61" i="9"/>
  <c r="R62" i="9"/>
  <c r="R69" i="9"/>
  <c r="N62" i="9"/>
  <c r="N69" i="9"/>
  <c r="N48" i="9"/>
  <c r="P70" i="9"/>
  <c r="P55" i="9"/>
  <c r="P61" i="9"/>
  <c r="L53" i="9"/>
  <c r="L59" i="9"/>
  <c r="L57" i="9"/>
  <c r="L66" i="9"/>
  <c r="O63" i="9"/>
  <c r="O61" i="9"/>
  <c r="O57" i="9"/>
  <c r="Q52" i="9"/>
  <c r="Q47" i="9"/>
  <c r="Q62" i="9"/>
  <c r="M46" i="9"/>
  <c r="M69" i="9"/>
  <c r="M64" i="9"/>
  <c r="Q45" i="9"/>
  <c r="N51" i="9"/>
  <c r="P58" i="9"/>
  <c r="Q50" i="9"/>
  <c r="R67" i="9"/>
  <c r="R49" i="9"/>
  <c r="R47" i="9"/>
  <c r="N70" i="9"/>
  <c r="N52" i="9"/>
  <c r="N56" i="9"/>
  <c r="P60" i="9"/>
  <c r="P63" i="9"/>
  <c r="P69" i="9"/>
  <c r="L61" i="9"/>
  <c r="L67" i="9"/>
  <c r="L65" i="9"/>
  <c r="O46" i="9"/>
  <c r="O52" i="9"/>
  <c r="O65" i="9"/>
  <c r="Q49" i="9"/>
  <c r="Q55" i="9"/>
  <c r="Q70" i="9"/>
  <c r="M54" i="9"/>
  <c r="M52" i="9"/>
  <c r="M62" i="9"/>
  <c r="M58" i="9"/>
  <c r="R46" i="9"/>
  <c r="O64" i="9"/>
  <c r="M48" i="9"/>
  <c r="M51" i="9"/>
  <c r="Q56" i="9"/>
  <c r="R50" i="9"/>
  <c r="R57" i="9"/>
  <c r="R55" i="9"/>
  <c r="N47" i="9"/>
  <c r="N66" i="9"/>
  <c r="N60" i="9"/>
  <c r="N64" i="9"/>
  <c r="P48" i="9"/>
  <c r="P59" i="9"/>
  <c r="P51" i="9"/>
  <c r="L69" i="9"/>
  <c r="L56" i="9"/>
  <c r="L48" i="9"/>
  <c r="O48" i="9"/>
  <c r="O54" i="9"/>
  <c r="O60" i="9"/>
  <c r="O69" i="9"/>
  <c r="M60" i="9"/>
  <c r="Q48" i="9"/>
  <c r="M49" i="9"/>
  <c r="Q67" i="9"/>
  <c r="R58" i="9"/>
  <c r="R65" i="9"/>
  <c r="R63" i="9"/>
  <c r="N55" i="9"/>
  <c r="N57" i="9"/>
  <c r="N49" i="9"/>
  <c r="N58" i="9"/>
  <c r="P56" i="9"/>
  <c r="P46" i="9"/>
  <c r="P50" i="9"/>
  <c r="L52" i="9"/>
  <c r="L47" i="9"/>
  <c r="L64" i="9"/>
  <c r="O56" i="9"/>
  <c r="O62" i="9"/>
  <c r="O68" i="9"/>
  <c r="O50" i="9"/>
  <c r="Q65" i="9"/>
  <c r="Q69" i="9"/>
  <c r="Q51" i="9"/>
  <c r="M57" i="9"/>
  <c r="M68" i="9"/>
  <c r="M66" i="9"/>
  <c r="R66" i="9"/>
  <c r="R53" i="9"/>
  <c r="P64" i="9"/>
  <c r="O51" i="9"/>
  <c r="M45" i="9"/>
  <c r="M59" i="9"/>
  <c r="R64" i="9"/>
  <c r="R48" i="9"/>
  <c r="R52" i="9"/>
  <c r="N68" i="9"/>
  <c r="N45" i="9"/>
  <c r="N59" i="9"/>
  <c r="P49" i="9"/>
  <c r="P52" i="9"/>
  <c r="P62" i="9"/>
  <c r="P66" i="9"/>
  <c r="L68" i="9"/>
  <c r="L58" i="9"/>
  <c r="L54" i="9"/>
  <c r="O58" i="9"/>
  <c r="O59" i="9"/>
  <c r="O67" i="9"/>
  <c r="L2" i="9"/>
  <c r="O2" i="9"/>
  <c r="M2" i="9"/>
  <c r="N2" i="9"/>
  <c r="R2" i="9"/>
  <c r="P2" i="9"/>
  <c r="L4" i="9"/>
  <c r="M5" i="9"/>
  <c r="N6" i="9"/>
  <c r="O7" i="9"/>
  <c r="P8" i="9"/>
  <c r="R10" i="9"/>
  <c r="L12" i="9"/>
  <c r="M13" i="9"/>
  <c r="N14" i="9"/>
  <c r="O15" i="9"/>
  <c r="P16" i="9"/>
  <c r="R18" i="9"/>
  <c r="L20" i="9"/>
  <c r="M21" i="9"/>
  <c r="N22" i="9"/>
  <c r="O23" i="9"/>
  <c r="P24" i="9"/>
  <c r="R26" i="9"/>
  <c r="L28" i="9"/>
  <c r="M29" i="9"/>
  <c r="N30" i="9"/>
  <c r="O31" i="9"/>
  <c r="P32" i="9"/>
  <c r="Q33" i="9"/>
  <c r="R34" i="9"/>
  <c r="L36" i="9"/>
  <c r="M37" i="9"/>
  <c r="N38" i="9"/>
  <c r="O39" i="9"/>
  <c r="P40" i="9"/>
  <c r="Q41" i="9"/>
  <c r="R42" i="9"/>
  <c r="L44" i="9"/>
  <c r="N3" i="9"/>
  <c r="M4" i="9"/>
  <c r="N5" i="9"/>
  <c r="O6" i="9"/>
  <c r="P7" i="9"/>
  <c r="R9" i="9"/>
  <c r="L11" i="9"/>
  <c r="M12" i="9"/>
  <c r="N13" i="9"/>
  <c r="O14" i="9"/>
  <c r="P15" i="9"/>
  <c r="R17" i="9"/>
  <c r="L19" i="9"/>
  <c r="M20" i="9"/>
  <c r="N21" i="9"/>
  <c r="O22" i="9"/>
  <c r="P23" i="9"/>
  <c r="R25" i="9"/>
  <c r="L27" i="9"/>
  <c r="M28" i="9"/>
  <c r="N29" i="9"/>
  <c r="O30" i="9"/>
  <c r="P31" i="9"/>
  <c r="Q32" i="9"/>
  <c r="R33" i="9"/>
  <c r="L35" i="9"/>
  <c r="M36" i="9"/>
  <c r="N37" i="9"/>
  <c r="O38" i="9"/>
  <c r="P39" i="9"/>
  <c r="Q40" i="9"/>
  <c r="R41" i="9"/>
  <c r="L43" i="9"/>
  <c r="M44" i="9"/>
  <c r="O3" i="9"/>
  <c r="N4" i="9"/>
  <c r="O5" i="9"/>
  <c r="P6" i="9"/>
  <c r="R8" i="9"/>
  <c r="L10" i="9"/>
  <c r="M11" i="9"/>
  <c r="N12" i="9"/>
  <c r="O13" i="9"/>
  <c r="P14" i="9"/>
  <c r="R16" i="9"/>
  <c r="L18" i="9"/>
  <c r="M19" i="9"/>
  <c r="N20" i="9"/>
  <c r="O21" i="9"/>
  <c r="P22" i="9"/>
  <c r="R24" i="9"/>
  <c r="L26" i="9"/>
  <c r="M27" i="9"/>
  <c r="N28" i="9"/>
  <c r="O29" i="9"/>
  <c r="P30" i="9"/>
  <c r="R32" i="9"/>
  <c r="L34" i="9"/>
  <c r="M35" i="9"/>
  <c r="N36" i="9"/>
  <c r="O37" i="9"/>
  <c r="P38" i="9"/>
  <c r="Q39" i="9"/>
  <c r="R40" i="9"/>
  <c r="L42" i="9"/>
  <c r="M43" i="9"/>
  <c r="N44" i="9"/>
  <c r="M3" i="9"/>
  <c r="O4" i="9"/>
  <c r="P5" i="9"/>
  <c r="R7" i="9"/>
  <c r="L9" i="9"/>
  <c r="M10" i="9"/>
  <c r="N11" i="9"/>
  <c r="O12" i="9"/>
  <c r="P13" i="9"/>
  <c r="R15" i="9"/>
  <c r="L17" i="9"/>
  <c r="M18" i="9"/>
  <c r="N19" i="9"/>
  <c r="O20" i="9"/>
  <c r="P21" i="9"/>
  <c r="R23" i="9"/>
  <c r="L25" i="9"/>
  <c r="M26" i="9"/>
  <c r="N27" i="9"/>
  <c r="O28" i="9"/>
  <c r="P29" i="9"/>
  <c r="R31" i="9"/>
  <c r="L33" i="9"/>
  <c r="M34" i="9"/>
  <c r="N35" i="9"/>
  <c r="O36" i="9"/>
  <c r="P37" i="9"/>
  <c r="Q38" i="9"/>
  <c r="R39" i="9"/>
  <c r="L41" i="9"/>
  <c r="M42" i="9"/>
  <c r="N43" i="9"/>
  <c r="O44" i="9"/>
  <c r="L3" i="9"/>
  <c r="P4" i="9"/>
  <c r="R6" i="9"/>
  <c r="L8" i="9"/>
  <c r="M9" i="9"/>
  <c r="N10" i="9"/>
  <c r="O11" i="9"/>
  <c r="P12" i="9"/>
  <c r="R14" i="9"/>
  <c r="L16" i="9"/>
  <c r="M17" i="9"/>
  <c r="N18" i="9"/>
  <c r="O19" i="9"/>
  <c r="P20" i="9"/>
  <c r="R22" i="9"/>
  <c r="L24" i="9"/>
  <c r="M25" i="9"/>
  <c r="N26" i="9"/>
  <c r="O27" i="9"/>
  <c r="P28" i="9"/>
  <c r="R30" i="9"/>
  <c r="L32" i="9"/>
  <c r="M33" i="9"/>
  <c r="N34" i="9"/>
  <c r="O35" i="9"/>
  <c r="P36" i="9"/>
  <c r="Q37" i="9"/>
  <c r="R38" i="9"/>
  <c r="L40" i="9"/>
  <c r="M41" i="9"/>
  <c r="N42" i="9"/>
  <c r="O43" i="9"/>
  <c r="P44" i="9"/>
  <c r="R5" i="9"/>
  <c r="L7" i="9"/>
  <c r="M8" i="9"/>
  <c r="N9" i="9"/>
  <c r="O10" i="9"/>
  <c r="P11" i="9"/>
  <c r="R13" i="9"/>
  <c r="L15" i="9"/>
  <c r="M16" i="9"/>
  <c r="N17" i="9"/>
  <c r="O18" i="9"/>
  <c r="P19" i="9"/>
  <c r="R21" i="9"/>
  <c r="L23" i="9"/>
  <c r="M24" i="9"/>
  <c r="N25" i="9"/>
  <c r="O26" i="9"/>
  <c r="P27" i="9"/>
  <c r="R29" i="9"/>
  <c r="L31" i="9"/>
  <c r="M32" i="9"/>
  <c r="N33" i="9"/>
  <c r="O34" i="9"/>
  <c r="P35" i="9"/>
  <c r="Q36" i="9"/>
  <c r="R37" i="9"/>
  <c r="L39" i="9"/>
  <c r="M40" i="9"/>
  <c r="N41" i="9"/>
  <c r="O42" i="9"/>
  <c r="P43" i="9"/>
  <c r="Q44" i="9"/>
  <c r="R3" i="9"/>
  <c r="R4" i="9"/>
  <c r="L6" i="9"/>
  <c r="M7" i="9"/>
  <c r="N8" i="9"/>
  <c r="O9" i="9"/>
  <c r="P10" i="9"/>
  <c r="R12" i="9"/>
  <c r="L14" i="9"/>
  <c r="M15" i="9"/>
  <c r="N16" i="9"/>
  <c r="O17" i="9"/>
  <c r="P18" i="9"/>
  <c r="R20" i="9"/>
  <c r="L22" i="9"/>
  <c r="M23" i="9"/>
  <c r="N24" i="9"/>
  <c r="O25" i="9"/>
  <c r="P26" i="9"/>
  <c r="R28" i="9"/>
  <c r="L30" i="9"/>
  <c r="M31" i="9"/>
  <c r="N32" i="9"/>
  <c r="O33" i="9"/>
  <c r="P34" i="9"/>
  <c r="Q35" i="9"/>
  <c r="R36" i="9"/>
  <c r="L38" i="9"/>
  <c r="M39" i="9"/>
  <c r="N40" i="9"/>
  <c r="O41" i="9"/>
  <c r="P42" i="9"/>
  <c r="Q43" i="9"/>
  <c r="R44" i="9"/>
  <c r="L5" i="9"/>
  <c r="M6" i="9"/>
  <c r="N7" i="9"/>
  <c r="O8" i="9"/>
  <c r="P9" i="9"/>
  <c r="R11" i="9"/>
  <c r="L13" i="9"/>
  <c r="M14" i="9"/>
  <c r="N15" i="9"/>
  <c r="O16" i="9"/>
  <c r="P17" i="9"/>
  <c r="R19" i="9"/>
  <c r="L21" i="9"/>
  <c r="M22" i="9"/>
  <c r="N23" i="9"/>
  <c r="O24" i="9"/>
  <c r="P25" i="9"/>
  <c r="R27" i="9"/>
  <c r="L29" i="9"/>
  <c r="M30" i="9"/>
  <c r="N31" i="9"/>
  <c r="O32" i="9"/>
  <c r="P33" i="9"/>
  <c r="Q34" i="9"/>
  <c r="R35" i="9"/>
  <c r="L37" i="9"/>
  <c r="M38" i="9"/>
  <c r="N39" i="9"/>
  <c r="O40" i="9"/>
  <c r="P41" i="9"/>
  <c r="Q42" i="9"/>
  <c r="R43" i="9"/>
  <c r="P3" i="9"/>
</calcChain>
</file>

<file path=xl/sharedStrings.xml><?xml version="1.0" encoding="utf-8"?>
<sst xmlns="http://schemas.openxmlformats.org/spreadsheetml/2006/main" count="621" uniqueCount="224">
  <si>
    <t>CPU</t>
  </si>
  <si>
    <t>HMI Cost</t>
  </si>
  <si>
    <t>SCADA Monitor Keyboard Mouse</t>
  </si>
  <si>
    <t>Siemens 1217</t>
  </si>
  <si>
    <t>Siemens Using Remote IO 1510sp</t>
  </si>
  <si>
    <t>Siemens 1214</t>
  </si>
  <si>
    <t>Siemens 1212</t>
  </si>
  <si>
    <t>Siemens 1211</t>
  </si>
  <si>
    <t>storage</t>
  </si>
  <si>
    <t>SCADA  PIResistiveTouchscreen keyboard Mouse</t>
  </si>
  <si>
    <t>Cost</t>
  </si>
  <si>
    <t>S7 1510sp</t>
  </si>
  <si>
    <t>Ease of setup</t>
  </si>
  <si>
    <t>Language Development Speed</t>
  </si>
  <si>
    <t>Library Expandability</t>
  </si>
  <si>
    <t>HMI Simplicity</t>
  </si>
  <si>
    <t>Maintainability</t>
  </si>
  <si>
    <t>Ease of Administration</t>
  </si>
  <si>
    <t>Cost of repair/Replacement</t>
  </si>
  <si>
    <t>Built In IO</t>
  </si>
  <si>
    <t>IO Expansion</t>
  </si>
  <si>
    <t>Adaptability</t>
  </si>
  <si>
    <t>Ability to do heavy workloads without impacting real time processes</t>
  </si>
  <si>
    <t>Dev Cost</t>
  </si>
  <si>
    <t>IO</t>
  </si>
  <si>
    <t>Experience of local engineers</t>
  </si>
  <si>
    <t>Designed for an industrial Setting</t>
  </si>
  <si>
    <t>Complexity</t>
  </si>
  <si>
    <t>Common Development Environment</t>
  </si>
  <si>
    <t>Documentation</t>
  </si>
  <si>
    <t>Comunication methods supported</t>
  </si>
  <si>
    <t>Overall</t>
  </si>
  <si>
    <t>SCADA  PIResistiveTouchscreen</t>
  </si>
  <si>
    <t>Multi Machine Support</t>
  </si>
  <si>
    <t>Scada</t>
  </si>
  <si>
    <t>1510sp</t>
  </si>
  <si>
    <t>Scada TouchScreen</t>
  </si>
  <si>
    <t>Receiveing Additional restrictions from server</t>
  </si>
  <si>
    <t>Siemens 1211C</t>
  </si>
  <si>
    <t>HMI</t>
  </si>
  <si>
    <t>Storage</t>
  </si>
  <si>
    <t>Percent Cheaper than 1510</t>
  </si>
  <si>
    <t>Percent Cheaper than 1211C</t>
  </si>
  <si>
    <t>Only supports SCL LAD and FBD</t>
  </si>
  <si>
    <t>Supports SCL LAD FBD GRAPH and LOAD</t>
  </si>
  <si>
    <t>Comes with boost isntalled and able to install other c++ libraries</t>
  </si>
  <si>
    <t>Still library expandable but less common than c++ libraries</t>
  </si>
  <si>
    <t>Very common language so some probably have some experience but its not even close to siemens</t>
  </si>
  <si>
    <t>Admin Website capable allowing remote administration and diagnostic however its would be an inhouse tool where siemens diagnostic is supported by siemens</t>
  </si>
  <si>
    <t>Device Cost</t>
  </si>
  <si>
    <t>Cost Per new machine</t>
  </si>
  <si>
    <t>Cost for 4 machines</t>
  </si>
  <si>
    <t>CPU cost</t>
  </si>
  <si>
    <t>Accessories</t>
  </si>
  <si>
    <t>Cant replace parts but the entire machine is much cheaper</t>
  </si>
  <si>
    <t>It’s a converted beagel bone black. Its not really designed for industrial settings</t>
  </si>
  <si>
    <t>New to all engineers here and it’s a custom development environment with a custom middle ware. To maintain a new development environment would have to be made available</t>
  </si>
  <si>
    <t>Siemens forums and several hundred page manuals at the tip of your fingers</t>
  </si>
  <si>
    <t>Very little documentation currently. It’s a work in progress system bugs will be found and they will cause problems</t>
  </si>
  <si>
    <t>All IO Comes built in ( 2 serial ports 4 themral interfaces 1 idra receiver 8 digital in 8 digital out 8 analog in</t>
  </si>
  <si>
    <t>0 inputs 0 outputs</t>
  </si>
  <si>
    <t>No possible expansion</t>
  </si>
  <si>
    <t>Flash the device then wire it in and the four machines it is going to be interfaceing with then wire in the four HMI's then configure it so that the HMI's match which machine it is on give it an iP Name and server to send to.</t>
  </si>
  <si>
    <t>Higher level language allows for much greater degree of comunication to and from server. Allowing for even direct queeries to be run against a database to check.</t>
  </si>
  <si>
    <t>Can assign different priorities to different threads allowing background threads to not slow down realtime performance.</t>
  </si>
  <si>
    <t xml:space="preserve">Same problem but shared amoung 4 machines meaning if one has a heavy task it can affect all of them </t>
  </si>
  <si>
    <t>Higher level language allows for greater server machine communication through different communication methods</t>
  </si>
  <si>
    <t>Restricted to only cummunication formats supported by the plc software/hardware</t>
  </si>
  <si>
    <t>Supports 4 machines. Limited by number of HMI's</t>
  </si>
  <si>
    <t>1212C</t>
  </si>
  <si>
    <t>S7 1212</t>
  </si>
  <si>
    <t>Score per Dollar</t>
  </si>
  <si>
    <t xml:space="preserve">SCADA  </t>
  </si>
  <si>
    <t>Straight Base</t>
  </si>
  <si>
    <t>Equal Weight</t>
  </si>
  <si>
    <t>Supports MQTT</t>
  </si>
  <si>
    <t>Background Tasks</t>
  </si>
  <si>
    <t>Easy Remote Administration</t>
  </si>
  <si>
    <t>Low cost to repair or replace</t>
  </si>
  <si>
    <t>Adding Restrictions from server</t>
  </si>
  <si>
    <t>Software Flexability</t>
  </si>
  <si>
    <t>Hardware Flexability</t>
  </si>
  <si>
    <t>Weighted for Better Maintainability and setup</t>
  </si>
  <si>
    <t>Supports Local HMI</t>
  </si>
  <si>
    <t>Weighted for better expansion and adaptability</t>
  </si>
  <si>
    <t>Software flexibilty</t>
  </si>
  <si>
    <t>Error Reporting Complexity</t>
  </si>
  <si>
    <t>Designed for an industrial setting</t>
  </si>
  <si>
    <t>Common development environment</t>
  </si>
  <si>
    <t>documentation</t>
  </si>
  <si>
    <t>It’s the language most people here know and as for ladder its very easy to understand in general for both technicians and engineers</t>
  </si>
  <si>
    <t>It’s the language most people here know and as for ladder its very easy to understand in general for both technicians and engineers In addition it supports SCL and Graph both can compile down to stl which is easeir to understand.</t>
  </si>
  <si>
    <t>Remote administration of plc's on the same network. Less user friendly than a purpose built site but will get a lot better support, and engineers atleast if not technicians are accustomed to and addept at remote connecting to the plcs unlike the scada box.</t>
  </si>
  <si>
    <t>Machine is much more expensive but individual parts can be replaced and are rated for a much higher ip level schock and temperature ratings.</t>
  </si>
  <si>
    <t>The most common development environment at osram, known to all a majority of the engineers at osram.</t>
  </si>
  <si>
    <t>Designed tested and implemented in industrial settings everywhere has waterproof ratings shock ratings etc ip20 15g -20 to 70 C</t>
  </si>
  <si>
    <t>10 input 4 output all digital</t>
  </si>
  <si>
    <t>0 signal boards 3 comunication modules 8 io modules per remote io.</t>
  </si>
  <si>
    <t>0 signal boards 3 comunication modules 8 io modules.</t>
  </si>
  <si>
    <t>Flash the device wire it in then change the ip,name,line, and server your pointing it to then it should be good to go</t>
  </si>
  <si>
    <t>higher level language support c/c++ and node red ( allowing for javascript &amp; php</t>
  </si>
  <si>
    <t>Just a screen that takes hdmi in. no specific programming needed</t>
  </si>
  <si>
    <t>Has to be programmed and connects over profinet or profi bus. Requires simatic step 7 software to program</t>
  </si>
  <si>
    <t>only a few extra pins would be limited with the number of specific error messages it could send back.</t>
  </si>
  <si>
    <t xml:space="preserve">High expandability means that it would be much less if not at all limited to error reporting complexity. </t>
  </si>
  <si>
    <t>Allows for background Tasks to be run without interupting realtime application.</t>
  </si>
  <si>
    <t>Able to assign different prioritys in xenomai which means that at a kernal level all realtime code will be excecuted before any non realtime code and things of the same priority are put on a first in first out stack</t>
  </si>
  <si>
    <t>Able to code in a way that it runs only a few instructions per scan of a heavy workload. Does not allow full backgorund task capability but can be used to do heavy workloads slowly without stoping realtime tasts. Just a bit more wastefull on time.</t>
  </si>
  <si>
    <t>Able to code in a way that it runs only a few instructions per scan of a heavy workload. Does not allow full backgorund task capability but can be used to do heavy workloads slowly without stoping realtime tasts. Just a bit more wastefull on time. One thing to note is one lines heavy load could impact all four lines realtime processes. in addition to the heaveir workload of manageing four seperate lines.</t>
  </si>
  <si>
    <t>Uses extra pins to not only report wether a product was bad or not but what machine code caused the error ( user defined on setup)</t>
  </si>
  <si>
    <t>Input/starving/blocking</t>
  </si>
  <si>
    <t>Weighted for Custom Weights</t>
  </si>
  <si>
    <t>Pac Lite Addons mentioned by dariusz/wade</t>
  </si>
  <si>
    <t>If capable add a pin input to tell whether the machine is being starved blocked or is receivieng input.</t>
  </si>
  <si>
    <t>Devlin thoughts</t>
  </si>
  <si>
    <t>Possibly make a broker that can also communicate through to Eng database as well as the camstar database.</t>
  </si>
  <si>
    <t>All code treated equal making it more difficult to balance Heavy background tasks. But very easy to debug and understand the code</t>
  </si>
  <si>
    <t>Suports 1 machine Limited in terms of IO, HMI</t>
  </si>
  <si>
    <t>Possibly use 1200 for multiple machines if I am stuck doing this for longer. Use IO Link Master and io slaves. Probably only able to support 2 machines ( one in one out 4 total supported) however you may be able to have multiple IO Link Masters.</t>
  </si>
  <si>
    <t>Supports one machine but can be augmented to support 2. Limited by IO supported by the link master that would be added to manage the remote io. Would further be limited to 2  remote io blocks per device to accomadate 2 This would be much more expensive per machine than one however and may end up being more per machine than the 1510sp. still it is an option</t>
  </si>
  <si>
    <t>Restricted to only comunication formats supported by the plc software/hardware</t>
  </si>
  <si>
    <t>Misc</t>
  </si>
  <si>
    <t>Reverse Scale from 123 to 321</t>
  </si>
  <si>
    <t>Mproject Name?</t>
  </si>
  <si>
    <t>Weight</t>
  </si>
  <si>
    <t>Weighted for Maintainability and Setup</t>
  </si>
  <si>
    <t>Weighted for Expansion and Adaptability</t>
  </si>
  <si>
    <t>Adding Restrictions from other software</t>
  </si>
  <si>
    <t>requirement based old (1 high 3 low</t>
  </si>
  <si>
    <t>Purely Requirement Based new 1 low 3 3 high</t>
  </si>
  <si>
    <t>Siemens only natively supports publishing in mqtt and communication in general is more limited on the PLC's thanks to its lowerlevel language development and less expandably library sets.</t>
  </si>
  <si>
    <t>1510 Single</t>
  </si>
  <si>
    <t>1510 Multi</t>
  </si>
  <si>
    <t>Display</t>
  </si>
  <si>
    <t>Expansion IO</t>
  </si>
  <si>
    <t>MISC (Keyboard Mouse wiring adapters)</t>
  </si>
  <si>
    <t>total</t>
  </si>
  <si>
    <t>GS Line</t>
  </si>
  <si>
    <t>1510sp muLTI</t>
  </si>
  <si>
    <t>1510sp single</t>
  </si>
  <si>
    <t>required</t>
  </si>
  <si>
    <t>yes</t>
  </si>
  <si>
    <t>no</t>
  </si>
  <si>
    <t>Experience of local engineers and E-Techs</t>
  </si>
  <si>
    <t>cost</t>
  </si>
  <si>
    <t>Score</t>
  </si>
  <si>
    <t>Percent Diff</t>
  </si>
  <si>
    <t>1510sp multi</t>
  </si>
  <si>
    <t>Supports Local HMI per machine</t>
  </si>
  <si>
    <t>Complexity of setup/Configuration</t>
  </si>
  <si>
    <t>Bad Part Details</t>
  </si>
  <si>
    <t>Only Required</t>
  </si>
  <si>
    <t>Average Diff</t>
  </si>
  <si>
    <t>Bad Part Reporting Details</t>
  </si>
  <si>
    <t>Score Unweighted</t>
  </si>
  <si>
    <t>Weight Real</t>
  </si>
  <si>
    <t>Weight Scaled</t>
  </si>
  <si>
    <t>Only Required Scaled</t>
  </si>
  <si>
    <t>Score weighted</t>
  </si>
  <si>
    <t>Notes</t>
  </si>
  <si>
    <t>Average Diff Percent</t>
  </si>
  <si>
    <t>Percent Diff Betwean Required and Non</t>
  </si>
  <si>
    <t>Percent Impact of Base weighting</t>
  </si>
  <si>
    <t>Average Impact</t>
  </si>
  <si>
    <t>High weight as it is a main component to the project.</t>
  </si>
  <si>
    <t>Lower Weight as it can be avoided easily</t>
  </si>
  <si>
    <t>High weight as it greatly impacts maintainability</t>
  </si>
  <si>
    <t>Medium weight as it would be really helpful however isnt directly required at the moment.</t>
  </si>
  <si>
    <t>1212C Multi</t>
  </si>
  <si>
    <t>Only Required real</t>
  </si>
  <si>
    <t>medium weight as it is helpful but not directly required for setup and maintenance of the machines.</t>
  </si>
  <si>
    <t>Medium weight just like the cost. However it is an important factor for setup and maintenece so it is important</t>
  </si>
  <si>
    <t>low weight and importance since these will all  be inside external enclosures</t>
  </si>
  <si>
    <t>High weight and importance as it will directly influence future maintainablity here at the plant.</t>
  </si>
  <si>
    <t>low weight and importance since we do not need it to complete the project. It is however a nice benefit of the siemens series as it allows greater acuracy in some respects</t>
  </si>
  <si>
    <t>Low weight since they all atleast have the required IO</t>
  </si>
  <si>
    <t>low weight but high importance sinceit is a one time cost on setup but a direct cost for the project.</t>
  </si>
  <si>
    <t>Low wieght and importance since it is purely an addon feature.</t>
  </si>
  <si>
    <t>low weight and importance since it is purely an addon feature. It will however also affect the cost which gives it a higher impact than displayed in this category. Check price tab for more information</t>
  </si>
  <si>
    <t>Average Score</t>
  </si>
  <si>
    <t xml:space="preserve">Average Score </t>
  </si>
  <si>
    <t>Percent Impact from non weighted to weighted required</t>
  </si>
  <si>
    <t>1510 Line</t>
  </si>
  <si>
    <t>1212C Line</t>
  </si>
  <si>
    <t>Multi</t>
  </si>
  <si>
    <t>Line</t>
  </si>
  <si>
    <t>Single</t>
  </si>
  <si>
    <t>Normalized Required Score</t>
  </si>
  <si>
    <t>1510 single</t>
  </si>
  <si>
    <t>1212 Single</t>
  </si>
  <si>
    <t>1510 multi</t>
  </si>
  <si>
    <t>1212 multi</t>
  </si>
  <si>
    <t>1212 Line</t>
  </si>
  <si>
    <t>Score Weighted</t>
  </si>
  <si>
    <t>Repairability</t>
  </si>
  <si>
    <t>Zoomed In</t>
  </si>
  <si>
    <t>Zoomed Out</t>
  </si>
  <si>
    <t>Deviation caused betwean score and required weighted score</t>
  </si>
  <si>
    <t>Availabile development environment</t>
  </si>
  <si>
    <t>Based on 4 machines</t>
  </si>
  <si>
    <t>Score Only Required</t>
  </si>
  <si>
    <t>Based on 1 Machine</t>
  </si>
  <si>
    <t>Based on GS Line</t>
  </si>
  <si>
    <t>Lines</t>
  </si>
  <si>
    <t>Machines</t>
  </si>
  <si>
    <t>Minimum</t>
  </si>
  <si>
    <t>Automation of plant</t>
  </si>
  <si>
    <t>Price Per Machine</t>
  </si>
  <si>
    <t>Price Per Line HMIs</t>
  </si>
  <si>
    <t>Number of machines supported</t>
  </si>
  <si>
    <t>Number of Lines supported</t>
  </si>
  <si>
    <t>CPU storage Cost</t>
  </si>
  <si>
    <t>Machines Per Line</t>
  </si>
  <si>
    <t>MinMax</t>
  </si>
  <si>
    <t>Cumulative</t>
  </si>
  <si>
    <t>x</t>
  </si>
  <si>
    <t>Based on Straight Base Line</t>
  </si>
  <si>
    <t>Cost for 1 machine</t>
  </si>
  <si>
    <t>Cost for 4 Machines</t>
  </si>
  <si>
    <t>Cost for Straight Base</t>
  </si>
  <si>
    <t>1212C Single</t>
  </si>
  <si>
    <t>Scada Single</t>
  </si>
  <si>
    <t>%less than 1212</t>
  </si>
  <si>
    <t>%less than 1510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</si>
</sst>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7" formatCode="&quot;$&quot;#,##0.00_);\(&quot;$&quot;#,##0.00\)"/>
    <numFmt numFmtId="164" formatCode="&quot;$&quot;#,##0.00"/>
    <numFmt numFmtId="165" formatCode="&quot;$&quot;#,##0"/>
  </numFmts>
  <fonts count="11" x14ac:knownFonts="1">
    <font>
      <sz val="11"/>
      <color theme="1"/>
      <name val="Calibri"/>
      <family val="2"/>
      <scheme val="minor"/>
    </font>
    <font>
      <sz val="10.5"/>
      <color rgb="FF000000"/>
      <name val="Verdana"/>
    </font>
    <font>
      <sz val="14"/>
      <color rgb="FF000000"/>
      <name val="Verdana"/>
    </font>
    <font>
      <sz val="14"/>
      <color theme="1"/>
      <name val="Calibri"/>
      <family val="2"/>
      <scheme val="minor"/>
    </font>
    <font>
      <sz val="14"/>
      <color rgb="FF000000"/>
      <name val="Verdana"/>
      <family val="2"/>
    </font>
    <font>
      <sz val="16"/>
      <color theme="1"/>
      <name val="Calibri"/>
      <family val="2"/>
      <scheme val="minor"/>
    </font>
    <font>
      <sz val="10.5"/>
      <color rgb="FF000000"/>
      <name val="Verdana"/>
      <family val="2"/>
    </font>
    <font>
      <sz val="18"/>
      <color rgb="FF000000"/>
      <name val="Verdana"/>
      <family val="2"/>
    </font>
    <font>
      <sz val="18"/>
      <color theme="1"/>
      <name val="Calibri"/>
      <family val="2"/>
      <scheme val="minor"/>
    </font>
    <font>
      <sz val="10"/>
      <color rgb="FF0000FF"/>
      <name val="Verdana"/>
      <family val="2"/>
    </font>
    <font>
      <sz val="14"/>
      <color theme="1"/>
      <name val="Verdana"/>
      <family val="2"/>
    </font>
  </fonts>
  <fills count="3">
    <fill>
      <patternFill patternType="none"/>
    </fill>
    <fill>
      <patternFill patternType="gray125"/>
    </fill>
    <fill>
      <patternFill patternType="solid">
        <fgColor theme="1"/>
        <bgColor indexed="64"/>
      </patternFill>
    </fill>
  </fills>
  <borders count="13">
    <border>
      <left/>
      <right/>
      <top/>
      <bottom/>
      <diagonal/>
    </border>
    <border>
      <left style="thin">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medium">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76">
    <xf numFmtId="0" fontId="0" fillId="0" borderId="0" xfId="0"/>
    <xf numFmtId="165" fontId="0" fillId="0" borderId="0" xfId="0" applyNumberFormat="1" applyFont="1" applyAlignment="1">
      <alignment vertical="top"/>
    </xf>
    <xf numFmtId="0" fontId="0" fillId="0" borderId="0" xfId="0" applyFont="1" applyAlignment="1">
      <alignment vertical="top"/>
    </xf>
    <xf numFmtId="164" fontId="0" fillId="0" borderId="0" xfId="0" applyNumberFormat="1" applyFont="1" applyAlignment="1">
      <alignment vertical="top"/>
    </xf>
    <xf numFmtId="7" fontId="0" fillId="0" borderId="0" xfId="0" applyNumberFormat="1" applyFont="1" applyAlignment="1">
      <alignment vertical="top"/>
    </xf>
    <xf numFmtId="0" fontId="1" fillId="0" borderId="4" xfId="0" applyFont="1" applyBorder="1" applyAlignment="1">
      <alignment vertical="top" wrapText="1" readingOrder="1"/>
    </xf>
    <xf numFmtId="3" fontId="0" fillId="0" borderId="0" xfId="0" applyNumberFormat="1" applyFont="1" applyAlignment="1">
      <alignment vertical="top"/>
    </xf>
    <xf numFmtId="2" fontId="0" fillId="0" borderId="0" xfId="0" applyNumberFormat="1" applyFont="1" applyAlignment="1">
      <alignment vertical="top"/>
    </xf>
    <xf numFmtId="0" fontId="1" fillId="0" borderId="6" xfId="0" applyFont="1" applyBorder="1" applyAlignment="1">
      <alignment vertical="top" wrapText="1" readingOrder="1"/>
    </xf>
    <xf numFmtId="0" fontId="1" fillId="0" borderId="2" xfId="0" applyFont="1" applyBorder="1" applyAlignment="1">
      <alignment vertical="top" wrapText="1" readingOrder="1"/>
    </xf>
    <xf numFmtId="0" fontId="1" fillId="0" borderId="10" xfId="0" applyFont="1" applyFill="1" applyBorder="1" applyAlignment="1">
      <alignment vertical="top" wrapText="1" readingOrder="1"/>
    </xf>
    <xf numFmtId="0" fontId="0" fillId="0" borderId="0" xfId="0" applyAlignment="1">
      <alignment vertical="top"/>
    </xf>
    <xf numFmtId="165" fontId="0" fillId="0" borderId="0" xfId="0" applyNumberFormat="1" applyAlignment="1">
      <alignment vertical="top"/>
    </xf>
    <xf numFmtId="0" fontId="2" fillId="0" borderId="3" xfId="0" applyFont="1" applyBorder="1" applyAlignment="1">
      <alignment vertical="top" wrapText="1" readingOrder="1"/>
    </xf>
    <xf numFmtId="2" fontId="0" fillId="0" borderId="0" xfId="0" applyNumberFormat="1" applyAlignment="1">
      <alignment vertical="top"/>
    </xf>
    <xf numFmtId="0" fontId="2" fillId="0" borderId="5" xfId="0" applyFont="1" applyBorder="1" applyAlignment="1">
      <alignment vertical="top" wrapText="1" readingOrder="1"/>
    </xf>
    <xf numFmtId="0" fontId="0" fillId="0" borderId="7" xfId="0" applyBorder="1" applyAlignment="1">
      <alignment vertical="top"/>
    </xf>
    <xf numFmtId="0" fontId="2" fillId="0" borderId="0" xfId="0" applyFont="1" applyFill="1" applyBorder="1" applyAlignment="1">
      <alignment vertical="top" wrapText="1" readingOrder="1"/>
    </xf>
    <xf numFmtId="0" fontId="0" fillId="0" borderId="8" xfId="0" applyBorder="1" applyAlignment="1">
      <alignment vertical="top"/>
    </xf>
    <xf numFmtId="0" fontId="1" fillId="0" borderId="1" xfId="0" applyFont="1" applyBorder="1" applyAlignment="1">
      <alignment vertical="top" wrapText="1" readingOrder="1"/>
    </xf>
    <xf numFmtId="0" fontId="2" fillId="0" borderId="9" xfId="0" applyFont="1" applyFill="1" applyBorder="1" applyAlignment="1">
      <alignment vertical="top" wrapText="1" readingOrder="1"/>
    </xf>
    <xf numFmtId="10" fontId="0" fillId="0" borderId="0" xfId="0" applyNumberFormat="1" applyAlignment="1">
      <alignment vertical="top"/>
    </xf>
    <xf numFmtId="164" fontId="0" fillId="0" borderId="0" xfId="0" applyNumberFormat="1" applyAlignment="1">
      <alignment vertical="top"/>
    </xf>
    <xf numFmtId="0" fontId="3" fillId="0" borderId="0" xfId="0" applyFont="1" applyFill="1" applyAlignment="1">
      <alignment vertical="top"/>
    </xf>
    <xf numFmtId="0" fontId="0" fillId="0" borderId="0" xfId="0" applyFill="1" applyAlignment="1">
      <alignment vertical="top"/>
    </xf>
    <xf numFmtId="0" fontId="1" fillId="0" borderId="4" xfId="0" applyFont="1" applyFill="1" applyBorder="1" applyAlignment="1">
      <alignment vertical="top" wrapText="1" readingOrder="1"/>
    </xf>
    <xf numFmtId="0" fontId="2" fillId="0" borderId="3" xfId="0" applyFont="1" applyFill="1" applyBorder="1" applyAlignment="1">
      <alignment vertical="top" wrapText="1" readingOrder="1"/>
    </xf>
    <xf numFmtId="0" fontId="1" fillId="0" borderId="6" xfId="0" applyFont="1" applyFill="1" applyBorder="1" applyAlignment="1">
      <alignment vertical="top" wrapText="1" readingOrder="1"/>
    </xf>
    <xf numFmtId="0" fontId="2" fillId="0" borderId="5" xfId="0" applyFont="1" applyFill="1" applyBorder="1" applyAlignment="1">
      <alignment vertical="top" wrapText="1" readingOrder="1"/>
    </xf>
    <xf numFmtId="0" fontId="1" fillId="0" borderId="1" xfId="0" applyFont="1" applyFill="1" applyBorder="1" applyAlignment="1">
      <alignment vertical="top" wrapText="1" readingOrder="1"/>
    </xf>
    <xf numFmtId="0" fontId="1" fillId="0" borderId="2" xfId="0" applyFont="1" applyFill="1" applyBorder="1" applyAlignment="1">
      <alignment vertical="top" wrapText="1" readingOrder="1"/>
    </xf>
    <xf numFmtId="164" fontId="0" fillId="0" borderId="0" xfId="0" applyNumberFormat="1" applyFill="1" applyAlignment="1">
      <alignment vertical="top"/>
    </xf>
    <xf numFmtId="165" fontId="0" fillId="0" borderId="0" xfId="0" applyNumberFormat="1" applyFill="1" applyAlignment="1">
      <alignment vertical="top"/>
    </xf>
    <xf numFmtId="165" fontId="0" fillId="0" borderId="0" xfId="0" applyNumberFormat="1" applyFont="1" applyFill="1" applyAlignment="1">
      <alignment vertical="top"/>
    </xf>
    <xf numFmtId="0" fontId="0" fillId="0" borderId="0" xfId="0" applyAlignment="1">
      <alignment vertical="top" wrapText="1"/>
    </xf>
    <xf numFmtId="1" fontId="0" fillId="0" borderId="0" xfId="0" applyNumberFormat="1" applyFill="1" applyAlignment="1">
      <alignment vertical="top"/>
    </xf>
    <xf numFmtId="1" fontId="0" fillId="0" borderId="0" xfId="0" applyNumberFormat="1" applyAlignment="1">
      <alignment vertical="top"/>
    </xf>
    <xf numFmtId="1" fontId="0" fillId="0" borderId="0" xfId="0" applyNumberFormat="1" applyFont="1" applyFill="1" applyAlignment="1">
      <alignment vertical="top"/>
    </xf>
    <xf numFmtId="0" fontId="4" fillId="0" borderId="3" xfId="0" applyFont="1" applyBorder="1" applyAlignment="1">
      <alignment vertical="top" wrapText="1" readingOrder="1"/>
    </xf>
    <xf numFmtId="0" fontId="5" fillId="0" borderId="11" xfId="0" applyFont="1" applyBorder="1" applyAlignment="1">
      <alignment wrapText="1"/>
    </xf>
    <xf numFmtId="0" fontId="0" fillId="0" borderId="0" xfId="0" applyFont="1" applyFill="1" applyAlignment="1">
      <alignment vertical="top"/>
    </xf>
    <xf numFmtId="0" fontId="6" fillId="0" borderId="4" xfId="0" applyFont="1" applyFill="1" applyBorder="1" applyAlignment="1">
      <alignment vertical="top" wrapText="1" readingOrder="1"/>
    </xf>
    <xf numFmtId="0" fontId="6" fillId="0" borderId="6" xfId="0" applyFont="1" applyFill="1" applyBorder="1" applyAlignment="1">
      <alignment vertical="top" wrapText="1" readingOrder="1"/>
    </xf>
    <xf numFmtId="0" fontId="4" fillId="0" borderId="3" xfId="0" applyFont="1" applyFill="1" applyBorder="1" applyAlignment="1">
      <alignment vertical="top" wrapText="1" readingOrder="1"/>
    </xf>
    <xf numFmtId="0" fontId="2" fillId="0" borderId="6" xfId="0" applyFont="1" applyFill="1" applyBorder="1" applyAlignment="1">
      <alignment vertical="top" wrapText="1" readingOrder="1"/>
    </xf>
    <xf numFmtId="0" fontId="1" fillId="0" borderId="9" xfId="0" applyFont="1" applyFill="1" applyBorder="1" applyAlignment="1">
      <alignment vertical="top" wrapText="1" readingOrder="1"/>
    </xf>
    <xf numFmtId="2" fontId="2" fillId="0" borderId="0" xfId="0" applyNumberFormat="1" applyFont="1" applyFill="1" applyBorder="1" applyAlignment="1">
      <alignment vertical="top" wrapText="1" readingOrder="1"/>
    </xf>
    <xf numFmtId="2" fontId="2" fillId="0" borderId="0" xfId="0" applyNumberFormat="1" applyFont="1" applyFill="1" applyBorder="1" applyAlignment="1">
      <alignment vertical="top" readingOrder="1"/>
    </xf>
    <xf numFmtId="2" fontId="2" fillId="0" borderId="9" xfId="0" applyNumberFormat="1" applyFont="1" applyFill="1" applyBorder="1" applyAlignment="1">
      <alignment vertical="top" readingOrder="1"/>
    </xf>
    <xf numFmtId="2" fontId="2" fillId="0" borderId="9" xfId="0" applyNumberFormat="1" applyFont="1" applyFill="1" applyBorder="1" applyAlignment="1">
      <alignment vertical="top" wrapText="1" readingOrder="1"/>
    </xf>
    <xf numFmtId="2" fontId="4" fillId="0" borderId="9" xfId="0" applyNumberFormat="1" applyFont="1" applyFill="1" applyBorder="1" applyAlignment="1">
      <alignment vertical="top" readingOrder="1"/>
    </xf>
    <xf numFmtId="1" fontId="2" fillId="0" borderId="9" xfId="0" applyNumberFormat="1" applyFont="1" applyFill="1" applyBorder="1" applyAlignment="1">
      <alignment vertical="top" readingOrder="1"/>
    </xf>
    <xf numFmtId="2" fontId="4" fillId="0" borderId="9" xfId="0" applyNumberFormat="1" applyFont="1" applyFill="1" applyBorder="1" applyAlignment="1">
      <alignment vertical="top" wrapText="1" readingOrder="1"/>
    </xf>
    <xf numFmtId="2" fontId="7" fillId="0" borderId="9" xfId="0" applyNumberFormat="1" applyFont="1" applyFill="1" applyBorder="1" applyAlignment="1">
      <alignment vertical="top" readingOrder="1"/>
    </xf>
    <xf numFmtId="1" fontId="7" fillId="0" borderId="9" xfId="0" applyNumberFormat="1" applyFont="1" applyFill="1" applyBorder="1" applyAlignment="1">
      <alignment vertical="top" readingOrder="1"/>
    </xf>
    <xf numFmtId="2" fontId="7" fillId="0" borderId="9" xfId="0" applyNumberFormat="1" applyFont="1" applyFill="1" applyBorder="1" applyAlignment="1">
      <alignment vertical="top" wrapText="1" readingOrder="1"/>
    </xf>
    <xf numFmtId="2" fontId="7" fillId="0" borderId="0" xfId="0" applyNumberFormat="1" applyFont="1" applyFill="1" applyBorder="1" applyAlignment="1">
      <alignment vertical="top" readingOrder="1"/>
    </xf>
    <xf numFmtId="2" fontId="7" fillId="0" borderId="0" xfId="0" applyNumberFormat="1" applyFont="1" applyFill="1" applyBorder="1" applyAlignment="1">
      <alignment vertical="top" wrapText="1" readingOrder="1"/>
    </xf>
    <xf numFmtId="0" fontId="8" fillId="0" borderId="0" xfId="0" applyFont="1" applyFill="1" applyBorder="1" applyAlignment="1">
      <alignment vertical="top"/>
    </xf>
    <xf numFmtId="2" fontId="4" fillId="0" borderId="0" xfId="0" applyNumberFormat="1" applyFont="1" applyFill="1" applyBorder="1" applyAlignment="1">
      <alignment vertical="top" readingOrder="1"/>
    </xf>
    <xf numFmtId="10" fontId="7" fillId="0" borderId="0" xfId="0" applyNumberFormat="1" applyFont="1" applyFill="1" applyBorder="1" applyAlignment="1">
      <alignment vertical="top" readingOrder="1"/>
    </xf>
    <xf numFmtId="0" fontId="0" fillId="0" borderId="0" xfId="0" applyAlignment="1"/>
    <xf numFmtId="0" fontId="5" fillId="0" borderId="11" xfId="0" applyFont="1" applyBorder="1" applyAlignment="1"/>
    <xf numFmtId="165" fontId="0" fillId="0" borderId="0" xfId="0" applyNumberFormat="1"/>
    <xf numFmtId="2" fontId="4" fillId="0" borderId="10" xfId="0" applyNumberFormat="1" applyFont="1" applyFill="1" applyBorder="1" applyAlignment="1">
      <alignment vertical="top" readingOrder="1"/>
    </xf>
    <xf numFmtId="2" fontId="2" fillId="0" borderId="12" xfId="0" applyNumberFormat="1" applyFont="1" applyFill="1" applyBorder="1" applyAlignment="1">
      <alignment vertical="top" readingOrder="1"/>
    </xf>
    <xf numFmtId="0" fontId="9" fillId="0" borderId="0" xfId="0" applyFont="1"/>
    <xf numFmtId="2" fontId="10" fillId="2" borderId="9" xfId="0" applyNumberFormat="1" applyFont="1" applyFill="1" applyBorder="1" applyAlignment="1">
      <alignment vertical="top" readingOrder="1"/>
    </xf>
    <xf numFmtId="1" fontId="10" fillId="2" borderId="9" xfId="0" applyNumberFormat="1" applyFont="1" applyFill="1" applyBorder="1" applyAlignment="1">
      <alignment vertical="top" readingOrder="1"/>
    </xf>
    <xf numFmtId="1" fontId="5" fillId="0" borderId="11" xfId="0" applyNumberFormat="1" applyFont="1" applyBorder="1" applyAlignment="1"/>
    <xf numFmtId="165" fontId="5" fillId="0" borderId="11" xfId="0" applyNumberFormat="1" applyFont="1" applyBorder="1" applyAlignment="1"/>
    <xf numFmtId="1" fontId="5" fillId="0" borderId="0" xfId="0" applyNumberFormat="1" applyFont="1" applyFill="1" applyBorder="1" applyAlignment="1"/>
    <xf numFmtId="10" fontId="0" fillId="0" borderId="0" xfId="0" applyNumberFormat="1" applyAlignment="1"/>
    <xf numFmtId="2" fontId="4" fillId="0" borderId="10" xfId="0" applyNumberFormat="1" applyFont="1" applyFill="1" applyBorder="1" applyAlignment="1">
      <alignment horizontal="center" vertical="top" readingOrder="1"/>
    </xf>
    <xf numFmtId="2" fontId="2" fillId="0" borderId="0" xfId="0" applyNumberFormat="1" applyFont="1" applyFill="1" applyBorder="1" applyAlignment="1">
      <alignment horizontal="center" vertical="top" readingOrder="1"/>
    </xf>
    <xf numFmtId="2" fontId="2" fillId="0" borderId="12" xfId="0" applyNumberFormat="1" applyFont="1" applyFill="1" applyBorder="1" applyAlignment="1">
      <alignment horizontal="center" vertical="top" readingOrder="1"/>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Charts'!$B$2</c:f>
              <c:strCache>
                <c:ptCount val="1"/>
                <c:pt idx="0">
                  <c:v>Scada</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Charts'!$B$3:$B$17</c:f>
              <c:numCache>
                <c:formatCode>General</c:formatCode>
                <c:ptCount val="15"/>
                <c:pt idx="0">
                  <c:v>3</c:v>
                </c:pt>
                <c:pt idx="1">
                  <c:v>3</c:v>
                </c:pt>
                <c:pt idx="2">
                  <c:v>3</c:v>
                </c:pt>
                <c:pt idx="3">
                  <c:v>1</c:v>
                </c:pt>
                <c:pt idx="4">
                  <c:v>3</c:v>
                </c:pt>
                <c:pt idx="5">
                  <c:v>1</c:v>
                </c:pt>
                <c:pt idx="6">
                  <c:v>1</c:v>
                </c:pt>
                <c:pt idx="7">
                  <c:v>1</c:v>
                </c:pt>
                <c:pt idx="8">
                  <c:v>1</c:v>
                </c:pt>
                <c:pt idx="9">
                  <c:v>2</c:v>
                </c:pt>
                <c:pt idx="10">
                  <c:v>1</c:v>
                </c:pt>
                <c:pt idx="11">
                  <c:v>3</c:v>
                </c:pt>
                <c:pt idx="12">
                  <c:v>3</c:v>
                </c:pt>
                <c:pt idx="13">
                  <c:v>1</c:v>
                </c:pt>
                <c:pt idx="14">
                  <c:v>1</c:v>
                </c:pt>
              </c:numCache>
            </c:numRef>
          </c:val>
          <c:extLst>
            <c:ext xmlns:c16="http://schemas.microsoft.com/office/drawing/2014/chart" uri="{C3380CC4-5D6E-409C-BE32-E72D297353CC}">
              <c16:uniqueId val="{00000000-7696-40BF-AEBF-0DBF5E48CE7E}"/>
            </c:ext>
          </c:extLst>
        </c:ser>
        <c:dLbls>
          <c:showLegendKey val="0"/>
          <c:showVal val="0"/>
          <c:showCatName val="0"/>
          <c:showSerName val="0"/>
          <c:showPercent val="0"/>
          <c:showBubbleSize val="0"/>
        </c:dLbls>
        <c:gapWidth val="219"/>
        <c:overlap val="-27"/>
        <c:axId val="699384264"/>
        <c:axId val="699385576"/>
      </c:barChart>
      <c:lineChart>
        <c:grouping val="standard"/>
        <c:varyColors val="0"/>
        <c:ser>
          <c:idx val="1"/>
          <c:order val="1"/>
          <c:tx>
            <c:strRef>
              <c:f>'Weighted Perato Charts'!$C$2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Charts'!$C$3:$C$17</c:f>
              <c:numCache>
                <c:formatCode>General</c:formatCode>
                <c:ptCount val="15"/>
                <c:pt idx="0">
                  <c:v>0.26086956521739124</c:v>
                </c:pt>
                <c:pt idx="1">
                  <c:v>0.28985507246376802</c:v>
                </c:pt>
                <c:pt idx="2">
                  <c:v>0.57971014492753603</c:v>
                </c:pt>
                <c:pt idx="3">
                  <c:v>0.63768115942028969</c:v>
                </c:pt>
                <c:pt idx="4">
                  <c:v>0.7536231884057969</c:v>
                </c:pt>
                <c:pt idx="5">
                  <c:v>0.80193236714975824</c:v>
                </c:pt>
                <c:pt idx="6">
                  <c:v>0.81159420289855055</c:v>
                </c:pt>
                <c:pt idx="7">
                  <c:v>0.88405797101449257</c:v>
                </c:pt>
                <c:pt idx="8">
                  <c:v>0.89371980676328489</c:v>
                </c:pt>
                <c:pt idx="9">
                  <c:v>0.9130434782608694</c:v>
                </c:pt>
                <c:pt idx="10">
                  <c:v>0.92270531400966171</c:v>
                </c:pt>
                <c:pt idx="11">
                  <c:v>0.95169082125603854</c:v>
                </c:pt>
                <c:pt idx="12">
                  <c:v>0.98067632850241548</c:v>
                </c:pt>
                <c:pt idx="13">
                  <c:v>0.99033816425120769</c:v>
                </c:pt>
                <c:pt idx="14">
                  <c:v>1</c:v>
                </c:pt>
              </c:numCache>
            </c:numRef>
          </c:val>
          <c:smooth val="0"/>
          <c:extLst>
            <c:ext xmlns:c16="http://schemas.microsoft.com/office/drawing/2014/chart" uri="{C3380CC4-5D6E-409C-BE32-E72D297353CC}">
              <c16:uniqueId val="{00000001-7696-40BF-AEBF-0DBF5E48CE7E}"/>
            </c:ext>
          </c:extLst>
        </c:ser>
        <c:dLbls>
          <c:showLegendKey val="0"/>
          <c:showVal val="0"/>
          <c:showCatName val="0"/>
          <c:showSerName val="0"/>
          <c:showPercent val="0"/>
          <c:showBubbleSize val="0"/>
        </c:dLbls>
        <c:marker val="1"/>
        <c:smooth val="0"/>
        <c:axId val="849864848"/>
        <c:axId val="849863536"/>
      </c:lineChart>
      <c:catAx>
        <c:axId val="69938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85576"/>
        <c:crosses val="autoZero"/>
        <c:auto val="1"/>
        <c:lblAlgn val="ctr"/>
        <c:lblOffset val="100"/>
        <c:noMultiLvlLbl val="0"/>
      </c:catAx>
      <c:valAx>
        <c:axId val="699385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84264"/>
        <c:crosses val="autoZero"/>
        <c:crossBetween val="between"/>
      </c:valAx>
      <c:valAx>
        <c:axId val="8498635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64848"/>
        <c:crosses val="max"/>
        <c:crossBetween val="between"/>
      </c:valAx>
      <c:catAx>
        <c:axId val="849864848"/>
        <c:scaling>
          <c:orientation val="minMax"/>
        </c:scaling>
        <c:delete val="1"/>
        <c:axPos val="b"/>
        <c:numFmt formatCode="General" sourceLinked="1"/>
        <c:majorTickMark val="out"/>
        <c:minorTickMark val="none"/>
        <c:tickLblPos val="nextTo"/>
        <c:crossAx val="849863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Charts'!$F$2</c:f>
              <c:strCache>
                <c:ptCount val="1"/>
                <c:pt idx="0">
                  <c:v>1510sp</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Charts'!$F$3:$F$17</c:f>
              <c:numCache>
                <c:formatCode>0</c:formatCode>
                <c:ptCount val="15"/>
                <c:pt idx="0">
                  <c:v>2</c:v>
                </c:pt>
                <c:pt idx="1">
                  <c:v>2</c:v>
                </c:pt>
                <c:pt idx="2">
                  <c:v>3</c:v>
                </c:pt>
                <c:pt idx="3">
                  <c:v>3</c:v>
                </c:pt>
                <c:pt idx="4">
                  <c:v>2</c:v>
                </c:pt>
                <c:pt idx="5">
                  <c:v>3</c:v>
                </c:pt>
                <c:pt idx="6">
                  <c:v>3</c:v>
                </c:pt>
                <c:pt idx="7">
                  <c:v>3</c:v>
                </c:pt>
                <c:pt idx="8">
                  <c:v>3</c:v>
                </c:pt>
                <c:pt idx="9">
                  <c:v>1</c:v>
                </c:pt>
                <c:pt idx="10">
                  <c:v>3</c:v>
                </c:pt>
                <c:pt idx="11">
                  <c:v>3</c:v>
                </c:pt>
                <c:pt idx="12">
                  <c:v>2</c:v>
                </c:pt>
                <c:pt idx="13">
                  <c:v>1</c:v>
                </c:pt>
                <c:pt idx="14">
                  <c:v>3</c:v>
                </c:pt>
              </c:numCache>
            </c:numRef>
          </c:val>
          <c:extLst>
            <c:ext xmlns:c16="http://schemas.microsoft.com/office/drawing/2014/chart" uri="{C3380CC4-5D6E-409C-BE32-E72D297353CC}">
              <c16:uniqueId val="{00000000-B355-43F5-AB69-95E677CB0C76}"/>
            </c:ext>
          </c:extLst>
        </c:ser>
        <c:dLbls>
          <c:showLegendKey val="0"/>
          <c:showVal val="0"/>
          <c:showCatName val="0"/>
          <c:showSerName val="0"/>
          <c:showPercent val="0"/>
          <c:showBubbleSize val="0"/>
        </c:dLbls>
        <c:gapWidth val="219"/>
        <c:overlap val="-27"/>
        <c:axId val="768211040"/>
        <c:axId val="768214320"/>
      </c:barChart>
      <c:lineChart>
        <c:grouping val="standard"/>
        <c:varyColors val="0"/>
        <c:ser>
          <c:idx val="1"/>
          <c:order val="1"/>
          <c:tx>
            <c:strRef>
              <c:f>'Pareto Charts'!$G$2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Charts'!$G$3:$G$17</c:f>
              <c:numCache>
                <c:formatCode>General</c:formatCode>
                <c:ptCount val="15"/>
                <c:pt idx="0">
                  <c:v>5.4054054054054057E-2</c:v>
                </c:pt>
                <c:pt idx="1">
                  <c:v>0.10810810810810811</c:v>
                </c:pt>
                <c:pt idx="2">
                  <c:v>0.1891891891891892</c:v>
                </c:pt>
                <c:pt idx="3">
                  <c:v>0.27027027027027029</c:v>
                </c:pt>
                <c:pt idx="4">
                  <c:v>0.32432432432432434</c:v>
                </c:pt>
                <c:pt idx="5">
                  <c:v>0.40540540540540543</c:v>
                </c:pt>
                <c:pt idx="6">
                  <c:v>0.48648648648648651</c:v>
                </c:pt>
                <c:pt idx="7">
                  <c:v>0.56756756756756754</c:v>
                </c:pt>
                <c:pt idx="8">
                  <c:v>0.64864864864864868</c:v>
                </c:pt>
                <c:pt idx="9">
                  <c:v>0.67567567567567566</c:v>
                </c:pt>
                <c:pt idx="10">
                  <c:v>0.7567567567567568</c:v>
                </c:pt>
                <c:pt idx="11">
                  <c:v>0.83783783783783783</c:v>
                </c:pt>
                <c:pt idx="12">
                  <c:v>0.89189189189189189</c:v>
                </c:pt>
                <c:pt idx="13">
                  <c:v>0.91891891891891897</c:v>
                </c:pt>
                <c:pt idx="14">
                  <c:v>1</c:v>
                </c:pt>
              </c:numCache>
            </c:numRef>
          </c:val>
          <c:smooth val="0"/>
          <c:extLst>
            <c:ext xmlns:c16="http://schemas.microsoft.com/office/drawing/2014/chart" uri="{C3380CC4-5D6E-409C-BE32-E72D297353CC}">
              <c16:uniqueId val="{00000001-B355-43F5-AB69-95E677CB0C76}"/>
            </c:ext>
          </c:extLst>
        </c:ser>
        <c:dLbls>
          <c:showLegendKey val="0"/>
          <c:showVal val="0"/>
          <c:showCatName val="0"/>
          <c:showSerName val="0"/>
          <c:showPercent val="0"/>
          <c:showBubbleSize val="0"/>
        </c:dLbls>
        <c:marker val="1"/>
        <c:smooth val="0"/>
        <c:axId val="849462472"/>
        <c:axId val="849462144"/>
      </c:lineChart>
      <c:catAx>
        <c:axId val="76821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14320"/>
        <c:crosses val="autoZero"/>
        <c:auto val="1"/>
        <c:lblAlgn val="ctr"/>
        <c:lblOffset val="100"/>
        <c:noMultiLvlLbl val="0"/>
      </c:catAx>
      <c:valAx>
        <c:axId val="768214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11040"/>
        <c:crosses val="autoZero"/>
        <c:crossBetween val="between"/>
      </c:valAx>
      <c:valAx>
        <c:axId val="8494621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62472"/>
        <c:crosses val="max"/>
        <c:crossBetween val="between"/>
      </c:valAx>
      <c:catAx>
        <c:axId val="849462472"/>
        <c:scaling>
          <c:orientation val="minMax"/>
        </c:scaling>
        <c:delete val="1"/>
        <c:axPos val="b"/>
        <c:numFmt formatCode="General" sourceLinked="1"/>
        <c:majorTickMark val="out"/>
        <c:minorTickMark val="none"/>
        <c:tickLblPos val="nextTo"/>
        <c:crossAx val="84946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Charts'!$H$2</c:f>
              <c:strCache>
                <c:ptCount val="1"/>
                <c:pt idx="0">
                  <c:v>1510sp</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Charts'!$H$3:$H$17</c:f>
              <c:numCache>
                <c:formatCode>0</c:formatCode>
                <c:ptCount val="15"/>
                <c:pt idx="0">
                  <c:v>2</c:v>
                </c:pt>
                <c:pt idx="1">
                  <c:v>2</c:v>
                </c:pt>
                <c:pt idx="2">
                  <c:v>3</c:v>
                </c:pt>
                <c:pt idx="3">
                  <c:v>3</c:v>
                </c:pt>
                <c:pt idx="4">
                  <c:v>2</c:v>
                </c:pt>
                <c:pt idx="5">
                  <c:v>3</c:v>
                </c:pt>
                <c:pt idx="6">
                  <c:v>3</c:v>
                </c:pt>
                <c:pt idx="7">
                  <c:v>3</c:v>
                </c:pt>
                <c:pt idx="8">
                  <c:v>3</c:v>
                </c:pt>
                <c:pt idx="9">
                  <c:v>3</c:v>
                </c:pt>
                <c:pt idx="10">
                  <c:v>2</c:v>
                </c:pt>
                <c:pt idx="11">
                  <c:v>2</c:v>
                </c:pt>
                <c:pt idx="12">
                  <c:v>2</c:v>
                </c:pt>
                <c:pt idx="13">
                  <c:v>2</c:v>
                </c:pt>
                <c:pt idx="14">
                  <c:v>3</c:v>
                </c:pt>
              </c:numCache>
            </c:numRef>
          </c:val>
          <c:extLst>
            <c:ext xmlns:c16="http://schemas.microsoft.com/office/drawing/2014/chart" uri="{C3380CC4-5D6E-409C-BE32-E72D297353CC}">
              <c16:uniqueId val="{00000000-78DC-4924-9A81-54782724F182}"/>
            </c:ext>
          </c:extLst>
        </c:ser>
        <c:dLbls>
          <c:showLegendKey val="0"/>
          <c:showVal val="0"/>
          <c:showCatName val="0"/>
          <c:showSerName val="0"/>
          <c:showPercent val="0"/>
          <c:showBubbleSize val="0"/>
        </c:dLbls>
        <c:gapWidth val="219"/>
        <c:overlap val="-27"/>
        <c:axId val="519503176"/>
        <c:axId val="519506784"/>
      </c:barChart>
      <c:lineChart>
        <c:grouping val="standard"/>
        <c:varyColors val="0"/>
        <c:ser>
          <c:idx val="1"/>
          <c:order val="1"/>
          <c:tx>
            <c:strRef>
              <c:f>'Pareto Charts'!$I$2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Charts'!$I$3:$I$17</c:f>
              <c:numCache>
                <c:formatCode>General</c:formatCode>
                <c:ptCount val="15"/>
                <c:pt idx="0">
                  <c:v>5.2631578947368418E-2</c:v>
                </c:pt>
                <c:pt idx="1">
                  <c:v>0.10526315789473684</c:v>
                </c:pt>
                <c:pt idx="2">
                  <c:v>0.18421052631578946</c:v>
                </c:pt>
                <c:pt idx="3">
                  <c:v>0.26315789473684209</c:v>
                </c:pt>
                <c:pt idx="4">
                  <c:v>0.31578947368421051</c:v>
                </c:pt>
                <c:pt idx="5">
                  <c:v>0.39473684210526316</c:v>
                </c:pt>
                <c:pt idx="6">
                  <c:v>0.47368421052631576</c:v>
                </c:pt>
                <c:pt idx="7">
                  <c:v>0.55263157894736847</c:v>
                </c:pt>
                <c:pt idx="8">
                  <c:v>0.63157894736842102</c:v>
                </c:pt>
                <c:pt idx="9">
                  <c:v>0.71052631578947367</c:v>
                </c:pt>
                <c:pt idx="10">
                  <c:v>0.76315789473684215</c:v>
                </c:pt>
                <c:pt idx="11">
                  <c:v>0.81578947368421051</c:v>
                </c:pt>
                <c:pt idx="12">
                  <c:v>0.86842105263157898</c:v>
                </c:pt>
                <c:pt idx="13">
                  <c:v>0.92105263157894735</c:v>
                </c:pt>
                <c:pt idx="14">
                  <c:v>1</c:v>
                </c:pt>
              </c:numCache>
            </c:numRef>
          </c:val>
          <c:smooth val="0"/>
          <c:extLst>
            <c:ext xmlns:c16="http://schemas.microsoft.com/office/drawing/2014/chart" uri="{C3380CC4-5D6E-409C-BE32-E72D297353CC}">
              <c16:uniqueId val="{00000001-78DC-4924-9A81-54782724F182}"/>
            </c:ext>
          </c:extLst>
        </c:ser>
        <c:dLbls>
          <c:showLegendKey val="0"/>
          <c:showVal val="0"/>
          <c:showCatName val="0"/>
          <c:showSerName val="0"/>
          <c:showPercent val="0"/>
          <c:showBubbleSize val="0"/>
        </c:dLbls>
        <c:marker val="1"/>
        <c:smooth val="0"/>
        <c:axId val="855121344"/>
        <c:axId val="855120032"/>
      </c:lineChart>
      <c:catAx>
        <c:axId val="51950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06784"/>
        <c:crosses val="autoZero"/>
        <c:auto val="1"/>
        <c:lblAlgn val="ctr"/>
        <c:lblOffset val="100"/>
        <c:noMultiLvlLbl val="0"/>
      </c:catAx>
      <c:valAx>
        <c:axId val="519506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03176"/>
        <c:crosses val="autoZero"/>
        <c:crossBetween val="between"/>
      </c:valAx>
      <c:valAx>
        <c:axId val="855120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21344"/>
        <c:crosses val="max"/>
        <c:crossBetween val="between"/>
      </c:valAx>
      <c:catAx>
        <c:axId val="855121344"/>
        <c:scaling>
          <c:orientation val="minMax"/>
        </c:scaling>
        <c:delete val="1"/>
        <c:axPos val="b"/>
        <c:numFmt formatCode="General" sourceLinked="1"/>
        <c:majorTickMark val="out"/>
        <c:minorTickMark val="none"/>
        <c:tickLblPos val="nextTo"/>
        <c:crossAx val="855120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Charts'!$J$2</c:f>
              <c:strCache>
                <c:ptCount val="1"/>
                <c:pt idx="0">
                  <c:v>1212C</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Charts'!$J$3:$J$17</c:f>
              <c:numCache>
                <c:formatCode>0</c:formatCode>
                <c:ptCount val="15"/>
                <c:pt idx="0">
                  <c:v>2</c:v>
                </c:pt>
                <c:pt idx="1">
                  <c:v>2</c:v>
                </c:pt>
                <c:pt idx="2">
                  <c:v>3</c:v>
                </c:pt>
                <c:pt idx="3">
                  <c:v>3</c:v>
                </c:pt>
                <c:pt idx="4">
                  <c:v>2</c:v>
                </c:pt>
                <c:pt idx="5">
                  <c:v>3</c:v>
                </c:pt>
                <c:pt idx="6">
                  <c:v>3</c:v>
                </c:pt>
                <c:pt idx="7">
                  <c:v>3</c:v>
                </c:pt>
                <c:pt idx="8">
                  <c:v>3</c:v>
                </c:pt>
                <c:pt idx="9">
                  <c:v>3</c:v>
                </c:pt>
                <c:pt idx="10">
                  <c:v>2</c:v>
                </c:pt>
                <c:pt idx="11">
                  <c:v>2</c:v>
                </c:pt>
                <c:pt idx="12">
                  <c:v>2</c:v>
                </c:pt>
                <c:pt idx="13">
                  <c:v>2</c:v>
                </c:pt>
                <c:pt idx="14">
                  <c:v>3</c:v>
                </c:pt>
              </c:numCache>
            </c:numRef>
          </c:val>
          <c:extLst>
            <c:ext xmlns:c16="http://schemas.microsoft.com/office/drawing/2014/chart" uri="{C3380CC4-5D6E-409C-BE32-E72D297353CC}">
              <c16:uniqueId val="{00000000-DDF4-4C49-B525-BB1F1ACE8F79}"/>
            </c:ext>
          </c:extLst>
        </c:ser>
        <c:dLbls>
          <c:showLegendKey val="0"/>
          <c:showVal val="0"/>
          <c:showCatName val="0"/>
          <c:showSerName val="0"/>
          <c:showPercent val="0"/>
          <c:showBubbleSize val="0"/>
        </c:dLbls>
        <c:gapWidth val="219"/>
        <c:overlap val="-27"/>
        <c:axId val="851665208"/>
        <c:axId val="851665536"/>
      </c:barChart>
      <c:lineChart>
        <c:grouping val="standard"/>
        <c:varyColors val="0"/>
        <c:ser>
          <c:idx val="1"/>
          <c:order val="1"/>
          <c:tx>
            <c:strRef>
              <c:f>'Pareto Charts'!$K$2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Charts'!$K$3:$K$17</c:f>
              <c:numCache>
                <c:formatCode>General</c:formatCode>
                <c:ptCount val="15"/>
                <c:pt idx="0">
                  <c:v>5.2631578947368418E-2</c:v>
                </c:pt>
                <c:pt idx="1">
                  <c:v>0.10526315789473684</c:v>
                </c:pt>
                <c:pt idx="2">
                  <c:v>0.18421052631578946</c:v>
                </c:pt>
                <c:pt idx="3">
                  <c:v>0.26315789473684209</c:v>
                </c:pt>
                <c:pt idx="4">
                  <c:v>0.31578947368421051</c:v>
                </c:pt>
                <c:pt idx="5">
                  <c:v>0.39473684210526316</c:v>
                </c:pt>
                <c:pt idx="6">
                  <c:v>0.47368421052631576</c:v>
                </c:pt>
                <c:pt idx="7">
                  <c:v>0.55263157894736847</c:v>
                </c:pt>
                <c:pt idx="8">
                  <c:v>0.63157894736842102</c:v>
                </c:pt>
                <c:pt idx="9">
                  <c:v>0.71052631578947367</c:v>
                </c:pt>
                <c:pt idx="10">
                  <c:v>0.76315789473684215</c:v>
                </c:pt>
                <c:pt idx="11">
                  <c:v>0.81578947368421051</c:v>
                </c:pt>
                <c:pt idx="12">
                  <c:v>0.86842105263157898</c:v>
                </c:pt>
                <c:pt idx="13">
                  <c:v>0.92105263157894735</c:v>
                </c:pt>
                <c:pt idx="14">
                  <c:v>1</c:v>
                </c:pt>
              </c:numCache>
            </c:numRef>
          </c:val>
          <c:smooth val="0"/>
          <c:extLst>
            <c:ext xmlns:c16="http://schemas.microsoft.com/office/drawing/2014/chart" uri="{C3380CC4-5D6E-409C-BE32-E72D297353CC}">
              <c16:uniqueId val="{00000001-DDF4-4C49-B525-BB1F1ACE8F79}"/>
            </c:ext>
          </c:extLst>
        </c:ser>
        <c:dLbls>
          <c:showLegendKey val="0"/>
          <c:showVal val="0"/>
          <c:showCatName val="0"/>
          <c:showSerName val="0"/>
          <c:showPercent val="0"/>
          <c:showBubbleSize val="0"/>
        </c:dLbls>
        <c:marker val="1"/>
        <c:smooth val="0"/>
        <c:axId val="855115768"/>
        <c:axId val="851653728"/>
      </c:lineChart>
      <c:catAx>
        <c:axId val="85166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65536"/>
        <c:crosses val="autoZero"/>
        <c:auto val="1"/>
        <c:lblAlgn val="ctr"/>
        <c:lblOffset val="100"/>
        <c:noMultiLvlLbl val="0"/>
      </c:catAx>
      <c:valAx>
        <c:axId val="85166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65208"/>
        <c:crosses val="autoZero"/>
        <c:crossBetween val="between"/>
      </c:valAx>
      <c:valAx>
        <c:axId val="851653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15768"/>
        <c:crosses val="max"/>
        <c:crossBetween val="between"/>
      </c:valAx>
      <c:catAx>
        <c:axId val="855115768"/>
        <c:scaling>
          <c:orientation val="minMax"/>
        </c:scaling>
        <c:delete val="1"/>
        <c:axPos val="b"/>
        <c:numFmt formatCode="General" sourceLinked="1"/>
        <c:majorTickMark val="out"/>
        <c:minorTickMark val="none"/>
        <c:tickLblPos val="nextTo"/>
        <c:crossAx val="851653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Charts'!$L$2</c:f>
              <c:strCache>
                <c:ptCount val="1"/>
                <c:pt idx="0">
                  <c:v>1510sp</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Charts'!$L$3:$L$17</c:f>
              <c:numCache>
                <c:formatCode>0</c:formatCode>
                <c:ptCount val="15"/>
                <c:pt idx="0">
                  <c:v>2</c:v>
                </c:pt>
                <c:pt idx="1">
                  <c:v>2</c:v>
                </c:pt>
                <c:pt idx="2">
                  <c:v>1</c:v>
                </c:pt>
                <c:pt idx="3">
                  <c:v>3</c:v>
                </c:pt>
                <c:pt idx="4">
                  <c:v>2</c:v>
                </c:pt>
                <c:pt idx="5">
                  <c:v>3</c:v>
                </c:pt>
                <c:pt idx="6">
                  <c:v>3</c:v>
                </c:pt>
                <c:pt idx="7">
                  <c:v>3</c:v>
                </c:pt>
                <c:pt idx="8">
                  <c:v>3</c:v>
                </c:pt>
                <c:pt idx="9">
                  <c:v>3</c:v>
                </c:pt>
                <c:pt idx="10">
                  <c:v>2</c:v>
                </c:pt>
                <c:pt idx="11">
                  <c:v>2</c:v>
                </c:pt>
                <c:pt idx="12">
                  <c:v>2</c:v>
                </c:pt>
                <c:pt idx="13">
                  <c:v>3</c:v>
                </c:pt>
                <c:pt idx="14">
                  <c:v>3</c:v>
                </c:pt>
              </c:numCache>
            </c:numRef>
          </c:val>
          <c:extLst>
            <c:ext xmlns:c16="http://schemas.microsoft.com/office/drawing/2014/chart" uri="{C3380CC4-5D6E-409C-BE32-E72D297353CC}">
              <c16:uniqueId val="{00000000-2E58-4BA3-B192-828207B1B314}"/>
            </c:ext>
          </c:extLst>
        </c:ser>
        <c:dLbls>
          <c:showLegendKey val="0"/>
          <c:showVal val="0"/>
          <c:showCatName val="0"/>
          <c:showSerName val="0"/>
          <c:showPercent val="0"/>
          <c:showBubbleSize val="0"/>
        </c:dLbls>
        <c:gapWidth val="219"/>
        <c:overlap val="-27"/>
        <c:axId val="527328472"/>
        <c:axId val="527325848"/>
      </c:barChart>
      <c:lineChart>
        <c:grouping val="standard"/>
        <c:varyColors val="0"/>
        <c:ser>
          <c:idx val="1"/>
          <c:order val="1"/>
          <c:tx>
            <c:strRef>
              <c:f>'Pareto Charts'!$M$2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Charts'!$M$3:$M$17</c:f>
              <c:numCache>
                <c:formatCode>General</c:formatCode>
                <c:ptCount val="15"/>
                <c:pt idx="0">
                  <c:v>5.4054054054054057E-2</c:v>
                </c:pt>
                <c:pt idx="1">
                  <c:v>0.10810810810810811</c:v>
                </c:pt>
                <c:pt idx="2">
                  <c:v>0.13513513513513514</c:v>
                </c:pt>
                <c:pt idx="3">
                  <c:v>0.21621621621621623</c:v>
                </c:pt>
                <c:pt idx="4">
                  <c:v>0.27027027027027029</c:v>
                </c:pt>
                <c:pt idx="5">
                  <c:v>0.35135135135135137</c:v>
                </c:pt>
                <c:pt idx="6">
                  <c:v>0.43243243243243246</c:v>
                </c:pt>
                <c:pt idx="7">
                  <c:v>0.51351351351351349</c:v>
                </c:pt>
                <c:pt idx="8">
                  <c:v>0.59459459459459463</c:v>
                </c:pt>
                <c:pt idx="9">
                  <c:v>0.67567567567567566</c:v>
                </c:pt>
                <c:pt idx="10">
                  <c:v>0.72972972972972971</c:v>
                </c:pt>
                <c:pt idx="11">
                  <c:v>0.78378378378378377</c:v>
                </c:pt>
                <c:pt idx="12">
                  <c:v>0.83783783783783783</c:v>
                </c:pt>
                <c:pt idx="13">
                  <c:v>0.91891891891891897</c:v>
                </c:pt>
                <c:pt idx="14">
                  <c:v>1</c:v>
                </c:pt>
              </c:numCache>
            </c:numRef>
          </c:val>
          <c:smooth val="0"/>
          <c:extLst>
            <c:ext xmlns:c16="http://schemas.microsoft.com/office/drawing/2014/chart" uri="{C3380CC4-5D6E-409C-BE32-E72D297353CC}">
              <c16:uniqueId val="{00000001-2E58-4BA3-B192-828207B1B314}"/>
            </c:ext>
          </c:extLst>
        </c:ser>
        <c:dLbls>
          <c:showLegendKey val="0"/>
          <c:showVal val="0"/>
          <c:showCatName val="0"/>
          <c:showSerName val="0"/>
          <c:showPercent val="0"/>
          <c:showBubbleSize val="0"/>
        </c:dLbls>
        <c:marker val="1"/>
        <c:smooth val="0"/>
        <c:axId val="855133808"/>
        <c:axId val="855131512"/>
      </c:lineChart>
      <c:catAx>
        <c:axId val="5273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5848"/>
        <c:crosses val="autoZero"/>
        <c:auto val="1"/>
        <c:lblAlgn val="ctr"/>
        <c:lblOffset val="100"/>
        <c:noMultiLvlLbl val="0"/>
      </c:catAx>
      <c:valAx>
        <c:axId val="527325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472"/>
        <c:crosses val="autoZero"/>
        <c:crossBetween val="between"/>
      </c:valAx>
      <c:valAx>
        <c:axId val="855131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33808"/>
        <c:crosses val="max"/>
        <c:crossBetween val="between"/>
      </c:valAx>
      <c:catAx>
        <c:axId val="855133808"/>
        <c:scaling>
          <c:orientation val="minMax"/>
        </c:scaling>
        <c:delete val="1"/>
        <c:axPos val="b"/>
        <c:numFmt formatCode="General" sourceLinked="1"/>
        <c:majorTickMark val="out"/>
        <c:minorTickMark val="none"/>
        <c:tickLblPos val="nextTo"/>
        <c:crossAx val="855131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Charts'!$N$2</c:f>
              <c:strCache>
                <c:ptCount val="1"/>
                <c:pt idx="0">
                  <c:v>1212C</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Charts'!$N$3:$N$17</c:f>
              <c:numCache>
                <c:formatCode>0</c:formatCode>
                <c:ptCount val="15"/>
                <c:pt idx="0">
                  <c:v>2</c:v>
                </c:pt>
                <c:pt idx="1">
                  <c:v>2</c:v>
                </c:pt>
                <c:pt idx="2">
                  <c:v>1</c:v>
                </c:pt>
                <c:pt idx="3">
                  <c:v>3</c:v>
                </c:pt>
                <c:pt idx="4">
                  <c:v>2</c:v>
                </c:pt>
                <c:pt idx="5">
                  <c:v>3</c:v>
                </c:pt>
                <c:pt idx="6">
                  <c:v>3</c:v>
                </c:pt>
                <c:pt idx="7">
                  <c:v>3</c:v>
                </c:pt>
                <c:pt idx="8">
                  <c:v>3</c:v>
                </c:pt>
                <c:pt idx="9">
                  <c:v>3</c:v>
                </c:pt>
                <c:pt idx="10">
                  <c:v>2</c:v>
                </c:pt>
                <c:pt idx="11">
                  <c:v>2</c:v>
                </c:pt>
                <c:pt idx="12">
                  <c:v>2</c:v>
                </c:pt>
                <c:pt idx="13">
                  <c:v>3</c:v>
                </c:pt>
                <c:pt idx="14">
                  <c:v>3</c:v>
                </c:pt>
              </c:numCache>
            </c:numRef>
          </c:val>
          <c:extLst>
            <c:ext xmlns:c16="http://schemas.microsoft.com/office/drawing/2014/chart" uri="{C3380CC4-5D6E-409C-BE32-E72D297353CC}">
              <c16:uniqueId val="{00000000-AA03-44A9-990F-67F66FC930F9}"/>
            </c:ext>
          </c:extLst>
        </c:ser>
        <c:dLbls>
          <c:showLegendKey val="0"/>
          <c:showVal val="0"/>
          <c:showCatName val="0"/>
          <c:showSerName val="0"/>
          <c:showPercent val="0"/>
          <c:showBubbleSize val="0"/>
        </c:dLbls>
        <c:gapWidth val="219"/>
        <c:overlap val="-27"/>
        <c:axId val="527328144"/>
        <c:axId val="527326504"/>
      </c:barChart>
      <c:lineChart>
        <c:grouping val="standard"/>
        <c:varyColors val="0"/>
        <c:ser>
          <c:idx val="1"/>
          <c:order val="1"/>
          <c:tx>
            <c:strRef>
              <c:f>'Pareto Charts'!$O$2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Charts'!$O$3:$O$17</c:f>
              <c:numCache>
                <c:formatCode>General</c:formatCode>
                <c:ptCount val="15"/>
                <c:pt idx="0">
                  <c:v>5.4054054054054057E-2</c:v>
                </c:pt>
                <c:pt idx="1">
                  <c:v>0.10810810810810811</c:v>
                </c:pt>
                <c:pt idx="2">
                  <c:v>0.13513513513513514</c:v>
                </c:pt>
                <c:pt idx="3">
                  <c:v>0.21621621621621623</c:v>
                </c:pt>
                <c:pt idx="4">
                  <c:v>0.27027027027027029</c:v>
                </c:pt>
                <c:pt idx="5">
                  <c:v>0.35135135135135137</c:v>
                </c:pt>
                <c:pt idx="6">
                  <c:v>0.43243243243243246</c:v>
                </c:pt>
                <c:pt idx="7">
                  <c:v>0.51351351351351349</c:v>
                </c:pt>
                <c:pt idx="8">
                  <c:v>0.59459459459459463</c:v>
                </c:pt>
                <c:pt idx="9">
                  <c:v>0.67567567567567566</c:v>
                </c:pt>
                <c:pt idx="10">
                  <c:v>0.72972972972972971</c:v>
                </c:pt>
                <c:pt idx="11">
                  <c:v>0.78378378378378377</c:v>
                </c:pt>
                <c:pt idx="12">
                  <c:v>0.83783783783783783</c:v>
                </c:pt>
                <c:pt idx="13">
                  <c:v>0.91891891891891897</c:v>
                </c:pt>
                <c:pt idx="14">
                  <c:v>1</c:v>
                </c:pt>
              </c:numCache>
            </c:numRef>
          </c:val>
          <c:smooth val="0"/>
          <c:extLst>
            <c:ext xmlns:c16="http://schemas.microsoft.com/office/drawing/2014/chart" uri="{C3380CC4-5D6E-409C-BE32-E72D297353CC}">
              <c16:uniqueId val="{00000001-AA03-44A9-990F-67F66FC930F9}"/>
            </c:ext>
          </c:extLst>
        </c:ser>
        <c:dLbls>
          <c:showLegendKey val="0"/>
          <c:showVal val="0"/>
          <c:showCatName val="0"/>
          <c:showSerName val="0"/>
          <c:showPercent val="0"/>
          <c:showBubbleSize val="0"/>
        </c:dLbls>
        <c:marker val="1"/>
        <c:smooth val="0"/>
        <c:axId val="864243664"/>
        <c:axId val="864269576"/>
      </c:lineChart>
      <c:catAx>
        <c:axId val="5273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6504"/>
        <c:crosses val="autoZero"/>
        <c:auto val="1"/>
        <c:lblAlgn val="ctr"/>
        <c:lblOffset val="100"/>
        <c:noMultiLvlLbl val="0"/>
      </c:catAx>
      <c:valAx>
        <c:axId val="527326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144"/>
        <c:crosses val="autoZero"/>
        <c:crossBetween val="between"/>
      </c:valAx>
      <c:valAx>
        <c:axId val="864269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43664"/>
        <c:crosses val="max"/>
        <c:crossBetween val="between"/>
      </c:valAx>
      <c:catAx>
        <c:axId val="864243664"/>
        <c:scaling>
          <c:orientation val="minMax"/>
        </c:scaling>
        <c:delete val="1"/>
        <c:axPos val="b"/>
        <c:numFmt formatCode="General" sourceLinked="1"/>
        <c:majorTickMark val="out"/>
        <c:minorTickMark val="none"/>
        <c:tickLblPos val="nextTo"/>
        <c:crossAx val="864269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Zoomed</a:t>
            </a:r>
            <a:r>
              <a:rPr lang="en-US" baseline="0"/>
              <a:t> 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'Devlin Score Sheet new'!$E$29</c:f>
              <c:strCache>
                <c:ptCount val="1"/>
                <c:pt idx="0">
                  <c:v>Scada</c:v>
                </c:pt>
              </c:strCache>
            </c:strRef>
          </c:tx>
          <c:spPr>
            <a:solidFill>
              <a:schemeClr val="accent1"/>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new'!$E$30:$E$32</c:f>
              <c:numCache>
                <c:formatCode>0.00</c:formatCode>
                <c:ptCount val="3"/>
                <c:pt idx="0">
                  <c:v>1</c:v>
                </c:pt>
                <c:pt idx="1">
                  <c:v>4.333333333333357</c:v>
                </c:pt>
                <c:pt idx="2">
                  <c:v>4.5730337078651644</c:v>
                </c:pt>
              </c:numCache>
            </c:numRef>
          </c:val>
          <c:extLst>
            <c:ext xmlns:c16="http://schemas.microsoft.com/office/drawing/2014/chart" uri="{C3380CC4-5D6E-409C-BE32-E72D297353CC}">
              <c16:uniqueId val="{00000000-9C33-48F8-82D2-2353416B5711}"/>
            </c:ext>
          </c:extLst>
        </c:ser>
        <c:ser>
          <c:idx val="1"/>
          <c:order val="1"/>
          <c:tx>
            <c:strRef>
              <c:f>'Devlin Score Sheet new'!$F$29</c:f>
              <c:strCache>
                <c:ptCount val="1"/>
                <c:pt idx="0">
                  <c:v>1212 Single</c:v>
                </c:pt>
              </c:strCache>
            </c:strRef>
          </c:tx>
          <c:spPr>
            <a:solidFill>
              <a:schemeClr val="accent2"/>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new'!$F$30:$F$32</c:f>
              <c:numCache>
                <c:formatCode>0.00</c:formatCode>
                <c:ptCount val="3"/>
                <c:pt idx="0">
                  <c:v>9</c:v>
                </c:pt>
                <c:pt idx="1">
                  <c:v>10.099099099099107</c:v>
                </c:pt>
                <c:pt idx="2">
                  <c:v>11.764044943820231</c:v>
                </c:pt>
              </c:numCache>
            </c:numRef>
          </c:val>
          <c:extLst>
            <c:ext xmlns:c16="http://schemas.microsoft.com/office/drawing/2014/chart" uri="{C3380CC4-5D6E-409C-BE32-E72D297353CC}">
              <c16:uniqueId val="{00000001-9C33-48F8-82D2-2353416B5711}"/>
            </c:ext>
          </c:extLst>
        </c:ser>
        <c:ser>
          <c:idx val="2"/>
          <c:order val="2"/>
          <c:tx>
            <c:strRef>
              <c:f>'Devlin Score Sheet new'!$G$29</c:f>
              <c:strCache>
                <c:ptCount val="1"/>
                <c:pt idx="0">
                  <c:v>1510 single</c:v>
                </c:pt>
              </c:strCache>
            </c:strRef>
          </c:tx>
          <c:spPr>
            <a:solidFill>
              <a:schemeClr val="accent3"/>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new'!$G$30:$G$32</c:f>
              <c:numCache>
                <c:formatCode>0.00</c:formatCode>
                <c:ptCount val="3"/>
                <c:pt idx="0">
                  <c:v>7</c:v>
                </c:pt>
                <c:pt idx="1">
                  <c:v>7.2162162162162247</c:v>
                </c:pt>
                <c:pt idx="2">
                  <c:v>8.1685393258427013</c:v>
                </c:pt>
              </c:numCache>
            </c:numRef>
          </c:val>
          <c:extLst>
            <c:ext xmlns:c16="http://schemas.microsoft.com/office/drawing/2014/chart" uri="{C3380CC4-5D6E-409C-BE32-E72D297353CC}">
              <c16:uniqueId val="{00000002-9C33-48F8-82D2-2353416B5711}"/>
            </c:ext>
          </c:extLst>
        </c:ser>
        <c:ser>
          <c:idx val="3"/>
          <c:order val="3"/>
          <c:tx>
            <c:strRef>
              <c:f>'Devlin Score Sheet new'!$H$29</c:f>
              <c:strCache>
                <c:ptCount val="1"/>
                <c:pt idx="0">
                  <c:v>1510 multi</c:v>
                </c:pt>
              </c:strCache>
            </c:strRef>
          </c:tx>
          <c:spPr>
            <a:solidFill>
              <a:schemeClr val="accent4"/>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new'!$H$30:$H$32</c:f>
              <c:numCache>
                <c:formatCode>0.00</c:formatCode>
                <c:ptCount val="3"/>
                <c:pt idx="0">
                  <c:v>7</c:v>
                </c:pt>
                <c:pt idx="1">
                  <c:v>8.3693693693693874</c:v>
                </c:pt>
                <c:pt idx="2">
                  <c:v>9.606741573033716</c:v>
                </c:pt>
              </c:numCache>
            </c:numRef>
          </c:val>
          <c:extLst>
            <c:ext xmlns:c16="http://schemas.microsoft.com/office/drawing/2014/chart" uri="{C3380CC4-5D6E-409C-BE32-E72D297353CC}">
              <c16:uniqueId val="{00000003-9C33-48F8-82D2-2353416B5711}"/>
            </c:ext>
          </c:extLst>
        </c:ser>
        <c:ser>
          <c:idx val="4"/>
          <c:order val="4"/>
          <c:tx>
            <c:strRef>
              <c:f>'Devlin Score Sheet new'!$I$29</c:f>
              <c:strCache>
                <c:ptCount val="1"/>
                <c:pt idx="0">
                  <c:v>1212 multi</c:v>
                </c:pt>
              </c:strCache>
            </c:strRef>
          </c:tx>
          <c:spPr>
            <a:solidFill>
              <a:schemeClr val="accent5"/>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new'!$I$30:$I$32</c:f>
              <c:numCache>
                <c:formatCode>0.00</c:formatCode>
                <c:ptCount val="3"/>
                <c:pt idx="0">
                  <c:v>9</c:v>
                </c:pt>
                <c:pt idx="1">
                  <c:v>11.252252252252276</c:v>
                </c:pt>
                <c:pt idx="2">
                  <c:v>13.202247191011239</c:v>
                </c:pt>
              </c:numCache>
            </c:numRef>
          </c:val>
          <c:extLst>
            <c:ext xmlns:c16="http://schemas.microsoft.com/office/drawing/2014/chart" uri="{C3380CC4-5D6E-409C-BE32-E72D297353CC}">
              <c16:uniqueId val="{00000004-9C33-48F8-82D2-2353416B5711}"/>
            </c:ext>
          </c:extLst>
        </c:ser>
        <c:ser>
          <c:idx val="5"/>
          <c:order val="5"/>
          <c:tx>
            <c:strRef>
              <c:f>'Devlin Score Sheet new'!$J$29</c:f>
              <c:strCache>
                <c:ptCount val="1"/>
                <c:pt idx="0">
                  <c:v>1510 Line</c:v>
                </c:pt>
              </c:strCache>
            </c:strRef>
          </c:tx>
          <c:spPr>
            <a:solidFill>
              <a:schemeClr val="accent6"/>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new'!$J$30:$J$32</c:f>
              <c:numCache>
                <c:formatCode>0.00</c:formatCode>
                <c:ptCount val="3"/>
                <c:pt idx="0">
                  <c:v>10</c:v>
                </c:pt>
                <c:pt idx="1">
                  <c:v>8.6576576576576798</c:v>
                </c:pt>
                <c:pt idx="2">
                  <c:v>9.6067415730337018</c:v>
                </c:pt>
              </c:numCache>
            </c:numRef>
          </c:val>
          <c:extLst>
            <c:ext xmlns:c16="http://schemas.microsoft.com/office/drawing/2014/chart" uri="{C3380CC4-5D6E-409C-BE32-E72D297353CC}">
              <c16:uniqueId val="{00000005-9C33-48F8-82D2-2353416B5711}"/>
            </c:ext>
          </c:extLst>
        </c:ser>
        <c:ser>
          <c:idx val="6"/>
          <c:order val="6"/>
          <c:tx>
            <c:strRef>
              <c:f>'Devlin Score Sheet new'!$K$29</c:f>
              <c:strCache>
                <c:ptCount val="1"/>
                <c:pt idx="0">
                  <c:v>1212 Line</c:v>
                </c:pt>
              </c:strCache>
            </c:strRef>
          </c:tx>
          <c:spPr>
            <a:solidFill>
              <a:schemeClr val="accent1">
                <a:lumMod val="60000"/>
              </a:schemeClr>
            </a:solidFill>
            <a:ln>
              <a:noFill/>
            </a:ln>
            <a:effectLst/>
          </c:spPr>
          <c:invertIfNegative val="0"/>
          <c:cat>
            <c:strRef>
              <c:f>'Devlin Score Sheet new'!$D$30:$D$32</c:f>
              <c:strCache>
                <c:ptCount val="3"/>
                <c:pt idx="0">
                  <c:v>Score Unweighted</c:v>
                </c:pt>
                <c:pt idx="1">
                  <c:v>Score Weighted</c:v>
                </c:pt>
                <c:pt idx="2">
                  <c:v>Score Only Required</c:v>
                </c:pt>
              </c:strCache>
            </c:strRef>
          </c:cat>
          <c:val>
            <c:numRef>
              <c:f>'Devlin Score Sheet new'!$K$30:$K$32</c:f>
              <c:numCache>
                <c:formatCode>0.00</c:formatCode>
                <c:ptCount val="3"/>
                <c:pt idx="0">
                  <c:v>11</c:v>
                </c:pt>
                <c:pt idx="1">
                  <c:v>10.099099099099121</c:v>
                </c:pt>
                <c:pt idx="2">
                  <c:v>11.404494382022463</c:v>
                </c:pt>
              </c:numCache>
            </c:numRef>
          </c:val>
          <c:extLst>
            <c:ext xmlns:c16="http://schemas.microsoft.com/office/drawing/2014/chart" uri="{C3380CC4-5D6E-409C-BE32-E72D297353CC}">
              <c16:uniqueId val="{00000006-9C33-48F8-82D2-2353416B5711}"/>
            </c:ext>
          </c:extLst>
        </c:ser>
        <c:dLbls>
          <c:showLegendKey val="0"/>
          <c:showVal val="0"/>
          <c:showCatName val="0"/>
          <c:showSerName val="0"/>
          <c:showPercent val="0"/>
          <c:showBubbleSize val="0"/>
        </c:dLbls>
        <c:gapWidth val="219"/>
        <c:overlap val="-27"/>
        <c:axId val="683063944"/>
        <c:axId val="683064600"/>
      </c:barChart>
      <c:catAx>
        <c:axId val="68306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83064600"/>
        <c:crosses val="autoZero"/>
        <c:auto val="1"/>
        <c:lblAlgn val="ctr"/>
        <c:lblOffset val="100"/>
        <c:noMultiLvlLbl val="0"/>
      </c:catAx>
      <c:valAx>
        <c:axId val="683064600"/>
        <c:scaling>
          <c:orientation val="minMax"/>
        </c:scaling>
        <c:delete val="1"/>
        <c:axPos val="l"/>
        <c:numFmt formatCode="0.00" sourceLinked="1"/>
        <c:majorTickMark val="none"/>
        <c:minorTickMark val="none"/>
        <c:tickLblPos val="nextTo"/>
        <c:crossAx val="683063944"/>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r>
              <a:rPr lang="en-US" baseline="0"/>
              <a:t> Comparison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1801802729735521E-2"/>
          <c:y val="2.5097892062302216E-2"/>
          <c:w val="0.95639639454052894"/>
          <c:h val="0.76540072531248105"/>
        </c:manualLayout>
      </c:layout>
      <c:barChart>
        <c:barDir val="col"/>
        <c:grouping val="clustered"/>
        <c:varyColors val="0"/>
        <c:ser>
          <c:idx val="1"/>
          <c:order val="1"/>
          <c:tx>
            <c:strRef>
              <c:f>'Devlin Score Sheet new'!$E$34</c:f>
              <c:strCache>
                <c:ptCount val="1"/>
                <c:pt idx="0">
                  <c:v>Scada</c:v>
                </c:pt>
              </c:strCache>
            </c:strRef>
          </c:tx>
          <c:spPr>
            <a:solidFill>
              <a:schemeClr val="accent1"/>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new'!$E$35:$E$38</c15:sqref>
                  </c15:fullRef>
                </c:ext>
              </c:extLst>
              <c:f>'Devlin Score Sheet new'!$E$35:$E$37</c:f>
              <c:numCache>
                <c:formatCode>0.00</c:formatCode>
                <c:ptCount val="3"/>
                <c:pt idx="0">
                  <c:v>34</c:v>
                </c:pt>
                <c:pt idx="1">
                  <c:v>37.333333333333357</c:v>
                </c:pt>
                <c:pt idx="2">
                  <c:v>37.555051118534259</c:v>
                </c:pt>
              </c:numCache>
            </c:numRef>
          </c:val>
          <c:extLst>
            <c:ext xmlns:c16="http://schemas.microsoft.com/office/drawing/2014/chart" uri="{C3380CC4-5D6E-409C-BE32-E72D297353CC}">
              <c16:uniqueId val="{00000001-07D5-4F67-859F-1885536AB520}"/>
            </c:ext>
          </c:extLst>
        </c:ser>
        <c:ser>
          <c:idx val="2"/>
          <c:order val="2"/>
          <c:tx>
            <c:strRef>
              <c:f>'Devlin Score Sheet new'!$F$34</c:f>
              <c:strCache>
                <c:ptCount val="1"/>
                <c:pt idx="0">
                  <c:v>1212 Single</c:v>
                </c:pt>
              </c:strCache>
            </c:strRef>
          </c:tx>
          <c:spPr>
            <a:solidFill>
              <a:schemeClr val="accent2"/>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new'!$F$35:$F$38</c15:sqref>
                  </c15:fullRef>
                </c:ext>
              </c:extLst>
              <c:f>'Devlin Score Sheet new'!$F$35:$F$37</c:f>
              <c:numCache>
                <c:formatCode>0.00</c:formatCode>
                <c:ptCount val="3"/>
                <c:pt idx="0">
                  <c:v>42</c:v>
                </c:pt>
                <c:pt idx="1">
                  <c:v>43.099099099099107</c:v>
                </c:pt>
                <c:pt idx="2">
                  <c:v>44.742620710598246</c:v>
                </c:pt>
              </c:numCache>
            </c:numRef>
          </c:val>
          <c:extLst>
            <c:ext xmlns:c16="http://schemas.microsoft.com/office/drawing/2014/chart" uri="{C3380CC4-5D6E-409C-BE32-E72D297353CC}">
              <c16:uniqueId val="{00000002-07D5-4F67-859F-1885536AB520}"/>
            </c:ext>
          </c:extLst>
        </c:ser>
        <c:ser>
          <c:idx val="3"/>
          <c:order val="3"/>
          <c:tx>
            <c:strRef>
              <c:f>'Devlin Score Sheet new'!$G$34</c:f>
              <c:strCache>
                <c:ptCount val="1"/>
                <c:pt idx="0">
                  <c:v>1510 single</c:v>
                </c:pt>
              </c:strCache>
            </c:strRef>
          </c:tx>
          <c:spPr>
            <a:solidFill>
              <a:schemeClr val="bg2">
                <a:lumMod val="75000"/>
              </a:schemeClr>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new'!$G$35:$G$38</c15:sqref>
                  </c15:fullRef>
                </c:ext>
              </c:extLst>
              <c:f>'Devlin Score Sheet new'!$G$35:$G$37</c:f>
              <c:numCache>
                <c:formatCode>0.00</c:formatCode>
                <c:ptCount val="3"/>
                <c:pt idx="0">
                  <c:v>40</c:v>
                </c:pt>
                <c:pt idx="1">
                  <c:v>40.216216216216225</c:v>
                </c:pt>
                <c:pt idx="2">
                  <c:v>41.148835914566256</c:v>
                </c:pt>
              </c:numCache>
            </c:numRef>
          </c:val>
          <c:extLst>
            <c:ext xmlns:c16="http://schemas.microsoft.com/office/drawing/2014/chart" uri="{C3380CC4-5D6E-409C-BE32-E72D297353CC}">
              <c16:uniqueId val="{00000003-07D5-4F67-859F-1885536AB520}"/>
            </c:ext>
          </c:extLst>
        </c:ser>
        <c:ser>
          <c:idx val="4"/>
          <c:order val="4"/>
          <c:tx>
            <c:strRef>
              <c:f>'Devlin Score Sheet new'!$H$34</c:f>
              <c:strCache>
                <c:ptCount val="1"/>
                <c:pt idx="0">
                  <c:v>1510 multi</c:v>
                </c:pt>
              </c:strCache>
            </c:strRef>
          </c:tx>
          <c:spPr>
            <a:solidFill>
              <a:srgbClr val="FFC000"/>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new'!$H$35:$H$38</c15:sqref>
                  </c15:fullRef>
                </c:ext>
              </c:extLst>
              <c:f>'Devlin Score Sheet new'!$H$35:$H$37</c:f>
              <c:numCache>
                <c:formatCode>0.00</c:formatCode>
                <c:ptCount val="3"/>
                <c:pt idx="0">
                  <c:v>40</c:v>
                </c:pt>
                <c:pt idx="1">
                  <c:v>41.369369369369387</c:v>
                </c:pt>
                <c:pt idx="2">
                  <c:v>42.586349832979053</c:v>
                </c:pt>
              </c:numCache>
            </c:numRef>
          </c:val>
          <c:extLst>
            <c:ext xmlns:c16="http://schemas.microsoft.com/office/drawing/2014/chart" uri="{C3380CC4-5D6E-409C-BE32-E72D297353CC}">
              <c16:uniqueId val="{00000004-07D5-4F67-859F-1885536AB520}"/>
            </c:ext>
          </c:extLst>
        </c:ser>
        <c:ser>
          <c:idx val="5"/>
          <c:order val="5"/>
          <c:tx>
            <c:strRef>
              <c:f>'Devlin Score Sheet new'!$I$34</c:f>
              <c:strCache>
                <c:ptCount val="1"/>
                <c:pt idx="0">
                  <c:v>1212 multi</c:v>
                </c:pt>
              </c:strCache>
            </c:strRef>
          </c:tx>
          <c:spPr>
            <a:solidFill>
              <a:srgbClr val="00B0F0"/>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new'!$I$35:$I$38</c15:sqref>
                  </c15:fullRef>
                </c:ext>
              </c:extLst>
              <c:f>'Devlin Score Sheet new'!$I$35:$I$37</c:f>
              <c:numCache>
                <c:formatCode>0.00</c:formatCode>
                <c:ptCount val="3"/>
                <c:pt idx="0">
                  <c:v>42</c:v>
                </c:pt>
                <c:pt idx="1">
                  <c:v>44.252252252252276</c:v>
                </c:pt>
                <c:pt idx="2">
                  <c:v>46.180134629011036</c:v>
                </c:pt>
              </c:numCache>
            </c:numRef>
          </c:val>
          <c:extLst>
            <c:ext xmlns:c16="http://schemas.microsoft.com/office/drawing/2014/chart" uri="{C3380CC4-5D6E-409C-BE32-E72D297353CC}">
              <c16:uniqueId val="{00000005-07D5-4F67-859F-1885536AB520}"/>
            </c:ext>
          </c:extLst>
        </c:ser>
        <c:ser>
          <c:idx val="6"/>
          <c:order val="6"/>
          <c:tx>
            <c:strRef>
              <c:f>'Devlin Score Sheet new'!$J$34</c:f>
              <c:strCache>
                <c:ptCount val="1"/>
                <c:pt idx="0">
                  <c:v>1510 Line</c:v>
                </c:pt>
              </c:strCache>
            </c:strRef>
          </c:tx>
          <c:spPr>
            <a:solidFill>
              <a:srgbClr val="00B050"/>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new'!$J$35:$J$38</c15:sqref>
                  </c15:fullRef>
                </c:ext>
              </c:extLst>
              <c:f>'Devlin Score Sheet new'!$J$35:$J$37</c:f>
              <c:numCache>
                <c:formatCode>0.00</c:formatCode>
                <c:ptCount val="3"/>
                <c:pt idx="0">
                  <c:v>43</c:v>
                </c:pt>
                <c:pt idx="1">
                  <c:v>41.65765765765768</c:v>
                </c:pt>
                <c:pt idx="2">
                  <c:v>42.586349832979039</c:v>
                </c:pt>
              </c:numCache>
            </c:numRef>
          </c:val>
          <c:extLst>
            <c:ext xmlns:c16="http://schemas.microsoft.com/office/drawing/2014/chart" uri="{C3380CC4-5D6E-409C-BE32-E72D297353CC}">
              <c16:uniqueId val="{00000006-07D5-4F67-859F-1885536AB520}"/>
            </c:ext>
          </c:extLst>
        </c:ser>
        <c:ser>
          <c:idx val="7"/>
          <c:order val="7"/>
          <c:tx>
            <c:strRef>
              <c:f>'Devlin Score Sheet new'!$K$34</c:f>
              <c:strCache>
                <c:ptCount val="1"/>
                <c:pt idx="0">
                  <c:v>1212 Line</c:v>
                </c:pt>
              </c:strCache>
            </c:strRef>
          </c:tx>
          <c:spPr>
            <a:solidFill>
              <a:srgbClr val="0070C0"/>
            </a:solidFill>
            <a:ln>
              <a:noFill/>
            </a:ln>
            <a:effectLst/>
          </c:spPr>
          <c:invertIfNegative val="0"/>
          <c:cat>
            <c:strRef>
              <c:extLst>
                <c:ext xmlns:c15="http://schemas.microsoft.com/office/drawing/2012/chart" uri="{02D57815-91ED-43cb-92C2-25804820EDAC}">
                  <c15:fullRef>
                    <c15:sqref>'Devlin Score Sheet new'!$D$35:$D$37</c15:sqref>
                  </c15:fullRef>
                </c:ext>
              </c:extLst>
              <c:f>'Devlin Score Sheet new'!$D$35:$D$37</c:f>
              <c:strCache>
                <c:ptCount val="3"/>
                <c:pt idx="0">
                  <c:v>Score Unweighted</c:v>
                </c:pt>
                <c:pt idx="1">
                  <c:v>Score Weighted</c:v>
                </c:pt>
                <c:pt idx="2">
                  <c:v>Score Only Required</c:v>
                </c:pt>
              </c:strCache>
            </c:strRef>
          </c:cat>
          <c:val>
            <c:numRef>
              <c:extLst>
                <c:ext xmlns:c15="http://schemas.microsoft.com/office/drawing/2012/chart" uri="{02D57815-91ED-43cb-92C2-25804820EDAC}">
                  <c15:fullRef>
                    <c15:sqref>'Devlin Score Sheet new'!$K$35:$K$38</c15:sqref>
                  </c15:fullRef>
                </c:ext>
              </c:extLst>
              <c:f>'Devlin Score Sheet new'!$K$35:$K$37</c:f>
              <c:numCache>
                <c:formatCode>0.00</c:formatCode>
                <c:ptCount val="3"/>
                <c:pt idx="0">
                  <c:v>44</c:v>
                </c:pt>
                <c:pt idx="1">
                  <c:v>43.099099099099121</c:v>
                </c:pt>
                <c:pt idx="2">
                  <c:v>44.38324223099503</c:v>
                </c:pt>
              </c:numCache>
            </c:numRef>
          </c:val>
          <c:extLst>
            <c:ext xmlns:c16="http://schemas.microsoft.com/office/drawing/2014/chart" uri="{C3380CC4-5D6E-409C-BE32-E72D297353CC}">
              <c16:uniqueId val="{00000007-07D5-4F67-859F-1885536AB520}"/>
            </c:ext>
          </c:extLst>
        </c:ser>
        <c:dLbls>
          <c:showLegendKey val="0"/>
          <c:showVal val="0"/>
          <c:showCatName val="0"/>
          <c:showSerName val="0"/>
          <c:showPercent val="0"/>
          <c:showBubbleSize val="0"/>
        </c:dLbls>
        <c:gapWidth val="219"/>
        <c:overlap val="-27"/>
        <c:axId val="689067888"/>
        <c:axId val="689072480"/>
        <c:extLst>
          <c:ext xmlns:c15="http://schemas.microsoft.com/office/drawing/2012/chart" uri="{02D57815-91ED-43cb-92C2-25804820EDAC}">
            <c15:filteredBarSeries>
              <c15:ser>
                <c:idx val="0"/>
                <c:order val="0"/>
                <c:tx>
                  <c:strRef>
                    <c:extLst>
                      <c:ext uri="{02D57815-91ED-43cb-92C2-25804820EDAC}">
                        <c15:formulaRef>
                          <c15:sqref>'Devlin Score Sheet new'!$D$34</c15:sqref>
                        </c15:formulaRef>
                      </c:ext>
                    </c:extLst>
                    <c:strCache>
                      <c:ptCount val="1"/>
                      <c:pt idx="0">
                        <c:v>Zoomed Out</c:v>
                      </c:pt>
                    </c:strCache>
                  </c:strRef>
                </c:tx>
                <c:spPr>
                  <a:solidFill>
                    <a:schemeClr val="accent1"/>
                  </a:solidFill>
                  <a:ln>
                    <a:noFill/>
                  </a:ln>
                  <a:effectLst/>
                </c:spPr>
                <c:invertIfNegative val="0"/>
                <c:cat>
                  <c:strRef>
                    <c:extLst>
                      <c:ext uri="{02D57815-91ED-43cb-92C2-25804820EDAC}">
                        <c15:fullRef>
                          <c15:sqref>'Devlin Score Sheet new'!$D$35:$D$37</c15:sqref>
                        </c15:fullRef>
                        <c15:formulaRef>
                          <c15:sqref>'Devlin Score Sheet new'!$D$35:$D$37</c15:sqref>
                        </c15:formulaRef>
                      </c:ext>
                    </c:extLst>
                    <c:strCache>
                      <c:ptCount val="3"/>
                      <c:pt idx="0">
                        <c:v>Score Unweighted</c:v>
                      </c:pt>
                      <c:pt idx="1">
                        <c:v>Score Weighted</c:v>
                      </c:pt>
                      <c:pt idx="2">
                        <c:v>Score Only Required</c:v>
                      </c:pt>
                    </c:strCache>
                  </c:strRef>
                </c:cat>
                <c:val>
                  <c:numRef>
                    <c:extLst>
                      <c:ext uri="{02D57815-91ED-43cb-92C2-25804820EDAC}">
                        <c15:fullRef>
                          <c15:sqref>'Devlin Score Sheet new'!$D$35:$D$38</c15:sqref>
                        </c15:fullRef>
                        <c15:formulaRef>
                          <c15:sqref>'Devlin Score Sheet new'!$D$35:$D$37</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0-07D5-4F67-859F-1885536AB520}"/>
                  </c:ext>
                </c:extLst>
              </c15:ser>
            </c15:filteredBarSeries>
          </c:ext>
        </c:extLst>
      </c:barChart>
      <c:catAx>
        <c:axId val="68906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n-lt"/>
                <a:ea typeface="+mn-ea"/>
                <a:cs typeface="+mn-cs"/>
              </a:defRPr>
            </a:pPr>
            <a:endParaRPr lang="en-US"/>
          </a:p>
        </c:txPr>
        <c:crossAx val="689072480"/>
        <c:crosses val="autoZero"/>
        <c:auto val="1"/>
        <c:lblAlgn val="ctr"/>
        <c:lblOffset val="100"/>
        <c:noMultiLvlLbl val="0"/>
      </c:catAx>
      <c:valAx>
        <c:axId val="689072480"/>
        <c:scaling>
          <c:orientation val="minMax"/>
        </c:scaling>
        <c:delete val="1"/>
        <c:axPos val="l"/>
        <c:numFmt formatCode="0.00" sourceLinked="1"/>
        <c:majorTickMark val="none"/>
        <c:minorTickMark val="none"/>
        <c:tickLblPos val="nextTo"/>
        <c:crossAx val="68906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Comparison GS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692869641294838"/>
          <c:y val="0.11206859018449661"/>
          <c:w val="0.77251574803149603"/>
          <c:h val="0.7487192395638812"/>
        </c:manualLayout>
      </c:layout>
      <c:barChart>
        <c:barDir val="bar"/>
        <c:grouping val="stacked"/>
        <c:varyColors val="0"/>
        <c:ser>
          <c:idx val="0"/>
          <c:order val="0"/>
          <c:tx>
            <c:strRef>
              <c:f>Prices!$AB$31</c:f>
              <c:strCache>
                <c:ptCount val="1"/>
                <c:pt idx="0">
                  <c:v>CPU</c:v>
                </c:pt>
              </c:strCache>
            </c:strRef>
          </c:tx>
          <c:spPr>
            <a:solidFill>
              <a:schemeClr val="accent1"/>
            </a:solidFill>
            <a:ln>
              <a:noFill/>
            </a:ln>
            <a:effectLst/>
          </c:spPr>
          <c:invertIfNegative val="0"/>
          <c:cat>
            <c:strRef>
              <c:f>Prices!$AA$32:$AA$38</c:f>
              <c:strCache>
                <c:ptCount val="7"/>
                <c:pt idx="0">
                  <c:v>1212C Line</c:v>
                </c:pt>
                <c:pt idx="1">
                  <c:v>1510 Line</c:v>
                </c:pt>
                <c:pt idx="2">
                  <c:v>Scada</c:v>
                </c:pt>
                <c:pt idx="3">
                  <c:v>1212C Multi</c:v>
                </c:pt>
                <c:pt idx="4">
                  <c:v>1212C</c:v>
                </c:pt>
                <c:pt idx="5">
                  <c:v>1510 Multi</c:v>
                </c:pt>
                <c:pt idx="6">
                  <c:v>1510 Single</c:v>
                </c:pt>
              </c:strCache>
            </c:strRef>
          </c:cat>
          <c:val>
            <c:numRef>
              <c:f>Prices!$AB$32:$AB$38</c:f>
              <c:numCache>
                <c:formatCode>General</c:formatCode>
                <c:ptCount val="7"/>
                <c:pt idx="0">
                  <c:v>232</c:v>
                </c:pt>
                <c:pt idx="1">
                  <c:v>816</c:v>
                </c:pt>
                <c:pt idx="2">
                  <c:v>2580</c:v>
                </c:pt>
                <c:pt idx="3">
                  <c:v>464</c:v>
                </c:pt>
                <c:pt idx="4">
                  <c:v>1392</c:v>
                </c:pt>
                <c:pt idx="5">
                  <c:v>1632</c:v>
                </c:pt>
                <c:pt idx="6">
                  <c:v>4896</c:v>
                </c:pt>
              </c:numCache>
            </c:numRef>
          </c:val>
          <c:extLst>
            <c:ext xmlns:c16="http://schemas.microsoft.com/office/drawing/2014/chart" uri="{C3380CC4-5D6E-409C-BE32-E72D297353CC}">
              <c16:uniqueId val="{00000000-45F8-46F4-A522-4162656CF439}"/>
            </c:ext>
          </c:extLst>
        </c:ser>
        <c:ser>
          <c:idx val="1"/>
          <c:order val="1"/>
          <c:tx>
            <c:strRef>
              <c:f>Prices!$AC$31</c:f>
              <c:strCache>
                <c:ptCount val="1"/>
                <c:pt idx="0">
                  <c:v>Display</c:v>
                </c:pt>
              </c:strCache>
            </c:strRef>
          </c:tx>
          <c:spPr>
            <a:solidFill>
              <a:schemeClr val="accent2"/>
            </a:solidFill>
            <a:ln>
              <a:noFill/>
            </a:ln>
            <a:effectLst/>
          </c:spPr>
          <c:invertIfNegative val="0"/>
          <c:cat>
            <c:strRef>
              <c:f>Prices!$AA$32:$AA$38</c:f>
              <c:strCache>
                <c:ptCount val="7"/>
                <c:pt idx="0">
                  <c:v>1212C Line</c:v>
                </c:pt>
                <c:pt idx="1">
                  <c:v>1510 Line</c:v>
                </c:pt>
                <c:pt idx="2">
                  <c:v>Scada</c:v>
                </c:pt>
                <c:pt idx="3">
                  <c:v>1212C Multi</c:v>
                </c:pt>
                <c:pt idx="4">
                  <c:v>1212C</c:v>
                </c:pt>
                <c:pt idx="5">
                  <c:v>1510 Multi</c:v>
                </c:pt>
                <c:pt idx="6">
                  <c:v>1510 Single</c:v>
                </c:pt>
              </c:strCache>
            </c:strRef>
          </c:cat>
          <c:val>
            <c:numRef>
              <c:f>Prices!$AC$32:$AC$38</c:f>
              <c:numCache>
                <c:formatCode>General</c:formatCode>
                <c:ptCount val="7"/>
                <c:pt idx="0">
                  <c:v>694</c:v>
                </c:pt>
                <c:pt idx="1">
                  <c:v>694</c:v>
                </c:pt>
                <c:pt idx="2">
                  <c:v>444</c:v>
                </c:pt>
                <c:pt idx="3">
                  <c:v>2082</c:v>
                </c:pt>
                <c:pt idx="4">
                  <c:v>2082</c:v>
                </c:pt>
                <c:pt idx="5">
                  <c:v>2082</c:v>
                </c:pt>
                <c:pt idx="6">
                  <c:v>2082</c:v>
                </c:pt>
              </c:numCache>
            </c:numRef>
          </c:val>
          <c:extLst>
            <c:ext xmlns:c16="http://schemas.microsoft.com/office/drawing/2014/chart" uri="{C3380CC4-5D6E-409C-BE32-E72D297353CC}">
              <c16:uniqueId val="{00000001-45F8-46F4-A522-4162656CF439}"/>
            </c:ext>
          </c:extLst>
        </c:ser>
        <c:ser>
          <c:idx val="2"/>
          <c:order val="2"/>
          <c:tx>
            <c:strRef>
              <c:f>Prices!$AD$31</c:f>
              <c:strCache>
                <c:ptCount val="1"/>
                <c:pt idx="0">
                  <c:v>Expansion IO</c:v>
                </c:pt>
              </c:strCache>
            </c:strRef>
          </c:tx>
          <c:spPr>
            <a:solidFill>
              <a:schemeClr val="accent3"/>
            </a:solidFill>
            <a:ln>
              <a:noFill/>
            </a:ln>
            <a:effectLst/>
          </c:spPr>
          <c:invertIfNegative val="0"/>
          <c:cat>
            <c:strRef>
              <c:f>Prices!$AA$32:$AA$38</c:f>
              <c:strCache>
                <c:ptCount val="7"/>
                <c:pt idx="0">
                  <c:v>1212C Line</c:v>
                </c:pt>
                <c:pt idx="1">
                  <c:v>1510 Line</c:v>
                </c:pt>
                <c:pt idx="2">
                  <c:v>Scada</c:v>
                </c:pt>
                <c:pt idx="3">
                  <c:v>1212C Multi</c:v>
                </c:pt>
                <c:pt idx="4">
                  <c:v>1212C</c:v>
                </c:pt>
                <c:pt idx="5">
                  <c:v>1510 Multi</c:v>
                </c:pt>
                <c:pt idx="6">
                  <c:v>1510 Single</c:v>
                </c:pt>
              </c:strCache>
            </c:strRef>
          </c:cat>
          <c:val>
            <c:numRef>
              <c:f>Prices!$AD$32:$AD$38</c:f>
              <c:numCache>
                <c:formatCode>General</c:formatCode>
                <c:ptCount val="7"/>
                <c:pt idx="0">
                  <c:v>1200</c:v>
                </c:pt>
                <c:pt idx="1">
                  <c:v>1200</c:v>
                </c:pt>
                <c:pt idx="2">
                  <c:v>0</c:v>
                </c:pt>
                <c:pt idx="3">
                  <c:v>1200</c:v>
                </c:pt>
                <c:pt idx="4">
                  <c:v>551.40000000000009</c:v>
                </c:pt>
                <c:pt idx="5">
                  <c:v>1200</c:v>
                </c:pt>
                <c:pt idx="6">
                  <c:v>1200</c:v>
                </c:pt>
              </c:numCache>
            </c:numRef>
          </c:val>
          <c:extLst>
            <c:ext xmlns:c16="http://schemas.microsoft.com/office/drawing/2014/chart" uri="{C3380CC4-5D6E-409C-BE32-E72D297353CC}">
              <c16:uniqueId val="{00000002-45F8-46F4-A522-4162656CF439}"/>
            </c:ext>
          </c:extLst>
        </c:ser>
        <c:ser>
          <c:idx val="3"/>
          <c:order val="3"/>
          <c:tx>
            <c:strRef>
              <c:f>Prices!$AE$31</c:f>
              <c:strCache>
                <c:ptCount val="1"/>
                <c:pt idx="0">
                  <c:v>Storage</c:v>
                </c:pt>
              </c:strCache>
            </c:strRef>
          </c:tx>
          <c:spPr>
            <a:solidFill>
              <a:schemeClr val="accent4"/>
            </a:solidFill>
            <a:ln>
              <a:noFill/>
            </a:ln>
            <a:effectLst/>
          </c:spPr>
          <c:invertIfNegative val="0"/>
          <c:cat>
            <c:strRef>
              <c:f>Prices!$AA$32:$AA$38</c:f>
              <c:strCache>
                <c:ptCount val="7"/>
                <c:pt idx="0">
                  <c:v>1212C Line</c:v>
                </c:pt>
                <c:pt idx="1">
                  <c:v>1510 Line</c:v>
                </c:pt>
                <c:pt idx="2">
                  <c:v>Scada</c:v>
                </c:pt>
                <c:pt idx="3">
                  <c:v>1212C Multi</c:v>
                </c:pt>
                <c:pt idx="4">
                  <c:v>1212C</c:v>
                </c:pt>
                <c:pt idx="5">
                  <c:v>1510 Multi</c:v>
                </c:pt>
                <c:pt idx="6">
                  <c:v>1510 Single</c:v>
                </c:pt>
              </c:strCache>
            </c:strRef>
          </c:cat>
          <c:val>
            <c:numRef>
              <c:f>Prices!$AE$32:$AE$38</c:f>
              <c:numCache>
                <c:formatCode>General</c:formatCode>
                <c:ptCount val="7"/>
                <c:pt idx="0">
                  <c:v>159</c:v>
                </c:pt>
                <c:pt idx="1">
                  <c:v>159</c:v>
                </c:pt>
                <c:pt idx="2">
                  <c:v>0</c:v>
                </c:pt>
                <c:pt idx="3">
                  <c:v>318</c:v>
                </c:pt>
                <c:pt idx="4">
                  <c:v>954</c:v>
                </c:pt>
                <c:pt idx="5">
                  <c:v>318</c:v>
                </c:pt>
                <c:pt idx="6">
                  <c:v>954</c:v>
                </c:pt>
              </c:numCache>
            </c:numRef>
          </c:val>
          <c:extLst>
            <c:ext xmlns:c16="http://schemas.microsoft.com/office/drawing/2014/chart" uri="{C3380CC4-5D6E-409C-BE32-E72D297353CC}">
              <c16:uniqueId val="{00000003-45F8-46F4-A522-4162656CF439}"/>
            </c:ext>
          </c:extLst>
        </c:ser>
        <c:ser>
          <c:idx val="4"/>
          <c:order val="4"/>
          <c:tx>
            <c:strRef>
              <c:f>Prices!$AF$31</c:f>
              <c:strCache>
                <c:ptCount val="1"/>
                <c:pt idx="0">
                  <c:v>MISC (Keyboard Mouse wiring adapters)</c:v>
                </c:pt>
              </c:strCache>
            </c:strRef>
          </c:tx>
          <c:spPr>
            <a:solidFill>
              <a:schemeClr val="accent5"/>
            </a:solidFill>
            <a:ln>
              <a:noFill/>
            </a:ln>
            <a:effectLst/>
          </c:spPr>
          <c:invertIfNegative val="0"/>
          <c:cat>
            <c:strRef>
              <c:f>Prices!$AA$32:$AA$38</c:f>
              <c:strCache>
                <c:ptCount val="7"/>
                <c:pt idx="0">
                  <c:v>1212C Line</c:v>
                </c:pt>
                <c:pt idx="1">
                  <c:v>1510 Line</c:v>
                </c:pt>
                <c:pt idx="2">
                  <c:v>Scada</c:v>
                </c:pt>
                <c:pt idx="3">
                  <c:v>1212C Multi</c:v>
                </c:pt>
                <c:pt idx="4">
                  <c:v>1212C</c:v>
                </c:pt>
                <c:pt idx="5">
                  <c:v>1510 Multi</c:v>
                </c:pt>
                <c:pt idx="6">
                  <c:v>1510 Single</c:v>
                </c:pt>
              </c:strCache>
            </c:strRef>
          </c:cat>
          <c:val>
            <c:numRef>
              <c:f>Prices!$AF$32:$AF$38</c:f>
              <c:numCache>
                <c:formatCode>General</c:formatCode>
                <c:ptCount val="7"/>
                <c:pt idx="0">
                  <c:v>0</c:v>
                </c:pt>
                <c:pt idx="1">
                  <c:v>0</c:v>
                </c:pt>
                <c:pt idx="2">
                  <c:v>192</c:v>
                </c:pt>
                <c:pt idx="3">
                  <c:v>0</c:v>
                </c:pt>
                <c:pt idx="4">
                  <c:v>0</c:v>
                </c:pt>
                <c:pt idx="5">
                  <c:v>0</c:v>
                </c:pt>
                <c:pt idx="6">
                  <c:v>0</c:v>
                </c:pt>
              </c:numCache>
            </c:numRef>
          </c:val>
          <c:extLst>
            <c:ext xmlns:c16="http://schemas.microsoft.com/office/drawing/2014/chart" uri="{C3380CC4-5D6E-409C-BE32-E72D297353CC}">
              <c16:uniqueId val="{00000005-45F8-46F4-A522-4162656CF439}"/>
            </c:ext>
          </c:extLst>
        </c:ser>
        <c:dLbls>
          <c:showLegendKey val="0"/>
          <c:showVal val="0"/>
          <c:showCatName val="0"/>
          <c:showSerName val="0"/>
          <c:showPercent val="0"/>
          <c:showBubbleSize val="0"/>
        </c:dLbls>
        <c:gapWidth val="150"/>
        <c:overlap val="100"/>
        <c:axId val="507289192"/>
        <c:axId val="507284272"/>
      </c:barChart>
      <c:catAx>
        <c:axId val="507289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507284272"/>
        <c:crosses val="autoZero"/>
        <c:auto val="1"/>
        <c:lblAlgn val="ctr"/>
        <c:lblOffset val="100"/>
        <c:noMultiLvlLbl val="0"/>
      </c:catAx>
      <c:valAx>
        <c:axId val="507284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7289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Prices!$Q$62</c:f>
              <c:strCache>
                <c:ptCount val="1"/>
                <c:pt idx="0">
                  <c:v>1212C</c:v>
                </c:pt>
              </c:strCache>
            </c:strRef>
          </c:tx>
          <c:spPr>
            <a:solidFill>
              <a:schemeClr val="accent1"/>
            </a:solidFill>
            <a:ln>
              <a:noFill/>
            </a:ln>
            <a:effectLst/>
          </c:spPr>
          <c:invertIfNegative val="0"/>
          <c:cat>
            <c:strRef>
              <c:f>Prices!$P$63:$P$65</c:f>
              <c:strCache>
                <c:ptCount val="3"/>
                <c:pt idx="0">
                  <c:v>Single</c:v>
                </c:pt>
                <c:pt idx="1">
                  <c:v>Multi</c:v>
                </c:pt>
                <c:pt idx="2">
                  <c:v>Line</c:v>
                </c:pt>
              </c:strCache>
            </c:strRef>
          </c:cat>
          <c:val>
            <c:numRef>
              <c:f>Prices!$Q$63:$Q$65</c:f>
              <c:numCache>
                <c:formatCode>General</c:formatCode>
                <c:ptCount val="3"/>
                <c:pt idx="0">
                  <c:v>4979.3999999999996</c:v>
                </c:pt>
                <c:pt idx="1">
                  <c:v>4064</c:v>
                </c:pt>
                <c:pt idx="2">
                  <c:v>2285</c:v>
                </c:pt>
              </c:numCache>
            </c:numRef>
          </c:val>
          <c:extLst>
            <c:ext xmlns:c16="http://schemas.microsoft.com/office/drawing/2014/chart" uri="{C3380CC4-5D6E-409C-BE32-E72D297353CC}">
              <c16:uniqueId val="{00000000-E537-480A-BC01-023914553E76}"/>
            </c:ext>
          </c:extLst>
        </c:ser>
        <c:ser>
          <c:idx val="1"/>
          <c:order val="1"/>
          <c:tx>
            <c:strRef>
              <c:f>Prices!$R$62</c:f>
              <c:strCache>
                <c:ptCount val="1"/>
                <c:pt idx="0">
                  <c:v>1510</c:v>
                </c:pt>
              </c:strCache>
            </c:strRef>
          </c:tx>
          <c:spPr>
            <a:solidFill>
              <a:schemeClr val="accent2"/>
            </a:solidFill>
            <a:ln>
              <a:noFill/>
            </a:ln>
            <a:effectLst/>
          </c:spPr>
          <c:invertIfNegative val="0"/>
          <c:cat>
            <c:strRef>
              <c:f>Prices!$P$63:$P$65</c:f>
              <c:strCache>
                <c:ptCount val="3"/>
                <c:pt idx="0">
                  <c:v>Single</c:v>
                </c:pt>
                <c:pt idx="1">
                  <c:v>Multi</c:v>
                </c:pt>
                <c:pt idx="2">
                  <c:v>Line</c:v>
                </c:pt>
              </c:strCache>
            </c:strRef>
          </c:cat>
          <c:val>
            <c:numRef>
              <c:f>Prices!$R$63:$R$65</c:f>
              <c:numCache>
                <c:formatCode>General</c:formatCode>
                <c:ptCount val="3"/>
                <c:pt idx="0">
                  <c:v>9132</c:v>
                </c:pt>
                <c:pt idx="1">
                  <c:v>5232</c:v>
                </c:pt>
                <c:pt idx="2">
                  <c:v>2869</c:v>
                </c:pt>
              </c:numCache>
            </c:numRef>
          </c:val>
          <c:extLst>
            <c:ext xmlns:c16="http://schemas.microsoft.com/office/drawing/2014/chart" uri="{C3380CC4-5D6E-409C-BE32-E72D297353CC}">
              <c16:uniqueId val="{00000001-E537-480A-BC01-023914553E76}"/>
            </c:ext>
          </c:extLst>
        </c:ser>
        <c:ser>
          <c:idx val="2"/>
          <c:order val="2"/>
          <c:tx>
            <c:strRef>
              <c:f>Prices!$S$62</c:f>
              <c:strCache>
                <c:ptCount val="1"/>
                <c:pt idx="0">
                  <c:v>Scada</c:v>
                </c:pt>
              </c:strCache>
            </c:strRef>
          </c:tx>
          <c:spPr>
            <a:solidFill>
              <a:schemeClr val="accent3"/>
            </a:solidFill>
            <a:ln>
              <a:noFill/>
            </a:ln>
            <a:effectLst/>
          </c:spPr>
          <c:invertIfNegative val="0"/>
          <c:cat>
            <c:strRef>
              <c:f>Prices!$P$63:$P$65</c:f>
              <c:strCache>
                <c:ptCount val="3"/>
                <c:pt idx="0">
                  <c:v>Single</c:v>
                </c:pt>
                <c:pt idx="1">
                  <c:v>Multi</c:v>
                </c:pt>
                <c:pt idx="2">
                  <c:v>Line</c:v>
                </c:pt>
              </c:strCache>
            </c:strRef>
          </c:cat>
          <c:val>
            <c:numRef>
              <c:f>Prices!$S$63:$S$65</c:f>
              <c:numCache>
                <c:formatCode>General</c:formatCode>
                <c:ptCount val="3"/>
                <c:pt idx="0">
                  <c:v>3216</c:v>
                </c:pt>
                <c:pt idx="1">
                  <c:v>0</c:v>
                </c:pt>
                <c:pt idx="2">
                  <c:v>0</c:v>
                </c:pt>
              </c:numCache>
            </c:numRef>
          </c:val>
          <c:extLst>
            <c:ext xmlns:c16="http://schemas.microsoft.com/office/drawing/2014/chart" uri="{C3380CC4-5D6E-409C-BE32-E72D297353CC}">
              <c16:uniqueId val="{00000002-E537-480A-BC01-023914553E76}"/>
            </c:ext>
          </c:extLst>
        </c:ser>
        <c:dLbls>
          <c:showLegendKey val="0"/>
          <c:showVal val="0"/>
          <c:showCatName val="0"/>
          <c:showSerName val="0"/>
          <c:showPercent val="0"/>
          <c:showBubbleSize val="0"/>
        </c:dLbls>
        <c:gapWidth val="219"/>
        <c:overlap val="-27"/>
        <c:axId val="98619016"/>
        <c:axId val="98619344"/>
      </c:barChart>
      <c:lineChart>
        <c:grouping val="standard"/>
        <c:varyColors val="0"/>
        <c:ser>
          <c:idx val="3"/>
          <c:order val="3"/>
          <c:tx>
            <c:strRef>
              <c:f>Prices!$T$62</c:f>
              <c:strCache>
                <c:ptCount val="1"/>
                <c:pt idx="0">
                  <c:v>Minimum</c:v>
                </c:pt>
              </c:strCache>
            </c:strRef>
          </c:tx>
          <c:spPr>
            <a:ln w="28575" cap="rnd">
              <a:solidFill>
                <a:schemeClr val="accent4"/>
              </a:solidFill>
              <a:round/>
            </a:ln>
            <a:effectLst/>
          </c:spPr>
          <c:marker>
            <c:symbol val="none"/>
          </c:marker>
          <c:cat>
            <c:strRef>
              <c:f>Prices!$P$63:$P$65</c:f>
              <c:strCache>
                <c:ptCount val="3"/>
                <c:pt idx="0">
                  <c:v>Single</c:v>
                </c:pt>
                <c:pt idx="1">
                  <c:v>Multi</c:v>
                </c:pt>
                <c:pt idx="2">
                  <c:v>Line</c:v>
                </c:pt>
              </c:strCache>
            </c:strRef>
          </c:cat>
          <c:val>
            <c:numRef>
              <c:f>Prices!$T$63:$T$65</c:f>
              <c:numCache>
                <c:formatCode>General</c:formatCode>
                <c:ptCount val="3"/>
                <c:pt idx="0">
                  <c:v>3216</c:v>
                </c:pt>
                <c:pt idx="1">
                  <c:v>4064</c:v>
                </c:pt>
                <c:pt idx="2">
                  <c:v>2285</c:v>
                </c:pt>
              </c:numCache>
            </c:numRef>
          </c:val>
          <c:smooth val="0"/>
          <c:extLst>
            <c:ext xmlns:c16="http://schemas.microsoft.com/office/drawing/2014/chart" uri="{C3380CC4-5D6E-409C-BE32-E72D297353CC}">
              <c16:uniqueId val="{00000003-E537-480A-BC01-023914553E76}"/>
            </c:ext>
          </c:extLst>
        </c:ser>
        <c:dLbls>
          <c:showLegendKey val="0"/>
          <c:showVal val="0"/>
          <c:showCatName val="0"/>
          <c:showSerName val="0"/>
          <c:showPercent val="0"/>
          <c:showBubbleSize val="0"/>
        </c:dLbls>
        <c:marker val="1"/>
        <c:smooth val="0"/>
        <c:axId val="98619016"/>
        <c:axId val="98619344"/>
      </c:lineChart>
      <c:catAx>
        <c:axId val="986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619344"/>
        <c:crosses val="autoZero"/>
        <c:auto val="1"/>
        <c:lblAlgn val="ctr"/>
        <c:lblOffset val="100"/>
        <c:noMultiLvlLbl val="0"/>
      </c:catAx>
      <c:valAx>
        <c:axId val="98619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619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over multiple machines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 Per Machine Graph'!$L$1</c:f>
              <c:strCache>
                <c:ptCount val="1"/>
                <c:pt idx="0">
                  <c:v>1212C</c:v>
                </c:pt>
              </c:strCache>
            </c:strRef>
          </c:tx>
          <c:spPr>
            <a:ln w="28575" cap="rnd">
              <a:solidFill>
                <a:schemeClr val="accent1"/>
              </a:solidFill>
              <a:round/>
            </a:ln>
            <a:effectLst/>
          </c:spPr>
          <c:marker>
            <c:symbol val="none"/>
          </c:marker>
          <c:val>
            <c:numRef>
              <c:f>'Price Per Machine Graph'!$L$3:$L$27</c:f>
              <c:numCache>
                <c:formatCode>"$"#,##0</c:formatCode>
                <c:ptCount val="25"/>
                <c:pt idx="0">
                  <c:v>829.9</c:v>
                </c:pt>
                <c:pt idx="1">
                  <c:v>1659.8</c:v>
                </c:pt>
                <c:pt idx="2">
                  <c:v>2489.6999999999998</c:v>
                </c:pt>
                <c:pt idx="3">
                  <c:v>3319.6</c:v>
                </c:pt>
                <c:pt idx="4">
                  <c:v>4149.5</c:v>
                </c:pt>
                <c:pt idx="5">
                  <c:v>4979.3999999999996</c:v>
                </c:pt>
                <c:pt idx="6">
                  <c:v>5809.2999999999993</c:v>
                </c:pt>
                <c:pt idx="7">
                  <c:v>6639.2</c:v>
                </c:pt>
                <c:pt idx="8">
                  <c:v>7469.1</c:v>
                </c:pt>
                <c:pt idx="9">
                  <c:v>8299</c:v>
                </c:pt>
                <c:pt idx="10">
                  <c:v>9128.9</c:v>
                </c:pt>
                <c:pt idx="11">
                  <c:v>9958.7999999999993</c:v>
                </c:pt>
                <c:pt idx="12">
                  <c:v>10788.7</c:v>
                </c:pt>
                <c:pt idx="13">
                  <c:v>11618.599999999999</c:v>
                </c:pt>
                <c:pt idx="14">
                  <c:v>12448.5</c:v>
                </c:pt>
                <c:pt idx="15">
                  <c:v>13278.4</c:v>
                </c:pt>
                <c:pt idx="16">
                  <c:v>14108.3</c:v>
                </c:pt>
                <c:pt idx="17">
                  <c:v>14938.2</c:v>
                </c:pt>
                <c:pt idx="18">
                  <c:v>15768.1</c:v>
                </c:pt>
                <c:pt idx="19">
                  <c:v>16598</c:v>
                </c:pt>
                <c:pt idx="20">
                  <c:v>17427.900000000001</c:v>
                </c:pt>
                <c:pt idx="21">
                  <c:v>18257.8</c:v>
                </c:pt>
                <c:pt idx="22">
                  <c:v>19087.699999999997</c:v>
                </c:pt>
                <c:pt idx="23">
                  <c:v>19917.599999999999</c:v>
                </c:pt>
                <c:pt idx="24">
                  <c:v>20747.5</c:v>
                </c:pt>
              </c:numCache>
            </c:numRef>
          </c:val>
          <c:smooth val="0"/>
          <c:extLst>
            <c:ext xmlns:c16="http://schemas.microsoft.com/office/drawing/2014/chart" uri="{C3380CC4-5D6E-409C-BE32-E72D297353CC}">
              <c16:uniqueId val="{00000000-EDA7-4F94-AD79-6EA93BE5C88E}"/>
            </c:ext>
          </c:extLst>
        </c:ser>
        <c:ser>
          <c:idx val="2"/>
          <c:order val="2"/>
          <c:tx>
            <c:strRef>
              <c:f>'Price Per Machine Graph'!$N$1</c:f>
              <c:strCache>
                <c:ptCount val="1"/>
                <c:pt idx="0">
                  <c:v>Scada</c:v>
                </c:pt>
              </c:strCache>
            </c:strRef>
          </c:tx>
          <c:spPr>
            <a:ln w="28575" cap="rnd">
              <a:solidFill>
                <a:schemeClr val="accent3"/>
              </a:solidFill>
              <a:round/>
            </a:ln>
            <a:effectLst/>
          </c:spPr>
          <c:marker>
            <c:symbol val="none"/>
          </c:marker>
          <c:val>
            <c:numRef>
              <c:f>'Price Per Machine Graph'!$N$3:$N$27</c:f>
              <c:numCache>
                <c:formatCode>"$"#,##0</c:formatCode>
                <c:ptCount val="25"/>
                <c:pt idx="0">
                  <c:v>527</c:v>
                </c:pt>
                <c:pt idx="1">
                  <c:v>1054</c:v>
                </c:pt>
                <c:pt idx="2">
                  <c:v>1581</c:v>
                </c:pt>
                <c:pt idx="3">
                  <c:v>2108</c:v>
                </c:pt>
                <c:pt idx="4">
                  <c:v>2635</c:v>
                </c:pt>
                <c:pt idx="5">
                  <c:v>3162</c:v>
                </c:pt>
                <c:pt idx="6">
                  <c:v>3689</c:v>
                </c:pt>
                <c:pt idx="7">
                  <c:v>4216</c:v>
                </c:pt>
                <c:pt idx="8">
                  <c:v>4743</c:v>
                </c:pt>
                <c:pt idx="9">
                  <c:v>5270</c:v>
                </c:pt>
                <c:pt idx="10">
                  <c:v>5797</c:v>
                </c:pt>
                <c:pt idx="11">
                  <c:v>6324</c:v>
                </c:pt>
                <c:pt idx="12">
                  <c:v>6851</c:v>
                </c:pt>
                <c:pt idx="13">
                  <c:v>7378</c:v>
                </c:pt>
                <c:pt idx="14">
                  <c:v>7905</c:v>
                </c:pt>
                <c:pt idx="15">
                  <c:v>8432</c:v>
                </c:pt>
                <c:pt idx="16">
                  <c:v>8959</c:v>
                </c:pt>
                <c:pt idx="17">
                  <c:v>9486</c:v>
                </c:pt>
                <c:pt idx="18">
                  <c:v>10013</c:v>
                </c:pt>
                <c:pt idx="19">
                  <c:v>10540</c:v>
                </c:pt>
                <c:pt idx="20">
                  <c:v>11067</c:v>
                </c:pt>
                <c:pt idx="21">
                  <c:v>11594</c:v>
                </c:pt>
                <c:pt idx="22">
                  <c:v>12121</c:v>
                </c:pt>
                <c:pt idx="23">
                  <c:v>12648</c:v>
                </c:pt>
                <c:pt idx="24">
                  <c:v>13175</c:v>
                </c:pt>
              </c:numCache>
            </c:numRef>
          </c:val>
          <c:smooth val="0"/>
          <c:extLst>
            <c:ext xmlns:c16="http://schemas.microsoft.com/office/drawing/2014/chart" uri="{C3380CC4-5D6E-409C-BE32-E72D297353CC}">
              <c16:uniqueId val="{00000001-DCAE-48F8-8932-B7BB62197CC7}"/>
            </c:ext>
          </c:extLst>
        </c:ser>
        <c:ser>
          <c:idx val="3"/>
          <c:order val="3"/>
          <c:tx>
            <c:strRef>
              <c:f>'Price Per Machine Graph'!$O$1</c:f>
              <c:strCache>
                <c:ptCount val="1"/>
                <c:pt idx="0">
                  <c:v>1510 Multi</c:v>
                </c:pt>
              </c:strCache>
            </c:strRef>
          </c:tx>
          <c:spPr>
            <a:ln w="28575" cap="rnd">
              <a:solidFill>
                <a:schemeClr val="accent4"/>
              </a:solidFill>
              <a:round/>
            </a:ln>
            <a:effectLst/>
          </c:spPr>
          <c:marker>
            <c:symbol val="none"/>
          </c:marker>
          <c:val>
            <c:numRef>
              <c:f>'Price Per Machine Graph'!$O$3:$O$27</c:f>
              <c:numCache>
                <c:formatCode>"$"#,##0</c:formatCode>
                <c:ptCount val="25"/>
                <c:pt idx="0">
                  <c:v>2704.99</c:v>
                </c:pt>
                <c:pt idx="1">
                  <c:v>3459.98</c:v>
                </c:pt>
                <c:pt idx="2">
                  <c:v>4214.97</c:v>
                </c:pt>
                <c:pt idx="3">
                  <c:v>4969.96</c:v>
                </c:pt>
                <c:pt idx="4">
                  <c:v>6699.95</c:v>
                </c:pt>
                <c:pt idx="5">
                  <c:v>7454.9400000000005</c:v>
                </c:pt>
                <c:pt idx="6">
                  <c:v>9184.93</c:v>
                </c:pt>
                <c:pt idx="7">
                  <c:v>9939.92</c:v>
                </c:pt>
                <c:pt idx="8">
                  <c:v>10694.91</c:v>
                </c:pt>
                <c:pt idx="9">
                  <c:v>11449.9</c:v>
                </c:pt>
                <c:pt idx="10">
                  <c:v>13179.89</c:v>
                </c:pt>
                <c:pt idx="11">
                  <c:v>13934.880000000001</c:v>
                </c:pt>
                <c:pt idx="12">
                  <c:v>15664.87</c:v>
                </c:pt>
                <c:pt idx="13">
                  <c:v>16419.86</c:v>
                </c:pt>
                <c:pt idx="14">
                  <c:v>17174.849999999999</c:v>
                </c:pt>
                <c:pt idx="15">
                  <c:v>17929.84</c:v>
                </c:pt>
                <c:pt idx="16">
                  <c:v>19659.830000000002</c:v>
                </c:pt>
                <c:pt idx="17">
                  <c:v>20414.82</c:v>
                </c:pt>
                <c:pt idx="18">
                  <c:v>22144.809999999998</c:v>
                </c:pt>
                <c:pt idx="19">
                  <c:v>22899.8</c:v>
                </c:pt>
                <c:pt idx="20">
                  <c:v>23654.79</c:v>
                </c:pt>
                <c:pt idx="21">
                  <c:v>24409.78</c:v>
                </c:pt>
                <c:pt idx="22">
                  <c:v>26139.77</c:v>
                </c:pt>
                <c:pt idx="23">
                  <c:v>26894.760000000002</c:v>
                </c:pt>
                <c:pt idx="24">
                  <c:v>28624.75</c:v>
                </c:pt>
              </c:numCache>
            </c:numRef>
          </c:val>
          <c:smooth val="0"/>
          <c:extLst>
            <c:ext xmlns:c16="http://schemas.microsoft.com/office/drawing/2014/chart" uri="{C3380CC4-5D6E-409C-BE32-E72D297353CC}">
              <c16:uniqueId val="{00000002-DCAE-48F8-8932-B7BB62197CC7}"/>
            </c:ext>
          </c:extLst>
        </c:ser>
        <c:ser>
          <c:idx val="5"/>
          <c:order val="5"/>
          <c:tx>
            <c:strRef>
              <c:f>'Price Per Machine Graph'!$Q$1</c:f>
              <c:strCache>
                <c:ptCount val="1"/>
                <c:pt idx="0">
                  <c:v>1510 Line</c:v>
                </c:pt>
              </c:strCache>
            </c:strRef>
          </c:tx>
          <c:spPr>
            <a:ln w="28575" cap="rnd">
              <a:solidFill>
                <a:schemeClr val="accent6"/>
              </a:solidFill>
              <a:round/>
            </a:ln>
            <a:effectLst/>
          </c:spPr>
          <c:marker>
            <c:symbol val="none"/>
          </c:marker>
          <c:val>
            <c:numRef>
              <c:f>'Price Per Machine Graph'!$Q$3:$Q$27</c:f>
              <c:numCache>
                <c:formatCode>"$"#,##0</c:formatCode>
                <c:ptCount val="25"/>
                <c:pt idx="0">
                  <c:v>2138</c:v>
                </c:pt>
                <c:pt idx="1">
                  <c:v>2607</c:v>
                </c:pt>
                <c:pt idx="2">
                  <c:v>3076</c:v>
                </c:pt>
                <c:pt idx="3">
                  <c:v>3545</c:v>
                </c:pt>
                <c:pt idx="4">
                  <c:v>4014</c:v>
                </c:pt>
                <c:pt idx="5">
                  <c:v>4483</c:v>
                </c:pt>
                <c:pt idx="6">
                  <c:v>6621</c:v>
                </c:pt>
                <c:pt idx="7">
                  <c:v>7090</c:v>
                </c:pt>
                <c:pt idx="8">
                  <c:v>7559</c:v>
                </c:pt>
                <c:pt idx="9">
                  <c:v>8028</c:v>
                </c:pt>
                <c:pt idx="10">
                  <c:v>8497</c:v>
                </c:pt>
                <c:pt idx="11">
                  <c:v>8966</c:v>
                </c:pt>
                <c:pt idx="12">
                  <c:v>11104</c:v>
                </c:pt>
                <c:pt idx="13">
                  <c:v>11573</c:v>
                </c:pt>
                <c:pt idx="14">
                  <c:v>12042</c:v>
                </c:pt>
                <c:pt idx="15">
                  <c:v>12511</c:v>
                </c:pt>
                <c:pt idx="16">
                  <c:v>12980</c:v>
                </c:pt>
                <c:pt idx="17">
                  <c:v>13449</c:v>
                </c:pt>
                <c:pt idx="18">
                  <c:v>15587</c:v>
                </c:pt>
                <c:pt idx="19">
                  <c:v>16056</c:v>
                </c:pt>
                <c:pt idx="20">
                  <c:v>16525</c:v>
                </c:pt>
                <c:pt idx="21">
                  <c:v>16994</c:v>
                </c:pt>
                <c:pt idx="22">
                  <c:v>17463</c:v>
                </c:pt>
                <c:pt idx="23">
                  <c:v>17932</c:v>
                </c:pt>
                <c:pt idx="24">
                  <c:v>20070</c:v>
                </c:pt>
              </c:numCache>
            </c:numRef>
          </c:val>
          <c:smooth val="0"/>
          <c:extLst>
            <c:ext xmlns:c16="http://schemas.microsoft.com/office/drawing/2014/chart" uri="{C3380CC4-5D6E-409C-BE32-E72D297353CC}">
              <c16:uniqueId val="{00000004-DCAE-48F8-8932-B7BB62197CC7}"/>
            </c:ext>
          </c:extLst>
        </c:ser>
        <c:dLbls>
          <c:showLegendKey val="0"/>
          <c:showVal val="0"/>
          <c:showCatName val="0"/>
          <c:showSerName val="0"/>
          <c:showPercent val="0"/>
          <c:showBubbleSize val="0"/>
        </c:dLbls>
        <c:smooth val="0"/>
        <c:axId val="837914672"/>
        <c:axId val="692158776"/>
        <c:extLst>
          <c:ext xmlns:c15="http://schemas.microsoft.com/office/drawing/2012/chart" uri="{02D57815-91ED-43cb-92C2-25804820EDAC}">
            <c15:filteredLineSeries>
              <c15:ser>
                <c:idx val="1"/>
                <c:order val="1"/>
                <c:tx>
                  <c:strRef>
                    <c:extLst>
                      <c:ext uri="{02D57815-91ED-43cb-92C2-25804820EDAC}">
                        <c15:formulaRef>
                          <c15:sqref>'Price Per Machine Graph'!$M$1</c15:sqref>
                        </c15:formulaRef>
                      </c:ext>
                    </c:extLst>
                    <c:strCache>
                      <c:ptCount val="1"/>
                      <c:pt idx="0">
                        <c:v>1510 Single</c:v>
                      </c:pt>
                    </c:strCache>
                  </c:strRef>
                </c:tx>
                <c:spPr>
                  <a:ln w="28575" cap="rnd">
                    <a:solidFill>
                      <a:schemeClr val="accent2"/>
                    </a:solidFill>
                    <a:round/>
                  </a:ln>
                  <a:effectLst/>
                </c:spPr>
                <c:marker>
                  <c:symbol val="none"/>
                </c:marker>
                <c:val>
                  <c:numRef>
                    <c:extLst>
                      <c:ext uri="{02D57815-91ED-43cb-92C2-25804820EDAC}">
                        <c15:formulaRef>
                          <c15:sqref>'Price Per Machine Graph'!$M$3:$M$27</c15:sqref>
                        </c15:formulaRef>
                      </c:ext>
                    </c:extLst>
                    <c:numCache>
                      <c:formatCode>"$"#,##0</c:formatCode>
                      <c:ptCount val="25"/>
                      <c:pt idx="0">
                        <c:v>1522</c:v>
                      </c:pt>
                      <c:pt idx="1">
                        <c:v>3044</c:v>
                      </c:pt>
                      <c:pt idx="2">
                        <c:v>4566</c:v>
                      </c:pt>
                      <c:pt idx="3">
                        <c:v>6088</c:v>
                      </c:pt>
                      <c:pt idx="4">
                        <c:v>7610</c:v>
                      </c:pt>
                      <c:pt idx="5">
                        <c:v>9132</c:v>
                      </c:pt>
                      <c:pt idx="6">
                        <c:v>10654</c:v>
                      </c:pt>
                      <c:pt idx="7">
                        <c:v>12176</c:v>
                      </c:pt>
                      <c:pt idx="8">
                        <c:v>13698</c:v>
                      </c:pt>
                      <c:pt idx="9">
                        <c:v>15220</c:v>
                      </c:pt>
                      <c:pt idx="10">
                        <c:v>16742</c:v>
                      </c:pt>
                      <c:pt idx="11">
                        <c:v>18264</c:v>
                      </c:pt>
                      <c:pt idx="12">
                        <c:v>19786</c:v>
                      </c:pt>
                      <c:pt idx="13">
                        <c:v>21308</c:v>
                      </c:pt>
                      <c:pt idx="14">
                        <c:v>22830</c:v>
                      </c:pt>
                      <c:pt idx="15">
                        <c:v>24352</c:v>
                      </c:pt>
                      <c:pt idx="16">
                        <c:v>25874</c:v>
                      </c:pt>
                      <c:pt idx="17">
                        <c:v>27396</c:v>
                      </c:pt>
                      <c:pt idx="18">
                        <c:v>28918</c:v>
                      </c:pt>
                      <c:pt idx="19">
                        <c:v>30440</c:v>
                      </c:pt>
                      <c:pt idx="20">
                        <c:v>31962</c:v>
                      </c:pt>
                      <c:pt idx="21">
                        <c:v>33484</c:v>
                      </c:pt>
                      <c:pt idx="22">
                        <c:v>35006</c:v>
                      </c:pt>
                      <c:pt idx="23">
                        <c:v>36528</c:v>
                      </c:pt>
                      <c:pt idx="24">
                        <c:v>38050</c:v>
                      </c:pt>
                    </c:numCache>
                  </c:numRef>
                </c:val>
                <c:smooth val="0"/>
                <c:extLst>
                  <c:ext xmlns:c16="http://schemas.microsoft.com/office/drawing/2014/chart" uri="{C3380CC4-5D6E-409C-BE32-E72D297353CC}">
                    <c16:uniqueId val="{00000000-DCAE-48F8-8932-B7BB62197CC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'Price Per Machine Graph'!$P$1</c15:sqref>
                        </c15:formulaRef>
                      </c:ext>
                    </c:extLst>
                    <c:strCache>
                      <c:ptCount val="1"/>
                      <c:pt idx="0">
                        <c:v>1212C Multi</c:v>
                      </c:pt>
                    </c:strCache>
                  </c:strRef>
                </c:tx>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'Price Per Machine Graph'!$P$3:$P$27</c15:sqref>
                        </c15:formulaRef>
                      </c:ext>
                    </c:extLst>
                    <c:numCache>
                      <c:formatCode>"$"#,##0</c:formatCode>
                      <c:ptCount val="25"/>
                      <c:pt idx="0">
                        <c:v>1145.99</c:v>
                      </c:pt>
                      <c:pt idx="1">
                        <c:v>1900.98</c:v>
                      </c:pt>
                      <c:pt idx="2">
                        <c:v>2655.9700000000003</c:v>
                      </c:pt>
                      <c:pt idx="3">
                        <c:v>3801.96</c:v>
                      </c:pt>
                      <c:pt idx="4">
                        <c:v>4556.95</c:v>
                      </c:pt>
                      <c:pt idx="5">
                        <c:v>5311.9400000000005</c:v>
                      </c:pt>
                      <c:pt idx="6">
                        <c:v>6457.93</c:v>
                      </c:pt>
                      <c:pt idx="7">
                        <c:v>7212.92</c:v>
                      </c:pt>
                      <c:pt idx="8">
                        <c:v>7967.91</c:v>
                      </c:pt>
                      <c:pt idx="9">
                        <c:v>9113.9</c:v>
                      </c:pt>
                      <c:pt idx="10">
                        <c:v>9868.89</c:v>
                      </c:pt>
                      <c:pt idx="11">
                        <c:v>10623.880000000001</c:v>
                      </c:pt>
                      <c:pt idx="12">
                        <c:v>11769.87</c:v>
                      </c:pt>
                      <c:pt idx="13">
                        <c:v>12524.86</c:v>
                      </c:pt>
                      <c:pt idx="14">
                        <c:v>13279.85</c:v>
                      </c:pt>
                      <c:pt idx="15">
                        <c:v>14425.84</c:v>
                      </c:pt>
                      <c:pt idx="16">
                        <c:v>15180.83</c:v>
                      </c:pt>
                      <c:pt idx="17">
                        <c:v>15935.82</c:v>
                      </c:pt>
                      <c:pt idx="18">
                        <c:v>17081.809999999998</c:v>
                      </c:pt>
                      <c:pt idx="19">
                        <c:v>17836.8</c:v>
                      </c:pt>
                      <c:pt idx="20">
                        <c:v>18591.79</c:v>
                      </c:pt>
                      <c:pt idx="21">
                        <c:v>19737.78</c:v>
                      </c:pt>
                      <c:pt idx="22">
                        <c:v>20492.77</c:v>
                      </c:pt>
                      <c:pt idx="23">
                        <c:v>21247.760000000002</c:v>
                      </c:pt>
                      <c:pt idx="24">
                        <c:v>22393.75</c:v>
                      </c:pt>
                    </c:numCache>
                  </c:numRef>
                </c:val>
                <c:smooth val="0"/>
                <c:extLst xmlns:c15="http://schemas.microsoft.com/office/drawing/2012/chart">
                  <c:ext xmlns:c16="http://schemas.microsoft.com/office/drawing/2014/chart" uri="{C3380CC4-5D6E-409C-BE32-E72D297353CC}">
                    <c16:uniqueId val="{00000003-DCAE-48F8-8932-B7BB62197CC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'Price Per Machine Graph'!$R$1</c15:sqref>
                        </c15:formulaRef>
                      </c:ext>
                    </c:extLst>
                    <c:strCache>
                      <c:ptCount val="1"/>
                      <c:pt idx="0">
                        <c:v>1212C Line</c:v>
                      </c:pt>
                    </c:strCache>
                  </c:strRef>
                </c:tx>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'Price Per Machine Graph'!$R$3:$R$27</c15:sqref>
                        </c15:formulaRef>
                      </c:ext>
                    </c:extLst>
                    <c:numCache>
                      <c:formatCode>"$"#,##0</c:formatCode>
                      <c:ptCount val="25"/>
                      <c:pt idx="0">
                        <c:v>1554</c:v>
                      </c:pt>
                      <c:pt idx="1">
                        <c:v>2023</c:v>
                      </c:pt>
                      <c:pt idx="2">
                        <c:v>2492</c:v>
                      </c:pt>
                      <c:pt idx="3">
                        <c:v>2961</c:v>
                      </c:pt>
                      <c:pt idx="4">
                        <c:v>3430</c:v>
                      </c:pt>
                      <c:pt idx="5">
                        <c:v>3899</c:v>
                      </c:pt>
                      <c:pt idx="6">
                        <c:v>5453</c:v>
                      </c:pt>
                      <c:pt idx="7">
                        <c:v>5922</c:v>
                      </c:pt>
                      <c:pt idx="8">
                        <c:v>6391</c:v>
                      </c:pt>
                      <c:pt idx="9">
                        <c:v>6860</c:v>
                      </c:pt>
                      <c:pt idx="10">
                        <c:v>7329</c:v>
                      </c:pt>
                      <c:pt idx="11">
                        <c:v>7798</c:v>
                      </c:pt>
                      <c:pt idx="12">
                        <c:v>9352</c:v>
                      </c:pt>
                      <c:pt idx="13">
                        <c:v>9821</c:v>
                      </c:pt>
                      <c:pt idx="14">
                        <c:v>10290</c:v>
                      </c:pt>
                      <c:pt idx="15">
                        <c:v>10759</c:v>
                      </c:pt>
                      <c:pt idx="16">
                        <c:v>11228</c:v>
                      </c:pt>
                      <c:pt idx="17">
                        <c:v>11697</c:v>
                      </c:pt>
                      <c:pt idx="18">
                        <c:v>13251</c:v>
                      </c:pt>
                      <c:pt idx="19">
                        <c:v>13720</c:v>
                      </c:pt>
                      <c:pt idx="20">
                        <c:v>14189</c:v>
                      </c:pt>
                      <c:pt idx="21">
                        <c:v>14658</c:v>
                      </c:pt>
                      <c:pt idx="22">
                        <c:v>15127</c:v>
                      </c:pt>
                      <c:pt idx="23">
                        <c:v>15596</c:v>
                      </c:pt>
                      <c:pt idx="24">
                        <c:v>17150</c:v>
                      </c:pt>
                    </c:numCache>
                  </c:numRef>
                </c:val>
                <c:smooth val="0"/>
                <c:extLst xmlns:c15="http://schemas.microsoft.com/office/drawing/2012/chart">
                  <c:ext xmlns:c16="http://schemas.microsoft.com/office/drawing/2014/chart" uri="{C3380CC4-5D6E-409C-BE32-E72D297353CC}">
                    <c16:uniqueId val="{00000005-DCAE-48F8-8932-B7BB62197CC7}"/>
                  </c:ext>
                </c:extLst>
              </c15:ser>
            </c15:filteredLineSeries>
          </c:ext>
        </c:extLst>
      </c:lineChart>
      <c:catAx>
        <c:axId val="83791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158776"/>
        <c:crosses val="autoZero"/>
        <c:auto val="1"/>
        <c:lblAlgn val="ctr"/>
        <c:lblOffset val="100"/>
        <c:noMultiLvlLbl val="0"/>
      </c:catAx>
      <c:valAx>
        <c:axId val="6921587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14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Charts'!$D$2</c:f>
              <c:strCache>
                <c:ptCount val="1"/>
                <c:pt idx="0">
                  <c:v>1212C</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Charts'!$D$3:$D$17</c:f>
              <c:numCache>
                <c:formatCode>General</c:formatCode>
                <c:ptCount val="15"/>
                <c:pt idx="0">
                  <c:v>2</c:v>
                </c:pt>
                <c:pt idx="1">
                  <c:v>2</c:v>
                </c:pt>
                <c:pt idx="2">
                  <c:v>3</c:v>
                </c:pt>
                <c:pt idx="3">
                  <c:v>3</c:v>
                </c:pt>
                <c:pt idx="4">
                  <c:v>2</c:v>
                </c:pt>
                <c:pt idx="5">
                  <c:v>3</c:v>
                </c:pt>
                <c:pt idx="6">
                  <c:v>3</c:v>
                </c:pt>
                <c:pt idx="7">
                  <c:v>3</c:v>
                </c:pt>
                <c:pt idx="8">
                  <c:v>3</c:v>
                </c:pt>
                <c:pt idx="9">
                  <c:v>3</c:v>
                </c:pt>
                <c:pt idx="10">
                  <c:v>3</c:v>
                </c:pt>
                <c:pt idx="11">
                  <c:v>3</c:v>
                </c:pt>
                <c:pt idx="12">
                  <c:v>2</c:v>
                </c:pt>
                <c:pt idx="13">
                  <c:v>1</c:v>
                </c:pt>
                <c:pt idx="14">
                  <c:v>3</c:v>
                </c:pt>
              </c:numCache>
            </c:numRef>
          </c:val>
          <c:extLst>
            <c:ext xmlns:c16="http://schemas.microsoft.com/office/drawing/2014/chart" uri="{C3380CC4-5D6E-409C-BE32-E72D297353CC}">
              <c16:uniqueId val="{00000000-E5F2-4F2F-B0F5-9E2DD820A256}"/>
            </c:ext>
          </c:extLst>
        </c:ser>
        <c:dLbls>
          <c:showLegendKey val="0"/>
          <c:showVal val="0"/>
          <c:showCatName val="0"/>
          <c:showSerName val="0"/>
          <c:showPercent val="0"/>
          <c:showBubbleSize val="0"/>
        </c:dLbls>
        <c:gapWidth val="219"/>
        <c:overlap val="-27"/>
        <c:axId val="872416784"/>
        <c:axId val="872413504"/>
      </c:barChart>
      <c:lineChart>
        <c:grouping val="standard"/>
        <c:varyColors val="0"/>
        <c:ser>
          <c:idx val="1"/>
          <c:order val="1"/>
          <c:tx>
            <c:strRef>
              <c:f>'Weighted Perato Charts'!$E$2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Charts'!$E$3:$E$17</c:f>
              <c:numCache>
                <c:formatCode>General</c:formatCode>
                <c:ptCount val="15"/>
                <c:pt idx="0">
                  <c:v>0.13382899628252792</c:v>
                </c:pt>
                <c:pt idx="1">
                  <c:v>0.14869888475836437</c:v>
                </c:pt>
                <c:pt idx="2">
                  <c:v>0.37174721189591087</c:v>
                </c:pt>
                <c:pt idx="3">
                  <c:v>0.50557620817843874</c:v>
                </c:pt>
                <c:pt idx="4">
                  <c:v>0.56505576208178454</c:v>
                </c:pt>
                <c:pt idx="5">
                  <c:v>0.6765799256505578</c:v>
                </c:pt>
                <c:pt idx="6">
                  <c:v>0.69888475836431252</c:v>
                </c:pt>
                <c:pt idx="7">
                  <c:v>0.86617100371747247</c:v>
                </c:pt>
                <c:pt idx="8">
                  <c:v>0.88847583643122696</c:v>
                </c:pt>
                <c:pt idx="9">
                  <c:v>0.91078066914498157</c:v>
                </c:pt>
                <c:pt idx="10">
                  <c:v>0.93308550185873618</c:v>
                </c:pt>
                <c:pt idx="11">
                  <c:v>0.95539033457249078</c:v>
                </c:pt>
                <c:pt idx="12">
                  <c:v>0.97026022304832726</c:v>
                </c:pt>
                <c:pt idx="13">
                  <c:v>0.97769516728624539</c:v>
                </c:pt>
                <c:pt idx="14">
                  <c:v>1</c:v>
                </c:pt>
              </c:numCache>
            </c:numRef>
          </c:val>
          <c:smooth val="0"/>
          <c:extLst>
            <c:ext xmlns:c16="http://schemas.microsoft.com/office/drawing/2014/chart" uri="{C3380CC4-5D6E-409C-BE32-E72D297353CC}">
              <c16:uniqueId val="{00000001-E5F2-4F2F-B0F5-9E2DD820A256}"/>
            </c:ext>
          </c:extLst>
        </c:ser>
        <c:dLbls>
          <c:showLegendKey val="0"/>
          <c:showVal val="0"/>
          <c:showCatName val="0"/>
          <c:showSerName val="0"/>
          <c:showPercent val="0"/>
          <c:showBubbleSize val="0"/>
        </c:dLbls>
        <c:marker val="1"/>
        <c:smooth val="0"/>
        <c:axId val="691546944"/>
        <c:axId val="691545304"/>
      </c:lineChart>
      <c:catAx>
        <c:axId val="8724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3504"/>
        <c:crosses val="autoZero"/>
        <c:auto val="1"/>
        <c:lblAlgn val="ctr"/>
        <c:lblOffset val="100"/>
        <c:noMultiLvlLbl val="0"/>
      </c:catAx>
      <c:valAx>
        <c:axId val="8724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6784"/>
        <c:crosses val="autoZero"/>
        <c:crossBetween val="between"/>
      </c:valAx>
      <c:valAx>
        <c:axId val="6915453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46944"/>
        <c:crosses val="max"/>
        <c:crossBetween val="between"/>
      </c:valAx>
      <c:catAx>
        <c:axId val="691546944"/>
        <c:scaling>
          <c:orientation val="minMax"/>
        </c:scaling>
        <c:delete val="1"/>
        <c:axPos val="b"/>
        <c:numFmt formatCode="General" sourceLinked="1"/>
        <c:majorTickMark val="out"/>
        <c:minorTickMark val="none"/>
        <c:tickLblPos val="nextTo"/>
        <c:crossAx val="6915453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429946076879859E-2"/>
          <c:y val="4.2201979613852282E-2"/>
          <c:w val="0.88343622047244097"/>
          <c:h val="0.71038316442607252"/>
        </c:manualLayout>
      </c:layout>
      <c:barChart>
        <c:barDir val="col"/>
        <c:grouping val="clustered"/>
        <c:varyColors val="0"/>
        <c:ser>
          <c:idx val="0"/>
          <c:order val="0"/>
          <c:tx>
            <c:strRef>
              <c:f>'Old ScoreSheet'!$M$23</c:f>
              <c:strCache>
                <c:ptCount val="1"/>
                <c:pt idx="0">
                  <c:v>Scada</c:v>
                </c:pt>
              </c:strCache>
            </c:strRef>
          </c:tx>
          <c:spPr>
            <a:solidFill>
              <a:schemeClr val="accent1"/>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ScoreSheet'!$M$24:$M$30</c:f>
              <c:numCache>
                <c:formatCode>0</c:formatCode>
                <c:ptCount val="7"/>
                <c:pt idx="0">
                  <c:v>36</c:v>
                </c:pt>
                <c:pt idx="1">
                  <c:v>16</c:v>
                </c:pt>
                <c:pt idx="2">
                  <c:v>18</c:v>
                </c:pt>
                <c:pt idx="3">
                  <c:v>36</c:v>
                </c:pt>
                <c:pt idx="4">
                  <c:v>20</c:v>
                </c:pt>
                <c:pt idx="5">
                  <c:v>31.5</c:v>
                </c:pt>
                <c:pt idx="6" formatCode="&quot;$&quot;#,##0.00">
                  <c:v>21.08</c:v>
                </c:pt>
              </c:numCache>
            </c:numRef>
          </c:val>
          <c:extLst>
            <c:ext xmlns:c16="http://schemas.microsoft.com/office/drawing/2014/chart" uri="{C3380CC4-5D6E-409C-BE32-E72D297353CC}">
              <c16:uniqueId val="{00000000-9000-4D16-8D57-9AF57DF158C5}"/>
            </c:ext>
          </c:extLst>
        </c:ser>
        <c:ser>
          <c:idx val="1"/>
          <c:order val="1"/>
          <c:tx>
            <c:strRef>
              <c:f>'Old ScoreSheet'!$N$23</c:f>
              <c:strCache>
                <c:ptCount val="1"/>
                <c:pt idx="0">
                  <c:v>1212C</c:v>
                </c:pt>
              </c:strCache>
            </c:strRef>
          </c:tx>
          <c:spPr>
            <a:solidFill>
              <a:schemeClr val="accent2"/>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ScoreSheet'!$N$24:$N$30</c:f>
              <c:numCache>
                <c:formatCode>0</c:formatCode>
                <c:ptCount val="7"/>
                <c:pt idx="0">
                  <c:v>28</c:v>
                </c:pt>
                <c:pt idx="1">
                  <c:v>34</c:v>
                </c:pt>
                <c:pt idx="2">
                  <c:v>36</c:v>
                </c:pt>
                <c:pt idx="3">
                  <c:v>36</c:v>
                </c:pt>
                <c:pt idx="4">
                  <c:v>28</c:v>
                </c:pt>
                <c:pt idx="5">
                  <c:v>40.5</c:v>
                </c:pt>
                <c:pt idx="6" formatCode="&quot;$&quot;#,##0">
                  <c:v>29.52</c:v>
                </c:pt>
              </c:numCache>
            </c:numRef>
          </c:val>
          <c:extLst>
            <c:ext xmlns:c16="http://schemas.microsoft.com/office/drawing/2014/chart" uri="{C3380CC4-5D6E-409C-BE32-E72D297353CC}">
              <c16:uniqueId val="{00000000-1348-4830-95E5-B3C20D35E187}"/>
            </c:ext>
          </c:extLst>
        </c:ser>
        <c:ser>
          <c:idx val="2"/>
          <c:order val="2"/>
          <c:tx>
            <c:strRef>
              <c:f>'Old ScoreSheet'!$P$23</c:f>
              <c:strCache>
                <c:ptCount val="1"/>
                <c:pt idx="0">
                  <c:v>1510sp</c:v>
                </c:pt>
              </c:strCache>
            </c:strRef>
          </c:tx>
          <c:spPr>
            <a:solidFill>
              <a:schemeClr val="accent3"/>
            </a:solidFill>
            <a:ln>
              <a:noFill/>
            </a:ln>
            <a:effectLst/>
          </c:spPr>
          <c:invertIfNegative val="0"/>
          <c:cat>
            <c:strRef>
              <c:f>'Old ScoreSheet'!$L$24:$L$30</c:f>
              <c:strCache>
                <c:ptCount val="7"/>
                <c:pt idx="0">
                  <c:v>Software Flexability</c:v>
                </c:pt>
                <c:pt idx="1">
                  <c:v>Maintainability</c:v>
                </c:pt>
                <c:pt idx="2">
                  <c:v>Hardware Flexability</c:v>
                </c:pt>
                <c:pt idx="3">
                  <c:v>Ease of setup</c:v>
                </c:pt>
                <c:pt idx="4">
                  <c:v>Adaptability</c:v>
                </c:pt>
                <c:pt idx="5">
                  <c:v>Overall</c:v>
                </c:pt>
                <c:pt idx="6">
                  <c:v>Cost</c:v>
                </c:pt>
              </c:strCache>
            </c:strRef>
          </c:cat>
          <c:val>
            <c:numRef>
              <c:f>'Old ScoreSheet'!$P$24:$P$30</c:f>
              <c:numCache>
                <c:formatCode>0</c:formatCode>
                <c:ptCount val="7"/>
                <c:pt idx="0">
                  <c:v>28</c:v>
                </c:pt>
                <c:pt idx="1">
                  <c:v>32</c:v>
                </c:pt>
                <c:pt idx="2">
                  <c:v>36</c:v>
                </c:pt>
                <c:pt idx="3">
                  <c:v>24</c:v>
                </c:pt>
                <c:pt idx="4">
                  <c:v>32</c:v>
                </c:pt>
                <c:pt idx="5">
                  <c:v>38</c:v>
                </c:pt>
                <c:pt idx="6" formatCode="&quot;$&quot;#,##0">
                  <c:v>36.42</c:v>
                </c:pt>
              </c:numCache>
            </c:numRef>
          </c:val>
          <c:extLst>
            <c:ext xmlns:c16="http://schemas.microsoft.com/office/drawing/2014/chart" uri="{C3380CC4-5D6E-409C-BE32-E72D297353CC}">
              <c16:uniqueId val="{00000001-1348-4830-95E5-B3C20D35E187}"/>
            </c:ext>
          </c:extLst>
        </c:ser>
        <c:dLbls>
          <c:showLegendKey val="0"/>
          <c:showVal val="0"/>
          <c:showCatName val="0"/>
          <c:showSerName val="0"/>
          <c:showPercent val="0"/>
          <c:showBubbleSize val="0"/>
        </c:dLbls>
        <c:gapWidth val="219"/>
        <c:overlap val="-27"/>
        <c:axId val="640728632"/>
        <c:axId val="640726336"/>
      </c:barChart>
      <c:catAx>
        <c:axId val="640728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26336"/>
        <c:crosses val="autoZero"/>
        <c:auto val="1"/>
        <c:lblAlgn val="ctr"/>
        <c:lblOffset val="100"/>
        <c:noMultiLvlLbl val="0"/>
      </c:catAx>
      <c:valAx>
        <c:axId val="64072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728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987561337441515E-2"/>
          <c:y val="2.2980733881593728E-2"/>
          <c:w val="0.93665011982197877"/>
          <c:h val="0.66634259063960088"/>
        </c:manualLayout>
      </c:layout>
      <c:barChart>
        <c:barDir val="col"/>
        <c:grouping val="clustered"/>
        <c:varyColors val="0"/>
        <c:ser>
          <c:idx val="0"/>
          <c:order val="0"/>
          <c:tx>
            <c:strRef>
              <c:f>'Old ScoreSheet'!$L$32</c:f>
              <c:strCache>
                <c:ptCount val="1"/>
                <c:pt idx="0">
                  <c:v>Scada TouchScreen</c:v>
                </c:pt>
              </c:strCache>
            </c:strRef>
          </c:tx>
          <c:spPr>
            <a:solidFill>
              <a:schemeClr val="accent1"/>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ScoreSheet'!$M$32:$Q$32</c:f>
              <c:numCache>
                <c:formatCode>0</c:formatCode>
                <c:ptCount val="5"/>
                <c:pt idx="0">
                  <c:v>31.5</c:v>
                </c:pt>
                <c:pt idx="1">
                  <c:v>27.833333333333332</c:v>
                </c:pt>
                <c:pt idx="2">
                  <c:v>35.166666666666664</c:v>
                </c:pt>
                <c:pt idx="3" formatCode="&quot;$&quot;#,##0">
                  <c:v>48.92</c:v>
                </c:pt>
                <c:pt idx="4">
                  <c:v>29.886148007590133</c:v>
                </c:pt>
              </c:numCache>
            </c:numRef>
          </c:val>
          <c:extLst>
            <c:ext xmlns:c16="http://schemas.microsoft.com/office/drawing/2014/chart" uri="{C3380CC4-5D6E-409C-BE32-E72D297353CC}">
              <c16:uniqueId val="{00000000-66E4-4047-B3B0-10CE36D09DB4}"/>
            </c:ext>
          </c:extLst>
        </c:ser>
        <c:ser>
          <c:idx val="1"/>
          <c:order val="1"/>
          <c:tx>
            <c:strRef>
              <c:f>'Old ScoreSheet'!$L$33</c:f>
              <c:strCache>
                <c:ptCount val="1"/>
                <c:pt idx="0">
                  <c:v>S7 1212</c:v>
                </c:pt>
              </c:strCache>
            </c:strRef>
          </c:tx>
          <c:spPr>
            <a:solidFill>
              <a:schemeClr val="accent2"/>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ScoreSheet'!$M$33:$Q$33</c:f>
              <c:numCache>
                <c:formatCode>0</c:formatCode>
                <c:ptCount val="5"/>
                <c:pt idx="0">
                  <c:v>40.5</c:v>
                </c:pt>
                <c:pt idx="1">
                  <c:v>36.833333333333336</c:v>
                </c:pt>
                <c:pt idx="2">
                  <c:v>44.166666666666664</c:v>
                </c:pt>
                <c:pt idx="3" formatCode="&quot;$&quot;#,##0">
                  <c:v>40.480000000000004</c:v>
                </c:pt>
                <c:pt idx="4">
                  <c:v>27.439024390243905</c:v>
                </c:pt>
              </c:numCache>
            </c:numRef>
          </c:val>
          <c:extLst>
            <c:ext xmlns:c16="http://schemas.microsoft.com/office/drawing/2014/chart" uri="{C3380CC4-5D6E-409C-BE32-E72D297353CC}">
              <c16:uniqueId val="{00000001-66E4-4047-B3B0-10CE36D09DB4}"/>
            </c:ext>
          </c:extLst>
        </c:ser>
        <c:ser>
          <c:idx val="2"/>
          <c:order val="2"/>
          <c:tx>
            <c:strRef>
              <c:f>'Old ScoreSheet'!$L$34</c:f>
              <c:strCache>
                <c:ptCount val="1"/>
                <c:pt idx="0">
                  <c:v>S7 1510sp</c:v>
                </c:pt>
              </c:strCache>
            </c:strRef>
          </c:tx>
          <c:spPr>
            <a:solidFill>
              <a:schemeClr val="accent3"/>
            </a:solidFill>
            <a:ln>
              <a:noFill/>
            </a:ln>
            <a:effectLst/>
          </c:spPr>
          <c:invertIfNegative val="0"/>
          <c:cat>
            <c:strRef>
              <c:f>'Old ScoreSheet'!$M$31:$Q$31</c:f>
              <c:strCache>
                <c:ptCount val="5"/>
                <c:pt idx="0">
                  <c:v>Equal Weight</c:v>
                </c:pt>
                <c:pt idx="1">
                  <c:v>Weighted for Maintainability and Setup</c:v>
                </c:pt>
                <c:pt idx="2">
                  <c:v>Weighted for Expansion and Adaptability</c:v>
                </c:pt>
                <c:pt idx="3">
                  <c:v>Cost</c:v>
                </c:pt>
                <c:pt idx="4">
                  <c:v>Score per Dollar</c:v>
                </c:pt>
              </c:strCache>
            </c:strRef>
          </c:cat>
          <c:val>
            <c:numRef>
              <c:f>'Old ScoreSheet'!$M$34:$Q$34</c:f>
              <c:numCache>
                <c:formatCode>0</c:formatCode>
                <c:ptCount val="5"/>
                <c:pt idx="0">
                  <c:v>38</c:v>
                </c:pt>
                <c:pt idx="1">
                  <c:v>31.333333333333332</c:v>
                </c:pt>
                <c:pt idx="2">
                  <c:v>44.666666666666664</c:v>
                </c:pt>
                <c:pt idx="3" formatCode="&quot;$&quot;#,##0">
                  <c:v>33.58</c:v>
                </c:pt>
                <c:pt idx="4">
                  <c:v>20.867655134541462</c:v>
                </c:pt>
              </c:numCache>
            </c:numRef>
          </c:val>
          <c:extLst>
            <c:ext xmlns:c16="http://schemas.microsoft.com/office/drawing/2014/chart" uri="{C3380CC4-5D6E-409C-BE32-E72D297353CC}">
              <c16:uniqueId val="{00000002-66E4-4047-B3B0-10CE36D09DB4}"/>
            </c:ext>
          </c:extLst>
        </c:ser>
        <c:dLbls>
          <c:showLegendKey val="0"/>
          <c:showVal val="0"/>
          <c:showCatName val="0"/>
          <c:showSerName val="0"/>
          <c:showPercent val="0"/>
          <c:showBubbleSize val="0"/>
        </c:dLbls>
        <c:gapWidth val="219"/>
        <c:overlap val="-27"/>
        <c:axId val="334663992"/>
        <c:axId val="334664976"/>
      </c:barChart>
      <c:catAx>
        <c:axId val="33466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64976"/>
        <c:crosses val="autoZero"/>
        <c:auto val="1"/>
        <c:lblAlgn val="ctr"/>
        <c:lblOffset val="100"/>
        <c:noMultiLvlLbl val="0"/>
      </c:catAx>
      <c:valAx>
        <c:axId val="334664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663992"/>
        <c:crosses val="autoZero"/>
        <c:crossBetween val="between"/>
      </c:valAx>
      <c:spPr>
        <a:noFill/>
        <a:ln>
          <a:noFill/>
        </a:ln>
        <a:effectLst/>
      </c:spPr>
    </c:plotArea>
    <c:legend>
      <c:legendPos val="b"/>
      <c:layout>
        <c:manualLayout>
          <c:xMode val="edge"/>
          <c:yMode val="edge"/>
          <c:x val="9.153115371448136E-3"/>
          <c:y val="0.78347031066282791"/>
          <c:w val="0.97988217505420527"/>
          <c:h val="0.1935489807318210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Charts'!$F$2</c:f>
              <c:strCache>
                <c:ptCount val="1"/>
                <c:pt idx="0">
                  <c:v>1510sp</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Charts'!$F$3:$F$17</c:f>
              <c:numCache>
                <c:formatCode>General</c:formatCode>
                <c:ptCount val="15"/>
                <c:pt idx="0">
                  <c:v>2</c:v>
                </c:pt>
                <c:pt idx="1">
                  <c:v>2</c:v>
                </c:pt>
                <c:pt idx="2">
                  <c:v>3</c:v>
                </c:pt>
                <c:pt idx="3">
                  <c:v>3</c:v>
                </c:pt>
                <c:pt idx="4">
                  <c:v>2</c:v>
                </c:pt>
                <c:pt idx="5">
                  <c:v>3</c:v>
                </c:pt>
                <c:pt idx="6">
                  <c:v>3</c:v>
                </c:pt>
                <c:pt idx="7">
                  <c:v>3</c:v>
                </c:pt>
                <c:pt idx="8">
                  <c:v>3</c:v>
                </c:pt>
                <c:pt idx="9">
                  <c:v>1</c:v>
                </c:pt>
                <c:pt idx="10">
                  <c:v>3</c:v>
                </c:pt>
                <c:pt idx="11">
                  <c:v>3</c:v>
                </c:pt>
                <c:pt idx="12">
                  <c:v>2</c:v>
                </c:pt>
                <c:pt idx="13">
                  <c:v>1</c:v>
                </c:pt>
                <c:pt idx="14">
                  <c:v>3</c:v>
                </c:pt>
              </c:numCache>
            </c:numRef>
          </c:val>
          <c:extLst>
            <c:ext xmlns:c16="http://schemas.microsoft.com/office/drawing/2014/chart" uri="{C3380CC4-5D6E-409C-BE32-E72D297353CC}">
              <c16:uniqueId val="{00000000-8D70-46E2-BBAD-364D6B6BB203}"/>
            </c:ext>
          </c:extLst>
        </c:ser>
        <c:dLbls>
          <c:showLegendKey val="0"/>
          <c:showVal val="0"/>
          <c:showCatName val="0"/>
          <c:showSerName val="0"/>
          <c:showPercent val="0"/>
          <c:showBubbleSize val="0"/>
        </c:dLbls>
        <c:gapWidth val="219"/>
        <c:overlap val="-27"/>
        <c:axId val="768211040"/>
        <c:axId val="768214320"/>
      </c:barChart>
      <c:lineChart>
        <c:grouping val="standard"/>
        <c:varyColors val="0"/>
        <c:ser>
          <c:idx val="1"/>
          <c:order val="1"/>
          <c:tx>
            <c:strRef>
              <c:f>'Weighted Perato Charts'!$G$2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Charts'!$G$3:$G$17</c:f>
              <c:numCache>
                <c:formatCode>General</c:formatCode>
                <c:ptCount val="15"/>
                <c:pt idx="0">
                  <c:v>0.13584905660377364</c:v>
                </c:pt>
                <c:pt idx="1">
                  <c:v>0.15094339622641514</c:v>
                </c:pt>
                <c:pt idx="2">
                  <c:v>0.37735849056603787</c:v>
                </c:pt>
                <c:pt idx="3">
                  <c:v>0.51320754716981143</c:v>
                </c:pt>
                <c:pt idx="4">
                  <c:v>0.57358490566037756</c:v>
                </c:pt>
                <c:pt idx="5">
                  <c:v>0.68679245283018886</c:v>
                </c:pt>
                <c:pt idx="6">
                  <c:v>0.70943396226415123</c:v>
                </c:pt>
                <c:pt idx="7">
                  <c:v>0.87924528301886828</c:v>
                </c:pt>
                <c:pt idx="8">
                  <c:v>0.90188679245283043</c:v>
                </c:pt>
                <c:pt idx="9">
                  <c:v>0.90943396226415119</c:v>
                </c:pt>
                <c:pt idx="10">
                  <c:v>0.93207547169811333</c:v>
                </c:pt>
                <c:pt idx="11">
                  <c:v>0.95471698113207559</c:v>
                </c:pt>
                <c:pt idx="12">
                  <c:v>0.9698113207547171</c:v>
                </c:pt>
                <c:pt idx="13">
                  <c:v>0.97735849056603774</c:v>
                </c:pt>
                <c:pt idx="14">
                  <c:v>1</c:v>
                </c:pt>
              </c:numCache>
            </c:numRef>
          </c:val>
          <c:smooth val="0"/>
          <c:extLst>
            <c:ext xmlns:c16="http://schemas.microsoft.com/office/drawing/2014/chart" uri="{C3380CC4-5D6E-409C-BE32-E72D297353CC}">
              <c16:uniqueId val="{00000001-8D70-46E2-BBAD-364D6B6BB203}"/>
            </c:ext>
          </c:extLst>
        </c:ser>
        <c:dLbls>
          <c:showLegendKey val="0"/>
          <c:showVal val="0"/>
          <c:showCatName val="0"/>
          <c:showSerName val="0"/>
          <c:showPercent val="0"/>
          <c:showBubbleSize val="0"/>
        </c:dLbls>
        <c:marker val="1"/>
        <c:smooth val="0"/>
        <c:axId val="849462472"/>
        <c:axId val="849462144"/>
      </c:lineChart>
      <c:catAx>
        <c:axId val="76821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14320"/>
        <c:crosses val="autoZero"/>
        <c:auto val="1"/>
        <c:lblAlgn val="ctr"/>
        <c:lblOffset val="100"/>
        <c:noMultiLvlLbl val="0"/>
      </c:catAx>
      <c:valAx>
        <c:axId val="76821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211040"/>
        <c:crosses val="autoZero"/>
        <c:crossBetween val="between"/>
      </c:valAx>
      <c:valAx>
        <c:axId val="84946214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462472"/>
        <c:crosses val="max"/>
        <c:crossBetween val="between"/>
      </c:valAx>
      <c:catAx>
        <c:axId val="849462472"/>
        <c:scaling>
          <c:orientation val="minMax"/>
        </c:scaling>
        <c:delete val="1"/>
        <c:axPos val="b"/>
        <c:numFmt formatCode="General" sourceLinked="1"/>
        <c:majorTickMark val="out"/>
        <c:minorTickMark val="none"/>
        <c:tickLblPos val="nextTo"/>
        <c:crossAx val="84946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Charts'!$H$2</c:f>
              <c:strCache>
                <c:ptCount val="1"/>
                <c:pt idx="0">
                  <c:v>1510sp</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Charts'!$H$3:$H$17</c:f>
              <c:numCache>
                <c:formatCode>General</c:formatCode>
                <c:ptCount val="15"/>
                <c:pt idx="0">
                  <c:v>2</c:v>
                </c:pt>
                <c:pt idx="1">
                  <c:v>2</c:v>
                </c:pt>
                <c:pt idx="2">
                  <c:v>3</c:v>
                </c:pt>
                <c:pt idx="3">
                  <c:v>3</c:v>
                </c:pt>
                <c:pt idx="4">
                  <c:v>2</c:v>
                </c:pt>
                <c:pt idx="5">
                  <c:v>3</c:v>
                </c:pt>
                <c:pt idx="6">
                  <c:v>3</c:v>
                </c:pt>
                <c:pt idx="7">
                  <c:v>3</c:v>
                </c:pt>
                <c:pt idx="8">
                  <c:v>3</c:v>
                </c:pt>
                <c:pt idx="9">
                  <c:v>3</c:v>
                </c:pt>
                <c:pt idx="10">
                  <c:v>2</c:v>
                </c:pt>
                <c:pt idx="11">
                  <c:v>2</c:v>
                </c:pt>
                <c:pt idx="12">
                  <c:v>2</c:v>
                </c:pt>
                <c:pt idx="13">
                  <c:v>2</c:v>
                </c:pt>
                <c:pt idx="14">
                  <c:v>3</c:v>
                </c:pt>
              </c:numCache>
            </c:numRef>
          </c:val>
          <c:extLst>
            <c:ext xmlns:c16="http://schemas.microsoft.com/office/drawing/2014/chart" uri="{C3380CC4-5D6E-409C-BE32-E72D297353CC}">
              <c16:uniqueId val="{00000000-E1F0-4341-8388-BE111FEDC5CB}"/>
            </c:ext>
          </c:extLst>
        </c:ser>
        <c:dLbls>
          <c:showLegendKey val="0"/>
          <c:showVal val="0"/>
          <c:showCatName val="0"/>
          <c:showSerName val="0"/>
          <c:showPercent val="0"/>
          <c:showBubbleSize val="0"/>
        </c:dLbls>
        <c:gapWidth val="219"/>
        <c:overlap val="-27"/>
        <c:axId val="519503176"/>
        <c:axId val="519506784"/>
      </c:barChart>
      <c:lineChart>
        <c:grouping val="standard"/>
        <c:varyColors val="0"/>
        <c:ser>
          <c:idx val="1"/>
          <c:order val="1"/>
          <c:tx>
            <c:strRef>
              <c:f>'Weighted Perato Charts'!$I$2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Charts'!$I$3:$I$17</c:f>
              <c:numCache>
                <c:formatCode>General</c:formatCode>
                <c:ptCount val="15"/>
                <c:pt idx="0">
                  <c:v>0.1348314606741573</c:v>
                </c:pt>
                <c:pt idx="1">
                  <c:v>0.14981273408239701</c:v>
                </c:pt>
                <c:pt idx="2">
                  <c:v>0.37453183520599254</c:v>
                </c:pt>
                <c:pt idx="3">
                  <c:v>0.50936329588014984</c:v>
                </c:pt>
                <c:pt idx="4">
                  <c:v>0.56928838951310856</c:v>
                </c:pt>
                <c:pt idx="5">
                  <c:v>0.68164794007490637</c:v>
                </c:pt>
                <c:pt idx="6">
                  <c:v>0.70411985018726597</c:v>
                </c:pt>
                <c:pt idx="7">
                  <c:v>0.87265917602996257</c:v>
                </c:pt>
                <c:pt idx="8">
                  <c:v>0.89513108614232206</c:v>
                </c:pt>
                <c:pt idx="9">
                  <c:v>0.91760299625468156</c:v>
                </c:pt>
                <c:pt idx="10">
                  <c:v>0.93258426966292129</c:v>
                </c:pt>
                <c:pt idx="11">
                  <c:v>0.94756554307116103</c:v>
                </c:pt>
                <c:pt idx="12">
                  <c:v>0.96254681647940077</c:v>
                </c:pt>
                <c:pt idx="13">
                  <c:v>0.97752808988764051</c:v>
                </c:pt>
                <c:pt idx="14">
                  <c:v>1</c:v>
                </c:pt>
              </c:numCache>
            </c:numRef>
          </c:val>
          <c:smooth val="0"/>
          <c:extLst>
            <c:ext xmlns:c16="http://schemas.microsoft.com/office/drawing/2014/chart" uri="{C3380CC4-5D6E-409C-BE32-E72D297353CC}">
              <c16:uniqueId val="{00000001-E1F0-4341-8388-BE111FEDC5CB}"/>
            </c:ext>
          </c:extLst>
        </c:ser>
        <c:dLbls>
          <c:showLegendKey val="0"/>
          <c:showVal val="0"/>
          <c:showCatName val="0"/>
          <c:showSerName val="0"/>
          <c:showPercent val="0"/>
          <c:showBubbleSize val="0"/>
        </c:dLbls>
        <c:marker val="1"/>
        <c:smooth val="0"/>
        <c:axId val="855121344"/>
        <c:axId val="855120032"/>
      </c:lineChart>
      <c:catAx>
        <c:axId val="51950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06784"/>
        <c:crosses val="autoZero"/>
        <c:auto val="1"/>
        <c:lblAlgn val="ctr"/>
        <c:lblOffset val="100"/>
        <c:noMultiLvlLbl val="0"/>
      </c:catAx>
      <c:valAx>
        <c:axId val="519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03176"/>
        <c:crosses val="autoZero"/>
        <c:crossBetween val="between"/>
      </c:valAx>
      <c:valAx>
        <c:axId val="855120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21344"/>
        <c:crosses val="max"/>
        <c:crossBetween val="between"/>
      </c:valAx>
      <c:catAx>
        <c:axId val="855121344"/>
        <c:scaling>
          <c:orientation val="minMax"/>
        </c:scaling>
        <c:delete val="1"/>
        <c:axPos val="b"/>
        <c:numFmt formatCode="General" sourceLinked="1"/>
        <c:majorTickMark val="out"/>
        <c:minorTickMark val="none"/>
        <c:tickLblPos val="nextTo"/>
        <c:crossAx val="8551200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Charts'!$J$2</c:f>
              <c:strCache>
                <c:ptCount val="1"/>
                <c:pt idx="0">
                  <c:v>1212C</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Charts'!$J$3:$J$17</c:f>
              <c:numCache>
                <c:formatCode>General</c:formatCode>
                <c:ptCount val="15"/>
                <c:pt idx="0">
                  <c:v>2</c:v>
                </c:pt>
                <c:pt idx="1">
                  <c:v>2</c:v>
                </c:pt>
                <c:pt idx="2">
                  <c:v>3</c:v>
                </c:pt>
                <c:pt idx="3">
                  <c:v>3</c:v>
                </c:pt>
                <c:pt idx="4">
                  <c:v>2</c:v>
                </c:pt>
                <c:pt idx="5">
                  <c:v>3</c:v>
                </c:pt>
                <c:pt idx="6">
                  <c:v>3</c:v>
                </c:pt>
                <c:pt idx="7">
                  <c:v>3</c:v>
                </c:pt>
                <c:pt idx="8">
                  <c:v>3</c:v>
                </c:pt>
                <c:pt idx="9">
                  <c:v>3</c:v>
                </c:pt>
                <c:pt idx="10">
                  <c:v>2</c:v>
                </c:pt>
                <c:pt idx="11">
                  <c:v>2</c:v>
                </c:pt>
                <c:pt idx="12">
                  <c:v>2</c:v>
                </c:pt>
                <c:pt idx="13">
                  <c:v>2</c:v>
                </c:pt>
                <c:pt idx="14">
                  <c:v>3</c:v>
                </c:pt>
              </c:numCache>
            </c:numRef>
          </c:val>
          <c:extLst>
            <c:ext xmlns:c16="http://schemas.microsoft.com/office/drawing/2014/chart" uri="{C3380CC4-5D6E-409C-BE32-E72D297353CC}">
              <c16:uniqueId val="{00000000-7B50-49E6-8338-2456F226153C}"/>
            </c:ext>
          </c:extLst>
        </c:ser>
        <c:dLbls>
          <c:showLegendKey val="0"/>
          <c:showVal val="0"/>
          <c:showCatName val="0"/>
          <c:showSerName val="0"/>
          <c:showPercent val="0"/>
          <c:showBubbleSize val="0"/>
        </c:dLbls>
        <c:gapWidth val="219"/>
        <c:overlap val="-27"/>
        <c:axId val="851665208"/>
        <c:axId val="851665536"/>
      </c:barChart>
      <c:lineChart>
        <c:grouping val="standard"/>
        <c:varyColors val="0"/>
        <c:ser>
          <c:idx val="1"/>
          <c:order val="1"/>
          <c:tx>
            <c:strRef>
              <c:f>'Weighted Perato Charts'!$K$2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Charts'!$K$3:$K$17</c:f>
              <c:numCache>
                <c:formatCode>General</c:formatCode>
                <c:ptCount val="15"/>
                <c:pt idx="0">
                  <c:v>0.1348314606741573</c:v>
                </c:pt>
                <c:pt idx="1">
                  <c:v>0.14981273408239701</c:v>
                </c:pt>
                <c:pt idx="2">
                  <c:v>0.37453183520599254</c:v>
                </c:pt>
                <c:pt idx="3">
                  <c:v>0.50936329588014984</c:v>
                </c:pt>
                <c:pt idx="4">
                  <c:v>0.56928838951310856</c:v>
                </c:pt>
                <c:pt idx="5">
                  <c:v>0.68164794007490637</c:v>
                </c:pt>
                <c:pt idx="6">
                  <c:v>0.70411985018726597</c:v>
                </c:pt>
                <c:pt idx="7">
                  <c:v>0.87265917602996257</c:v>
                </c:pt>
                <c:pt idx="8">
                  <c:v>0.89513108614232206</c:v>
                </c:pt>
                <c:pt idx="9">
                  <c:v>0.91760299625468156</c:v>
                </c:pt>
                <c:pt idx="10">
                  <c:v>0.93258426966292129</c:v>
                </c:pt>
                <c:pt idx="11">
                  <c:v>0.94756554307116103</c:v>
                </c:pt>
                <c:pt idx="12">
                  <c:v>0.96254681647940077</c:v>
                </c:pt>
                <c:pt idx="13">
                  <c:v>0.97752808988764051</c:v>
                </c:pt>
                <c:pt idx="14">
                  <c:v>1</c:v>
                </c:pt>
              </c:numCache>
            </c:numRef>
          </c:val>
          <c:smooth val="0"/>
          <c:extLst>
            <c:ext xmlns:c16="http://schemas.microsoft.com/office/drawing/2014/chart" uri="{C3380CC4-5D6E-409C-BE32-E72D297353CC}">
              <c16:uniqueId val="{00000001-7B50-49E6-8338-2456F226153C}"/>
            </c:ext>
          </c:extLst>
        </c:ser>
        <c:dLbls>
          <c:showLegendKey val="0"/>
          <c:showVal val="0"/>
          <c:showCatName val="0"/>
          <c:showSerName val="0"/>
          <c:showPercent val="0"/>
          <c:showBubbleSize val="0"/>
        </c:dLbls>
        <c:marker val="1"/>
        <c:smooth val="0"/>
        <c:axId val="855115768"/>
        <c:axId val="851653728"/>
      </c:lineChart>
      <c:catAx>
        <c:axId val="85166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65536"/>
        <c:crosses val="autoZero"/>
        <c:auto val="1"/>
        <c:lblAlgn val="ctr"/>
        <c:lblOffset val="100"/>
        <c:noMultiLvlLbl val="0"/>
      </c:catAx>
      <c:valAx>
        <c:axId val="8516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665208"/>
        <c:crosses val="autoZero"/>
        <c:crossBetween val="between"/>
      </c:valAx>
      <c:valAx>
        <c:axId val="851653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15768"/>
        <c:crosses val="max"/>
        <c:crossBetween val="between"/>
      </c:valAx>
      <c:catAx>
        <c:axId val="855115768"/>
        <c:scaling>
          <c:orientation val="minMax"/>
        </c:scaling>
        <c:delete val="1"/>
        <c:axPos val="b"/>
        <c:numFmt formatCode="General" sourceLinked="1"/>
        <c:majorTickMark val="out"/>
        <c:minorTickMark val="none"/>
        <c:tickLblPos val="nextTo"/>
        <c:crossAx val="851653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Charts'!$L$2</c:f>
              <c:strCache>
                <c:ptCount val="1"/>
                <c:pt idx="0">
                  <c:v>1510sp</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Charts'!$L$3:$L$17</c:f>
              <c:numCache>
                <c:formatCode>General</c:formatCode>
                <c:ptCount val="15"/>
                <c:pt idx="0">
                  <c:v>2</c:v>
                </c:pt>
                <c:pt idx="1">
                  <c:v>2</c:v>
                </c:pt>
                <c:pt idx="2">
                  <c:v>1</c:v>
                </c:pt>
                <c:pt idx="3">
                  <c:v>3</c:v>
                </c:pt>
                <c:pt idx="4">
                  <c:v>2</c:v>
                </c:pt>
                <c:pt idx="5">
                  <c:v>3</c:v>
                </c:pt>
                <c:pt idx="6">
                  <c:v>3</c:v>
                </c:pt>
                <c:pt idx="7">
                  <c:v>3</c:v>
                </c:pt>
                <c:pt idx="8">
                  <c:v>3</c:v>
                </c:pt>
                <c:pt idx="9">
                  <c:v>3</c:v>
                </c:pt>
                <c:pt idx="10">
                  <c:v>2</c:v>
                </c:pt>
                <c:pt idx="11">
                  <c:v>2</c:v>
                </c:pt>
                <c:pt idx="12">
                  <c:v>2</c:v>
                </c:pt>
                <c:pt idx="13">
                  <c:v>3</c:v>
                </c:pt>
                <c:pt idx="14">
                  <c:v>3</c:v>
                </c:pt>
              </c:numCache>
            </c:numRef>
          </c:val>
          <c:extLst>
            <c:ext xmlns:c16="http://schemas.microsoft.com/office/drawing/2014/chart" uri="{C3380CC4-5D6E-409C-BE32-E72D297353CC}">
              <c16:uniqueId val="{00000000-A318-4B4C-8EBE-F0B713963DA3}"/>
            </c:ext>
          </c:extLst>
        </c:ser>
        <c:dLbls>
          <c:showLegendKey val="0"/>
          <c:showVal val="0"/>
          <c:showCatName val="0"/>
          <c:showSerName val="0"/>
          <c:showPercent val="0"/>
          <c:showBubbleSize val="0"/>
        </c:dLbls>
        <c:gapWidth val="219"/>
        <c:overlap val="-27"/>
        <c:axId val="527328472"/>
        <c:axId val="527325848"/>
      </c:barChart>
      <c:lineChart>
        <c:grouping val="standard"/>
        <c:varyColors val="0"/>
        <c:ser>
          <c:idx val="1"/>
          <c:order val="1"/>
          <c:tx>
            <c:strRef>
              <c:f>'Weighted Perato Charts'!$M$2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Charts'!$M$3:$M$17</c:f>
              <c:numCache>
                <c:formatCode>General</c:formatCode>
                <c:ptCount val="15"/>
                <c:pt idx="0">
                  <c:v>0.15720524017467249</c:v>
                </c:pt>
                <c:pt idx="1">
                  <c:v>0.17467248908296942</c:v>
                </c:pt>
                <c:pt idx="2">
                  <c:v>0.26200873362445415</c:v>
                </c:pt>
                <c:pt idx="3">
                  <c:v>0.41921397379912667</c:v>
                </c:pt>
                <c:pt idx="4">
                  <c:v>0.48908296943231444</c:v>
                </c:pt>
                <c:pt idx="5">
                  <c:v>0.62008733624454149</c:v>
                </c:pt>
                <c:pt idx="6">
                  <c:v>0.64628820960698696</c:v>
                </c:pt>
                <c:pt idx="7">
                  <c:v>0.84279475982532748</c:v>
                </c:pt>
                <c:pt idx="8">
                  <c:v>0.86899563318777295</c:v>
                </c:pt>
                <c:pt idx="9">
                  <c:v>0.89519650655021843</c:v>
                </c:pt>
                <c:pt idx="10">
                  <c:v>0.91266375545851541</c:v>
                </c:pt>
                <c:pt idx="11">
                  <c:v>0.93013100436681229</c:v>
                </c:pt>
                <c:pt idx="12">
                  <c:v>0.94759825327510927</c:v>
                </c:pt>
                <c:pt idx="13">
                  <c:v>0.97379912663755464</c:v>
                </c:pt>
                <c:pt idx="14">
                  <c:v>1</c:v>
                </c:pt>
              </c:numCache>
            </c:numRef>
          </c:val>
          <c:smooth val="0"/>
          <c:extLst>
            <c:ext xmlns:c16="http://schemas.microsoft.com/office/drawing/2014/chart" uri="{C3380CC4-5D6E-409C-BE32-E72D297353CC}">
              <c16:uniqueId val="{00000001-A318-4B4C-8EBE-F0B713963DA3}"/>
            </c:ext>
          </c:extLst>
        </c:ser>
        <c:dLbls>
          <c:showLegendKey val="0"/>
          <c:showVal val="0"/>
          <c:showCatName val="0"/>
          <c:showSerName val="0"/>
          <c:showPercent val="0"/>
          <c:showBubbleSize val="0"/>
        </c:dLbls>
        <c:marker val="1"/>
        <c:smooth val="0"/>
        <c:axId val="855133808"/>
        <c:axId val="855131512"/>
      </c:lineChart>
      <c:catAx>
        <c:axId val="52732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5848"/>
        <c:crosses val="autoZero"/>
        <c:auto val="1"/>
        <c:lblAlgn val="ctr"/>
        <c:lblOffset val="100"/>
        <c:noMultiLvlLbl val="0"/>
      </c:catAx>
      <c:valAx>
        <c:axId val="5273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472"/>
        <c:crosses val="autoZero"/>
        <c:crossBetween val="between"/>
      </c:valAx>
      <c:valAx>
        <c:axId val="855131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133808"/>
        <c:crosses val="max"/>
        <c:crossBetween val="between"/>
      </c:valAx>
      <c:catAx>
        <c:axId val="855133808"/>
        <c:scaling>
          <c:orientation val="minMax"/>
        </c:scaling>
        <c:delete val="1"/>
        <c:axPos val="b"/>
        <c:numFmt formatCode="General" sourceLinked="1"/>
        <c:majorTickMark val="out"/>
        <c:minorTickMark val="none"/>
        <c:tickLblPos val="nextTo"/>
        <c:crossAx val="85513151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'Weighted Perato Charts'!$N$2</c:f>
              <c:strCache>
                <c:ptCount val="1"/>
                <c:pt idx="0">
                  <c:v>1212C</c:v>
                </c:pt>
              </c:strCache>
            </c:strRef>
          </c:tx>
          <c:spPr>
            <a:solidFill>
              <a:schemeClr val="accent1"/>
            </a:solidFill>
            <a:ln>
              <a:noFill/>
            </a:ln>
            <a:effectLst/>
          </c:spPr>
          <c:invertIfNegative val="0"/>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Charts'!$N$3:$N$17</c:f>
              <c:numCache>
                <c:formatCode>General</c:formatCode>
                <c:ptCount val="15"/>
                <c:pt idx="0">
                  <c:v>2</c:v>
                </c:pt>
                <c:pt idx="1">
                  <c:v>2</c:v>
                </c:pt>
                <c:pt idx="2">
                  <c:v>1</c:v>
                </c:pt>
                <c:pt idx="3">
                  <c:v>3</c:v>
                </c:pt>
                <c:pt idx="4">
                  <c:v>2</c:v>
                </c:pt>
                <c:pt idx="5">
                  <c:v>3</c:v>
                </c:pt>
                <c:pt idx="6">
                  <c:v>3</c:v>
                </c:pt>
                <c:pt idx="7">
                  <c:v>3</c:v>
                </c:pt>
                <c:pt idx="8">
                  <c:v>3</c:v>
                </c:pt>
                <c:pt idx="9">
                  <c:v>3</c:v>
                </c:pt>
                <c:pt idx="10">
                  <c:v>2</c:v>
                </c:pt>
                <c:pt idx="11">
                  <c:v>2</c:v>
                </c:pt>
                <c:pt idx="12">
                  <c:v>2</c:v>
                </c:pt>
                <c:pt idx="13">
                  <c:v>3</c:v>
                </c:pt>
                <c:pt idx="14">
                  <c:v>3</c:v>
                </c:pt>
              </c:numCache>
            </c:numRef>
          </c:val>
          <c:extLst>
            <c:ext xmlns:c16="http://schemas.microsoft.com/office/drawing/2014/chart" uri="{C3380CC4-5D6E-409C-BE32-E72D297353CC}">
              <c16:uniqueId val="{00000000-013A-401B-B485-CB0669BE962B}"/>
            </c:ext>
          </c:extLst>
        </c:ser>
        <c:dLbls>
          <c:showLegendKey val="0"/>
          <c:showVal val="0"/>
          <c:showCatName val="0"/>
          <c:showSerName val="0"/>
          <c:showPercent val="0"/>
          <c:showBubbleSize val="0"/>
        </c:dLbls>
        <c:gapWidth val="219"/>
        <c:overlap val="-27"/>
        <c:axId val="527328144"/>
        <c:axId val="527326504"/>
      </c:barChart>
      <c:lineChart>
        <c:grouping val="standard"/>
        <c:varyColors val="0"/>
        <c:ser>
          <c:idx val="1"/>
          <c:order val="1"/>
          <c:tx>
            <c:strRef>
              <c:f>'Weighted Perato Charts'!$O$2</c:f>
              <c:strCache>
                <c:ptCount val="1"/>
                <c:pt idx="0">
                  <c:v>Cumulative</c:v>
                </c:pt>
              </c:strCache>
            </c:strRef>
          </c:tx>
          <c:spPr>
            <a:ln w="28575" cap="rnd">
              <a:solidFill>
                <a:schemeClr val="accent2"/>
              </a:solidFill>
              <a:round/>
            </a:ln>
            <a:effectLst/>
          </c:spPr>
          <c:marker>
            <c:symbol val="none"/>
          </c:marker>
          <c:cat>
            <c:strRef>
              <c:f>'Weighted Perato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'Weighted Perato Charts'!$O$3:$O$17</c:f>
              <c:numCache>
                <c:formatCode>General</c:formatCode>
                <c:ptCount val="15"/>
                <c:pt idx="0">
                  <c:v>0.15720524017467249</c:v>
                </c:pt>
                <c:pt idx="1">
                  <c:v>0.17467248908296942</c:v>
                </c:pt>
                <c:pt idx="2">
                  <c:v>0.26200873362445415</c:v>
                </c:pt>
                <c:pt idx="3">
                  <c:v>0.41921397379912667</c:v>
                </c:pt>
                <c:pt idx="4">
                  <c:v>0.48908296943231444</c:v>
                </c:pt>
                <c:pt idx="5">
                  <c:v>0.62008733624454149</c:v>
                </c:pt>
                <c:pt idx="6">
                  <c:v>0.64628820960698696</c:v>
                </c:pt>
                <c:pt idx="7">
                  <c:v>0.84279475982532748</c:v>
                </c:pt>
                <c:pt idx="8">
                  <c:v>0.86899563318777295</c:v>
                </c:pt>
                <c:pt idx="9">
                  <c:v>0.89519650655021843</c:v>
                </c:pt>
                <c:pt idx="10">
                  <c:v>0.91266375545851541</c:v>
                </c:pt>
                <c:pt idx="11">
                  <c:v>0.93013100436681229</c:v>
                </c:pt>
                <c:pt idx="12">
                  <c:v>0.94759825327510927</c:v>
                </c:pt>
                <c:pt idx="13">
                  <c:v>0.97379912663755464</c:v>
                </c:pt>
                <c:pt idx="14">
                  <c:v>1</c:v>
                </c:pt>
              </c:numCache>
            </c:numRef>
          </c:val>
          <c:smooth val="0"/>
          <c:extLst>
            <c:ext xmlns:c16="http://schemas.microsoft.com/office/drawing/2014/chart" uri="{C3380CC4-5D6E-409C-BE32-E72D297353CC}">
              <c16:uniqueId val="{00000001-013A-401B-B485-CB0669BE962B}"/>
            </c:ext>
          </c:extLst>
        </c:ser>
        <c:dLbls>
          <c:showLegendKey val="0"/>
          <c:showVal val="0"/>
          <c:showCatName val="0"/>
          <c:showSerName val="0"/>
          <c:showPercent val="0"/>
          <c:showBubbleSize val="0"/>
        </c:dLbls>
        <c:marker val="1"/>
        <c:smooth val="0"/>
        <c:axId val="864243664"/>
        <c:axId val="864269576"/>
      </c:lineChart>
      <c:catAx>
        <c:axId val="52732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6504"/>
        <c:crosses val="autoZero"/>
        <c:auto val="1"/>
        <c:lblAlgn val="ctr"/>
        <c:lblOffset val="100"/>
        <c:noMultiLvlLbl val="0"/>
      </c:catAx>
      <c:valAx>
        <c:axId val="52732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28144"/>
        <c:crosses val="autoZero"/>
        <c:crossBetween val="between"/>
      </c:valAx>
      <c:valAx>
        <c:axId val="86426957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43664"/>
        <c:crosses val="max"/>
        <c:crossBetween val="between"/>
      </c:valAx>
      <c:catAx>
        <c:axId val="864243664"/>
        <c:scaling>
          <c:orientation val="minMax"/>
        </c:scaling>
        <c:delete val="1"/>
        <c:axPos val="b"/>
        <c:numFmt formatCode="General" sourceLinked="1"/>
        <c:majorTickMark val="out"/>
        <c:minorTickMark val="none"/>
        <c:tickLblPos val="nextTo"/>
        <c:crossAx val="8642695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Charts'!$B$2</c:f>
              <c:strCache>
                <c:ptCount val="1"/>
                <c:pt idx="0">
                  <c:v>Scada</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Charts'!$B$3:$B$17</c:f>
              <c:numCache>
                <c:formatCode>0</c:formatCode>
                <c:ptCount val="15"/>
                <c:pt idx="0">
                  <c:v>3</c:v>
                </c:pt>
                <c:pt idx="1">
                  <c:v>3</c:v>
                </c:pt>
                <c:pt idx="2">
                  <c:v>3</c:v>
                </c:pt>
                <c:pt idx="3">
                  <c:v>1</c:v>
                </c:pt>
                <c:pt idx="4">
                  <c:v>3</c:v>
                </c:pt>
                <c:pt idx="5">
                  <c:v>1</c:v>
                </c:pt>
                <c:pt idx="6">
                  <c:v>1</c:v>
                </c:pt>
                <c:pt idx="7">
                  <c:v>1</c:v>
                </c:pt>
                <c:pt idx="8">
                  <c:v>1</c:v>
                </c:pt>
                <c:pt idx="9">
                  <c:v>2</c:v>
                </c:pt>
                <c:pt idx="10">
                  <c:v>1</c:v>
                </c:pt>
                <c:pt idx="11">
                  <c:v>3</c:v>
                </c:pt>
                <c:pt idx="12">
                  <c:v>3</c:v>
                </c:pt>
                <c:pt idx="13">
                  <c:v>1</c:v>
                </c:pt>
                <c:pt idx="14">
                  <c:v>1</c:v>
                </c:pt>
              </c:numCache>
            </c:numRef>
          </c:val>
          <c:extLst>
            <c:ext xmlns:c16="http://schemas.microsoft.com/office/drawing/2014/chart" uri="{C3380CC4-5D6E-409C-BE32-E72D297353CC}">
              <c16:uniqueId val="{00000000-A641-4781-85BF-20FE68E90AFB}"/>
            </c:ext>
          </c:extLst>
        </c:ser>
        <c:dLbls>
          <c:showLegendKey val="0"/>
          <c:showVal val="0"/>
          <c:showCatName val="0"/>
          <c:showSerName val="0"/>
          <c:showPercent val="0"/>
          <c:showBubbleSize val="0"/>
        </c:dLbls>
        <c:gapWidth val="219"/>
        <c:overlap val="-27"/>
        <c:axId val="699384264"/>
        <c:axId val="699385576"/>
      </c:barChart>
      <c:lineChart>
        <c:grouping val="standard"/>
        <c:varyColors val="0"/>
        <c:ser>
          <c:idx val="1"/>
          <c:order val="1"/>
          <c:tx>
            <c:strRef>
              <c:f>'Pareto Charts'!$C$2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Charts'!$C$3:$C$17</c:f>
              <c:numCache>
                <c:formatCode>General</c:formatCode>
                <c:ptCount val="15"/>
                <c:pt idx="0">
                  <c:v>0.10714285714285714</c:v>
                </c:pt>
                <c:pt idx="1">
                  <c:v>0.21428571428571427</c:v>
                </c:pt>
                <c:pt idx="2">
                  <c:v>0.32142857142857145</c:v>
                </c:pt>
                <c:pt idx="3">
                  <c:v>0.35714285714285715</c:v>
                </c:pt>
                <c:pt idx="4">
                  <c:v>0.4642857142857143</c:v>
                </c:pt>
                <c:pt idx="5">
                  <c:v>0.5</c:v>
                </c:pt>
                <c:pt idx="6">
                  <c:v>0.5357142857142857</c:v>
                </c:pt>
                <c:pt idx="7">
                  <c:v>0.5714285714285714</c:v>
                </c:pt>
                <c:pt idx="8">
                  <c:v>0.6071428571428571</c:v>
                </c:pt>
                <c:pt idx="9">
                  <c:v>0.6785714285714286</c:v>
                </c:pt>
                <c:pt idx="10">
                  <c:v>0.7142857142857143</c:v>
                </c:pt>
                <c:pt idx="11">
                  <c:v>0.8214285714285714</c:v>
                </c:pt>
                <c:pt idx="12">
                  <c:v>0.9285714285714286</c:v>
                </c:pt>
                <c:pt idx="13">
                  <c:v>0.9642857142857143</c:v>
                </c:pt>
                <c:pt idx="14">
                  <c:v>1</c:v>
                </c:pt>
              </c:numCache>
            </c:numRef>
          </c:val>
          <c:smooth val="0"/>
          <c:extLst>
            <c:ext xmlns:c16="http://schemas.microsoft.com/office/drawing/2014/chart" uri="{C3380CC4-5D6E-409C-BE32-E72D297353CC}">
              <c16:uniqueId val="{00000001-A641-4781-85BF-20FE68E90AFB}"/>
            </c:ext>
          </c:extLst>
        </c:ser>
        <c:dLbls>
          <c:showLegendKey val="0"/>
          <c:showVal val="0"/>
          <c:showCatName val="0"/>
          <c:showSerName val="0"/>
          <c:showPercent val="0"/>
          <c:showBubbleSize val="0"/>
        </c:dLbls>
        <c:marker val="1"/>
        <c:smooth val="0"/>
        <c:axId val="849864848"/>
        <c:axId val="849863536"/>
      </c:lineChart>
      <c:catAx>
        <c:axId val="69938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85576"/>
        <c:crosses val="autoZero"/>
        <c:auto val="1"/>
        <c:lblAlgn val="ctr"/>
        <c:lblOffset val="100"/>
        <c:noMultiLvlLbl val="0"/>
      </c:catAx>
      <c:valAx>
        <c:axId val="699385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384264"/>
        <c:crosses val="autoZero"/>
        <c:crossBetween val="between"/>
      </c:valAx>
      <c:valAx>
        <c:axId val="8498635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64848"/>
        <c:crosses val="max"/>
        <c:crossBetween val="between"/>
      </c:valAx>
      <c:catAx>
        <c:axId val="849864848"/>
        <c:scaling>
          <c:orientation val="minMax"/>
        </c:scaling>
        <c:delete val="1"/>
        <c:axPos val="b"/>
        <c:numFmt formatCode="General" sourceLinked="1"/>
        <c:majorTickMark val="out"/>
        <c:minorTickMark val="none"/>
        <c:tickLblPos val="nextTo"/>
        <c:crossAx val="8498635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'Pareto Charts'!$D$2</c:f>
              <c:strCache>
                <c:ptCount val="1"/>
                <c:pt idx="0">
                  <c:v>1212C</c:v>
                </c:pt>
              </c:strCache>
            </c:strRef>
          </c:tx>
          <c:spPr>
            <a:solidFill>
              <a:schemeClr val="accent1"/>
            </a:solidFill>
            <a:ln>
              <a:noFill/>
            </a:ln>
            <a:effectLst/>
          </c:spPr>
          <c:invertIfNegative val="0"/>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Charts'!$D$3:$D$17</c:f>
              <c:numCache>
                <c:formatCode>0</c:formatCode>
                <c:ptCount val="15"/>
                <c:pt idx="0">
                  <c:v>2</c:v>
                </c:pt>
                <c:pt idx="1">
                  <c:v>2</c:v>
                </c:pt>
                <c:pt idx="2">
                  <c:v>3</c:v>
                </c:pt>
                <c:pt idx="3">
                  <c:v>3</c:v>
                </c:pt>
                <c:pt idx="4">
                  <c:v>2</c:v>
                </c:pt>
                <c:pt idx="5">
                  <c:v>3</c:v>
                </c:pt>
                <c:pt idx="6">
                  <c:v>3</c:v>
                </c:pt>
                <c:pt idx="7">
                  <c:v>3</c:v>
                </c:pt>
                <c:pt idx="8">
                  <c:v>3</c:v>
                </c:pt>
                <c:pt idx="9">
                  <c:v>3</c:v>
                </c:pt>
                <c:pt idx="10">
                  <c:v>3</c:v>
                </c:pt>
                <c:pt idx="11">
                  <c:v>3</c:v>
                </c:pt>
                <c:pt idx="12">
                  <c:v>2</c:v>
                </c:pt>
                <c:pt idx="13">
                  <c:v>1</c:v>
                </c:pt>
                <c:pt idx="14">
                  <c:v>3</c:v>
                </c:pt>
              </c:numCache>
            </c:numRef>
          </c:val>
          <c:extLst>
            <c:ext xmlns:c16="http://schemas.microsoft.com/office/drawing/2014/chart" uri="{C3380CC4-5D6E-409C-BE32-E72D297353CC}">
              <c16:uniqueId val="{00000000-7508-4619-B48B-7F8AA73CBCFE}"/>
            </c:ext>
          </c:extLst>
        </c:ser>
        <c:dLbls>
          <c:showLegendKey val="0"/>
          <c:showVal val="0"/>
          <c:showCatName val="0"/>
          <c:showSerName val="0"/>
          <c:showPercent val="0"/>
          <c:showBubbleSize val="0"/>
        </c:dLbls>
        <c:gapWidth val="219"/>
        <c:overlap val="-27"/>
        <c:axId val="872416784"/>
        <c:axId val="872413504"/>
      </c:barChart>
      <c:lineChart>
        <c:grouping val="standard"/>
        <c:varyColors val="0"/>
        <c:ser>
          <c:idx val="1"/>
          <c:order val="1"/>
          <c:tx>
            <c:strRef>
              <c:f>'Pareto Charts'!$E$2</c:f>
              <c:strCache>
                <c:ptCount val="1"/>
                <c:pt idx="0">
                  <c:v>Cumulative</c:v>
                </c:pt>
              </c:strCache>
            </c:strRef>
          </c:tx>
          <c:spPr>
            <a:ln w="28575" cap="rnd">
              <a:solidFill>
                <a:schemeClr val="accent2"/>
              </a:solidFill>
              <a:round/>
            </a:ln>
            <a:effectLst/>
          </c:spPr>
          <c:marker>
            <c:symbol val="none"/>
          </c:marker>
          <c:cat>
            <c:strRef>
              <c:f>'Pareto Charts'!$A$3:$A$17</c:f>
              <c:strCache>
                <c:ptCount val="15"/>
                <c:pt idx="0">
                  <c:v>Supports MQTT</c:v>
                </c:pt>
                <c:pt idx="1">
                  <c:v>Background Tasks</c:v>
                </c:pt>
                <c:pt idx="2">
                  <c:v>Supports Local HMI per machine</c:v>
                </c:pt>
                <c:pt idx="3">
                  <c:v>Experience of local engineers and E-Techs</c:v>
                </c:pt>
                <c:pt idx="4">
                  <c:v>Easy Remote Administration</c:v>
                </c:pt>
                <c:pt idx="5">
                  <c:v>Repairability</c:v>
                </c:pt>
                <c:pt idx="6">
                  <c:v>Designed for an industrial setting</c:v>
                </c:pt>
                <c:pt idx="7">
                  <c:v>Common development environment</c:v>
                </c:pt>
                <c:pt idx="8">
                  <c:v>documentation</c:v>
                </c:pt>
                <c:pt idx="9">
                  <c:v>Built In IO</c:v>
                </c:pt>
                <c:pt idx="10">
                  <c:v>IO Expansion</c:v>
                </c:pt>
                <c:pt idx="11">
                  <c:v>Complexity of setup/Configuration</c:v>
                </c:pt>
                <c:pt idx="12">
                  <c:v>Adding Restrictions from other software</c:v>
                </c:pt>
                <c:pt idx="13">
                  <c:v>Multi Machine Support</c:v>
                </c:pt>
                <c:pt idx="14">
                  <c:v>Bad Part Reporting Details</c:v>
                </c:pt>
              </c:strCache>
            </c:strRef>
          </c:cat>
          <c:val>
            <c:numRef>
              <c:f>'Pareto Charts'!$E$3:$E$17</c:f>
              <c:numCache>
                <c:formatCode>General</c:formatCode>
                <c:ptCount val="15"/>
                <c:pt idx="0">
                  <c:v>5.128205128205128E-2</c:v>
                </c:pt>
                <c:pt idx="1">
                  <c:v>0.10256410256410256</c:v>
                </c:pt>
                <c:pt idx="2">
                  <c:v>0.17948717948717949</c:v>
                </c:pt>
                <c:pt idx="3">
                  <c:v>0.25641025641025639</c:v>
                </c:pt>
                <c:pt idx="4">
                  <c:v>0.30769230769230771</c:v>
                </c:pt>
                <c:pt idx="5">
                  <c:v>0.38461538461538464</c:v>
                </c:pt>
                <c:pt idx="6">
                  <c:v>0.46153846153846156</c:v>
                </c:pt>
                <c:pt idx="7">
                  <c:v>0.53846153846153844</c:v>
                </c:pt>
                <c:pt idx="8">
                  <c:v>0.61538461538461542</c:v>
                </c:pt>
                <c:pt idx="9">
                  <c:v>0.69230769230769229</c:v>
                </c:pt>
                <c:pt idx="10">
                  <c:v>0.76923076923076927</c:v>
                </c:pt>
                <c:pt idx="11">
                  <c:v>0.84615384615384615</c:v>
                </c:pt>
                <c:pt idx="12">
                  <c:v>0.89743589743589747</c:v>
                </c:pt>
                <c:pt idx="13">
                  <c:v>0.92307692307692313</c:v>
                </c:pt>
                <c:pt idx="14">
                  <c:v>1</c:v>
                </c:pt>
              </c:numCache>
            </c:numRef>
          </c:val>
          <c:smooth val="0"/>
          <c:extLst>
            <c:ext xmlns:c16="http://schemas.microsoft.com/office/drawing/2014/chart" uri="{C3380CC4-5D6E-409C-BE32-E72D297353CC}">
              <c16:uniqueId val="{00000001-7508-4619-B48B-7F8AA73CBCFE}"/>
            </c:ext>
          </c:extLst>
        </c:ser>
        <c:dLbls>
          <c:showLegendKey val="0"/>
          <c:showVal val="0"/>
          <c:showCatName val="0"/>
          <c:showSerName val="0"/>
          <c:showPercent val="0"/>
          <c:showBubbleSize val="0"/>
        </c:dLbls>
        <c:marker val="1"/>
        <c:smooth val="0"/>
        <c:axId val="691546944"/>
        <c:axId val="691545304"/>
      </c:lineChart>
      <c:catAx>
        <c:axId val="8724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3504"/>
        <c:crosses val="autoZero"/>
        <c:auto val="1"/>
        <c:lblAlgn val="ctr"/>
        <c:lblOffset val="100"/>
        <c:noMultiLvlLbl val="0"/>
      </c:catAx>
      <c:valAx>
        <c:axId val="872413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6784"/>
        <c:crosses val="autoZero"/>
        <c:crossBetween val="between"/>
      </c:valAx>
      <c:valAx>
        <c:axId val="6915453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546944"/>
        <c:crosses val="max"/>
        <c:crossBetween val="between"/>
      </c:valAx>
      <c:catAx>
        <c:axId val="691546944"/>
        <c:scaling>
          <c:orientation val="minMax"/>
        </c:scaling>
        <c:delete val="1"/>
        <c:axPos val="b"/>
        <c:numFmt formatCode="General" sourceLinked="1"/>
        <c:majorTickMark val="out"/>
        <c:minorTickMark val="none"/>
        <c:tickLblPos val="nextTo"/>
        <c:crossAx val="6915453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156210</xdr:rowOff>
    </xdr:from>
    <xdr:to>
      <xdr:col>5</xdr:col>
      <xdr:colOff>83820</xdr:colOff>
      <xdr:row>32</xdr:row>
      <xdr:rowOff>156210</xdr:rowOff>
    </xdr:to>
    <xdr:graphicFrame macro="">
      <xdr:nvGraphicFramePr>
        <xdr:cNvPr id="2" name="Chart 1">
          <a:extLst>
            <a:ext uri="{FF2B5EF4-FFF2-40B4-BE49-F238E27FC236}">
              <a16:creationId xmlns:a16="http://schemas.microsoft.com/office/drawing/2014/main" id="{D33E7ED3-FD3E-4BCE-98D8-F6F27EC76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17</xdr:row>
      <xdr:rowOff>140970</xdr:rowOff>
    </xdr:from>
    <xdr:to>
      <xdr:col>12</xdr:col>
      <xdr:colOff>403860</xdr:colOff>
      <xdr:row>32</xdr:row>
      <xdr:rowOff>140970</xdr:rowOff>
    </xdr:to>
    <xdr:graphicFrame macro="">
      <xdr:nvGraphicFramePr>
        <xdr:cNvPr id="3" name="Chart 2">
          <a:extLst>
            <a:ext uri="{FF2B5EF4-FFF2-40B4-BE49-F238E27FC236}">
              <a16:creationId xmlns:a16="http://schemas.microsoft.com/office/drawing/2014/main" id="{4FD11131-92D4-4367-884C-FF7A1F973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419100</xdr:colOff>
      <xdr:row>17</xdr:row>
      <xdr:rowOff>140970</xdr:rowOff>
    </xdr:from>
    <xdr:to>
      <xdr:col>20</xdr:col>
      <xdr:colOff>114300</xdr:colOff>
      <xdr:row>32</xdr:row>
      <xdr:rowOff>140970</xdr:rowOff>
    </xdr:to>
    <xdr:graphicFrame macro="">
      <xdr:nvGraphicFramePr>
        <xdr:cNvPr id="4" name="Chart 3">
          <a:extLst>
            <a:ext uri="{FF2B5EF4-FFF2-40B4-BE49-F238E27FC236}">
              <a16:creationId xmlns:a16="http://schemas.microsoft.com/office/drawing/2014/main" id="{15B9212A-0585-48F9-8ECE-C107F7D87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113260</xdr:rowOff>
    </xdr:from>
    <xdr:to>
      <xdr:col>4</xdr:col>
      <xdr:colOff>207818</xdr:colOff>
      <xdr:row>47</xdr:row>
      <xdr:rowOff>160365</xdr:rowOff>
    </xdr:to>
    <xdr:graphicFrame macro="">
      <xdr:nvGraphicFramePr>
        <xdr:cNvPr id="5" name="Chart 4">
          <a:extLst>
            <a:ext uri="{FF2B5EF4-FFF2-40B4-BE49-F238E27FC236}">
              <a16:creationId xmlns:a16="http://schemas.microsoft.com/office/drawing/2014/main" id="{3203557F-3193-4755-AB6C-9A2357118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200890</xdr:colOff>
      <xdr:row>32</xdr:row>
      <xdr:rowOff>124691</xdr:rowOff>
    </xdr:from>
    <xdr:to>
      <xdr:col>9</xdr:col>
      <xdr:colOff>311727</xdr:colOff>
      <xdr:row>47</xdr:row>
      <xdr:rowOff>166255</xdr:rowOff>
    </xdr:to>
    <xdr:graphicFrame macro="">
      <xdr:nvGraphicFramePr>
        <xdr:cNvPr id="6" name="Chart 5">
          <a:extLst>
            <a:ext uri="{FF2B5EF4-FFF2-40B4-BE49-F238E27FC236}">
              <a16:creationId xmlns:a16="http://schemas.microsoft.com/office/drawing/2014/main" id="{92B3B224-E8E2-497C-95ED-26CD36C99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228600</xdr:colOff>
      <xdr:row>32</xdr:row>
      <xdr:rowOff>152400</xdr:rowOff>
    </xdr:from>
    <xdr:to>
      <xdr:col>14</xdr:col>
      <xdr:colOff>741218</xdr:colOff>
      <xdr:row>48</xdr:row>
      <xdr:rowOff>13855</xdr:rowOff>
    </xdr:to>
    <xdr:graphicFrame macro="">
      <xdr:nvGraphicFramePr>
        <xdr:cNvPr id="7" name="Chart 6">
          <a:extLst>
            <a:ext uri="{FF2B5EF4-FFF2-40B4-BE49-F238E27FC236}">
              <a16:creationId xmlns:a16="http://schemas.microsoft.com/office/drawing/2014/main" id="{D33C6CA9-7D56-4519-A9C7-611C867DA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768928</xdr:colOff>
      <xdr:row>32</xdr:row>
      <xdr:rowOff>166255</xdr:rowOff>
    </xdr:from>
    <xdr:to>
      <xdr:col>22</xdr:col>
      <xdr:colOff>76200</xdr:colOff>
      <xdr:row>48</xdr:row>
      <xdr:rowOff>27710</xdr:rowOff>
    </xdr:to>
    <xdr:graphicFrame macro="">
      <xdr:nvGraphicFramePr>
        <xdr:cNvPr id="8" name="Chart 7">
          <a:extLst>
            <a:ext uri="{FF2B5EF4-FFF2-40B4-BE49-F238E27FC236}">
              <a16:creationId xmlns:a16="http://schemas.microsoft.com/office/drawing/2014/main" id="{004AE8B9-ED81-42A9-B0CE-59F9F802E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156210</xdr:rowOff>
    </xdr:from>
    <xdr:to>
      <xdr:col>5</xdr:col>
      <xdr:colOff>83820</xdr:colOff>
      <xdr:row>32</xdr:row>
      <xdr:rowOff>156210</xdr:rowOff>
    </xdr:to>
    <xdr:graphicFrame macro="">
      <xdr:nvGraphicFramePr>
        <xdr:cNvPr id="2" name="Chart 1">
          <a:extLst>
            <a:ext uri="{FF2B5EF4-FFF2-40B4-BE49-F238E27FC236}">
              <a16:creationId xmlns:a16="http://schemas.microsoft.com/office/drawing/2014/main" id="{DD0D8CC7-818A-41DB-9D49-FD81A49BE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17</xdr:row>
      <xdr:rowOff>140970</xdr:rowOff>
    </xdr:from>
    <xdr:to>
      <xdr:col>12</xdr:col>
      <xdr:colOff>403860</xdr:colOff>
      <xdr:row>32</xdr:row>
      <xdr:rowOff>140970</xdr:rowOff>
    </xdr:to>
    <xdr:graphicFrame macro="">
      <xdr:nvGraphicFramePr>
        <xdr:cNvPr id="5" name="Chart 4">
          <a:extLst>
            <a:ext uri="{FF2B5EF4-FFF2-40B4-BE49-F238E27FC236}">
              <a16:creationId xmlns:a16="http://schemas.microsoft.com/office/drawing/2014/main" id="{179E6D23-9391-4160-B4E1-B37C2DFA1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419100</xdr:colOff>
      <xdr:row>17</xdr:row>
      <xdr:rowOff>140970</xdr:rowOff>
    </xdr:from>
    <xdr:to>
      <xdr:col>20</xdr:col>
      <xdr:colOff>114300</xdr:colOff>
      <xdr:row>32</xdr:row>
      <xdr:rowOff>140970</xdr:rowOff>
    </xdr:to>
    <xdr:graphicFrame macro="">
      <xdr:nvGraphicFramePr>
        <xdr:cNvPr id="8" name="Chart 7">
          <a:extLst>
            <a:ext uri="{FF2B5EF4-FFF2-40B4-BE49-F238E27FC236}">
              <a16:creationId xmlns:a16="http://schemas.microsoft.com/office/drawing/2014/main" id="{C467C0B6-3184-408B-9164-ECD10B66F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113260</xdr:rowOff>
    </xdr:from>
    <xdr:to>
      <xdr:col>4</xdr:col>
      <xdr:colOff>207818</xdr:colOff>
      <xdr:row>47</xdr:row>
      <xdr:rowOff>160365</xdr:rowOff>
    </xdr:to>
    <xdr:graphicFrame macro="">
      <xdr:nvGraphicFramePr>
        <xdr:cNvPr id="9" name="Chart 8">
          <a:extLst>
            <a:ext uri="{FF2B5EF4-FFF2-40B4-BE49-F238E27FC236}">
              <a16:creationId xmlns:a16="http://schemas.microsoft.com/office/drawing/2014/main" id="{6AF426D3-523E-431B-91F8-29EA3CB99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200890</xdr:colOff>
      <xdr:row>32</xdr:row>
      <xdr:rowOff>124691</xdr:rowOff>
    </xdr:from>
    <xdr:to>
      <xdr:col>9</xdr:col>
      <xdr:colOff>311727</xdr:colOff>
      <xdr:row>47</xdr:row>
      <xdr:rowOff>166255</xdr:rowOff>
    </xdr:to>
    <xdr:graphicFrame macro="">
      <xdr:nvGraphicFramePr>
        <xdr:cNvPr id="10" name="Chart 9">
          <a:extLst>
            <a:ext uri="{FF2B5EF4-FFF2-40B4-BE49-F238E27FC236}">
              <a16:creationId xmlns:a16="http://schemas.microsoft.com/office/drawing/2014/main" id="{8F51F693-E92B-4B0B-B9F8-F6507B4A6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228600</xdr:colOff>
      <xdr:row>32</xdr:row>
      <xdr:rowOff>152400</xdr:rowOff>
    </xdr:from>
    <xdr:to>
      <xdr:col>14</xdr:col>
      <xdr:colOff>741218</xdr:colOff>
      <xdr:row>48</xdr:row>
      <xdr:rowOff>13855</xdr:rowOff>
    </xdr:to>
    <xdr:graphicFrame macro="">
      <xdr:nvGraphicFramePr>
        <xdr:cNvPr id="11" name="Chart 10">
          <a:extLst>
            <a:ext uri="{FF2B5EF4-FFF2-40B4-BE49-F238E27FC236}">
              <a16:creationId xmlns:a16="http://schemas.microsoft.com/office/drawing/2014/main" id="{5B64367F-EF18-4D83-A2CA-4E50516A3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768928</xdr:colOff>
      <xdr:row>32</xdr:row>
      <xdr:rowOff>166255</xdr:rowOff>
    </xdr:from>
    <xdr:to>
      <xdr:col>22</xdr:col>
      <xdr:colOff>76200</xdr:colOff>
      <xdr:row>48</xdr:row>
      <xdr:rowOff>27710</xdr:rowOff>
    </xdr:to>
    <xdr:graphicFrame macro="">
      <xdr:nvGraphicFramePr>
        <xdr:cNvPr id="12" name="Chart 11">
          <a:extLst>
            <a:ext uri="{FF2B5EF4-FFF2-40B4-BE49-F238E27FC236}">
              <a16:creationId xmlns:a16="http://schemas.microsoft.com/office/drawing/2014/main" id="{2B9DCF37-FE8F-4E25-9932-C659FD7FB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34634</xdr:colOff>
      <xdr:row>30</xdr:row>
      <xdr:rowOff>207818</xdr:rowOff>
    </xdr:from>
    <xdr:to>
      <xdr:col>21</xdr:col>
      <xdr:colOff>1200149</xdr:colOff>
      <xdr:row>61</xdr:row>
      <xdr:rowOff>19049</xdr:rowOff>
    </xdr:to>
    <xdr:graphicFrame macro="">
      <xdr:nvGraphicFramePr>
        <xdr:cNvPr id="2" name="Chart 1">
          <a:extLst>
            <a:ext uri="{FF2B5EF4-FFF2-40B4-BE49-F238E27FC236}">
              <a16:creationId xmlns:a16="http://schemas.microsoft.com/office/drawing/2014/main" id="{1CC1AC0B-09DC-41AC-8DB4-2679ECDBC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296142</xdr:colOff>
      <xdr:row>37</xdr:row>
      <xdr:rowOff>226868</xdr:rowOff>
    </xdr:from>
    <xdr:to>
      <xdr:col>15</xdr:col>
      <xdr:colOff>39832</xdr:colOff>
      <xdr:row>67</xdr:row>
      <xdr:rowOff>171450</xdr:rowOff>
    </xdr:to>
    <xdr:graphicFrame macro="">
      <xdr:nvGraphicFramePr>
        <xdr:cNvPr id="3" name="Chart 2">
          <a:extLst>
            <a:ext uri="{FF2B5EF4-FFF2-40B4-BE49-F238E27FC236}">
              <a16:creationId xmlns:a16="http://schemas.microsoft.com/office/drawing/2014/main" id="{50E8FB28-1D67-4D5B-8D89-E0B0888F7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24</xdr:row>
      <xdr:rowOff>0</xdr:rowOff>
    </xdr:from>
    <xdr:to>
      <xdr:col>12</xdr:col>
      <xdr:colOff>581891</xdr:colOff>
      <xdr:row>37</xdr:row>
      <xdr:rowOff>51227</xdr:rowOff>
    </xdr:to>
    <xdr:graphicFrame macro="">
      <xdr:nvGraphicFramePr>
        <xdr:cNvPr id="3" name="Chart 2">
          <a:extLst>
            <a:ext uri="{FF2B5EF4-FFF2-40B4-BE49-F238E27FC236}">
              <a16:creationId xmlns:a16="http://schemas.microsoft.com/office/drawing/2014/main" id="{EF360361-4757-4CFF-AE38-753CA6F77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41564</xdr:colOff>
      <xdr:row>37</xdr:row>
      <xdr:rowOff>13855</xdr:rowOff>
    </xdr:from>
    <xdr:to>
      <xdr:col>12</xdr:col>
      <xdr:colOff>588818</xdr:colOff>
      <xdr:row>61</xdr:row>
      <xdr:rowOff>0</xdr:rowOff>
    </xdr:to>
    <xdr:graphicFrame macro="">
      <xdr:nvGraphicFramePr>
        <xdr:cNvPr id="5" name="Chart 4">
          <a:extLst>
            <a:ext uri="{FF2B5EF4-FFF2-40B4-BE49-F238E27FC236}">
              <a16:creationId xmlns:a16="http://schemas.microsoft.com/office/drawing/2014/main" id="{63145A50-62F7-46C8-BDDE-942DD633F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129540</xdr:colOff>
      <xdr:row>8</xdr:row>
      <xdr:rowOff>0</xdr:rowOff>
    </xdr:from>
    <xdr:to>
      <xdr:col>9</xdr:col>
      <xdr:colOff>891540</xdr:colOff>
      <xdr:row>27</xdr:row>
      <xdr:rowOff>176479</xdr:rowOff>
    </xdr:to>
    <xdr:graphicFrame macro="">
      <xdr:nvGraphicFramePr>
        <xdr:cNvPr id="4" name="Chart 3">
          <a:extLst>
            <a:ext uri="{FF2B5EF4-FFF2-40B4-BE49-F238E27FC236}">
              <a16:creationId xmlns:a16="http://schemas.microsoft.com/office/drawing/2014/main" id="{5AC284C7-FD04-486A-B4AB-500502B07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69273</xdr:colOff>
      <xdr:row>17</xdr:row>
      <xdr:rowOff>55418</xdr:rowOff>
    </xdr:from>
    <xdr:to>
      <xdr:col>5</xdr:col>
      <xdr:colOff>22859</xdr:colOff>
      <xdr:row>32</xdr:row>
      <xdr:rowOff>137385</xdr:rowOff>
    </xdr:to>
    <xdr:graphicFrame macro="">
      <xdr:nvGraphicFramePr>
        <xdr:cNvPr id="3" name="Chart 2">
          <a:extLst>
            <a:ext uri="{FF2B5EF4-FFF2-40B4-BE49-F238E27FC236}">
              <a16:creationId xmlns:a16="http://schemas.microsoft.com/office/drawing/2014/main" id="{068A0899-96B4-4147-A0F7-A62B5C390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138545</xdr:colOff>
      <xdr:row>17</xdr:row>
      <xdr:rowOff>83116</xdr:rowOff>
    </xdr:from>
    <xdr:to>
      <xdr:col>9</xdr:col>
      <xdr:colOff>80071</xdr:colOff>
      <xdr:row>33</xdr:row>
      <xdr:rowOff>130385</xdr:rowOff>
    </xdr:to>
    <xdr:graphicFrame macro="">
      <xdr:nvGraphicFramePr>
        <xdr:cNvPr id="2" name="Chart 1">
          <a:extLst>
            <a:ext uri="{FF2B5EF4-FFF2-40B4-BE49-F238E27FC236}">
              <a16:creationId xmlns:a16="http://schemas.microsoft.com/office/drawing/2014/main" id="{20F53BFE-548D-4652-810D-6069F4147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abSelected="1" zoomScale="55" zoomScaleNormal="55" workbookViewId="0">
      <selection activeCell="AA29" sqref="AA29"/>
    </sheetView>
  </sheetViews>
  <sheetFormatPr defaultRowHeight="15" x14ac:dyDescent="0.25"/>
  <cols>
    <col min="1" max="1" width="29.85546875" customWidth="1"/>
    <col min="2" max="2" width="9.5703125" bestFit="1" customWidth="1"/>
    <col min="3" max="3" width="14.5703125" bestFit="1" customWidth="1"/>
    <col min="4" max="4" width="9.7109375" bestFit="1" customWidth="1"/>
    <col min="5" max="5" width="14.5703125" bestFit="1" customWidth="1"/>
    <col min="6" max="6" width="10.7109375" bestFit="1" customWidth="1"/>
    <col min="7" max="7" width="14.5703125" bestFit="1" customWidth="1"/>
    <col min="8" max="8" width="10.7109375" bestFit="1" customWidth="1"/>
    <col min="9" max="9" width="14.5703125" bestFit="1" customWidth="1"/>
    <col min="10" max="10" width="9.7109375" bestFit="1" customWidth="1"/>
    <col min="11" max="11" width="14.5703125" bestFit="1" customWidth="1"/>
    <col min="12" max="12" width="10.7109375" bestFit="1" customWidth="1"/>
    <col min="13" max="13" width="14.5703125" bestFit="1" customWidth="1"/>
    <col min="14" max="14" width="9.7109375" bestFit="1" customWidth="1"/>
    <col min="15" max="15" width="14.5703125" bestFit="1" customWidth="1"/>
    <col min="16" max="16" width="13.28515625" bestFit="1" customWidth="1"/>
    <col min="19" max="19" width="9.5703125" bestFit="1" customWidth="1"/>
  </cols>
  <sheetData>
    <row r="1" spans="1:31" ht="18" x14ac:dyDescent="0.25">
      <c r="A1" s="48" t="s">
        <v>129</v>
      </c>
      <c r="B1" s="64" t="s">
        <v>186</v>
      </c>
      <c r="D1" s="47"/>
      <c r="F1" s="65"/>
      <c r="H1" s="64" t="s">
        <v>184</v>
      </c>
      <c r="J1" s="65"/>
      <c r="L1" s="64" t="s">
        <v>185</v>
      </c>
      <c r="N1" s="65"/>
    </row>
    <row r="2" spans="1:31" ht="18" x14ac:dyDescent="0.25">
      <c r="A2" s="48"/>
      <c r="B2" s="48" t="s">
        <v>34</v>
      </c>
      <c r="C2" t="s">
        <v>214</v>
      </c>
      <c r="D2" s="50" t="s">
        <v>69</v>
      </c>
      <c r="E2" t="s">
        <v>214</v>
      </c>
      <c r="F2" s="50" t="s">
        <v>35</v>
      </c>
      <c r="G2" t="s">
        <v>214</v>
      </c>
      <c r="H2" s="50" t="s">
        <v>35</v>
      </c>
      <c r="I2" t="s">
        <v>214</v>
      </c>
      <c r="J2" s="50" t="s">
        <v>69</v>
      </c>
      <c r="K2" t="s">
        <v>214</v>
      </c>
      <c r="L2" s="50" t="s">
        <v>35</v>
      </c>
      <c r="M2" t="s">
        <v>214</v>
      </c>
      <c r="N2" s="50" t="s">
        <v>69</v>
      </c>
      <c r="O2" t="s">
        <v>214</v>
      </c>
      <c r="Q2" s="48"/>
      <c r="R2" s="48" t="s">
        <v>34</v>
      </c>
      <c r="S2" t="s">
        <v>214</v>
      </c>
      <c r="T2" s="50" t="s">
        <v>69</v>
      </c>
      <c r="U2" t="s">
        <v>214</v>
      </c>
      <c r="V2" s="50" t="s">
        <v>35</v>
      </c>
      <c r="W2" t="s">
        <v>214</v>
      </c>
      <c r="X2" s="50" t="s">
        <v>35</v>
      </c>
      <c r="Y2" t="s">
        <v>214</v>
      </c>
      <c r="Z2" s="50" t="s">
        <v>69</v>
      </c>
      <c r="AA2" t="s">
        <v>214</v>
      </c>
      <c r="AB2" s="50" t="s">
        <v>35</v>
      </c>
      <c r="AC2" t="s">
        <v>214</v>
      </c>
      <c r="AD2" s="50" t="s">
        <v>69</v>
      </c>
      <c r="AE2" t="s">
        <v>214</v>
      </c>
    </row>
    <row r="3" spans="1:31" ht="18" x14ac:dyDescent="0.25">
      <c r="A3" s="48" t="s">
        <v>75</v>
      </c>
      <c r="B3" s="66">
        <f t="shared" ref="B3:O17" si="0">(R3)</f>
        <v>3</v>
      </c>
      <c r="C3" s="66">
        <f>(S3)</f>
        <v>0.26086956521739124</v>
      </c>
      <c r="D3" s="66">
        <f t="shared" si="0"/>
        <v>2</v>
      </c>
      <c r="E3" s="66">
        <f t="shared" si="0"/>
        <v>0.13382899628252792</v>
      </c>
      <c r="F3" s="66">
        <f t="shared" si="0"/>
        <v>2</v>
      </c>
      <c r="G3" s="66">
        <f t="shared" si="0"/>
        <v>0.13584905660377364</v>
      </c>
      <c r="H3" s="66">
        <f t="shared" si="0"/>
        <v>2</v>
      </c>
      <c r="I3" s="66">
        <f t="shared" si="0"/>
        <v>0.1348314606741573</v>
      </c>
      <c r="J3" s="66">
        <f t="shared" si="0"/>
        <v>2</v>
      </c>
      <c r="K3" s="66">
        <f t="shared" si="0"/>
        <v>0.1348314606741573</v>
      </c>
      <c r="L3" s="66">
        <f t="shared" si="0"/>
        <v>2</v>
      </c>
      <c r="M3" s="66">
        <f t="shared" si="0"/>
        <v>0.15720524017467249</v>
      </c>
      <c r="N3" s="66">
        <f t="shared" si="0"/>
        <v>2</v>
      </c>
      <c r="O3" s="66">
        <f t="shared" si="0"/>
        <v>0.15720524017467249</v>
      </c>
      <c r="P3" s="48">
        <v>2.5945945945945961</v>
      </c>
      <c r="Q3" s="48" t="s">
        <v>75</v>
      </c>
      <c r="R3" s="51">
        <v>3</v>
      </c>
      <c r="S3" s="66">
        <f>(SUMPRODUCT(R$3:R3,$P$3:$P3)/SUMPRODUCT(R$3:R$17,$P$3:$P$17))</f>
        <v>0.26086956521739124</v>
      </c>
      <c r="T3" s="51">
        <v>2</v>
      </c>
      <c r="U3" s="66">
        <f>(SUMPRODUCT(T$3:T3,$P$3:$P3)/SUMPRODUCT(T$3:T$17,$P$3:$P$17))</f>
        <v>0.13382899628252792</v>
      </c>
      <c r="V3" s="51">
        <v>2</v>
      </c>
      <c r="W3" s="66">
        <f>(SUMPRODUCT(V$3:V3,$P$3:$P3)/SUMPRODUCT(V$3:V$17,$P$3:$P$17))</f>
        <v>0.13584905660377364</v>
      </c>
      <c r="X3" s="51">
        <v>2</v>
      </c>
      <c r="Y3" s="66">
        <f>(SUMPRODUCT(X$3:X3,$P$3:$P3)/SUMPRODUCT(X$3:X$17,$P$3:$P$17))</f>
        <v>0.1348314606741573</v>
      </c>
      <c r="Z3" s="51">
        <v>2</v>
      </c>
      <c r="AA3" s="66">
        <f>(SUMPRODUCT(Z$3:Z3,$P$3:$P3)/SUMPRODUCT(Z$3:Z$17,$P$3:$P$17))</f>
        <v>0.1348314606741573</v>
      </c>
      <c r="AB3" s="51">
        <v>2</v>
      </c>
      <c r="AC3" s="66">
        <f>(SUMPRODUCT(AB$3:AB3,$P$3:$P3)/SUMPRODUCT(AB$3:AB$17,$P$3:$P$17))</f>
        <v>0.15720524017467249</v>
      </c>
      <c r="AD3" s="51">
        <v>2</v>
      </c>
      <c r="AE3" s="66">
        <f>(SUMPRODUCT(AD$3:AD3,$P$3:$P3)/SUMPRODUCT(AD$3:AD$17,$P$3:$P$17))</f>
        <v>0.15720524017467249</v>
      </c>
    </row>
    <row r="4" spans="1:31" ht="18" x14ac:dyDescent="0.25">
      <c r="A4" s="48" t="s">
        <v>76</v>
      </c>
      <c r="B4" s="66">
        <f t="shared" si="0"/>
        <v>3</v>
      </c>
      <c r="C4" s="66">
        <f t="shared" ref="C4:C17" si="1">(S4)</f>
        <v>0.28985507246376802</v>
      </c>
      <c r="D4" s="66">
        <f t="shared" si="0"/>
        <v>2</v>
      </c>
      <c r="E4" s="66">
        <f t="shared" si="0"/>
        <v>0.14869888475836437</v>
      </c>
      <c r="F4" s="66">
        <f t="shared" si="0"/>
        <v>2</v>
      </c>
      <c r="G4" s="66">
        <f t="shared" si="0"/>
        <v>0.15094339622641514</v>
      </c>
      <c r="H4" s="66">
        <f t="shared" si="0"/>
        <v>2</v>
      </c>
      <c r="I4" s="66">
        <f t="shared" si="0"/>
        <v>0.14981273408239701</v>
      </c>
      <c r="J4" s="66">
        <f t="shared" si="0"/>
        <v>2</v>
      </c>
      <c r="K4" s="66">
        <f t="shared" si="0"/>
        <v>0.14981273408239701</v>
      </c>
      <c r="L4" s="66">
        <f t="shared" si="0"/>
        <v>2</v>
      </c>
      <c r="M4" s="66">
        <f t="shared" si="0"/>
        <v>0.17467248908296942</v>
      </c>
      <c r="N4" s="66">
        <f t="shared" si="0"/>
        <v>2</v>
      </c>
      <c r="O4" s="66">
        <f t="shared" si="0"/>
        <v>0.17467248908296942</v>
      </c>
      <c r="P4" s="48">
        <v>0.28828828828828845</v>
      </c>
      <c r="Q4" s="48" t="s">
        <v>76</v>
      </c>
      <c r="R4" s="51">
        <v>3</v>
      </c>
      <c r="S4" s="66">
        <f>(SUMPRODUCT(R$3:R4,$P$3:$P4)/SUMPRODUCT(R$3:R$17,$P$3:$P$17))</f>
        <v>0.28985507246376802</v>
      </c>
      <c r="T4" s="51">
        <v>2</v>
      </c>
      <c r="U4" s="66">
        <f>(SUMPRODUCT(T$3:T4,$P$3:$P4)/SUMPRODUCT(T$3:T$17,$P$3:$P$17))</f>
        <v>0.14869888475836437</v>
      </c>
      <c r="V4" s="51">
        <v>2</v>
      </c>
      <c r="W4" s="66">
        <f>(SUMPRODUCT(V$3:V4,$P$3:$P4)/SUMPRODUCT(V$3:V$17,$P$3:$P$17))</f>
        <v>0.15094339622641514</v>
      </c>
      <c r="X4" s="51">
        <v>2</v>
      </c>
      <c r="Y4" s="66">
        <f>(SUMPRODUCT(X$3:X4,$P$3:$P4)/SUMPRODUCT(X$3:X$17,$P$3:$P$17))</f>
        <v>0.14981273408239701</v>
      </c>
      <c r="Z4" s="51">
        <v>2</v>
      </c>
      <c r="AA4" s="66">
        <f>(SUMPRODUCT(Z$3:Z4,$P$3:$P4)/SUMPRODUCT(Z$3:Z$17,$P$3:$P$17))</f>
        <v>0.14981273408239701</v>
      </c>
      <c r="AB4" s="51">
        <v>2</v>
      </c>
      <c r="AC4" s="66">
        <f>(SUMPRODUCT(AB$3:AB4,$P$3:$P4)/SUMPRODUCT(AB$3:AB$17,$P$3:$P$17))</f>
        <v>0.17467248908296942</v>
      </c>
      <c r="AD4" s="51">
        <v>2</v>
      </c>
      <c r="AE4" s="66">
        <f>(SUMPRODUCT(AD$3:AD4,$P$3:$P4)/SUMPRODUCT(AD$3:AD$17,$P$3:$P$17))</f>
        <v>0.17467248908296942</v>
      </c>
    </row>
    <row r="5" spans="1:31" ht="18" x14ac:dyDescent="0.25">
      <c r="A5" s="48" t="s">
        <v>148</v>
      </c>
      <c r="B5" s="66">
        <f t="shared" si="0"/>
        <v>3</v>
      </c>
      <c r="C5" s="66">
        <f t="shared" si="1"/>
        <v>0.57971014492753603</v>
      </c>
      <c r="D5" s="66">
        <f t="shared" si="0"/>
        <v>3</v>
      </c>
      <c r="E5" s="66">
        <f t="shared" si="0"/>
        <v>0.37174721189591087</v>
      </c>
      <c r="F5" s="66">
        <f t="shared" si="0"/>
        <v>3</v>
      </c>
      <c r="G5" s="66">
        <f t="shared" si="0"/>
        <v>0.37735849056603787</v>
      </c>
      <c r="H5" s="66">
        <f t="shared" si="0"/>
        <v>3</v>
      </c>
      <c r="I5" s="66">
        <f t="shared" si="0"/>
        <v>0.37453183520599254</v>
      </c>
      <c r="J5" s="66">
        <f t="shared" si="0"/>
        <v>3</v>
      </c>
      <c r="K5" s="66">
        <f t="shared" si="0"/>
        <v>0.37453183520599254</v>
      </c>
      <c r="L5" s="66">
        <f t="shared" si="0"/>
        <v>1</v>
      </c>
      <c r="M5" s="66">
        <f t="shared" si="0"/>
        <v>0.26200873362445415</v>
      </c>
      <c r="N5" s="66">
        <f t="shared" si="0"/>
        <v>1</v>
      </c>
      <c r="O5" s="66">
        <f t="shared" si="0"/>
        <v>0.26200873362445415</v>
      </c>
      <c r="P5" s="48">
        <v>2.8828828828828845</v>
      </c>
      <c r="Q5" s="48" t="s">
        <v>148</v>
      </c>
      <c r="R5" s="51">
        <v>3</v>
      </c>
      <c r="S5" s="66">
        <f>(SUMPRODUCT(R$3:R5,$P$3:$P5)/SUMPRODUCT(R$3:R$17,$P$3:$P$17))</f>
        <v>0.57971014492753603</v>
      </c>
      <c r="T5" s="51">
        <v>3</v>
      </c>
      <c r="U5" s="66">
        <f>(SUMPRODUCT(T$3:T5,$P$3:$P5)/SUMPRODUCT(T$3:T$17,$P$3:$P$17))</f>
        <v>0.37174721189591087</v>
      </c>
      <c r="V5" s="51">
        <v>3</v>
      </c>
      <c r="W5" s="66">
        <f>(SUMPRODUCT(V$3:V5,$P$3:$P5)/SUMPRODUCT(V$3:V$17,$P$3:$P$17))</f>
        <v>0.37735849056603787</v>
      </c>
      <c r="X5" s="51">
        <v>3</v>
      </c>
      <c r="Y5" s="66">
        <f>(SUMPRODUCT(X$3:X5,$P$3:$P5)/SUMPRODUCT(X$3:X$17,$P$3:$P$17))</f>
        <v>0.37453183520599254</v>
      </c>
      <c r="Z5" s="51">
        <v>3</v>
      </c>
      <c r="AA5" s="66">
        <f>(SUMPRODUCT(Z$3:Z5,$P$3:$P5)/SUMPRODUCT(Z$3:Z$17,$P$3:$P$17))</f>
        <v>0.37453183520599254</v>
      </c>
      <c r="AB5" s="51">
        <v>1</v>
      </c>
      <c r="AC5" s="66">
        <f>(SUMPRODUCT(AB$3:AB5,$P$3:$P5)/SUMPRODUCT(AB$3:AB$17,$P$3:$P$17))</f>
        <v>0.26200873362445415</v>
      </c>
      <c r="AD5" s="51">
        <v>1</v>
      </c>
      <c r="AE5" s="66">
        <f>(SUMPRODUCT(AD$3:AD5,$P$3:$P5)/SUMPRODUCT(AD$3:AD$17,$P$3:$P$17))</f>
        <v>0.26200873362445415</v>
      </c>
    </row>
    <row r="6" spans="1:31" ht="18" x14ac:dyDescent="0.25">
      <c r="A6" s="48" t="s">
        <v>143</v>
      </c>
      <c r="B6" s="66">
        <f t="shared" si="0"/>
        <v>1</v>
      </c>
      <c r="C6" s="66">
        <f t="shared" si="1"/>
        <v>0.63768115942028969</v>
      </c>
      <c r="D6" s="66">
        <f t="shared" si="0"/>
        <v>3</v>
      </c>
      <c r="E6" s="66">
        <f t="shared" si="0"/>
        <v>0.50557620817843874</v>
      </c>
      <c r="F6" s="66">
        <f t="shared" si="0"/>
        <v>3</v>
      </c>
      <c r="G6" s="66">
        <f t="shared" si="0"/>
        <v>0.51320754716981143</v>
      </c>
      <c r="H6" s="66">
        <f t="shared" si="0"/>
        <v>3</v>
      </c>
      <c r="I6" s="66">
        <f t="shared" si="0"/>
        <v>0.50936329588014984</v>
      </c>
      <c r="J6" s="66">
        <f t="shared" si="0"/>
        <v>3</v>
      </c>
      <c r="K6" s="66">
        <f t="shared" si="0"/>
        <v>0.50936329588014984</v>
      </c>
      <c r="L6" s="66">
        <f t="shared" si="0"/>
        <v>3</v>
      </c>
      <c r="M6" s="66">
        <f t="shared" si="0"/>
        <v>0.41921397379912667</v>
      </c>
      <c r="N6" s="66">
        <f t="shared" si="0"/>
        <v>3</v>
      </c>
      <c r="O6" s="66">
        <f t="shared" si="0"/>
        <v>0.41921397379912667</v>
      </c>
      <c r="P6" s="48">
        <v>1.7297297297297307</v>
      </c>
      <c r="Q6" s="48" t="s">
        <v>143</v>
      </c>
      <c r="R6" s="51">
        <v>1</v>
      </c>
      <c r="S6" s="66">
        <f>(SUMPRODUCT(R$3:R6,$P$3:$P6)/SUMPRODUCT(R$3:R$17,$P$3:$P$17))</f>
        <v>0.63768115942028969</v>
      </c>
      <c r="T6" s="51">
        <v>3</v>
      </c>
      <c r="U6" s="66">
        <f>(SUMPRODUCT(T$3:T6,$P$3:$P6)/SUMPRODUCT(T$3:T$17,$P$3:$P$17))</f>
        <v>0.50557620817843874</v>
      </c>
      <c r="V6" s="51">
        <v>3</v>
      </c>
      <c r="W6" s="66">
        <f>(SUMPRODUCT(V$3:V6,$P$3:$P6)/SUMPRODUCT(V$3:V$17,$P$3:$P$17))</f>
        <v>0.51320754716981143</v>
      </c>
      <c r="X6" s="51">
        <v>3</v>
      </c>
      <c r="Y6" s="66">
        <f>(SUMPRODUCT(X$3:X6,$P$3:$P6)/SUMPRODUCT(X$3:X$17,$P$3:$P$17))</f>
        <v>0.50936329588014984</v>
      </c>
      <c r="Z6" s="51">
        <v>3</v>
      </c>
      <c r="AA6" s="66">
        <f>(SUMPRODUCT(Z$3:Z6,$P$3:$P6)/SUMPRODUCT(Z$3:Z$17,$P$3:$P$17))</f>
        <v>0.50936329588014984</v>
      </c>
      <c r="AB6" s="51">
        <v>3</v>
      </c>
      <c r="AC6" s="66">
        <f>(SUMPRODUCT(AB$3:AB6,$P$3:$P6)/SUMPRODUCT(AB$3:AB$17,$P$3:$P$17))</f>
        <v>0.41921397379912667</v>
      </c>
      <c r="AD6" s="51">
        <v>3</v>
      </c>
      <c r="AE6" s="66">
        <f>(SUMPRODUCT(AD$3:AD6,$P$3:$P6)/SUMPRODUCT(AD$3:AD$17,$P$3:$P$17))</f>
        <v>0.41921397379912667</v>
      </c>
    </row>
    <row r="7" spans="1:31" ht="18" x14ac:dyDescent="0.25">
      <c r="A7" s="48" t="s">
        <v>77</v>
      </c>
      <c r="B7" s="66">
        <f t="shared" si="0"/>
        <v>3</v>
      </c>
      <c r="C7" s="66">
        <f t="shared" si="1"/>
        <v>0.7536231884057969</v>
      </c>
      <c r="D7" s="66">
        <f t="shared" si="0"/>
        <v>2</v>
      </c>
      <c r="E7" s="66">
        <f t="shared" si="0"/>
        <v>0.56505576208178454</v>
      </c>
      <c r="F7" s="66">
        <f t="shared" si="0"/>
        <v>2</v>
      </c>
      <c r="G7" s="66">
        <f t="shared" si="0"/>
        <v>0.57358490566037756</v>
      </c>
      <c r="H7" s="66">
        <f t="shared" si="0"/>
        <v>2</v>
      </c>
      <c r="I7" s="66">
        <f t="shared" si="0"/>
        <v>0.56928838951310856</v>
      </c>
      <c r="J7" s="66">
        <f t="shared" si="0"/>
        <v>2</v>
      </c>
      <c r="K7" s="66">
        <f t="shared" si="0"/>
        <v>0.56928838951310856</v>
      </c>
      <c r="L7" s="66">
        <f t="shared" si="0"/>
        <v>2</v>
      </c>
      <c r="M7" s="66">
        <f t="shared" si="0"/>
        <v>0.48908296943231444</v>
      </c>
      <c r="N7" s="66">
        <f t="shared" si="0"/>
        <v>2</v>
      </c>
      <c r="O7" s="66">
        <f t="shared" si="0"/>
        <v>0.48908296943231444</v>
      </c>
      <c r="P7" s="48">
        <v>1.1531531531531538</v>
      </c>
      <c r="Q7" s="48" t="s">
        <v>77</v>
      </c>
      <c r="R7" s="51">
        <v>3</v>
      </c>
      <c r="S7" s="66">
        <f>(SUMPRODUCT(R$3:R7,$P$3:$P7)/SUMPRODUCT(R$3:R$17,$P$3:$P$17))</f>
        <v>0.7536231884057969</v>
      </c>
      <c r="T7" s="51">
        <v>2</v>
      </c>
      <c r="U7" s="66">
        <f>(SUMPRODUCT(T$3:T7,$P$3:$P7)/SUMPRODUCT(T$3:T$17,$P$3:$P$17))</f>
        <v>0.56505576208178454</v>
      </c>
      <c r="V7" s="51">
        <v>2</v>
      </c>
      <c r="W7" s="66">
        <f>(SUMPRODUCT(V$3:V7,$P$3:$P7)/SUMPRODUCT(V$3:V$17,$P$3:$P$17))</f>
        <v>0.57358490566037756</v>
      </c>
      <c r="X7" s="51">
        <v>2</v>
      </c>
      <c r="Y7" s="66">
        <f>(SUMPRODUCT(X$3:X7,$P$3:$P7)/SUMPRODUCT(X$3:X$17,$P$3:$P$17))</f>
        <v>0.56928838951310856</v>
      </c>
      <c r="Z7" s="51">
        <v>2</v>
      </c>
      <c r="AA7" s="66">
        <f>(SUMPRODUCT(Z$3:Z7,$P$3:$P7)/SUMPRODUCT(Z$3:Z$17,$P$3:$P$17))</f>
        <v>0.56928838951310856</v>
      </c>
      <c r="AB7" s="51">
        <v>2</v>
      </c>
      <c r="AC7" s="66">
        <f>(SUMPRODUCT(AB$3:AB7,$P$3:$P7)/SUMPRODUCT(AB$3:AB$17,$P$3:$P$17))</f>
        <v>0.48908296943231444</v>
      </c>
      <c r="AD7" s="51">
        <v>2</v>
      </c>
      <c r="AE7" s="66">
        <f>(SUMPRODUCT(AD$3:AD7,$P$3:$P7)/SUMPRODUCT(AD$3:AD$17,$P$3:$P$17))</f>
        <v>0.48908296943231444</v>
      </c>
    </row>
    <row r="8" spans="1:31" ht="18" x14ac:dyDescent="0.25">
      <c r="A8" s="50" t="s">
        <v>194</v>
      </c>
      <c r="B8" s="66">
        <f t="shared" si="0"/>
        <v>1</v>
      </c>
      <c r="C8" s="66">
        <f t="shared" si="1"/>
        <v>0.80193236714975824</v>
      </c>
      <c r="D8" s="66">
        <f t="shared" si="0"/>
        <v>3</v>
      </c>
      <c r="E8" s="66">
        <f t="shared" si="0"/>
        <v>0.6765799256505578</v>
      </c>
      <c r="F8" s="66">
        <f t="shared" si="0"/>
        <v>3</v>
      </c>
      <c r="G8" s="66">
        <f t="shared" si="0"/>
        <v>0.68679245283018886</v>
      </c>
      <c r="H8" s="66">
        <f t="shared" si="0"/>
        <v>3</v>
      </c>
      <c r="I8" s="66">
        <f t="shared" si="0"/>
        <v>0.68164794007490637</v>
      </c>
      <c r="J8" s="66">
        <f t="shared" si="0"/>
        <v>3</v>
      </c>
      <c r="K8" s="66">
        <f t="shared" si="0"/>
        <v>0.68164794007490637</v>
      </c>
      <c r="L8" s="66">
        <f t="shared" si="0"/>
        <v>3</v>
      </c>
      <c r="M8" s="66">
        <f t="shared" si="0"/>
        <v>0.62008733624454149</v>
      </c>
      <c r="N8" s="66">
        <f t="shared" si="0"/>
        <v>3</v>
      </c>
      <c r="O8" s="66">
        <f t="shared" si="0"/>
        <v>0.62008733624454149</v>
      </c>
      <c r="P8" s="48">
        <v>1.4414414414414423</v>
      </c>
      <c r="Q8" s="50" t="s">
        <v>194</v>
      </c>
      <c r="R8" s="51">
        <v>1</v>
      </c>
      <c r="S8" s="66">
        <f>(SUMPRODUCT(R$3:R8,$P$3:$P8)/SUMPRODUCT(R$3:R$17,$P$3:$P$17))</f>
        <v>0.80193236714975824</v>
      </c>
      <c r="T8" s="51">
        <v>3</v>
      </c>
      <c r="U8" s="66">
        <f>(SUMPRODUCT(T$3:T8,$P$3:$P8)/SUMPRODUCT(T$3:T$17,$P$3:$P$17))</f>
        <v>0.6765799256505578</v>
      </c>
      <c r="V8" s="51">
        <v>3</v>
      </c>
      <c r="W8" s="66">
        <f>(SUMPRODUCT(V$3:V8,$P$3:$P8)/SUMPRODUCT(V$3:V$17,$P$3:$P$17))</f>
        <v>0.68679245283018886</v>
      </c>
      <c r="X8" s="51">
        <v>3</v>
      </c>
      <c r="Y8" s="66">
        <f>(SUMPRODUCT(X$3:X8,$P$3:$P8)/SUMPRODUCT(X$3:X$17,$P$3:$P$17))</f>
        <v>0.68164794007490637</v>
      </c>
      <c r="Z8" s="51">
        <v>3</v>
      </c>
      <c r="AA8" s="66">
        <f>(SUMPRODUCT(Z$3:Z8,$P$3:$P8)/SUMPRODUCT(Z$3:Z$17,$P$3:$P$17))</f>
        <v>0.68164794007490637</v>
      </c>
      <c r="AB8" s="51">
        <v>3</v>
      </c>
      <c r="AC8" s="66">
        <f>(SUMPRODUCT(AB$3:AB8,$P$3:$P8)/SUMPRODUCT(AB$3:AB$17,$P$3:$P$17))</f>
        <v>0.62008733624454149</v>
      </c>
      <c r="AD8" s="51">
        <v>3</v>
      </c>
      <c r="AE8" s="66">
        <f>(SUMPRODUCT(AD$3:AD8,$P$3:$P8)/SUMPRODUCT(AD$3:AD$17,$P$3:$P$17))</f>
        <v>0.62008733624454149</v>
      </c>
    </row>
    <row r="9" spans="1:31" ht="18" x14ac:dyDescent="0.25">
      <c r="A9" s="48" t="s">
        <v>87</v>
      </c>
      <c r="B9" s="66">
        <f t="shared" si="0"/>
        <v>1</v>
      </c>
      <c r="C9" s="66">
        <f t="shared" si="1"/>
        <v>0.81159420289855055</v>
      </c>
      <c r="D9" s="66">
        <f t="shared" si="0"/>
        <v>3</v>
      </c>
      <c r="E9" s="66">
        <f t="shared" si="0"/>
        <v>0.69888475836431252</v>
      </c>
      <c r="F9" s="66">
        <f t="shared" si="0"/>
        <v>3</v>
      </c>
      <c r="G9" s="66">
        <f t="shared" si="0"/>
        <v>0.70943396226415123</v>
      </c>
      <c r="H9" s="66">
        <f t="shared" si="0"/>
        <v>3</v>
      </c>
      <c r="I9" s="66">
        <f t="shared" si="0"/>
        <v>0.70411985018726597</v>
      </c>
      <c r="J9" s="66">
        <f t="shared" si="0"/>
        <v>3</v>
      </c>
      <c r="K9" s="66">
        <f t="shared" si="0"/>
        <v>0.70411985018726597</v>
      </c>
      <c r="L9" s="66">
        <f t="shared" si="0"/>
        <v>3</v>
      </c>
      <c r="M9" s="66">
        <f t="shared" si="0"/>
        <v>0.64628820960698696</v>
      </c>
      <c r="N9" s="66">
        <f t="shared" si="0"/>
        <v>3</v>
      </c>
      <c r="O9" s="66">
        <f t="shared" si="0"/>
        <v>0.64628820960698696</v>
      </c>
      <c r="P9" s="48">
        <v>0.28828828828828845</v>
      </c>
      <c r="Q9" s="48" t="s">
        <v>87</v>
      </c>
      <c r="R9" s="51">
        <v>1</v>
      </c>
      <c r="S9" s="66">
        <f>(SUMPRODUCT(R$3:R9,$P$3:$P9)/SUMPRODUCT(R$3:R$17,$P$3:$P$17))</f>
        <v>0.81159420289855055</v>
      </c>
      <c r="T9" s="51">
        <v>3</v>
      </c>
      <c r="U9" s="66">
        <f>(SUMPRODUCT(T$3:T9,$P$3:$P9)/SUMPRODUCT(T$3:T$17,$P$3:$P$17))</f>
        <v>0.69888475836431252</v>
      </c>
      <c r="V9" s="51">
        <v>3</v>
      </c>
      <c r="W9" s="66">
        <f>(SUMPRODUCT(V$3:V9,$P$3:$P9)/SUMPRODUCT(V$3:V$17,$P$3:$P$17))</f>
        <v>0.70943396226415123</v>
      </c>
      <c r="X9" s="51">
        <v>3</v>
      </c>
      <c r="Y9" s="66">
        <f>(SUMPRODUCT(X$3:X9,$P$3:$P9)/SUMPRODUCT(X$3:X$17,$P$3:$P$17))</f>
        <v>0.70411985018726597</v>
      </c>
      <c r="Z9" s="51">
        <v>3</v>
      </c>
      <c r="AA9" s="66">
        <f>(SUMPRODUCT(Z$3:Z9,$P$3:$P9)/SUMPRODUCT(Z$3:Z$17,$P$3:$P$17))</f>
        <v>0.70411985018726597</v>
      </c>
      <c r="AB9" s="51">
        <v>3</v>
      </c>
      <c r="AC9" s="66">
        <f>(SUMPRODUCT(AB$3:AB9,$P$3:$P9)/SUMPRODUCT(AB$3:AB$17,$P$3:$P$17))</f>
        <v>0.64628820960698696</v>
      </c>
      <c r="AD9" s="51">
        <v>3</v>
      </c>
      <c r="AE9" s="66">
        <f>(SUMPRODUCT(AD$3:AD9,$P$3:$P9)/SUMPRODUCT(AD$3:AD$17,$P$3:$P$17))</f>
        <v>0.64628820960698696</v>
      </c>
    </row>
    <row r="10" spans="1:31" ht="18" x14ac:dyDescent="0.25">
      <c r="A10" s="48" t="s">
        <v>88</v>
      </c>
      <c r="B10" s="66">
        <f t="shared" si="0"/>
        <v>1</v>
      </c>
      <c r="C10" s="66">
        <f t="shared" si="1"/>
        <v>0.88405797101449257</v>
      </c>
      <c r="D10" s="66">
        <f t="shared" si="0"/>
        <v>3</v>
      </c>
      <c r="E10" s="66">
        <f t="shared" si="0"/>
        <v>0.86617100371747247</v>
      </c>
      <c r="F10" s="66">
        <f t="shared" si="0"/>
        <v>3</v>
      </c>
      <c r="G10" s="66">
        <f t="shared" si="0"/>
        <v>0.87924528301886828</v>
      </c>
      <c r="H10" s="66">
        <f t="shared" si="0"/>
        <v>3</v>
      </c>
      <c r="I10" s="66">
        <f t="shared" si="0"/>
        <v>0.87265917602996257</v>
      </c>
      <c r="J10" s="66">
        <f t="shared" si="0"/>
        <v>3</v>
      </c>
      <c r="K10" s="66">
        <f t="shared" si="0"/>
        <v>0.87265917602996257</v>
      </c>
      <c r="L10" s="66">
        <f t="shared" si="0"/>
        <v>3</v>
      </c>
      <c r="M10" s="66">
        <f t="shared" si="0"/>
        <v>0.84279475982532748</v>
      </c>
      <c r="N10" s="66">
        <f t="shared" si="0"/>
        <v>3</v>
      </c>
      <c r="O10" s="66">
        <f t="shared" si="0"/>
        <v>0.84279475982532748</v>
      </c>
      <c r="P10" s="48">
        <v>2.1621621621621632</v>
      </c>
      <c r="Q10" s="48" t="s">
        <v>88</v>
      </c>
      <c r="R10" s="51">
        <v>1</v>
      </c>
      <c r="S10" s="66">
        <f>(SUMPRODUCT(R$3:R10,$P$3:$P10)/SUMPRODUCT(R$3:R$17,$P$3:$P$17))</f>
        <v>0.88405797101449257</v>
      </c>
      <c r="T10" s="51">
        <v>3</v>
      </c>
      <c r="U10" s="66">
        <f>(SUMPRODUCT(T$3:T10,$P$3:$P10)/SUMPRODUCT(T$3:T$17,$P$3:$P$17))</f>
        <v>0.86617100371747247</v>
      </c>
      <c r="V10" s="51">
        <v>3</v>
      </c>
      <c r="W10" s="66">
        <f>(SUMPRODUCT(V$3:V10,$P$3:$P10)/SUMPRODUCT(V$3:V$17,$P$3:$P$17))</f>
        <v>0.87924528301886828</v>
      </c>
      <c r="X10" s="51">
        <v>3</v>
      </c>
      <c r="Y10" s="66">
        <f>(SUMPRODUCT(X$3:X10,$P$3:$P10)/SUMPRODUCT(X$3:X$17,$P$3:$P$17))</f>
        <v>0.87265917602996257</v>
      </c>
      <c r="Z10" s="51">
        <v>3</v>
      </c>
      <c r="AA10" s="66">
        <f>(SUMPRODUCT(Z$3:Z10,$P$3:$P10)/SUMPRODUCT(Z$3:Z$17,$P$3:$P$17))</f>
        <v>0.87265917602996257</v>
      </c>
      <c r="AB10" s="51">
        <v>3</v>
      </c>
      <c r="AC10" s="66">
        <f>(SUMPRODUCT(AB$3:AB10,$P$3:$P10)/SUMPRODUCT(AB$3:AB$17,$P$3:$P$17))</f>
        <v>0.84279475982532748</v>
      </c>
      <c r="AD10" s="51">
        <v>3</v>
      </c>
      <c r="AE10" s="66">
        <f>(SUMPRODUCT(AD$3:AD10,$P$3:$P10)/SUMPRODUCT(AD$3:AD$17,$P$3:$P$17))</f>
        <v>0.84279475982532748</v>
      </c>
    </row>
    <row r="11" spans="1:31" ht="18" x14ac:dyDescent="0.25">
      <c r="A11" s="48" t="s">
        <v>89</v>
      </c>
      <c r="B11" s="66">
        <f t="shared" si="0"/>
        <v>1</v>
      </c>
      <c r="C11" s="66">
        <f t="shared" si="1"/>
        <v>0.89371980676328489</v>
      </c>
      <c r="D11" s="66">
        <f t="shared" si="0"/>
        <v>3</v>
      </c>
      <c r="E11" s="66">
        <f t="shared" si="0"/>
        <v>0.88847583643122696</v>
      </c>
      <c r="F11" s="66">
        <f t="shared" si="0"/>
        <v>3</v>
      </c>
      <c r="G11" s="66">
        <f t="shared" si="0"/>
        <v>0.90188679245283043</v>
      </c>
      <c r="H11" s="66">
        <f t="shared" si="0"/>
        <v>3</v>
      </c>
      <c r="I11" s="66">
        <f t="shared" si="0"/>
        <v>0.89513108614232206</v>
      </c>
      <c r="J11" s="66">
        <f t="shared" si="0"/>
        <v>3</v>
      </c>
      <c r="K11" s="66">
        <f t="shared" si="0"/>
        <v>0.89513108614232206</v>
      </c>
      <c r="L11" s="66">
        <f t="shared" si="0"/>
        <v>3</v>
      </c>
      <c r="M11" s="66">
        <f t="shared" si="0"/>
        <v>0.86899563318777295</v>
      </c>
      <c r="N11" s="66">
        <f t="shared" si="0"/>
        <v>3</v>
      </c>
      <c r="O11" s="66">
        <f t="shared" si="0"/>
        <v>0.86899563318777295</v>
      </c>
      <c r="P11" s="48">
        <v>0.28828828828828845</v>
      </c>
      <c r="Q11" s="48" t="s">
        <v>89</v>
      </c>
      <c r="R11" s="51">
        <v>1</v>
      </c>
      <c r="S11" s="66">
        <f>(SUMPRODUCT(R$3:R11,$P$3:$P11)/SUMPRODUCT(R$3:R$17,$P$3:$P$17))</f>
        <v>0.89371980676328489</v>
      </c>
      <c r="T11" s="51">
        <v>3</v>
      </c>
      <c r="U11" s="66">
        <f>(SUMPRODUCT(T$3:T11,$P$3:$P11)/SUMPRODUCT(T$3:T$17,$P$3:$P$17))</f>
        <v>0.88847583643122696</v>
      </c>
      <c r="V11" s="51">
        <v>3</v>
      </c>
      <c r="W11" s="66">
        <f>(SUMPRODUCT(V$3:V11,$P$3:$P11)/SUMPRODUCT(V$3:V$17,$P$3:$P$17))</f>
        <v>0.90188679245283043</v>
      </c>
      <c r="X11" s="51">
        <v>3</v>
      </c>
      <c r="Y11" s="66">
        <f>(SUMPRODUCT(X$3:X11,$P$3:$P11)/SUMPRODUCT(X$3:X$17,$P$3:$P$17))</f>
        <v>0.89513108614232206</v>
      </c>
      <c r="Z11" s="51">
        <v>3</v>
      </c>
      <c r="AA11" s="66">
        <f>(SUMPRODUCT(Z$3:Z11,$P$3:$P11)/SUMPRODUCT(Z$3:Z$17,$P$3:$P$17))</f>
        <v>0.89513108614232206</v>
      </c>
      <c r="AB11" s="51">
        <v>3</v>
      </c>
      <c r="AC11" s="66">
        <f>(SUMPRODUCT(AB$3:AB11,$P$3:$P11)/SUMPRODUCT(AB$3:AB$17,$P$3:$P$17))</f>
        <v>0.86899563318777295</v>
      </c>
      <c r="AD11" s="51">
        <v>3</v>
      </c>
      <c r="AE11" s="66">
        <f>(SUMPRODUCT(AD$3:AD11,$P$3:$P11)/SUMPRODUCT(AD$3:AD$17,$P$3:$P$17))</f>
        <v>0.86899563318777295</v>
      </c>
    </row>
    <row r="12" spans="1:31" ht="18" x14ac:dyDescent="0.25">
      <c r="A12" s="48" t="s">
        <v>19</v>
      </c>
      <c r="B12" s="66">
        <f t="shared" si="0"/>
        <v>2</v>
      </c>
      <c r="C12" s="66">
        <f t="shared" si="1"/>
        <v>0.9130434782608694</v>
      </c>
      <c r="D12" s="66">
        <f t="shared" si="0"/>
        <v>3</v>
      </c>
      <c r="E12" s="66">
        <f t="shared" si="0"/>
        <v>0.91078066914498157</v>
      </c>
      <c r="F12" s="66">
        <f t="shared" si="0"/>
        <v>1</v>
      </c>
      <c r="G12" s="66">
        <f t="shared" si="0"/>
        <v>0.90943396226415119</v>
      </c>
      <c r="H12" s="66">
        <f t="shared" si="0"/>
        <v>3</v>
      </c>
      <c r="I12" s="66">
        <f t="shared" si="0"/>
        <v>0.91760299625468156</v>
      </c>
      <c r="J12" s="66">
        <f t="shared" si="0"/>
        <v>3</v>
      </c>
      <c r="K12" s="66">
        <f t="shared" si="0"/>
        <v>0.91760299625468156</v>
      </c>
      <c r="L12" s="66">
        <f t="shared" si="0"/>
        <v>3</v>
      </c>
      <c r="M12" s="66">
        <f t="shared" si="0"/>
        <v>0.89519650655021843</v>
      </c>
      <c r="N12" s="66">
        <f t="shared" si="0"/>
        <v>3</v>
      </c>
      <c r="O12" s="66">
        <f t="shared" si="0"/>
        <v>0.89519650655021843</v>
      </c>
      <c r="P12" s="48">
        <v>0.28828828828828845</v>
      </c>
      <c r="Q12" s="48" t="s">
        <v>19</v>
      </c>
      <c r="R12" s="51">
        <v>2</v>
      </c>
      <c r="S12" s="66">
        <f>(SUMPRODUCT(R$3:R12,$P$3:$P12)/SUMPRODUCT(R$3:R$17,$P$3:$P$17))</f>
        <v>0.9130434782608694</v>
      </c>
      <c r="T12" s="51">
        <v>3</v>
      </c>
      <c r="U12" s="66">
        <f>(SUMPRODUCT(T$3:T12,$P$3:$P12)/SUMPRODUCT(T$3:T$17,$P$3:$P$17))</f>
        <v>0.91078066914498157</v>
      </c>
      <c r="V12" s="51">
        <v>1</v>
      </c>
      <c r="W12" s="66">
        <f>(SUMPRODUCT(V$3:V12,$P$3:$P12)/SUMPRODUCT(V$3:V$17,$P$3:$P$17))</f>
        <v>0.90943396226415119</v>
      </c>
      <c r="X12" s="51">
        <v>3</v>
      </c>
      <c r="Y12" s="66">
        <f>(SUMPRODUCT(X$3:X12,$P$3:$P12)/SUMPRODUCT(X$3:X$17,$P$3:$P$17))</f>
        <v>0.91760299625468156</v>
      </c>
      <c r="Z12" s="51">
        <v>3</v>
      </c>
      <c r="AA12" s="66">
        <f>(SUMPRODUCT(Z$3:Z12,$P$3:$P12)/SUMPRODUCT(Z$3:Z$17,$P$3:$P$17))</f>
        <v>0.91760299625468156</v>
      </c>
      <c r="AB12" s="51">
        <v>3</v>
      </c>
      <c r="AC12" s="66">
        <f>(SUMPRODUCT(AB$3:AB12,$P$3:$P12)/SUMPRODUCT(AB$3:AB$17,$P$3:$P$17))</f>
        <v>0.89519650655021843</v>
      </c>
      <c r="AD12" s="51">
        <v>3</v>
      </c>
      <c r="AE12" s="66">
        <f>(SUMPRODUCT(AD$3:AD12,$P$3:$P12)/SUMPRODUCT(AD$3:AD$17,$P$3:$P$17))</f>
        <v>0.89519650655021843</v>
      </c>
    </row>
    <row r="13" spans="1:31" ht="18" x14ac:dyDescent="0.25">
      <c r="A13" s="48" t="s">
        <v>20</v>
      </c>
      <c r="B13" s="66">
        <f t="shared" si="0"/>
        <v>1</v>
      </c>
      <c r="C13" s="66">
        <f t="shared" si="1"/>
        <v>0.92270531400966171</v>
      </c>
      <c r="D13" s="66">
        <f t="shared" si="0"/>
        <v>3</v>
      </c>
      <c r="E13" s="66">
        <f t="shared" si="0"/>
        <v>0.93308550185873618</v>
      </c>
      <c r="F13" s="66">
        <f t="shared" si="0"/>
        <v>3</v>
      </c>
      <c r="G13" s="66">
        <f t="shared" si="0"/>
        <v>0.93207547169811333</v>
      </c>
      <c r="H13" s="66">
        <f t="shared" si="0"/>
        <v>2</v>
      </c>
      <c r="I13" s="66">
        <f t="shared" si="0"/>
        <v>0.93258426966292129</v>
      </c>
      <c r="J13" s="66">
        <f t="shared" si="0"/>
        <v>2</v>
      </c>
      <c r="K13" s="66">
        <f t="shared" si="0"/>
        <v>0.93258426966292129</v>
      </c>
      <c r="L13" s="66">
        <f t="shared" si="0"/>
        <v>2</v>
      </c>
      <c r="M13" s="66">
        <f t="shared" si="0"/>
        <v>0.91266375545851541</v>
      </c>
      <c r="N13" s="66">
        <f t="shared" si="0"/>
        <v>2</v>
      </c>
      <c r="O13" s="66">
        <f t="shared" si="0"/>
        <v>0.91266375545851541</v>
      </c>
      <c r="P13" s="48">
        <v>0.28828828828828845</v>
      </c>
      <c r="Q13" s="48" t="s">
        <v>20</v>
      </c>
      <c r="R13" s="51">
        <v>1</v>
      </c>
      <c r="S13" s="66">
        <f>(SUMPRODUCT(R$3:R13,$P$3:$P13)/SUMPRODUCT(R$3:R$17,$P$3:$P$17))</f>
        <v>0.92270531400966171</v>
      </c>
      <c r="T13" s="51">
        <v>3</v>
      </c>
      <c r="U13" s="66">
        <f>(SUMPRODUCT(T$3:T13,$P$3:$P13)/SUMPRODUCT(T$3:T$17,$P$3:$P$17))</f>
        <v>0.93308550185873618</v>
      </c>
      <c r="V13" s="51">
        <v>3</v>
      </c>
      <c r="W13" s="66">
        <f>(SUMPRODUCT(V$3:V13,$P$3:$P13)/SUMPRODUCT(V$3:V$17,$P$3:$P$17))</f>
        <v>0.93207547169811333</v>
      </c>
      <c r="X13" s="51">
        <v>2</v>
      </c>
      <c r="Y13" s="66">
        <f>(SUMPRODUCT(X$3:X13,$P$3:$P13)/SUMPRODUCT(X$3:X$17,$P$3:$P$17))</f>
        <v>0.93258426966292129</v>
      </c>
      <c r="Z13" s="51">
        <v>2</v>
      </c>
      <c r="AA13" s="66">
        <f>(SUMPRODUCT(Z$3:Z13,$P$3:$P13)/SUMPRODUCT(Z$3:Z$17,$P$3:$P$17))</f>
        <v>0.93258426966292129</v>
      </c>
      <c r="AB13" s="51">
        <v>2</v>
      </c>
      <c r="AC13" s="66">
        <f>(SUMPRODUCT(AB$3:AB13,$P$3:$P13)/SUMPRODUCT(AB$3:AB$17,$P$3:$P$17))</f>
        <v>0.91266375545851541</v>
      </c>
      <c r="AD13" s="51">
        <v>2</v>
      </c>
      <c r="AE13" s="66">
        <f>(SUMPRODUCT(AD$3:AD13,$P$3:$P13)/SUMPRODUCT(AD$3:AD$17,$P$3:$P$17))</f>
        <v>0.91266375545851541</v>
      </c>
    </row>
    <row r="14" spans="1:31" ht="18" x14ac:dyDescent="0.25">
      <c r="A14" s="48" t="s">
        <v>149</v>
      </c>
      <c r="B14" s="66">
        <f t="shared" si="0"/>
        <v>3</v>
      </c>
      <c r="C14" s="66">
        <f t="shared" si="1"/>
        <v>0.95169082125603854</v>
      </c>
      <c r="D14" s="66">
        <f t="shared" si="0"/>
        <v>3</v>
      </c>
      <c r="E14" s="66">
        <f t="shared" si="0"/>
        <v>0.95539033457249078</v>
      </c>
      <c r="F14" s="66">
        <f t="shared" si="0"/>
        <v>3</v>
      </c>
      <c r="G14" s="66">
        <f t="shared" si="0"/>
        <v>0.95471698113207559</v>
      </c>
      <c r="H14" s="66">
        <f t="shared" si="0"/>
        <v>2</v>
      </c>
      <c r="I14" s="66">
        <f t="shared" si="0"/>
        <v>0.94756554307116103</v>
      </c>
      <c r="J14" s="66">
        <f t="shared" si="0"/>
        <v>2</v>
      </c>
      <c r="K14" s="66">
        <f t="shared" si="0"/>
        <v>0.94756554307116103</v>
      </c>
      <c r="L14" s="66">
        <f t="shared" si="0"/>
        <v>2</v>
      </c>
      <c r="M14" s="66">
        <f t="shared" si="0"/>
        <v>0.93013100436681229</v>
      </c>
      <c r="N14" s="66">
        <f t="shared" si="0"/>
        <v>2</v>
      </c>
      <c r="O14" s="66">
        <f t="shared" si="0"/>
        <v>0.93013100436681229</v>
      </c>
      <c r="P14" s="48">
        <v>0.28828828828828845</v>
      </c>
      <c r="Q14" s="48" t="s">
        <v>149</v>
      </c>
      <c r="R14" s="51">
        <v>3</v>
      </c>
      <c r="S14" s="66">
        <f>(SUMPRODUCT(R$3:R14,$P$3:$P14)/SUMPRODUCT(R$3:R$17,$P$3:$P$17))</f>
        <v>0.95169082125603854</v>
      </c>
      <c r="T14" s="51">
        <v>3</v>
      </c>
      <c r="U14" s="66">
        <f>(SUMPRODUCT(T$3:T14,$P$3:$P14)/SUMPRODUCT(T$3:T$17,$P$3:$P$17))</f>
        <v>0.95539033457249078</v>
      </c>
      <c r="V14" s="51">
        <v>3</v>
      </c>
      <c r="W14" s="66">
        <f>(SUMPRODUCT(V$3:V14,$P$3:$P14)/SUMPRODUCT(V$3:V$17,$P$3:$P$17))</f>
        <v>0.95471698113207559</v>
      </c>
      <c r="X14" s="51">
        <v>2</v>
      </c>
      <c r="Y14" s="66">
        <f>(SUMPRODUCT(X$3:X14,$P$3:$P14)/SUMPRODUCT(X$3:X$17,$P$3:$P$17))</f>
        <v>0.94756554307116103</v>
      </c>
      <c r="Z14" s="51">
        <v>2</v>
      </c>
      <c r="AA14" s="66">
        <f>(SUMPRODUCT(Z$3:Z14,$P$3:$P14)/SUMPRODUCT(Z$3:Z$17,$P$3:$P$17))</f>
        <v>0.94756554307116103</v>
      </c>
      <c r="AB14" s="51">
        <v>2</v>
      </c>
      <c r="AC14" s="66">
        <f>(SUMPRODUCT(AB$3:AB14,$P$3:$P14)/SUMPRODUCT(AB$3:AB$17,$P$3:$P$17))</f>
        <v>0.93013100436681229</v>
      </c>
      <c r="AD14" s="51">
        <v>2</v>
      </c>
      <c r="AE14" s="66">
        <f>(SUMPRODUCT(AD$3:AD14,$P$3:$P14)/SUMPRODUCT(AD$3:AD$17,$P$3:$P$17))</f>
        <v>0.93013100436681229</v>
      </c>
    </row>
    <row r="15" spans="1:31" ht="18" x14ac:dyDescent="0.25">
      <c r="A15" s="48" t="s">
        <v>127</v>
      </c>
      <c r="B15" s="66">
        <f t="shared" si="0"/>
        <v>3</v>
      </c>
      <c r="C15" s="66">
        <f t="shared" si="1"/>
        <v>0.98067632850241548</v>
      </c>
      <c r="D15" s="66">
        <f t="shared" si="0"/>
        <v>2</v>
      </c>
      <c r="E15" s="66">
        <f t="shared" si="0"/>
        <v>0.97026022304832726</v>
      </c>
      <c r="F15" s="66">
        <f t="shared" si="0"/>
        <v>2</v>
      </c>
      <c r="G15" s="66">
        <f t="shared" si="0"/>
        <v>0.9698113207547171</v>
      </c>
      <c r="H15" s="66">
        <f t="shared" si="0"/>
        <v>2</v>
      </c>
      <c r="I15" s="66">
        <f t="shared" si="0"/>
        <v>0.96254681647940077</v>
      </c>
      <c r="J15" s="66">
        <f t="shared" si="0"/>
        <v>2</v>
      </c>
      <c r="K15" s="66">
        <f t="shared" si="0"/>
        <v>0.96254681647940077</v>
      </c>
      <c r="L15" s="66">
        <f t="shared" si="0"/>
        <v>2</v>
      </c>
      <c r="M15" s="66">
        <f t="shared" si="0"/>
        <v>0.94759825327510927</v>
      </c>
      <c r="N15" s="66">
        <f t="shared" si="0"/>
        <v>2</v>
      </c>
      <c r="O15" s="66">
        <f t="shared" si="0"/>
        <v>0.94759825327510927</v>
      </c>
      <c r="P15" s="48">
        <v>0.28828828828828845</v>
      </c>
      <c r="Q15" s="48" t="s">
        <v>127</v>
      </c>
      <c r="R15" s="51">
        <v>3</v>
      </c>
      <c r="S15" s="66">
        <f>(SUMPRODUCT(R$3:R15,$P$3:$P15)/SUMPRODUCT(R$3:R$17,$P$3:$P$17))</f>
        <v>0.98067632850241548</v>
      </c>
      <c r="T15" s="51">
        <v>2</v>
      </c>
      <c r="U15" s="66">
        <f>(SUMPRODUCT(T$3:T15,$P$3:$P15)/SUMPRODUCT(T$3:T$17,$P$3:$P$17))</f>
        <v>0.97026022304832726</v>
      </c>
      <c r="V15" s="51">
        <v>2</v>
      </c>
      <c r="W15" s="66">
        <f>(SUMPRODUCT(V$3:V15,$P$3:$P15)/SUMPRODUCT(V$3:V$17,$P$3:$P$17))</f>
        <v>0.9698113207547171</v>
      </c>
      <c r="X15" s="51">
        <v>2</v>
      </c>
      <c r="Y15" s="66">
        <f>(SUMPRODUCT(X$3:X15,$P$3:$P15)/SUMPRODUCT(X$3:X$17,$P$3:$P$17))</f>
        <v>0.96254681647940077</v>
      </c>
      <c r="Z15" s="51">
        <v>2</v>
      </c>
      <c r="AA15" s="66">
        <f>(SUMPRODUCT(Z$3:Z15,$P$3:$P15)/SUMPRODUCT(Z$3:Z$17,$P$3:$P$17))</f>
        <v>0.96254681647940077</v>
      </c>
      <c r="AB15" s="51">
        <v>2</v>
      </c>
      <c r="AC15" s="66">
        <f>(SUMPRODUCT(AB$3:AB15,$P$3:$P15)/SUMPRODUCT(AB$3:AB$17,$P$3:$P$17))</f>
        <v>0.94759825327510927</v>
      </c>
      <c r="AD15" s="51">
        <v>2</v>
      </c>
      <c r="AE15" s="66">
        <f>(SUMPRODUCT(AD$3:AD15,$P$3:$P15)/SUMPRODUCT(AD$3:AD$17,$P$3:$P$17))</f>
        <v>0.94759825327510927</v>
      </c>
    </row>
    <row r="16" spans="1:31" ht="18" x14ac:dyDescent="0.25">
      <c r="A16" s="48" t="s">
        <v>33</v>
      </c>
      <c r="B16" s="66">
        <f t="shared" si="0"/>
        <v>1</v>
      </c>
      <c r="C16" s="66">
        <f t="shared" si="1"/>
        <v>0.99033816425120769</v>
      </c>
      <c r="D16" s="66">
        <f t="shared" si="0"/>
        <v>1</v>
      </c>
      <c r="E16" s="66">
        <f t="shared" si="0"/>
        <v>0.97769516728624539</v>
      </c>
      <c r="F16" s="66">
        <f t="shared" si="0"/>
        <v>1</v>
      </c>
      <c r="G16" s="66">
        <f t="shared" si="0"/>
        <v>0.97735849056603774</v>
      </c>
      <c r="H16" s="66">
        <f t="shared" si="0"/>
        <v>2</v>
      </c>
      <c r="I16" s="66">
        <f t="shared" si="0"/>
        <v>0.97752808988764051</v>
      </c>
      <c r="J16" s="66">
        <f t="shared" si="0"/>
        <v>2</v>
      </c>
      <c r="K16" s="66">
        <f t="shared" si="0"/>
        <v>0.97752808988764051</v>
      </c>
      <c r="L16" s="66">
        <f t="shared" si="0"/>
        <v>3</v>
      </c>
      <c r="M16" s="66">
        <f t="shared" si="0"/>
        <v>0.97379912663755464</v>
      </c>
      <c r="N16" s="66">
        <f t="shared" si="0"/>
        <v>3</v>
      </c>
      <c r="O16" s="66">
        <f t="shared" si="0"/>
        <v>0.97379912663755464</v>
      </c>
      <c r="P16" s="48">
        <v>0.28828828828828845</v>
      </c>
      <c r="Q16" s="48" t="s">
        <v>33</v>
      </c>
      <c r="R16" s="51">
        <v>1</v>
      </c>
      <c r="S16" s="66">
        <f>(SUMPRODUCT(R$3:R16,$P$3:$P16)/SUMPRODUCT(R$3:R$17,$P$3:$P$17))</f>
        <v>0.99033816425120769</v>
      </c>
      <c r="T16" s="51">
        <v>1</v>
      </c>
      <c r="U16" s="66">
        <f>(SUMPRODUCT(T$3:T16,$P$3:$P16)/SUMPRODUCT(T$3:T$17,$P$3:$P$17))</f>
        <v>0.97769516728624539</v>
      </c>
      <c r="V16" s="51">
        <v>1</v>
      </c>
      <c r="W16" s="66">
        <f>(SUMPRODUCT(V$3:V16,$P$3:$P16)/SUMPRODUCT(V$3:V$17,$P$3:$P$17))</f>
        <v>0.97735849056603774</v>
      </c>
      <c r="X16" s="51">
        <v>2</v>
      </c>
      <c r="Y16" s="66">
        <f>(SUMPRODUCT(X$3:X16,$P$3:$P16)/SUMPRODUCT(X$3:X$17,$P$3:$P$17))</f>
        <v>0.97752808988764051</v>
      </c>
      <c r="Z16" s="51">
        <v>2</v>
      </c>
      <c r="AA16" s="66">
        <f>(SUMPRODUCT(Z$3:Z16,$P$3:$P16)/SUMPRODUCT(Z$3:Z$17,$P$3:$P$17))</f>
        <v>0.97752808988764051</v>
      </c>
      <c r="AB16" s="51">
        <v>3</v>
      </c>
      <c r="AC16" s="66">
        <f>(SUMPRODUCT(AB$3:AB16,$P$3:$P16)/SUMPRODUCT(AB$3:AB$17,$P$3:$P$17))</f>
        <v>0.97379912663755464</v>
      </c>
      <c r="AD16" s="51">
        <v>3</v>
      </c>
      <c r="AE16" s="66">
        <f>(SUMPRODUCT(AD$3:AD16,$P$3:$P16)/SUMPRODUCT(AD$3:AD$17,$P$3:$P$17))</f>
        <v>0.97379912663755464</v>
      </c>
    </row>
    <row r="17" spans="1:31" ht="18" x14ac:dyDescent="0.25">
      <c r="A17" s="48" t="s">
        <v>153</v>
      </c>
      <c r="B17" s="66">
        <f t="shared" si="0"/>
        <v>1</v>
      </c>
      <c r="C17" s="66">
        <f t="shared" si="1"/>
        <v>1</v>
      </c>
      <c r="D17" s="66">
        <f t="shared" si="0"/>
        <v>3</v>
      </c>
      <c r="E17" s="66">
        <f t="shared" si="0"/>
        <v>1</v>
      </c>
      <c r="F17" s="66">
        <f t="shared" si="0"/>
        <v>3</v>
      </c>
      <c r="G17" s="66">
        <f t="shared" si="0"/>
        <v>1</v>
      </c>
      <c r="H17" s="66">
        <f t="shared" si="0"/>
        <v>3</v>
      </c>
      <c r="I17" s="66">
        <f t="shared" si="0"/>
        <v>1</v>
      </c>
      <c r="J17" s="66">
        <f t="shared" si="0"/>
        <v>3</v>
      </c>
      <c r="K17" s="66">
        <f t="shared" si="0"/>
        <v>1</v>
      </c>
      <c r="L17" s="66">
        <f t="shared" si="0"/>
        <v>3</v>
      </c>
      <c r="M17" s="66">
        <f t="shared" si="0"/>
        <v>1</v>
      </c>
      <c r="N17" s="66">
        <f t="shared" si="0"/>
        <v>3</v>
      </c>
      <c r="O17" s="66">
        <f t="shared" si="0"/>
        <v>1</v>
      </c>
      <c r="P17" s="48">
        <v>0.28828828828828845</v>
      </c>
      <c r="Q17" s="48" t="s">
        <v>153</v>
      </c>
      <c r="R17" s="51">
        <v>1</v>
      </c>
      <c r="S17" s="66">
        <f>(SUMPRODUCT(R$3:R17,$P$3:$P17)/SUMPRODUCT(R$3:R$17,$P$3:$P$17))</f>
        <v>1</v>
      </c>
      <c r="T17" s="51">
        <v>3</v>
      </c>
      <c r="U17" s="66">
        <f>(SUMPRODUCT(T$3:T17,$P$3:$P17)/SUMPRODUCT(T$3:T$17,$P$3:$P$17))</f>
        <v>1</v>
      </c>
      <c r="V17" s="51">
        <v>3</v>
      </c>
      <c r="W17" s="66">
        <f>(SUMPRODUCT(V$3:V17,$P$3:$P17)/SUMPRODUCT(V$3:V$17,$P$3:$P$17))</f>
        <v>1</v>
      </c>
      <c r="X17" s="51">
        <v>3</v>
      </c>
      <c r="Y17" s="66">
        <f>(SUMPRODUCT(X$3:X17,$P$3:$P17)/SUMPRODUCT(X$3:X$17,$P$3:$P$17))</f>
        <v>1</v>
      </c>
      <c r="Z17" s="51">
        <v>3</v>
      </c>
      <c r="AA17" s="66">
        <f>(SUMPRODUCT(Z$3:Z17,$P$3:$P17)/SUMPRODUCT(Z$3:Z$17,$P$3:$P$17))</f>
        <v>1</v>
      </c>
      <c r="AB17" s="51">
        <v>3</v>
      </c>
      <c r="AC17" s="66">
        <f>(SUMPRODUCT(AB$3:AB17,$P$3:$P17)/SUMPRODUCT(AB$3:AB$17,$P$3:$P$17))</f>
        <v>1</v>
      </c>
      <c r="AD17" s="51">
        <v>3</v>
      </c>
      <c r="AE17" s="66">
        <f>(SUMPRODUCT(AD$3:AD17,$P$3:$P17)/SUMPRODUCT(AD$3:AD$17,$P$3:$P$17))</f>
        <v>1</v>
      </c>
    </row>
    <row r="18" spans="1:31" ht="18" x14ac:dyDescent="0.25">
      <c r="P18" s="48"/>
    </row>
  </sheetData>
  <conditionalFormatting sqref="R3:R17 T3:T17 V3:V17 X3:X17 Z3:Z17 AB3:AB17 AD3:AD17">
    <cfRule type="cellIs" dxfId="27" priority="1" operator="equal">
      <formula>4</formula>
    </cfRule>
    <cfRule type="cellIs" dxfId="26" priority="2" operator="equal">
      <formula>2</formula>
    </cfRule>
    <cfRule type="cellIs" dxfId="25" priority="3" operator="equal">
      <formula>1</formula>
    </cfRule>
    <cfRule type="cellIs" dxfId="24" priority="4" operator="equal">
      <formula>3</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D16" zoomScale="85" zoomScaleNormal="85" workbookViewId="0">
      <selection activeCell="Y51" sqref="Y51"/>
    </sheetView>
  </sheetViews>
  <sheetFormatPr defaultRowHeight="15" x14ac:dyDescent="0.25"/>
  <cols>
    <col min="1" max="1" width="29.85546875" customWidth="1"/>
    <col min="2" max="2" width="9.5703125" bestFit="1" customWidth="1"/>
    <col min="3" max="3" width="14.5703125" bestFit="1" customWidth="1"/>
    <col min="4" max="4" width="9.7109375" bestFit="1" customWidth="1"/>
    <col min="5" max="5" width="14.5703125" bestFit="1" customWidth="1"/>
    <col min="6" max="6" width="10.7109375" bestFit="1" customWidth="1"/>
    <col min="7" max="7" width="14.5703125" bestFit="1" customWidth="1"/>
    <col min="8" max="8" width="10.7109375" bestFit="1" customWidth="1"/>
    <col min="9" max="9" width="14.5703125" bestFit="1" customWidth="1"/>
    <col min="10" max="10" width="9.7109375" bestFit="1" customWidth="1"/>
    <col min="11" max="11" width="14.5703125" bestFit="1" customWidth="1"/>
    <col min="12" max="12" width="10.7109375" bestFit="1" customWidth="1"/>
    <col min="13" max="13" width="14.5703125" bestFit="1" customWidth="1"/>
    <col min="14" max="14" width="9.7109375" bestFit="1" customWidth="1"/>
    <col min="15" max="15" width="14.5703125" bestFit="1" customWidth="1"/>
  </cols>
  <sheetData>
    <row r="1" spans="1:15" ht="18" x14ac:dyDescent="0.25">
      <c r="A1" s="48" t="s">
        <v>129</v>
      </c>
      <c r="B1" s="64" t="s">
        <v>186</v>
      </c>
      <c r="D1" s="47"/>
      <c r="F1" s="65"/>
      <c r="H1" s="64" t="s">
        <v>184</v>
      </c>
      <c r="J1" s="65"/>
      <c r="L1" s="64" t="s">
        <v>185</v>
      </c>
      <c r="N1" s="65"/>
    </row>
    <row r="2" spans="1:15" ht="18" x14ac:dyDescent="0.25">
      <c r="A2" s="48"/>
      <c r="B2" s="48" t="s">
        <v>34</v>
      </c>
      <c r="C2" t="s">
        <v>214</v>
      </c>
      <c r="D2" s="50" t="s">
        <v>69</v>
      </c>
      <c r="E2" t="s">
        <v>214</v>
      </c>
      <c r="F2" s="50" t="s">
        <v>35</v>
      </c>
      <c r="G2" t="s">
        <v>214</v>
      </c>
      <c r="H2" s="50" t="s">
        <v>35</v>
      </c>
      <c r="I2" t="s">
        <v>214</v>
      </c>
      <c r="J2" s="50" t="s">
        <v>69</v>
      </c>
      <c r="K2" t="s">
        <v>214</v>
      </c>
      <c r="L2" s="50" t="s">
        <v>35</v>
      </c>
      <c r="M2" t="s">
        <v>214</v>
      </c>
      <c r="N2" s="50" t="s">
        <v>69</v>
      </c>
      <c r="O2" t="s">
        <v>214</v>
      </c>
    </row>
    <row r="3" spans="1:15" ht="18" x14ac:dyDescent="0.25">
      <c r="A3" s="48" t="s">
        <v>75</v>
      </c>
      <c r="B3" s="51">
        <v>3</v>
      </c>
      <c r="C3" s="66">
        <f>(SUM(B$3:B3)/SUM(B$3:B$17))</f>
        <v>0.10714285714285714</v>
      </c>
      <c r="D3" s="51">
        <v>2</v>
      </c>
      <c r="E3" s="66">
        <f>(SUM(D$3:D3)/SUM(D$3:D$17))</f>
        <v>5.128205128205128E-2</v>
      </c>
      <c r="F3" s="51">
        <v>2</v>
      </c>
      <c r="G3" s="66">
        <f>(SUM(F$3:F3)/SUM(F$3:F$17))</f>
        <v>5.4054054054054057E-2</v>
      </c>
      <c r="H3" s="51">
        <v>2</v>
      </c>
      <c r="I3" s="66">
        <f>(SUM(H$3:H3)/SUM(H$3:H$17))</f>
        <v>5.2631578947368418E-2</v>
      </c>
      <c r="J3" s="51">
        <v>2</v>
      </c>
      <c r="K3" s="66">
        <f>(SUM(J$3:J3)/SUM(J$3:J$17))</f>
        <v>5.2631578947368418E-2</v>
      </c>
      <c r="L3" s="51">
        <v>2</v>
      </c>
      <c r="M3" s="66">
        <f>(SUM(L$3:L3)/SUM(L$3:L$17))</f>
        <v>5.4054054054054057E-2</v>
      </c>
      <c r="N3" s="51">
        <v>2</v>
      </c>
      <c r="O3" s="66">
        <f>(SUM(N$3:N3)/SUM(N$3:N$17))</f>
        <v>5.4054054054054057E-2</v>
      </c>
    </row>
    <row r="4" spans="1:15" ht="18" x14ac:dyDescent="0.25">
      <c r="A4" s="48" t="s">
        <v>76</v>
      </c>
      <c r="B4" s="51">
        <v>3</v>
      </c>
      <c r="C4" s="66">
        <f>(SUM(B$3:B4)/SUM(B$3:B$17))</f>
        <v>0.21428571428571427</v>
      </c>
      <c r="D4" s="51">
        <v>2</v>
      </c>
      <c r="E4" s="66">
        <f>(SUM(D$3:D4)/SUM(D$3:D$17))</f>
        <v>0.10256410256410256</v>
      </c>
      <c r="F4" s="51">
        <v>2</v>
      </c>
      <c r="G4" s="66">
        <f>(SUM(F$3:F4)/SUM(F$3:F$17))</f>
        <v>0.10810810810810811</v>
      </c>
      <c r="H4" s="51">
        <v>2</v>
      </c>
      <c r="I4" s="66">
        <f>(SUM(H$3:H4)/SUM(H$3:H$17))</f>
        <v>0.10526315789473684</v>
      </c>
      <c r="J4" s="51">
        <v>2</v>
      </c>
      <c r="K4" s="66">
        <f>(SUM(J$3:J4)/SUM(J$3:J$17))</f>
        <v>0.10526315789473684</v>
      </c>
      <c r="L4" s="51">
        <v>2</v>
      </c>
      <c r="M4" s="66">
        <f>(SUM(L$3:L4)/SUM(L$3:L$17))</f>
        <v>0.10810810810810811</v>
      </c>
      <c r="N4" s="51">
        <v>2</v>
      </c>
      <c r="O4" s="66">
        <f>(SUM(N$3:N4)/SUM(N$3:N$17))</f>
        <v>0.10810810810810811</v>
      </c>
    </row>
    <row r="5" spans="1:15" ht="18" x14ac:dyDescent="0.25">
      <c r="A5" s="48" t="s">
        <v>148</v>
      </c>
      <c r="B5" s="51">
        <v>3</v>
      </c>
      <c r="C5" s="66">
        <f>(SUM(B$3:B5)/SUM(B$3:B$17))</f>
        <v>0.32142857142857145</v>
      </c>
      <c r="D5" s="51">
        <v>3</v>
      </c>
      <c r="E5" s="66">
        <f>(SUM(D$3:D5)/SUM(D$3:D$17))</f>
        <v>0.17948717948717949</v>
      </c>
      <c r="F5" s="51">
        <v>3</v>
      </c>
      <c r="G5" s="66">
        <f>(SUM(F$3:F5)/SUM(F$3:F$17))</f>
        <v>0.1891891891891892</v>
      </c>
      <c r="H5" s="51">
        <v>3</v>
      </c>
      <c r="I5" s="66">
        <f>(SUM(H$3:H5)/SUM(H$3:H$17))</f>
        <v>0.18421052631578946</v>
      </c>
      <c r="J5" s="51">
        <v>3</v>
      </c>
      <c r="K5" s="66">
        <f>(SUM(J$3:J5)/SUM(J$3:J$17))</f>
        <v>0.18421052631578946</v>
      </c>
      <c r="L5" s="51">
        <v>1</v>
      </c>
      <c r="M5" s="66">
        <f>(SUM(L$3:L5)/SUM(L$3:L$17))</f>
        <v>0.13513513513513514</v>
      </c>
      <c r="N5" s="51">
        <v>1</v>
      </c>
      <c r="O5" s="66">
        <f>(SUM(N$3:N5)/SUM(N$3:N$17))</f>
        <v>0.13513513513513514</v>
      </c>
    </row>
    <row r="6" spans="1:15" ht="18" x14ac:dyDescent="0.25">
      <c r="A6" s="48" t="s">
        <v>143</v>
      </c>
      <c r="B6" s="51">
        <v>1</v>
      </c>
      <c r="C6" s="66">
        <f>(SUM(B$3:B6)/SUM(B$3:B$17))</f>
        <v>0.35714285714285715</v>
      </c>
      <c r="D6" s="51">
        <v>3</v>
      </c>
      <c r="E6" s="66">
        <f>(SUM(D$3:D6)/SUM(D$3:D$17))</f>
        <v>0.25641025641025639</v>
      </c>
      <c r="F6" s="51">
        <v>3</v>
      </c>
      <c r="G6" s="66">
        <f>(SUM(F$3:F6)/SUM(F$3:F$17))</f>
        <v>0.27027027027027029</v>
      </c>
      <c r="H6" s="51">
        <v>3</v>
      </c>
      <c r="I6" s="66">
        <f>(SUM(H$3:H6)/SUM(H$3:H$17))</f>
        <v>0.26315789473684209</v>
      </c>
      <c r="J6" s="51">
        <v>3</v>
      </c>
      <c r="K6" s="66">
        <f>(SUM(J$3:J6)/SUM(J$3:J$17))</f>
        <v>0.26315789473684209</v>
      </c>
      <c r="L6" s="51">
        <v>3</v>
      </c>
      <c r="M6" s="66">
        <f>(SUM(L$3:L6)/SUM(L$3:L$17))</f>
        <v>0.21621621621621623</v>
      </c>
      <c r="N6" s="51">
        <v>3</v>
      </c>
      <c r="O6" s="66">
        <f>(SUM(N$3:N6)/SUM(N$3:N$17))</f>
        <v>0.21621621621621623</v>
      </c>
    </row>
    <row r="7" spans="1:15" ht="18" x14ac:dyDescent="0.25">
      <c r="A7" s="48" t="s">
        <v>77</v>
      </c>
      <c r="B7" s="51">
        <v>3</v>
      </c>
      <c r="C7" s="66">
        <f>(SUM(B$3:B7)/SUM(B$3:B$17))</f>
        <v>0.4642857142857143</v>
      </c>
      <c r="D7" s="51">
        <v>2</v>
      </c>
      <c r="E7" s="66">
        <f>(SUM(D$3:D7)/SUM(D$3:D$17))</f>
        <v>0.30769230769230771</v>
      </c>
      <c r="F7" s="51">
        <v>2</v>
      </c>
      <c r="G7" s="66">
        <f>(SUM(F$3:F7)/SUM(F$3:F$17))</f>
        <v>0.32432432432432434</v>
      </c>
      <c r="H7" s="51">
        <v>2</v>
      </c>
      <c r="I7" s="66">
        <f>(SUM(H$3:H7)/SUM(H$3:H$17))</f>
        <v>0.31578947368421051</v>
      </c>
      <c r="J7" s="51">
        <v>2</v>
      </c>
      <c r="K7" s="66">
        <f>(SUM(J$3:J7)/SUM(J$3:J$17))</f>
        <v>0.31578947368421051</v>
      </c>
      <c r="L7" s="51">
        <v>2</v>
      </c>
      <c r="M7" s="66">
        <f>(SUM(L$3:L7)/SUM(L$3:L$17))</f>
        <v>0.27027027027027029</v>
      </c>
      <c r="N7" s="51">
        <v>2</v>
      </c>
      <c r="O7" s="66">
        <f>(SUM(N$3:N7)/SUM(N$3:N$17))</f>
        <v>0.27027027027027029</v>
      </c>
    </row>
    <row r="8" spans="1:15" ht="18" x14ac:dyDescent="0.25">
      <c r="A8" s="50" t="s">
        <v>194</v>
      </c>
      <c r="B8" s="51">
        <v>1</v>
      </c>
      <c r="C8" s="66">
        <f>(SUM(B$3:B8)/SUM(B$3:B$17))</f>
        <v>0.5</v>
      </c>
      <c r="D8" s="51">
        <v>3</v>
      </c>
      <c r="E8" s="66">
        <f>(SUM(D$3:D8)/SUM(D$3:D$17))</f>
        <v>0.38461538461538464</v>
      </c>
      <c r="F8" s="51">
        <v>3</v>
      </c>
      <c r="G8" s="66">
        <f>(SUM(F$3:F8)/SUM(F$3:F$17))</f>
        <v>0.40540540540540543</v>
      </c>
      <c r="H8" s="51">
        <v>3</v>
      </c>
      <c r="I8" s="66">
        <f>(SUM(H$3:H8)/SUM(H$3:H$17))</f>
        <v>0.39473684210526316</v>
      </c>
      <c r="J8" s="51">
        <v>3</v>
      </c>
      <c r="K8" s="66">
        <f>(SUM(J$3:J8)/SUM(J$3:J$17))</f>
        <v>0.39473684210526316</v>
      </c>
      <c r="L8" s="51">
        <v>3</v>
      </c>
      <c r="M8" s="66">
        <f>(SUM(L$3:L8)/SUM(L$3:L$17))</f>
        <v>0.35135135135135137</v>
      </c>
      <c r="N8" s="51">
        <v>3</v>
      </c>
      <c r="O8" s="66">
        <f>(SUM(N$3:N8)/SUM(N$3:N$17))</f>
        <v>0.35135135135135137</v>
      </c>
    </row>
    <row r="9" spans="1:15" ht="18" x14ac:dyDescent="0.25">
      <c r="A9" s="48" t="s">
        <v>87</v>
      </c>
      <c r="B9" s="51">
        <v>1</v>
      </c>
      <c r="C9" s="66">
        <f>(SUM(B$3:B9)/SUM(B$3:B$17))</f>
        <v>0.5357142857142857</v>
      </c>
      <c r="D9" s="51">
        <v>3</v>
      </c>
      <c r="E9" s="66">
        <f>(SUM(D$3:D9)/SUM(D$3:D$17))</f>
        <v>0.46153846153846156</v>
      </c>
      <c r="F9" s="51">
        <v>3</v>
      </c>
      <c r="G9" s="66">
        <f>(SUM(F$3:F9)/SUM(F$3:F$17))</f>
        <v>0.48648648648648651</v>
      </c>
      <c r="H9" s="51">
        <v>3</v>
      </c>
      <c r="I9" s="66">
        <f>(SUM(H$3:H9)/SUM(H$3:H$17))</f>
        <v>0.47368421052631576</v>
      </c>
      <c r="J9" s="51">
        <v>3</v>
      </c>
      <c r="K9" s="66">
        <f>(SUM(J$3:J9)/SUM(J$3:J$17))</f>
        <v>0.47368421052631576</v>
      </c>
      <c r="L9" s="51">
        <v>3</v>
      </c>
      <c r="M9" s="66">
        <f>(SUM(L$3:L9)/SUM(L$3:L$17))</f>
        <v>0.43243243243243246</v>
      </c>
      <c r="N9" s="51">
        <v>3</v>
      </c>
      <c r="O9" s="66">
        <f>(SUM(N$3:N9)/SUM(N$3:N$17))</f>
        <v>0.43243243243243246</v>
      </c>
    </row>
    <row r="10" spans="1:15" ht="18" x14ac:dyDescent="0.25">
      <c r="A10" s="48" t="s">
        <v>88</v>
      </c>
      <c r="B10" s="51">
        <v>1</v>
      </c>
      <c r="C10" s="66">
        <f>(SUM(B$3:B10)/SUM(B$3:B$17))</f>
        <v>0.5714285714285714</v>
      </c>
      <c r="D10" s="51">
        <v>3</v>
      </c>
      <c r="E10" s="66">
        <f>(SUM(D$3:D10)/SUM(D$3:D$17))</f>
        <v>0.53846153846153844</v>
      </c>
      <c r="F10" s="51">
        <v>3</v>
      </c>
      <c r="G10" s="66">
        <f>(SUM(F$3:F10)/SUM(F$3:F$17))</f>
        <v>0.56756756756756754</v>
      </c>
      <c r="H10" s="51">
        <v>3</v>
      </c>
      <c r="I10" s="66">
        <f>(SUM(H$3:H10)/SUM(H$3:H$17))</f>
        <v>0.55263157894736847</v>
      </c>
      <c r="J10" s="51">
        <v>3</v>
      </c>
      <c r="K10" s="66">
        <f>(SUM(J$3:J10)/SUM(J$3:J$17))</f>
        <v>0.55263157894736847</v>
      </c>
      <c r="L10" s="51">
        <v>3</v>
      </c>
      <c r="M10" s="66">
        <f>(SUM(L$3:L10)/SUM(L$3:L$17))</f>
        <v>0.51351351351351349</v>
      </c>
      <c r="N10" s="51">
        <v>3</v>
      </c>
      <c r="O10" s="66">
        <f>(SUM(N$3:N10)/SUM(N$3:N$17))</f>
        <v>0.51351351351351349</v>
      </c>
    </row>
    <row r="11" spans="1:15" ht="18" x14ac:dyDescent="0.25">
      <c r="A11" s="48" t="s">
        <v>89</v>
      </c>
      <c r="B11" s="51">
        <v>1</v>
      </c>
      <c r="C11" s="66">
        <f>(SUM(B$3:B11)/SUM(B$3:B$17))</f>
        <v>0.6071428571428571</v>
      </c>
      <c r="D11" s="51">
        <v>3</v>
      </c>
      <c r="E11" s="66">
        <f>(SUM(D$3:D11)/SUM(D$3:D$17))</f>
        <v>0.61538461538461542</v>
      </c>
      <c r="F11" s="51">
        <v>3</v>
      </c>
      <c r="G11" s="66">
        <f>(SUM(F$3:F11)/SUM(F$3:F$17))</f>
        <v>0.64864864864864868</v>
      </c>
      <c r="H11" s="51">
        <v>3</v>
      </c>
      <c r="I11" s="66">
        <f>(SUM(H$3:H11)/SUM(H$3:H$17))</f>
        <v>0.63157894736842102</v>
      </c>
      <c r="J11" s="51">
        <v>3</v>
      </c>
      <c r="K11" s="66">
        <f>(SUM(J$3:J11)/SUM(J$3:J$17))</f>
        <v>0.63157894736842102</v>
      </c>
      <c r="L11" s="51">
        <v>3</v>
      </c>
      <c r="M11" s="66">
        <f>(SUM(L$3:L11)/SUM(L$3:L$17))</f>
        <v>0.59459459459459463</v>
      </c>
      <c r="N11" s="51">
        <v>3</v>
      </c>
      <c r="O11" s="66">
        <f>(SUM(N$3:N11)/SUM(N$3:N$17))</f>
        <v>0.59459459459459463</v>
      </c>
    </row>
    <row r="12" spans="1:15" ht="18" x14ac:dyDescent="0.25">
      <c r="A12" s="48" t="s">
        <v>19</v>
      </c>
      <c r="B12" s="51">
        <v>2</v>
      </c>
      <c r="C12" s="66">
        <f>(SUM(B$3:B12)/SUM(B$3:B$17))</f>
        <v>0.6785714285714286</v>
      </c>
      <c r="D12" s="51">
        <v>3</v>
      </c>
      <c r="E12" s="66">
        <f>(SUM(D$3:D12)/SUM(D$3:D$17))</f>
        <v>0.69230769230769229</v>
      </c>
      <c r="F12" s="51">
        <v>1</v>
      </c>
      <c r="G12" s="66">
        <f>(SUM(F$3:F12)/SUM(F$3:F$17))</f>
        <v>0.67567567567567566</v>
      </c>
      <c r="H12" s="51">
        <v>3</v>
      </c>
      <c r="I12" s="66">
        <f>(SUM(H$3:H12)/SUM(H$3:H$17))</f>
        <v>0.71052631578947367</v>
      </c>
      <c r="J12" s="51">
        <v>3</v>
      </c>
      <c r="K12" s="66">
        <f>(SUM(J$3:J12)/SUM(J$3:J$17))</f>
        <v>0.71052631578947367</v>
      </c>
      <c r="L12" s="51">
        <v>3</v>
      </c>
      <c r="M12" s="66">
        <f>(SUM(L$3:L12)/SUM(L$3:L$17))</f>
        <v>0.67567567567567566</v>
      </c>
      <c r="N12" s="51">
        <v>3</v>
      </c>
      <c r="O12" s="66">
        <f>(SUM(N$3:N12)/SUM(N$3:N$17))</f>
        <v>0.67567567567567566</v>
      </c>
    </row>
    <row r="13" spans="1:15" ht="18" x14ac:dyDescent="0.25">
      <c r="A13" s="48" t="s">
        <v>20</v>
      </c>
      <c r="B13" s="51">
        <v>1</v>
      </c>
      <c r="C13" s="66">
        <f>(SUM(B$3:B13)/SUM(B$3:B$17))</f>
        <v>0.7142857142857143</v>
      </c>
      <c r="D13" s="51">
        <v>3</v>
      </c>
      <c r="E13" s="66">
        <f>(SUM(D$3:D13)/SUM(D$3:D$17))</f>
        <v>0.76923076923076927</v>
      </c>
      <c r="F13" s="51">
        <v>3</v>
      </c>
      <c r="G13" s="66">
        <f>(SUM(F$3:F13)/SUM(F$3:F$17))</f>
        <v>0.7567567567567568</v>
      </c>
      <c r="H13" s="51">
        <v>2</v>
      </c>
      <c r="I13" s="66">
        <f>(SUM(H$3:H13)/SUM(H$3:H$17))</f>
        <v>0.76315789473684215</v>
      </c>
      <c r="J13" s="51">
        <v>2</v>
      </c>
      <c r="K13" s="66">
        <f>(SUM(J$3:J13)/SUM(J$3:J$17))</f>
        <v>0.76315789473684215</v>
      </c>
      <c r="L13" s="51">
        <v>2</v>
      </c>
      <c r="M13" s="66">
        <f>(SUM(L$3:L13)/SUM(L$3:L$17))</f>
        <v>0.72972972972972971</v>
      </c>
      <c r="N13" s="51">
        <v>2</v>
      </c>
      <c r="O13" s="66">
        <f>(SUM(N$3:N13)/SUM(N$3:N$17))</f>
        <v>0.72972972972972971</v>
      </c>
    </row>
    <row r="14" spans="1:15" ht="18" x14ac:dyDescent="0.25">
      <c r="A14" s="48" t="s">
        <v>149</v>
      </c>
      <c r="B14" s="51">
        <v>3</v>
      </c>
      <c r="C14" s="66">
        <f>(SUM(B$3:B14)/SUM(B$3:B$17))</f>
        <v>0.8214285714285714</v>
      </c>
      <c r="D14" s="51">
        <v>3</v>
      </c>
      <c r="E14" s="66">
        <f>(SUM(D$3:D14)/SUM(D$3:D$17))</f>
        <v>0.84615384615384615</v>
      </c>
      <c r="F14" s="51">
        <v>3</v>
      </c>
      <c r="G14" s="66">
        <f>(SUM(F$3:F14)/SUM(F$3:F$17))</f>
        <v>0.83783783783783783</v>
      </c>
      <c r="H14" s="51">
        <v>2</v>
      </c>
      <c r="I14" s="66">
        <f>(SUM(H$3:H14)/SUM(H$3:H$17))</f>
        <v>0.81578947368421051</v>
      </c>
      <c r="J14" s="51">
        <v>2</v>
      </c>
      <c r="K14" s="66">
        <f>(SUM(J$3:J14)/SUM(J$3:J$17))</f>
        <v>0.81578947368421051</v>
      </c>
      <c r="L14" s="51">
        <v>2</v>
      </c>
      <c r="M14" s="66">
        <f>(SUM(L$3:L14)/SUM(L$3:L$17))</f>
        <v>0.78378378378378377</v>
      </c>
      <c r="N14" s="51">
        <v>2</v>
      </c>
      <c r="O14" s="66">
        <f>(SUM(N$3:N14)/SUM(N$3:N$17))</f>
        <v>0.78378378378378377</v>
      </c>
    </row>
    <row r="15" spans="1:15" ht="18" x14ac:dyDescent="0.25">
      <c r="A15" s="48" t="s">
        <v>127</v>
      </c>
      <c r="B15" s="51">
        <v>3</v>
      </c>
      <c r="C15" s="66">
        <f>(SUM(B$3:B15)/SUM(B$3:B$17))</f>
        <v>0.9285714285714286</v>
      </c>
      <c r="D15" s="51">
        <v>2</v>
      </c>
      <c r="E15" s="66">
        <f>(SUM(D$3:D15)/SUM(D$3:D$17))</f>
        <v>0.89743589743589747</v>
      </c>
      <c r="F15" s="51">
        <v>2</v>
      </c>
      <c r="G15" s="66">
        <f>(SUM(F$3:F15)/SUM(F$3:F$17))</f>
        <v>0.89189189189189189</v>
      </c>
      <c r="H15" s="51">
        <v>2</v>
      </c>
      <c r="I15" s="66">
        <f>(SUM(H$3:H15)/SUM(H$3:H$17))</f>
        <v>0.86842105263157898</v>
      </c>
      <c r="J15" s="51">
        <v>2</v>
      </c>
      <c r="K15" s="66">
        <f>(SUM(J$3:J15)/SUM(J$3:J$17))</f>
        <v>0.86842105263157898</v>
      </c>
      <c r="L15" s="51">
        <v>2</v>
      </c>
      <c r="M15" s="66">
        <f>(SUM(L$3:L15)/SUM(L$3:L$17))</f>
        <v>0.83783783783783783</v>
      </c>
      <c r="N15" s="51">
        <v>2</v>
      </c>
      <c r="O15" s="66">
        <f>(SUM(N$3:N15)/SUM(N$3:N$17))</f>
        <v>0.83783783783783783</v>
      </c>
    </row>
    <row r="16" spans="1:15" ht="18" x14ac:dyDescent="0.25">
      <c r="A16" s="48" t="s">
        <v>33</v>
      </c>
      <c r="B16" s="51">
        <v>1</v>
      </c>
      <c r="C16" s="66">
        <f>(SUM(B$3:B16)/SUM(B$3:B$17))</f>
        <v>0.9642857142857143</v>
      </c>
      <c r="D16" s="51">
        <v>1</v>
      </c>
      <c r="E16" s="66">
        <f>(SUM(D$3:D16)/SUM(D$3:D$17))</f>
        <v>0.92307692307692313</v>
      </c>
      <c r="F16" s="51">
        <v>1</v>
      </c>
      <c r="G16" s="66">
        <f>(SUM(F$3:F16)/SUM(F$3:F$17))</f>
        <v>0.91891891891891897</v>
      </c>
      <c r="H16" s="51">
        <v>2</v>
      </c>
      <c r="I16" s="66">
        <f>(SUM(H$3:H16)/SUM(H$3:H$17))</f>
        <v>0.92105263157894735</v>
      </c>
      <c r="J16" s="51">
        <v>2</v>
      </c>
      <c r="K16" s="66">
        <f>(SUM(J$3:J16)/SUM(J$3:J$17))</f>
        <v>0.92105263157894735</v>
      </c>
      <c r="L16" s="51">
        <v>3</v>
      </c>
      <c r="M16" s="66">
        <f>(SUM(L$3:L16)/SUM(L$3:L$17))</f>
        <v>0.91891891891891897</v>
      </c>
      <c r="N16" s="51">
        <v>3</v>
      </c>
      <c r="O16" s="66">
        <f>(SUM(N$3:N16)/SUM(N$3:N$17))</f>
        <v>0.91891891891891897</v>
      </c>
    </row>
    <row r="17" spans="1:15" ht="18" x14ac:dyDescent="0.25">
      <c r="A17" s="48" t="s">
        <v>153</v>
      </c>
      <c r="B17" s="51">
        <v>1</v>
      </c>
      <c r="C17" s="66">
        <f>(SUM(B$3:B17)/SUM(B$3:B$17))</f>
        <v>1</v>
      </c>
      <c r="D17" s="51">
        <v>3</v>
      </c>
      <c r="E17" s="66">
        <f>(SUM(D$3:D17)/SUM(D$3:D$17))</f>
        <v>1</v>
      </c>
      <c r="F17" s="51">
        <v>3</v>
      </c>
      <c r="G17" s="66">
        <f>(SUM(F$3:F17)/SUM(F$3:F$17))</f>
        <v>1</v>
      </c>
      <c r="H17" s="51">
        <v>3</v>
      </c>
      <c r="I17" s="66">
        <f>(SUM(H$3:H17)/SUM(H$3:H$17))</f>
        <v>1</v>
      </c>
      <c r="J17" s="51">
        <v>3</v>
      </c>
      <c r="K17" s="66">
        <f>(SUM(J$3:J17)/SUM(J$3:J$17))</f>
        <v>1</v>
      </c>
      <c r="L17" s="51">
        <v>3</v>
      </c>
      <c r="M17" s="66">
        <f>(SUM(L$3:L17)/SUM(L$3:L$17))</f>
        <v>1</v>
      </c>
      <c r="N17" s="51">
        <v>3</v>
      </c>
      <c r="O17" s="66">
        <f>(SUM(N$3:N17)/SUM(N$3:N$17))</f>
        <v>1</v>
      </c>
    </row>
  </sheetData>
  <conditionalFormatting sqref="B3:B17 D3:D17 F3:F17 H3:H17 J3:J17 L3:L17 N3:N17">
    <cfRule type="cellIs" dxfId="23" priority="1" operator="equal">
      <formula>4</formula>
    </cfRule>
    <cfRule type="cellIs" dxfId="22" priority="2" operator="equal">
      <formula>2</formula>
    </cfRule>
    <cfRule type="cellIs" dxfId="21" priority="3" operator="equal">
      <formula>1</formula>
    </cfRule>
    <cfRule type="cellIs" dxfId="20" priority="4" operator="equal">
      <formula>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opLeftCell="E1" zoomScale="70" zoomScaleNormal="70" workbookViewId="0">
      <pane ySplit="3" topLeftCell="A4" activePane="bottomLeft" state="frozen"/>
      <selection pane="bottomLeft" activeCell="L6" sqref="L6"/>
    </sheetView>
  </sheetViews>
  <sheetFormatPr defaultColWidth="8.85546875" defaultRowHeight="18" x14ac:dyDescent="0.25"/>
  <cols>
    <col min="1" max="1" width="12" style="47" bestFit="1" customWidth="1"/>
    <col min="2" max="2" width="8.7109375" style="47" bestFit="1" customWidth="1"/>
    <col min="3" max="3" width="25.7109375" style="47" bestFit="1" customWidth="1"/>
    <col min="4" max="4" width="79.140625" style="47" bestFit="1" customWidth="1"/>
    <col min="5" max="7" width="11.7109375" style="47" bestFit="1" customWidth="1"/>
    <col min="8" max="8" width="22.140625" style="47" bestFit="1" customWidth="1"/>
    <col min="9" max="11" width="11.7109375" style="47" bestFit="1" customWidth="1"/>
    <col min="12" max="12" width="17.5703125" style="47" bestFit="1" customWidth="1"/>
    <col min="13" max="13" width="26" style="47" bestFit="1" customWidth="1"/>
    <col min="14" max="14" width="20.7109375" style="46" bestFit="1" customWidth="1"/>
    <col min="15" max="15" width="30.28515625" style="47" bestFit="1" customWidth="1"/>
    <col min="16" max="16" width="106.140625" style="46" customWidth="1"/>
    <col min="17" max="17" width="9.140625" style="47" bestFit="1" customWidth="1"/>
    <col min="18" max="18" width="25.7109375" style="47" bestFit="1" customWidth="1"/>
    <col min="19" max="19" width="59.85546875" style="47" bestFit="1" customWidth="1"/>
    <col min="20" max="20" width="9.5703125" style="47" bestFit="1" customWidth="1"/>
    <col min="21" max="21" width="17.28515625" style="47" bestFit="1" customWidth="1"/>
    <col min="22" max="22" width="19.5703125" style="47" bestFit="1" customWidth="1"/>
    <col min="23" max="23" width="18.28515625" style="47" bestFit="1" customWidth="1"/>
    <col min="24" max="24" width="17.140625" style="47" bestFit="1" customWidth="1"/>
    <col min="25" max="25" width="17.28515625" style="47" bestFit="1" customWidth="1"/>
    <col min="26" max="26" width="19.7109375" style="47" bestFit="1" customWidth="1"/>
    <col min="27" max="27" width="20.7109375" style="47" bestFit="1" customWidth="1"/>
    <col min="28" max="28" width="30" style="47" bestFit="1" customWidth="1"/>
    <col min="29" max="29" width="66.7109375" style="47" customWidth="1"/>
    <col min="30" max="16384" width="8.85546875" style="47"/>
  </cols>
  <sheetData>
    <row r="1" spans="1:16" s="48" customFormat="1" x14ac:dyDescent="0.25">
      <c r="N1" s="49"/>
      <c r="P1" s="49"/>
    </row>
    <row r="2" spans="1:16" s="48" customFormat="1" x14ac:dyDescent="0.25">
      <c r="D2" s="48" t="s">
        <v>129</v>
      </c>
      <c r="E2" s="73" t="s">
        <v>186</v>
      </c>
      <c r="F2" s="74"/>
      <c r="G2" s="75"/>
      <c r="H2" s="73" t="s">
        <v>184</v>
      </c>
      <c r="I2" s="75"/>
      <c r="J2" s="73" t="s">
        <v>185</v>
      </c>
      <c r="K2" s="75"/>
      <c r="N2" s="49"/>
      <c r="P2" s="49"/>
    </row>
    <row r="3" spans="1:16" s="48" customFormat="1" x14ac:dyDescent="0.25">
      <c r="A3" s="48" t="s">
        <v>140</v>
      </c>
      <c r="E3" s="48" t="s">
        <v>34</v>
      </c>
      <c r="F3" s="50" t="s">
        <v>69</v>
      </c>
      <c r="G3" s="50" t="s">
        <v>35</v>
      </c>
      <c r="H3" s="50" t="s">
        <v>35</v>
      </c>
      <c r="I3" s="50" t="s">
        <v>69</v>
      </c>
      <c r="J3" s="50" t="s">
        <v>35</v>
      </c>
      <c r="K3" s="50" t="s">
        <v>69</v>
      </c>
      <c r="L3" s="48" t="s">
        <v>155</v>
      </c>
      <c r="M3" s="48" t="s">
        <v>169</v>
      </c>
      <c r="N3" s="48" t="s">
        <v>156</v>
      </c>
      <c r="O3" s="48" t="s">
        <v>157</v>
      </c>
      <c r="P3" s="49" t="s">
        <v>159</v>
      </c>
    </row>
    <row r="4" spans="1:16" s="48" customFormat="1" x14ac:dyDescent="0.25">
      <c r="A4" s="48" t="s">
        <v>141</v>
      </c>
      <c r="B4" s="48">
        <v>1</v>
      </c>
      <c r="C4" s="48" t="s">
        <v>85</v>
      </c>
      <c r="D4" s="48" t="s">
        <v>75</v>
      </c>
      <c r="E4" s="51">
        <v>3</v>
      </c>
      <c r="F4" s="51">
        <v>2</v>
      </c>
      <c r="G4" s="51">
        <v>2</v>
      </c>
      <c r="H4" s="51">
        <v>2</v>
      </c>
      <c r="I4" s="51">
        <v>2</v>
      </c>
      <c r="J4" s="51">
        <v>2</v>
      </c>
      <c r="K4" s="51">
        <v>2</v>
      </c>
      <c r="L4" s="48">
        <v>0.9</v>
      </c>
      <c r="M4" s="48">
        <f t="shared" ref="M4:M19" si="0">(IF(ISNUMBER(SEARCH("yes",A4)),L4,0))</f>
        <v>0.9</v>
      </c>
      <c r="N4" s="48">
        <f t="shared" ref="N4:N19" si="1">(L4*(1/$L$20))</f>
        <v>2.5945945945945961</v>
      </c>
      <c r="O4" s="48">
        <f t="shared" ref="O4:O19" si="2">(IF(ISNUMBER(SEARCH("yes",A4)),(M4*(1/$M$20)),0))</f>
        <v>3.2359550561797752</v>
      </c>
      <c r="P4" s="49" t="s">
        <v>164</v>
      </c>
    </row>
    <row r="5" spans="1:16" s="48" customFormat="1" x14ac:dyDescent="0.25">
      <c r="A5" s="48" t="s">
        <v>142</v>
      </c>
      <c r="B5" s="48">
        <v>2</v>
      </c>
      <c r="D5" s="48" t="s">
        <v>76</v>
      </c>
      <c r="E5" s="51">
        <v>3</v>
      </c>
      <c r="F5" s="51">
        <v>2</v>
      </c>
      <c r="G5" s="51">
        <v>2</v>
      </c>
      <c r="H5" s="51">
        <v>2</v>
      </c>
      <c r="I5" s="51">
        <v>2</v>
      </c>
      <c r="J5" s="51">
        <v>2</v>
      </c>
      <c r="K5" s="51">
        <v>2</v>
      </c>
      <c r="L5" s="48">
        <v>0.1</v>
      </c>
      <c r="M5" s="48">
        <f t="shared" si="0"/>
        <v>0</v>
      </c>
      <c r="N5" s="48">
        <f t="shared" si="1"/>
        <v>0.28828828828828845</v>
      </c>
      <c r="O5" s="48">
        <f t="shared" si="2"/>
        <v>0</v>
      </c>
      <c r="P5" s="49" t="s">
        <v>165</v>
      </c>
    </row>
    <row r="6" spans="1:16" s="48" customFormat="1" ht="36" x14ac:dyDescent="0.25">
      <c r="A6" s="48" t="s">
        <v>141</v>
      </c>
      <c r="B6" s="48">
        <v>3</v>
      </c>
      <c r="D6" s="48" t="s">
        <v>148</v>
      </c>
      <c r="E6" s="51">
        <v>3</v>
      </c>
      <c r="F6" s="51">
        <v>3</v>
      </c>
      <c r="G6" s="51">
        <v>3</v>
      </c>
      <c r="H6" s="51">
        <v>3</v>
      </c>
      <c r="I6" s="51">
        <v>3</v>
      </c>
      <c r="J6" s="51">
        <v>1</v>
      </c>
      <c r="K6" s="51">
        <v>1</v>
      </c>
      <c r="L6" s="48">
        <v>1</v>
      </c>
      <c r="M6" s="48">
        <f t="shared" si="0"/>
        <v>1</v>
      </c>
      <c r="N6" s="48">
        <f t="shared" si="1"/>
        <v>2.8828828828828845</v>
      </c>
      <c r="O6" s="48">
        <f t="shared" si="2"/>
        <v>3.595505617977528</v>
      </c>
      <c r="P6" s="49" t="s">
        <v>167</v>
      </c>
    </row>
    <row r="7" spans="1:16" s="48" customFormat="1" x14ac:dyDescent="0.25">
      <c r="A7" s="48" t="s">
        <v>141</v>
      </c>
      <c r="B7" s="48">
        <v>4</v>
      </c>
      <c r="C7" s="48" t="s">
        <v>16</v>
      </c>
      <c r="D7" s="48" t="s">
        <v>143</v>
      </c>
      <c r="E7" s="51">
        <v>1</v>
      </c>
      <c r="F7" s="51">
        <v>3</v>
      </c>
      <c r="G7" s="51">
        <v>3</v>
      </c>
      <c r="H7" s="51">
        <v>3</v>
      </c>
      <c r="I7" s="51">
        <v>3</v>
      </c>
      <c r="J7" s="51">
        <v>3</v>
      </c>
      <c r="K7" s="51">
        <v>3</v>
      </c>
      <c r="L7" s="48">
        <v>0.6</v>
      </c>
      <c r="M7" s="48">
        <f t="shared" si="0"/>
        <v>0.6</v>
      </c>
      <c r="N7" s="48">
        <f t="shared" si="1"/>
        <v>1.7297297297297307</v>
      </c>
      <c r="O7" s="48">
        <f t="shared" si="2"/>
        <v>2.1573033707865168</v>
      </c>
      <c r="P7" s="49" t="s">
        <v>166</v>
      </c>
    </row>
    <row r="8" spans="1:16" s="48" customFormat="1" ht="36" x14ac:dyDescent="0.25">
      <c r="A8" s="48" t="s">
        <v>142</v>
      </c>
      <c r="B8" s="48">
        <v>5</v>
      </c>
      <c r="D8" s="48" t="s">
        <v>77</v>
      </c>
      <c r="E8" s="51">
        <v>3</v>
      </c>
      <c r="F8" s="51">
        <v>2</v>
      </c>
      <c r="G8" s="51">
        <v>2</v>
      </c>
      <c r="H8" s="51">
        <v>2</v>
      </c>
      <c r="I8" s="51">
        <v>2</v>
      </c>
      <c r="J8" s="51">
        <v>2</v>
      </c>
      <c r="K8" s="51">
        <v>2</v>
      </c>
      <c r="L8" s="48">
        <v>0.4</v>
      </c>
      <c r="M8" s="48">
        <f t="shared" si="0"/>
        <v>0</v>
      </c>
      <c r="N8" s="48">
        <f t="shared" si="1"/>
        <v>1.1531531531531538</v>
      </c>
      <c r="O8" s="48">
        <f t="shared" si="2"/>
        <v>0</v>
      </c>
      <c r="P8" s="49" t="s">
        <v>170</v>
      </c>
    </row>
    <row r="9" spans="1:16" s="48" customFormat="1" ht="36" x14ac:dyDescent="0.25">
      <c r="A9" s="48" t="s">
        <v>141</v>
      </c>
      <c r="B9" s="48">
        <v>6</v>
      </c>
      <c r="D9" s="50" t="s">
        <v>194</v>
      </c>
      <c r="E9" s="51">
        <v>1</v>
      </c>
      <c r="F9" s="51">
        <v>3</v>
      </c>
      <c r="G9" s="51">
        <v>3</v>
      </c>
      <c r="H9" s="51">
        <v>3</v>
      </c>
      <c r="I9" s="51">
        <v>3</v>
      </c>
      <c r="J9" s="51">
        <v>3</v>
      </c>
      <c r="K9" s="51">
        <v>3</v>
      </c>
      <c r="L9" s="48">
        <v>0.5</v>
      </c>
      <c r="M9" s="48">
        <f t="shared" si="0"/>
        <v>0.5</v>
      </c>
      <c r="N9" s="48">
        <f t="shared" si="1"/>
        <v>1.4414414414414423</v>
      </c>
      <c r="O9" s="48">
        <f t="shared" si="2"/>
        <v>1.797752808988764</v>
      </c>
      <c r="P9" s="49" t="s">
        <v>171</v>
      </c>
    </row>
    <row r="10" spans="1:16" s="48" customFormat="1" ht="36" x14ac:dyDescent="0.25">
      <c r="A10" s="48" t="s">
        <v>142</v>
      </c>
      <c r="B10" s="48">
        <v>7</v>
      </c>
      <c r="D10" s="67" t="s">
        <v>87</v>
      </c>
      <c r="E10" s="68">
        <v>2</v>
      </c>
      <c r="F10" s="68">
        <v>3</v>
      </c>
      <c r="G10" s="68">
        <v>3</v>
      </c>
      <c r="H10" s="68">
        <v>3</v>
      </c>
      <c r="I10" s="68">
        <v>3</v>
      </c>
      <c r="J10" s="68">
        <v>3</v>
      </c>
      <c r="K10" s="68">
        <v>3</v>
      </c>
      <c r="L10" s="48">
        <v>0.1</v>
      </c>
      <c r="M10" s="48">
        <f t="shared" si="0"/>
        <v>0</v>
      </c>
      <c r="N10" s="48">
        <f t="shared" si="1"/>
        <v>0.28828828828828845</v>
      </c>
      <c r="O10" s="48">
        <f t="shared" si="2"/>
        <v>0</v>
      </c>
      <c r="P10" s="49" t="s">
        <v>172</v>
      </c>
    </row>
    <row r="11" spans="1:16" s="48" customFormat="1" ht="36" x14ac:dyDescent="0.25">
      <c r="A11" s="48" t="s">
        <v>141</v>
      </c>
      <c r="B11" s="48">
        <v>8</v>
      </c>
      <c r="D11" s="48" t="s">
        <v>88</v>
      </c>
      <c r="E11" s="51">
        <v>1</v>
      </c>
      <c r="F11" s="51">
        <v>3</v>
      </c>
      <c r="G11" s="51">
        <v>3</v>
      </c>
      <c r="H11" s="51">
        <v>3</v>
      </c>
      <c r="I11" s="51">
        <v>3</v>
      </c>
      <c r="J11" s="51">
        <v>3</v>
      </c>
      <c r="K11" s="51">
        <v>3</v>
      </c>
      <c r="L11" s="48">
        <v>0.75</v>
      </c>
      <c r="M11" s="48">
        <f t="shared" si="0"/>
        <v>0.75</v>
      </c>
      <c r="N11" s="48">
        <f t="shared" si="1"/>
        <v>2.1621621621621632</v>
      </c>
      <c r="O11" s="48">
        <f t="shared" si="2"/>
        <v>2.696629213483146</v>
      </c>
      <c r="P11" s="49" t="s">
        <v>173</v>
      </c>
    </row>
    <row r="12" spans="1:16" s="48" customFormat="1" ht="36" x14ac:dyDescent="0.25">
      <c r="A12" s="48" t="s">
        <v>141</v>
      </c>
      <c r="B12" s="48">
        <v>9</v>
      </c>
      <c r="D12" s="48" t="s">
        <v>89</v>
      </c>
      <c r="E12" s="51">
        <v>1</v>
      </c>
      <c r="F12" s="51">
        <v>3</v>
      </c>
      <c r="G12" s="51">
        <v>3</v>
      </c>
      <c r="H12" s="51">
        <v>3</v>
      </c>
      <c r="I12" s="51">
        <v>3</v>
      </c>
      <c r="J12" s="51">
        <v>3</v>
      </c>
      <c r="K12" s="51">
        <v>3</v>
      </c>
      <c r="L12" s="48">
        <v>0.1</v>
      </c>
      <c r="M12" s="48">
        <f t="shared" si="0"/>
        <v>0.1</v>
      </c>
      <c r="N12" s="48">
        <f t="shared" si="1"/>
        <v>0.28828828828828845</v>
      </c>
      <c r="O12" s="48">
        <f t="shared" si="2"/>
        <v>0.3595505617977528</v>
      </c>
      <c r="P12" s="49" t="s">
        <v>173</v>
      </c>
    </row>
    <row r="13" spans="1:16" s="48" customFormat="1" x14ac:dyDescent="0.25">
      <c r="A13" s="48" t="s">
        <v>142</v>
      </c>
      <c r="B13" s="48">
        <v>10</v>
      </c>
      <c r="C13" s="48" t="s">
        <v>24</v>
      </c>
      <c r="D13" s="48" t="s">
        <v>19</v>
      </c>
      <c r="E13" s="51">
        <v>2</v>
      </c>
      <c r="F13" s="51">
        <v>3</v>
      </c>
      <c r="G13" s="51">
        <v>3</v>
      </c>
      <c r="H13" s="51">
        <v>3</v>
      </c>
      <c r="I13" s="51">
        <v>3</v>
      </c>
      <c r="J13" s="51">
        <v>3</v>
      </c>
      <c r="K13" s="51">
        <v>3</v>
      </c>
      <c r="L13" s="48">
        <v>0.1</v>
      </c>
      <c r="M13" s="48">
        <f t="shared" si="0"/>
        <v>0</v>
      </c>
      <c r="N13" s="48">
        <f t="shared" si="1"/>
        <v>0.28828828828828845</v>
      </c>
      <c r="O13" s="48">
        <f t="shared" si="2"/>
        <v>0</v>
      </c>
      <c r="P13" s="49" t="s">
        <v>175</v>
      </c>
    </row>
    <row r="14" spans="1:16" s="48" customFormat="1" ht="54" x14ac:dyDescent="0.25">
      <c r="A14" s="48" t="s">
        <v>142</v>
      </c>
      <c r="B14" s="48">
        <v>11</v>
      </c>
      <c r="D14" s="48" t="s">
        <v>20</v>
      </c>
      <c r="E14" s="51">
        <v>1</v>
      </c>
      <c r="F14" s="51">
        <v>3</v>
      </c>
      <c r="G14" s="51">
        <v>3</v>
      </c>
      <c r="H14" s="51">
        <v>2</v>
      </c>
      <c r="I14" s="51">
        <v>2</v>
      </c>
      <c r="J14" s="51">
        <v>2</v>
      </c>
      <c r="K14" s="51">
        <v>2</v>
      </c>
      <c r="L14" s="48">
        <v>0.1</v>
      </c>
      <c r="M14" s="48">
        <f t="shared" si="0"/>
        <v>0</v>
      </c>
      <c r="N14" s="48">
        <f t="shared" si="1"/>
        <v>0.28828828828828845</v>
      </c>
      <c r="O14" s="48">
        <f t="shared" si="2"/>
        <v>0</v>
      </c>
      <c r="P14" s="49" t="s">
        <v>174</v>
      </c>
    </row>
    <row r="15" spans="1:16" s="48" customFormat="1" ht="36" x14ac:dyDescent="0.25">
      <c r="A15" s="48" t="s">
        <v>141</v>
      </c>
      <c r="B15" s="48">
        <v>12</v>
      </c>
      <c r="C15" s="48" t="s">
        <v>12</v>
      </c>
      <c r="D15" s="48" t="s">
        <v>149</v>
      </c>
      <c r="E15" s="51">
        <v>3</v>
      </c>
      <c r="F15" s="51">
        <v>3</v>
      </c>
      <c r="G15" s="51">
        <v>3</v>
      </c>
      <c r="H15" s="51">
        <v>2</v>
      </c>
      <c r="I15" s="51">
        <v>2</v>
      </c>
      <c r="J15" s="51">
        <v>2</v>
      </c>
      <c r="K15" s="51">
        <v>2</v>
      </c>
      <c r="L15" s="48">
        <v>0.1</v>
      </c>
      <c r="M15" s="48">
        <f t="shared" si="0"/>
        <v>0.1</v>
      </c>
      <c r="N15" s="48">
        <f t="shared" si="1"/>
        <v>0.28828828828828845</v>
      </c>
      <c r="O15" s="48">
        <f t="shared" si="2"/>
        <v>0.3595505617977528</v>
      </c>
      <c r="P15" s="49" t="s">
        <v>176</v>
      </c>
    </row>
    <row r="16" spans="1:16" s="48" customFormat="1" x14ac:dyDescent="0.25">
      <c r="A16" s="48" t="s">
        <v>142</v>
      </c>
      <c r="B16" s="48">
        <v>13</v>
      </c>
      <c r="C16" s="48" t="s">
        <v>21</v>
      </c>
      <c r="D16" s="48" t="s">
        <v>127</v>
      </c>
      <c r="E16" s="51">
        <v>3</v>
      </c>
      <c r="F16" s="51">
        <v>2</v>
      </c>
      <c r="G16" s="51">
        <v>2</v>
      </c>
      <c r="H16" s="51">
        <v>2</v>
      </c>
      <c r="I16" s="51">
        <v>2</v>
      </c>
      <c r="J16" s="51">
        <v>2</v>
      </c>
      <c r="K16" s="51">
        <v>2</v>
      </c>
      <c r="L16" s="48">
        <v>0.1</v>
      </c>
      <c r="M16" s="48">
        <f t="shared" si="0"/>
        <v>0</v>
      </c>
      <c r="N16" s="48">
        <f t="shared" si="1"/>
        <v>0.28828828828828845</v>
      </c>
      <c r="O16" s="48">
        <f t="shared" si="2"/>
        <v>0</v>
      </c>
      <c r="P16" s="49" t="s">
        <v>177</v>
      </c>
    </row>
    <row r="17" spans="1:18" s="48" customFormat="1" ht="54" x14ac:dyDescent="0.25">
      <c r="A17" s="48" t="s">
        <v>142</v>
      </c>
      <c r="B17" s="48">
        <v>14</v>
      </c>
      <c r="D17" s="48" t="s">
        <v>33</v>
      </c>
      <c r="E17" s="51">
        <v>1</v>
      </c>
      <c r="F17" s="51">
        <v>1</v>
      </c>
      <c r="G17" s="51">
        <v>1</v>
      </c>
      <c r="H17" s="51">
        <v>2</v>
      </c>
      <c r="I17" s="51">
        <v>2</v>
      </c>
      <c r="J17" s="51">
        <v>3</v>
      </c>
      <c r="K17" s="51">
        <v>3</v>
      </c>
      <c r="L17" s="48">
        <v>0.1</v>
      </c>
      <c r="M17" s="48">
        <f t="shared" si="0"/>
        <v>0</v>
      </c>
      <c r="N17" s="48">
        <f t="shared" si="1"/>
        <v>0.28828828828828845</v>
      </c>
      <c r="O17" s="48">
        <f t="shared" si="2"/>
        <v>0</v>
      </c>
      <c r="P17" s="49" t="s">
        <v>178</v>
      </c>
    </row>
    <row r="18" spans="1:18" s="48" customFormat="1" x14ac:dyDescent="0.25">
      <c r="A18" s="48" t="s">
        <v>142</v>
      </c>
      <c r="B18" s="48">
        <v>15</v>
      </c>
      <c r="D18" s="48" t="s">
        <v>153</v>
      </c>
      <c r="E18" s="51">
        <v>1</v>
      </c>
      <c r="F18" s="51">
        <v>3</v>
      </c>
      <c r="G18" s="51">
        <v>3</v>
      </c>
      <c r="H18" s="51">
        <v>3</v>
      </c>
      <c r="I18" s="51">
        <v>3</v>
      </c>
      <c r="J18" s="51">
        <v>3</v>
      </c>
      <c r="K18" s="51">
        <v>3</v>
      </c>
      <c r="L18" s="48">
        <v>0.1</v>
      </c>
      <c r="M18" s="48">
        <f t="shared" si="0"/>
        <v>0</v>
      </c>
      <c r="N18" s="48">
        <f t="shared" si="1"/>
        <v>0.28828828828828845</v>
      </c>
      <c r="O18" s="48">
        <f t="shared" si="2"/>
        <v>0</v>
      </c>
      <c r="P18" s="49" t="s">
        <v>177</v>
      </c>
    </row>
    <row r="19" spans="1:18" s="48" customFormat="1" x14ac:dyDescent="0.25">
      <c r="A19" s="48" t="s">
        <v>141</v>
      </c>
      <c r="B19" s="48">
        <v>16</v>
      </c>
      <c r="C19" s="48" t="s">
        <v>144</v>
      </c>
      <c r="D19" s="48" t="s">
        <v>10</v>
      </c>
      <c r="E19" s="51">
        <v>5</v>
      </c>
      <c r="F19" s="51">
        <v>3</v>
      </c>
      <c r="G19" s="51">
        <v>1</v>
      </c>
      <c r="H19" s="51">
        <v>2</v>
      </c>
      <c r="I19" s="51">
        <v>4</v>
      </c>
      <c r="J19" s="51">
        <v>6</v>
      </c>
      <c r="K19" s="51">
        <v>7</v>
      </c>
      <c r="L19" s="48">
        <v>0.5</v>
      </c>
      <c r="M19" s="48">
        <f t="shared" si="0"/>
        <v>0.5</v>
      </c>
      <c r="N19" s="48">
        <f t="shared" si="1"/>
        <v>1.4414414414414423</v>
      </c>
      <c r="O19" s="48">
        <f t="shared" si="2"/>
        <v>1.797752808988764</v>
      </c>
      <c r="P19" s="52"/>
    </row>
    <row r="20" spans="1:18" s="53" customFormat="1" ht="22.5" x14ac:dyDescent="0.25">
      <c r="A20" s="56"/>
      <c r="B20" s="56"/>
      <c r="C20" s="56"/>
      <c r="D20" s="53" t="s">
        <v>154</v>
      </c>
      <c r="E20" s="54">
        <f t="shared" ref="E20:K20" si="3">(SUM(E4:E19))</f>
        <v>34</v>
      </c>
      <c r="F20" s="54">
        <f t="shared" si="3"/>
        <v>42</v>
      </c>
      <c r="G20" s="54">
        <f t="shared" si="3"/>
        <v>40</v>
      </c>
      <c r="H20" s="54">
        <f t="shared" si="3"/>
        <v>40</v>
      </c>
      <c r="I20" s="54">
        <f t="shared" si="3"/>
        <v>42</v>
      </c>
      <c r="J20" s="54">
        <f t="shared" si="3"/>
        <v>43</v>
      </c>
      <c r="K20" s="54">
        <f t="shared" si="3"/>
        <v>44</v>
      </c>
      <c r="L20" s="53">
        <f>(AVERAGE(L4:L19))</f>
        <v>0.34687499999999982</v>
      </c>
      <c r="M20" s="53">
        <f>(AVERAGE(M4:M19))</f>
        <v>0.27812500000000001</v>
      </c>
      <c r="O20" s="53">
        <f>(AVERAGE(E20:K20))</f>
        <v>40.714285714285715</v>
      </c>
      <c r="P20" s="55" t="s">
        <v>179</v>
      </c>
    </row>
    <row r="21" spans="1:18" s="56" customFormat="1" ht="22.5" x14ac:dyDescent="0.25">
      <c r="D21" s="56" t="s">
        <v>158</v>
      </c>
      <c r="E21" s="56">
        <f t="shared" ref="E21:K21" si="4">SUMPRODUCT(E4:E19,$N4:$N19)</f>
        <v>37.333333333333357</v>
      </c>
      <c r="F21" s="56">
        <f t="shared" si="4"/>
        <v>43.099099099099107</v>
      </c>
      <c r="G21" s="56">
        <f t="shared" si="4"/>
        <v>40.216216216216225</v>
      </c>
      <c r="H21" s="56">
        <f t="shared" si="4"/>
        <v>41.369369369369387</v>
      </c>
      <c r="I21" s="56">
        <f t="shared" si="4"/>
        <v>44.252252252252276</v>
      </c>
      <c r="J21" s="56">
        <f t="shared" si="4"/>
        <v>41.65765765765768</v>
      </c>
      <c r="K21" s="56">
        <f t="shared" si="4"/>
        <v>43.099099099099121</v>
      </c>
      <c r="O21" s="56">
        <f>(AVERAGE(E21:K21))</f>
        <v>41.575289575289595</v>
      </c>
      <c r="P21" s="57" t="s">
        <v>179</v>
      </c>
    </row>
    <row r="22" spans="1:18" s="56" customFormat="1" ht="22.5" x14ac:dyDescent="0.25">
      <c r="D22" s="56" t="s">
        <v>151</v>
      </c>
      <c r="E22" s="56">
        <f t="shared" ref="E22:K22" si="5">SUMPRODUCT(E4:E19,$O4:$O19)</f>
        <v>37.573033707865164</v>
      </c>
      <c r="F22" s="56">
        <f t="shared" si="5"/>
        <v>44.764044943820231</v>
      </c>
      <c r="G22" s="56">
        <f t="shared" si="5"/>
        <v>41.168539325842701</v>
      </c>
      <c r="H22" s="56">
        <f t="shared" si="5"/>
        <v>42.606741573033716</v>
      </c>
      <c r="I22" s="56">
        <f t="shared" si="5"/>
        <v>46.202247191011239</v>
      </c>
      <c r="J22" s="56">
        <f t="shared" si="5"/>
        <v>42.606741573033702</v>
      </c>
      <c r="K22" s="56">
        <f t="shared" si="5"/>
        <v>44.404494382022463</v>
      </c>
      <c r="O22" s="56">
        <f t="shared" ref="O22:O25" si="6">(AVERAGE(E22:K22))</f>
        <v>42.760834670947034</v>
      </c>
      <c r="P22" s="57" t="s">
        <v>180</v>
      </c>
    </row>
    <row r="23" spans="1:18" s="56" customFormat="1" ht="22.5" x14ac:dyDescent="0.25">
      <c r="D23" s="56" t="s">
        <v>161</v>
      </c>
      <c r="E23" s="56">
        <f t="shared" ref="E23:K23" si="7">(E22-E21)/E21*100</f>
        <v>0.64205457463876936</v>
      </c>
      <c r="F23" s="56">
        <f t="shared" si="7"/>
        <v>3.8630641464056183</v>
      </c>
      <c r="G23" s="56">
        <f t="shared" si="7"/>
        <v>2.3680077322701365</v>
      </c>
      <c r="H23" s="56">
        <f t="shared" si="7"/>
        <v>2.9910347257565424</v>
      </c>
      <c r="I23" s="56">
        <f t="shared" si="7"/>
        <v>4.4065439373421151</v>
      </c>
      <c r="J23" s="56">
        <f t="shared" si="7"/>
        <v>2.2782940010107779</v>
      </c>
      <c r="K23" s="56">
        <f t="shared" si="7"/>
        <v>3.0288226673179541</v>
      </c>
      <c r="O23" s="56">
        <f t="shared" si="6"/>
        <v>2.7968316835345592</v>
      </c>
      <c r="P23" s="57" t="s">
        <v>160</v>
      </c>
    </row>
    <row r="24" spans="1:18" s="56" customFormat="1" ht="22.5" x14ac:dyDescent="0.25">
      <c r="D24" s="56" t="s">
        <v>162</v>
      </c>
      <c r="E24" s="56">
        <f>(E21-E20)/E20*100</f>
        <v>9.803921568627521</v>
      </c>
      <c r="F24" s="56">
        <f t="shared" ref="F24:H24" si="8">(F21-F20)/F20*100</f>
        <v>2.6169026169026348</v>
      </c>
      <c r="G24" s="56">
        <f t="shared" si="8"/>
        <v>0.54054054054056166</v>
      </c>
      <c r="H24" s="56">
        <f t="shared" si="8"/>
        <v>3.4234234234234684</v>
      </c>
      <c r="I24" s="56">
        <f>(I21-I20)/I20*100</f>
        <v>5.3625053625054191</v>
      </c>
      <c r="J24" s="56">
        <f t="shared" ref="J24" si="9">(J21-J20)/J20*100</f>
        <v>-3.1217263775402797</v>
      </c>
      <c r="K24" s="56">
        <f>(K21-K20)/K20*100</f>
        <v>-2.047502047501998</v>
      </c>
      <c r="O24" s="56">
        <f t="shared" si="6"/>
        <v>2.3682950124224753</v>
      </c>
      <c r="P24" s="57" t="s">
        <v>163</v>
      </c>
    </row>
    <row r="25" spans="1:18" s="56" customFormat="1" ht="22.5" x14ac:dyDescent="0.25">
      <c r="D25" s="56" t="s">
        <v>181</v>
      </c>
      <c r="E25" s="56">
        <f t="shared" ref="E25:K25" si="10">(E22-E20)/E20*100</f>
        <v>10.50892267019166</v>
      </c>
      <c r="F25" s="56">
        <f t="shared" si="10"/>
        <v>6.5810593900481686</v>
      </c>
      <c r="G25" s="56">
        <f t="shared" si="10"/>
        <v>2.9213483146067531</v>
      </c>
      <c r="H25" s="56">
        <f t="shared" si="10"/>
        <v>6.5168539325842909</v>
      </c>
      <c r="I25" s="56">
        <f t="shared" si="10"/>
        <v>10.005350454788664</v>
      </c>
      <c r="J25" s="56">
        <f t="shared" si="10"/>
        <v>-0.91455448131697259</v>
      </c>
      <c r="K25" s="56">
        <f t="shared" si="10"/>
        <v>0.91930541368741625</v>
      </c>
      <c r="O25" s="56">
        <f t="shared" si="6"/>
        <v>5.2197550992271413</v>
      </c>
      <c r="P25" s="57" t="s">
        <v>163</v>
      </c>
    </row>
    <row r="26" spans="1:18" s="56" customFormat="1" ht="45" x14ac:dyDescent="0.25">
      <c r="D26" s="56" t="s">
        <v>187</v>
      </c>
      <c r="E26" s="58">
        <f>(E22-E22*$O$26/100)</f>
        <v>37.555051118534259</v>
      </c>
      <c r="F26" s="58">
        <f t="shared" ref="F26:K26" si="11">(F22-F22*$O$26/100)</f>
        <v>44.742620710598246</v>
      </c>
      <c r="G26" s="58">
        <f t="shared" si="11"/>
        <v>41.148835914566256</v>
      </c>
      <c r="H26" s="58">
        <f t="shared" si="11"/>
        <v>42.586349832979053</v>
      </c>
      <c r="I26" s="58">
        <f t="shared" si="11"/>
        <v>46.180134629011036</v>
      </c>
      <c r="J26" s="58">
        <f t="shared" si="11"/>
        <v>42.586349832979039</v>
      </c>
      <c r="K26" s="58">
        <f t="shared" si="11"/>
        <v>44.38324223099503</v>
      </c>
      <c r="N26" s="57"/>
      <c r="O26" s="60">
        <f>(O22-O20)/O22</f>
        <v>4.7860360360360413E-2</v>
      </c>
      <c r="P26" s="57" t="s">
        <v>197</v>
      </c>
    </row>
    <row r="27" spans="1:18" ht="22.5" x14ac:dyDescent="0.25">
      <c r="L27" s="56">
        <f>(E21/(SUM($E$21:$K$21)))</f>
        <v>0.12828132738979695</v>
      </c>
      <c r="M27" s="56">
        <f t="shared" ref="M27:O27" si="12">(F21/(SUM($E$21:$K$21)))</f>
        <v>0.14809311540366515</v>
      </c>
      <c r="N27" s="56">
        <f t="shared" si="12"/>
        <v>0.13818722139673104</v>
      </c>
      <c r="O27" s="56">
        <f t="shared" si="12"/>
        <v>0.1421495789995047</v>
      </c>
      <c r="P27" s="56">
        <f>(I21/(SUM($E$21:$K$21)))</f>
        <v>0.15205547300643885</v>
      </c>
      <c r="Q27" s="56">
        <f t="shared" ref="Q27:R27" si="13">(J21/(SUM($E$21:$K$21)))</f>
        <v>0.14314016840019814</v>
      </c>
      <c r="R27" s="56">
        <f t="shared" si="13"/>
        <v>0.14809311540366518</v>
      </c>
    </row>
    <row r="29" spans="1:18" x14ac:dyDescent="0.25">
      <c r="D29" s="59" t="s">
        <v>195</v>
      </c>
      <c r="E29" s="59" t="s">
        <v>34</v>
      </c>
      <c r="F29" s="59" t="s">
        <v>189</v>
      </c>
      <c r="G29" s="59" t="s">
        <v>188</v>
      </c>
      <c r="H29" s="59" t="s">
        <v>190</v>
      </c>
      <c r="I29" s="59" t="s">
        <v>191</v>
      </c>
      <c r="J29" s="59" t="s">
        <v>182</v>
      </c>
      <c r="K29" s="59" t="s">
        <v>192</v>
      </c>
    </row>
    <row r="30" spans="1:18" x14ac:dyDescent="0.25">
      <c r="D30" s="59" t="s">
        <v>154</v>
      </c>
      <c r="E30" s="47">
        <f>(E20)-(MIN($E$20:$K$21,$E$26:$K$26)-1)</f>
        <v>1</v>
      </c>
      <c r="F30" s="47">
        <f t="shared" ref="F30:K30" si="14">(F20)-(MIN($E$20:$K$21,$E$26:$K$26)-1)</f>
        <v>9</v>
      </c>
      <c r="G30" s="47">
        <f t="shared" si="14"/>
        <v>7</v>
      </c>
      <c r="H30" s="47">
        <f t="shared" si="14"/>
        <v>7</v>
      </c>
      <c r="I30" s="47">
        <f t="shared" si="14"/>
        <v>9</v>
      </c>
      <c r="J30" s="47">
        <f t="shared" si="14"/>
        <v>10</v>
      </c>
      <c r="K30" s="47">
        <f t="shared" si="14"/>
        <v>11</v>
      </c>
    </row>
    <row r="31" spans="1:18" x14ac:dyDescent="0.25">
      <c r="D31" s="59" t="s">
        <v>193</v>
      </c>
      <c r="E31" s="47">
        <f t="shared" ref="E31:K31" si="15">(E21)-(MIN($E$20:$K$21,$E$26:$K$26)-1)</f>
        <v>4.333333333333357</v>
      </c>
      <c r="F31" s="47">
        <f t="shared" si="15"/>
        <v>10.099099099099107</v>
      </c>
      <c r="G31" s="47">
        <f t="shared" si="15"/>
        <v>7.2162162162162247</v>
      </c>
      <c r="H31" s="47">
        <f t="shared" si="15"/>
        <v>8.3693693693693874</v>
      </c>
      <c r="I31" s="47">
        <f t="shared" si="15"/>
        <v>11.252252252252276</v>
      </c>
      <c r="J31" s="47">
        <f t="shared" si="15"/>
        <v>8.6576576576576798</v>
      </c>
      <c r="K31" s="47">
        <f t="shared" si="15"/>
        <v>10.099099099099121</v>
      </c>
    </row>
    <row r="32" spans="1:18" x14ac:dyDescent="0.25">
      <c r="D32" s="59" t="s">
        <v>200</v>
      </c>
      <c r="E32" s="47">
        <f t="shared" ref="E32:K32" si="16">(E22)-(MIN($E$20:$K$21,$E$26:$K$26)-1)</f>
        <v>4.5730337078651644</v>
      </c>
      <c r="F32" s="47">
        <f t="shared" si="16"/>
        <v>11.764044943820231</v>
      </c>
      <c r="G32" s="47">
        <f t="shared" si="16"/>
        <v>8.1685393258427013</v>
      </c>
      <c r="H32" s="47">
        <f t="shared" si="16"/>
        <v>9.606741573033716</v>
      </c>
      <c r="I32" s="47">
        <f t="shared" si="16"/>
        <v>13.202247191011239</v>
      </c>
      <c r="J32" s="47">
        <f t="shared" si="16"/>
        <v>9.6067415730337018</v>
      </c>
      <c r="K32" s="47">
        <f t="shared" si="16"/>
        <v>11.404494382022463</v>
      </c>
    </row>
    <row r="34" spans="4:11" x14ac:dyDescent="0.25">
      <c r="D34" s="59" t="s">
        <v>196</v>
      </c>
      <c r="E34" s="59" t="s">
        <v>34</v>
      </c>
      <c r="F34" s="59" t="s">
        <v>189</v>
      </c>
      <c r="G34" s="59" t="s">
        <v>188</v>
      </c>
      <c r="H34" s="59" t="s">
        <v>190</v>
      </c>
      <c r="I34" s="59" t="s">
        <v>191</v>
      </c>
      <c r="J34" s="59" t="s">
        <v>182</v>
      </c>
      <c r="K34" s="59" t="s">
        <v>192</v>
      </c>
    </row>
    <row r="35" spans="4:11" x14ac:dyDescent="0.25">
      <c r="D35" s="59" t="s">
        <v>154</v>
      </c>
      <c r="E35" s="47">
        <f>(E20)</f>
        <v>34</v>
      </c>
      <c r="F35" s="47">
        <f t="shared" ref="F35:K35" si="17">(F20)</f>
        <v>42</v>
      </c>
      <c r="G35" s="47">
        <f t="shared" si="17"/>
        <v>40</v>
      </c>
      <c r="H35" s="47">
        <f t="shared" si="17"/>
        <v>40</v>
      </c>
      <c r="I35" s="47">
        <f t="shared" si="17"/>
        <v>42</v>
      </c>
      <c r="J35" s="47">
        <f t="shared" si="17"/>
        <v>43</v>
      </c>
      <c r="K35" s="47">
        <f t="shared" si="17"/>
        <v>44</v>
      </c>
    </row>
    <row r="36" spans="4:11" x14ac:dyDescent="0.25">
      <c r="D36" s="59" t="s">
        <v>193</v>
      </c>
      <c r="E36" s="47">
        <f>(E21)</f>
        <v>37.333333333333357</v>
      </c>
      <c r="F36" s="47">
        <f t="shared" ref="F36:K36" si="18">(F21)</f>
        <v>43.099099099099107</v>
      </c>
      <c r="G36" s="47">
        <f t="shared" si="18"/>
        <v>40.216216216216225</v>
      </c>
      <c r="H36" s="47">
        <f t="shared" si="18"/>
        <v>41.369369369369387</v>
      </c>
      <c r="I36" s="47">
        <f t="shared" si="18"/>
        <v>44.252252252252276</v>
      </c>
      <c r="J36" s="47">
        <f t="shared" si="18"/>
        <v>41.65765765765768</v>
      </c>
      <c r="K36" s="47">
        <f t="shared" si="18"/>
        <v>43.099099099099121</v>
      </c>
    </row>
    <row r="37" spans="4:11" x14ac:dyDescent="0.25">
      <c r="D37" s="59" t="s">
        <v>200</v>
      </c>
      <c r="E37" s="47">
        <f>(E26)</f>
        <v>37.555051118534259</v>
      </c>
      <c r="F37" s="47">
        <f t="shared" ref="F37:K37" si="19">(F26)</f>
        <v>44.742620710598246</v>
      </c>
      <c r="G37" s="47">
        <f t="shared" si="19"/>
        <v>41.148835914566256</v>
      </c>
      <c r="H37" s="47">
        <f t="shared" si="19"/>
        <v>42.586349832979053</v>
      </c>
      <c r="I37" s="47">
        <f t="shared" si="19"/>
        <v>46.180134629011036</v>
      </c>
      <c r="J37" s="47">
        <f t="shared" si="19"/>
        <v>42.586349832979039</v>
      </c>
      <c r="K37" s="47">
        <f t="shared" si="19"/>
        <v>44.38324223099503</v>
      </c>
    </row>
  </sheetData>
  <mergeCells count="3">
    <mergeCell ref="E2:G2"/>
    <mergeCell ref="H2:I2"/>
    <mergeCell ref="J2:K2"/>
  </mergeCells>
  <conditionalFormatting sqref="S16">
    <cfRule type="duplicateValues" dxfId="19" priority="6"/>
  </conditionalFormatting>
  <conditionalFormatting sqref="R19 R16:R17">
    <cfRule type="duplicateValues" dxfId="18" priority="31"/>
  </conditionalFormatting>
  <conditionalFormatting sqref="E4:K18">
    <cfRule type="cellIs" dxfId="17" priority="1" operator="equal">
      <formula>4</formula>
    </cfRule>
    <cfRule type="cellIs" dxfId="16" priority="2" operator="equal">
      <formula>2</formula>
    </cfRule>
    <cfRule type="cellIs" dxfId="15" priority="3" operator="equal">
      <formula>1</formula>
    </cfRule>
    <cfRule type="cellIs" dxfId="14" priority="4" operator="equal">
      <formula>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5"/>
  <sheetViews>
    <sheetView topLeftCell="O40" zoomScale="85" zoomScaleNormal="85" workbookViewId="0">
      <selection activeCell="Q59" sqref="Q59:T59"/>
    </sheetView>
  </sheetViews>
  <sheetFormatPr defaultColWidth="8.85546875" defaultRowHeight="15" x14ac:dyDescent="0.25"/>
  <cols>
    <col min="1" max="1" width="36.140625" style="61" bestFit="1" customWidth="1"/>
    <col min="2" max="2" width="33.85546875" style="61" bestFit="1" customWidth="1"/>
    <col min="3" max="3" width="62.7109375" style="61" bestFit="1" customWidth="1"/>
    <col min="4" max="4" width="15.7109375" style="61" bestFit="1" customWidth="1"/>
    <col min="5" max="5" width="27.7109375" style="61" bestFit="1" customWidth="1"/>
    <col min="6" max="6" width="25.42578125" style="61" bestFit="1" customWidth="1"/>
    <col min="7" max="7" width="17.42578125" style="61" bestFit="1" customWidth="1"/>
    <col min="8" max="8" width="12.5703125" style="61" bestFit="1" customWidth="1"/>
    <col min="9" max="9" width="16.5703125" style="61" bestFit="1" customWidth="1"/>
    <col min="10" max="13" width="8.85546875" style="61"/>
    <col min="14" max="14" width="27.7109375" style="61" bestFit="1" customWidth="1"/>
    <col min="15" max="15" width="16.28515625" style="61" bestFit="1" customWidth="1"/>
    <col min="16" max="16" width="63.28515625" style="61" bestFit="1" customWidth="1"/>
    <col min="17" max="17" width="14.28515625" style="61" bestFit="1" customWidth="1"/>
    <col min="18" max="18" width="18.28515625" style="61" bestFit="1" customWidth="1"/>
    <col min="19" max="19" width="11.28515625" style="61" bestFit="1" customWidth="1"/>
    <col min="20" max="20" width="16.140625" style="61" bestFit="1" customWidth="1"/>
    <col min="21" max="21" width="18.7109375" style="61" bestFit="1" customWidth="1"/>
    <col min="22" max="22" width="14.7109375" style="61" bestFit="1" customWidth="1"/>
    <col min="23" max="23" width="17" style="61" bestFit="1" customWidth="1"/>
    <col min="24" max="24" width="8.85546875" style="61"/>
    <col min="25" max="25" width="13" style="61" bestFit="1" customWidth="1"/>
    <col min="26" max="26" width="27.28515625" style="61" bestFit="1" customWidth="1"/>
    <col min="27" max="27" width="18.7109375" style="61" bestFit="1" customWidth="1"/>
    <col min="28" max="28" width="9" style="61" bestFit="1" customWidth="1"/>
    <col min="29" max="29" width="12.5703125" style="61" bestFit="1" customWidth="1"/>
    <col min="30" max="30" width="20.5703125" style="61" bestFit="1" customWidth="1"/>
    <col min="31" max="31" width="13.85546875" style="61" bestFit="1" customWidth="1"/>
    <col min="32" max="32" width="36.140625" style="61" customWidth="1"/>
    <col min="33" max="35" width="8.85546875" style="61"/>
    <col min="36" max="36" width="12.5703125" style="61" bestFit="1" customWidth="1"/>
    <col min="37" max="16384" width="8.85546875" style="61"/>
  </cols>
  <sheetData>
    <row r="1" spans="1:24" x14ac:dyDescent="0.25">
      <c r="A1" s="11"/>
      <c r="B1" s="11"/>
      <c r="C1" s="11"/>
      <c r="D1" s="11" t="s">
        <v>49</v>
      </c>
      <c r="E1" s="11" t="s">
        <v>50</v>
      </c>
      <c r="F1" s="11" t="s">
        <v>51</v>
      </c>
      <c r="G1" s="11" t="s">
        <v>73</v>
      </c>
      <c r="H1" s="11" t="s">
        <v>52</v>
      </c>
      <c r="I1" s="11" t="s">
        <v>53</v>
      </c>
      <c r="J1" s="11"/>
      <c r="K1" s="11"/>
      <c r="L1" s="11"/>
      <c r="M1" s="11"/>
    </row>
    <row r="2" spans="1:24" x14ac:dyDescent="0.25">
      <c r="A2" s="11"/>
      <c r="B2" s="11"/>
      <c r="C2" s="1" t="s">
        <v>38</v>
      </c>
      <c r="D2" s="1">
        <f>ROUNDUP((H2)+I2,0)</f>
        <v>678</v>
      </c>
      <c r="E2" s="1">
        <f>(D2)</f>
        <v>678</v>
      </c>
      <c r="F2" s="1">
        <f>ROUNDUP((E2*4),0)</f>
        <v>2712</v>
      </c>
      <c r="G2" s="14">
        <f>(F4/4*'Old ScoreSheet'!J8)</f>
        <v>3162</v>
      </c>
      <c r="H2" s="1">
        <v>170.89</v>
      </c>
      <c r="I2" s="12">
        <f>(D11+E11+F11)</f>
        <v>506.2</v>
      </c>
      <c r="J2" s="11"/>
      <c r="K2" s="11"/>
      <c r="L2" s="11"/>
      <c r="M2" s="11"/>
    </row>
    <row r="3" spans="1:24" ht="28.9" customHeight="1" x14ac:dyDescent="0.25">
      <c r="A3" s="11"/>
      <c r="B3" s="11"/>
      <c r="C3" s="1" t="s">
        <v>4</v>
      </c>
      <c r="D3" s="1">
        <f>ROUNDUP((H3)+I3,0)</f>
        <v>1523</v>
      </c>
      <c r="E3" s="1">
        <f>(I3)</f>
        <v>706.19</v>
      </c>
      <c r="F3" s="1">
        <f>ROUNDUP((E3*(3)+D3),0)</f>
        <v>3642</v>
      </c>
      <c r="G3" s="14">
        <f>(F6/4*'Old ScoreSheet'!J8)</f>
        <v>4428</v>
      </c>
      <c r="H3" s="1">
        <v>816.46</v>
      </c>
      <c r="I3" s="12">
        <f>(D12+E12+F12)</f>
        <v>706.19</v>
      </c>
      <c r="J3" s="11"/>
      <c r="K3" s="11"/>
      <c r="L3" s="11"/>
      <c r="M3" s="11"/>
    </row>
    <row r="4" spans="1:24" x14ac:dyDescent="0.25">
      <c r="A4" s="11"/>
      <c r="B4" s="11"/>
      <c r="C4" s="1" t="s">
        <v>9</v>
      </c>
      <c r="D4" s="1">
        <f>ROUNDUP((H4)+I4,0)</f>
        <v>527</v>
      </c>
      <c r="E4" s="1">
        <f>(D4)</f>
        <v>527</v>
      </c>
      <c r="F4" s="1">
        <f>ROUNDUP((E4*4),0)</f>
        <v>2108</v>
      </c>
      <c r="G4" s="14">
        <f>(D3*ROUNDUP('Old ScoreSheet'!J8/4,0)+E3*('Old ScoreSheet'!J8-ROUNDUP('Old ScoreSheet'!J8/4,0)))</f>
        <v>5870.76</v>
      </c>
      <c r="H4" s="1">
        <v>430</v>
      </c>
      <c r="I4" s="12">
        <f>(D13+E13+F13)</f>
        <v>97</v>
      </c>
      <c r="J4" s="11"/>
      <c r="K4" s="11"/>
      <c r="L4" s="11"/>
      <c r="M4" s="11"/>
    </row>
    <row r="5" spans="1:24" x14ac:dyDescent="0.25">
      <c r="A5" s="11"/>
      <c r="B5" s="11"/>
      <c r="C5" s="11"/>
      <c r="D5" s="11"/>
      <c r="E5" s="11"/>
      <c r="F5" s="11"/>
      <c r="G5" s="11"/>
      <c r="H5" s="11"/>
      <c r="I5" s="11"/>
      <c r="J5" s="11"/>
      <c r="K5" s="11"/>
      <c r="L5" s="11"/>
      <c r="M5" s="11"/>
      <c r="Q5" s="61" t="s">
        <v>204</v>
      </c>
      <c r="R5" s="61" t="s">
        <v>203</v>
      </c>
    </row>
    <row r="6" spans="1:24" ht="21" x14ac:dyDescent="0.35">
      <c r="A6" s="11"/>
      <c r="B6" s="11"/>
      <c r="C6" s="1" t="s">
        <v>6</v>
      </c>
      <c r="D6" s="1">
        <f>(H6)+D17+E17+F14</f>
        <v>737.85</v>
      </c>
      <c r="E6" s="1">
        <f>(D6)</f>
        <v>737.85</v>
      </c>
      <c r="F6" s="1">
        <f>ROUNDUP((E6*4),0)</f>
        <v>2952</v>
      </c>
      <c r="G6" s="11"/>
      <c r="H6" s="1">
        <v>231.65</v>
      </c>
      <c r="I6" s="12">
        <f>(D15+E15+F15)</f>
        <v>506.2</v>
      </c>
      <c r="J6" s="11"/>
      <c r="K6" s="11"/>
      <c r="L6" s="11"/>
      <c r="M6" s="11"/>
      <c r="P6" s="62" t="s">
        <v>201</v>
      </c>
      <c r="Q6" s="62">
        <v>1</v>
      </c>
      <c r="R6" s="62">
        <v>1</v>
      </c>
      <c r="S6" s="62"/>
      <c r="T6" s="62"/>
      <c r="U6" s="62"/>
      <c r="V6" s="62"/>
      <c r="W6" s="62"/>
    </row>
    <row r="7" spans="1:24" ht="21" x14ac:dyDescent="0.35">
      <c r="A7" s="11"/>
      <c r="B7" s="11"/>
      <c r="C7" s="1" t="s">
        <v>5</v>
      </c>
      <c r="D7" s="1">
        <f>(H7)+D12+E12+F15</f>
        <v>855.56999999999994</v>
      </c>
      <c r="E7" s="1">
        <f>(D7)</f>
        <v>855.56999999999994</v>
      </c>
      <c r="F7" s="1">
        <f>ROUNDUP((E7*4),0)</f>
        <v>3423</v>
      </c>
      <c r="G7" s="11"/>
      <c r="H7" s="1">
        <v>349.37</v>
      </c>
      <c r="I7" s="12">
        <f>(D16+E16+F16)</f>
        <v>506.2</v>
      </c>
      <c r="J7" s="11"/>
      <c r="K7" s="11"/>
      <c r="L7" s="11"/>
      <c r="M7" s="11"/>
      <c r="P7" s="62"/>
      <c r="Q7" s="62" t="s">
        <v>69</v>
      </c>
      <c r="R7" s="62" t="s">
        <v>131</v>
      </c>
      <c r="S7" s="62" t="s">
        <v>34</v>
      </c>
      <c r="T7" s="62" t="s">
        <v>132</v>
      </c>
      <c r="U7" s="62" t="s">
        <v>168</v>
      </c>
      <c r="V7" s="62" t="s">
        <v>182</v>
      </c>
      <c r="W7" s="62" t="s">
        <v>183</v>
      </c>
    </row>
    <row r="8" spans="1:24" ht="21" x14ac:dyDescent="0.35">
      <c r="A8" s="11"/>
      <c r="B8" s="11"/>
      <c r="C8" s="1" t="s">
        <v>3</v>
      </c>
      <c r="D8" s="1">
        <f>(H8)+D18+E18+F16</f>
        <v>915.7</v>
      </c>
      <c r="E8" s="1">
        <f>(D8)</f>
        <v>915.7</v>
      </c>
      <c r="F8" s="1">
        <f>ROUNDUP((E8*4),0)</f>
        <v>3663</v>
      </c>
      <c r="G8" s="11"/>
      <c r="H8" s="1">
        <v>755.7</v>
      </c>
      <c r="I8" s="12">
        <f>(D17+E17+F17)</f>
        <v>506.2</v>
      </c>
      <c r="J8" s="11"/>
      <c r="K8" s="11"/>
      <c r="L8" s="11"/>
      <c r="M8" s="11"/>
      <c r="P8" s="62" t="s">
        <v>0</v>
      </c>
      <c r="Q8" s="62">
        <f>(232*Q6*R6)</f>
        <v>232</v>
      </c>
      <c r="R8" s="62">
        <f>(816*Q6*R6)</f>
        <v>816</v>
      </c>
      <c r="S8" s="62">
        <f>(430*Q6*R6)</f>
        <v>430</v>
      </c>
      <c r="T8" s="62">
        <f>(816*ROUNDUP(Q6/4,0)*R6)</f>
        <v>816</v>
      </c>
      <c r="U8" s="62">
        <f>(232*ROUNDUP(Q6/3,0)*R6)</f>
        <v>232</v>
      </c>
      <c r="V8" s="62">
        <f>(816)*R6</f>
        <v>816</v>
      </c>
      <c r="W8" s="62">
        <f>(232)*R6</f>
        <v>232</v>
      </c>
    </row>
    <row r="9" spans="1:24" ht="43.15" customHeight="1" x14ac:dyDescent="0.35">
      <c r="A9" s="11"/>
      <c r="B9" s="11"/>
      <c r="C9" s="1" t="s">
        <v>2</v>
      </c>
      <c r="D9" s="1">
        <f>(H9)+E13+D13+F17</f>
        <v>527</v>
      </c>
      <c r="E9" s="1">
        <f>(D9)</f>
        <v>527</v>
      </c>
      <c r="F9" s="1">
        <f>ROUNDUP((E9*4),0)</f>
        <v>2108</v>
      </c>
      <c r="G9" s="11"/>
      <c r="H9" s="1">
        <v>430</v>
      </c>
      <c r="I9" s="12">
        <f>(D18+E18+F18)</f>
        <v>160</v>
      </c>
      <c r="J9" s="11"/>
      <c r="K9" s="11"/>
      <c r="L9" s="11"/>
      <c r="M9" s="11"/>
      <c r="P9" s="62" t="s">
        <v>133</v>
      </c>
      <c r="Q9" s="62">
        <f>(347*Q6*R6)</f>
        <v>347</v>
      </c>
      <c r="R9" s="62">
        <f>(347*Q6*R6)</f>
        <v>347</v>
      </c>
      <c r="S9" s="62">
        <f>(74*Q6*R6)</f>
        <v>74</v>
      </c>
      <c r="T9" s="62">
        <f>(347*Q6*R6)</f>
        <v>347</v>
      </c>
      <c r="U9" s="62">
        <f>(347*Q6*R6)</f>
        <v>347</v>
      </c>
      <c r="V9" s="62">
        <f>(347*2*R6)</f>
        <v>694</v>
      </c>
      <c r="W9" s="62">
        <f>(347*2*R6)</f>
        <v>694</v>
      </c>
    </row>
    <row r="10" spans="1:24" ht="21" x14ac:dyDescent="0.35">
      <c r="A10" s="11"/>
      <c r="B10" s="11"/>
      <c r="C10" s="11"/>
      <c r="D10" s="1" t="s">
        <v>1</v>
      </c>
      <c r="E10" s="1" t="s">
        <v>8</v>
      </c>
      <c r="F10" s="11" t="s">
        <v>20</v>
      </c>
      <c r="G10" s="1"/>
      <c r="H10" s="1"/>
      <c r="I10" s="11"/>
      <c r="J10" s="11"/>
      <c r="K10" s="11"/>
      <c r="L10" s="11"/>
      <c r="M10" s="11"/>
      <c r="P10" s="62" t="s">
        <v>134</v>
      </c>
      <c r="Q10" s="62">
        <f>91.9*Q6*R6</f>
        <v>91.9</v>
      </c>
      <c r="R10" s="62">
        <f>(200*Q6*R6)</f>
        <v>200</v>
      </c>
      <c r="S10" s="62">
        <v>0</v>
      </c>
      <c r="T10" s="62">
        <f t="shared" ref="T10:V10" si="0">(138.99+269)*$Q$6*$R$6</f>
        <v>407.99</v>
      </c>
      <c r="U10" s="62">
        <f t="shared" si="0"/>
        <v>407.99</v>
      </c>
      <c r="V10" s="62">
        <f t="shared" si="0"/>
        <v>407.99</v>
      </c>
      <c r="W10" s="62">
        <f>(138.99+269)*$Q$6*$R$6</f>
        <v>407.99</v>
      </c>
    </row>
    <row r="11" spans="1:24" ht="21" x14ac:dyDescent="0.35">
      <c r="A11" s="11"/>
      <c r="B11" s="11"/>
      <c r="C11" s="1" t="s">
        <v>7</v>
      </c>
      <c r="D11" s="1">
        <v>346.71</v>
      </c>
      <c r="E11" s="1">
        <v>159.49</v>
      </c>
      <c r="F11" s="1"/>
      <c r="G11" s="11"/>
      <c r="H11" s="11"/>
      <c r="I11" s="11"/>
      <c r="J11" s="11"/>
      <c r="K11" s="11"/>
      <c r="L11" s="11"/>
      <c r="M11" s="11"/>
      <c r="P11" s="62" t="s">
        <v>40</v>
      </c>
      <c r="Q11" s="62">
        <f>(159*Q6*R6)</f>
        <v>159</v>
      </c>
      <c r="R11" s="62">
        <f>(159*Q6*R6)</f>
        <v>159</v>
      </c>
      <c r="S11" s="62">
        <v>0</v>
      </c>
      <c r="T11" s="62">
        <f>159*ROUNDUP(Q6/4,0)*R6</f>
        <v>159</v>
      </c>
      <c r="U11" s="62">
        <f>(159*ROUNDUP(Q6/3,0)*R6)</f>
        <v>159</v>
      </c>
      <c r="V11" s="62">
        <f>159*R6</f>
        <v>159</v>
      </c>
      <c r="W11" s="62">
        <f>(159)*R6</f>
        <v>159</v>
      </c>
    </row>
    <row r="12" spans="1:24" ht="21" x14ac:dyDescent="0.35">
      <c r="A12" s="11"/>
      <c r="B12" s="11"/>
      <c r="C12" s="1" t="s">
        <v>4</v>
      </c>
      <c r="D12" s="1">
        <v>346.71</v>
      </c>
      <c r="E12" s="1">
        <v>159.49</v>
      </c>
      <c r="F12" s="1">
        <v>199.99</v>
      </c>
      <c r="G12" s="11"/>
      <c r="H12" s="11"/>
      <c r="I12" s="11"/>
      <c r="J12" s="11"/>
      <c r="K12" s="11"/>
      <c r="L12" s="11"/>
      <c r="M12" s="11"/>
      <c r="P12" s="62" t="s">
        <v>135</v>
      </c>
      <c r="Q12" s="62">
        <v>0</v>
      </c>
      <c r="R12" s="62">
        <v>0</v>
      </c>
      <c r="S12" s="62">
        <f>((25+3.5+3.5)*1)*Q6*R6</f>
        <v>32</v>
      </c>
      <c r="T12" s="62">
        <v>0</v>
      </c>
      <c r="U12" s="62">
        <v>0</v>
      </c>
      <c r="V12" s="62">
        <v>0</v>
      </c>
      <c r="W12" s="62">
        <v>0</v>
      </c>
    </row>
    <row r="13" spans="1:24" ht="21" x14ac:dyDescent="0.35">
      <c r="A13" s="11"/>
      <c r="B13" s="11"/>
      <c r="C13" s="1" t="s">
        <v>32</v>
      </c>
      <c r="D13" s="1">
        <f>(75+15+3.5+3.5)</f>
        <v>97</v>
      </c>
      <c r="E13" s="1">
        <v>0</v>
      </c>
      <c r="F13" s="1"/>
      <c r="G13" s="11"/>
      <c r="H13" s="11"/>
      <c r="I13" s="11"/>
      <c r="J13" s="11"/>
      <c r="K13" s="11"/>
      <c r="L13" s="11"/>
      <c r="M13" s="11"/>
      <c r="P13" s="62"/>
      <c r="Q13" s="62"/>
      <c r="R13" s="62"/>
      <c r="S13" s="62"/>
      <c r="T13" s="62"/>
      <c r="U13" s="62"/>
      <c r="V13" s="62"/>
      <c r="W13" s="62"/>
    </row>
    <row r="14" spans="1:24" ht="21" x14ac:dyDescent="0.35">
      <c r="A14" s="11"/>
      <c r="B14" s="11"/>
      <c r="C14" s="11"/>
      <c r="D14" s="11"/>
      <c r="E14" s="11"/>
      <c r="F14" s="1"/>
      <c r="G14" s="2"/>
      <c r="H14" s="11"/>
      <c r="I14" s="11"/>
      <c r="J14" s="11"/>
      <c r="K14" s="11"/>
      <c r="L14" s="11"/>
      <c r="M14" s="11"/>
      <c r="P14" s="62"/>
      <c r="Q14" s="62"/>
      <c r="R14" s="62"/>
      <c r="S14" s="62"/>
      <c r="T14" s="62"/>
      <c r="U14" s="62"/>
      <c r="V14" s="62"/>
      <c r="W14" s="62"/>
      <c r="X14" s="11"/>
    </row>
    <row r="15" spans="1:24" ht="21" x14ac:dyDescent="0.35">
      <c r="A15" s="11"/>
      <c r="B15" s="11"/>
      <c r="C15" s="1" t="s">
        <v>6</v>
      </c>
      <c r="D15" s="1">
        <v>346.71</v>
      </c>
      <c r="E15" s="1">
        <v>159.49</v>
      </c>
      <c r="F15" s="1"/>
      <c r="G15" s="3"/>
      <c r="H15" s="11"/>
      <c r="I15" s="11"/>
      <c r="J15" s="11"/>
      <c r="K15" s="11"/>
      <c r="L15" s="11"/>
      <c r="M15" s="11"/>
      <c r="P15" s="62"/>
      <c r="Q15" s="62"/>
      <c r="R15" s="62"/>
      <c r="S15" s="62"/>
      <c r="T15" s="62"/>
      <c r="U15" s="62"/>
      <c r="V15" s="62"/>
      <c r="W15" s="62"/>
      <c r="X15" s="11"/>
    </row>
    <row r="16" spans="1:24" ht="21" x14ac:dyDescent="0.35">
      <c r="A16" s="11"/>
      <c r="B16" s="11"/>
      <c r="C16" s="1" t="s">
        <v>5</v>
      </c>
      <c r="D16" s="1">
        <v>346.71</v>
      </c>
      <c r="E16" s="1">
        <v>159.49</v>
      </c>
      <c r="F16" s="1"/>
      <c r="G16" s="3"/>
      <c r="H16" s="11"/>
      <c r="I16" s="11"/>
      <c r="J16" s="11"/>
      <c r="K16" s="11"/>
      <c r="L16" s="11"/>
      <c r="M16" s="11"/>
      <c r="P16" s="62" t="s">
        <v>136</v>
      </c>
      <c r="Q16" s="62">
        <f t="shared" ref="Q16:W16" si="1">(SUM(Q8:Q15))</f>
        <v>829.9</v>
      </c>
      <c r="R16" s="62">
        <f t="shared" si="1"/>
        <v>1522</v>
      </c>
      <c r="S16" s="62">
        <f t="shared" si="1"/>
        <v>536</v>
      </c>
      <c r="T16" s="62">
        <f t="shared" si="1"/>
        <v>1729.99</v>
      </c>
      <c r="U16" s="62">
        <f t="shared" si="1"/>
        <v>1145.99</v>
      </c>
      <c r="V16" s="62">
        <f t="shared" si="1"/>
        <v>2076.9899999999998</v>
      </c>
      <c r="W16" s="62">
        <f t="shared" si="1"/>
        <v>1492.99</v>
      </c>
      <c r="X16" s="11"/>
    </row>
    <row r="17" spans="1:36" x14ac:dyDescent="0.25">
      <c r="A17" s="11"/>
      <c r="B17" s="11"/>
      <c r="C17" s="1" t="s">
        <v>3</v>
      </c>
      <c r="D17" s="1">
        <v>346.71</v>
      </c>
      <c r="E17" s="1">
        <v>159.49</v>
      </c>
      <c r="F17" s="1"/>
      <c r="G17" s="3"/>
      <c r="H17" s="11"/>
      <c r="I17" s="11"/>
      <c r="J17" s="11"/>
      <c r="K17" s="11"/>
      <c r="L17" s="11"/>
      <c r="M17" s="11"/>
      <c r="Q17" s="61" t="s">
        <v>204</v>
      </c>
      <c r="R17" s="61" t="s">
        <v>203</v>
      </c>
      <c r="X17" s="11"/>
    </row>
    <row r="18" spans="1:36" ht="21" customHeight="1" x14ac:dyDescent="0.35">
      <c r="A18" s="4"/>
      <c r="B18" s="11"/>
      <c r="C18" s="1" t="s">
        <v>2</v>
      </c>
      <c r="D18" s="1">
        <f>(65+3.5+3.5+88)</f>
        <v>160</v>
      </c>
      <c r="E18" s="1">
        <v>0</v>
      </c>
      <c r="F18" s="2"/>
      <c r="G18" s="11"/>
      <c r="H18" s="11"/>
      <c r="I18" s="11"/>
      <c r="J18" s="11"/>
      <c r="K18" s="11"/>
      <c r="L18" s="11"/>
      <c r="M18" s="11"/>
      <c r="P18" s="62" t="s">
        <v>199</v>
      </c>
      <c r="Q18" s="62">
        <v>4</v>
      </c>
      <c r="R18" s="62">
        <v>1</v>
      </c>
      <c r="S18" s="62"/>
      <c r="T18" s="62"/>
      <c r="U18" s="62"/>
      <c r="V18" s="62"/>
      <c r="W18" s="62"/>
    </row>
    <row r="19" spans="1:36" ht="21" customHeight="1" x14ac:dyDescent="0.35">
      <c r="A19" s="4"/>
      <c r="B19" s="11"/>
      <c r="C19" s="11"/>
      <c r="D19" s="11"/>
      <c r="E19" s="11"/>
      <c r="F19" s="11"/>
      <c r="G19" s="11"/>
      <c r="H19" s="11"/>
      <c r="I19" s="11"/>
      <c r="J19" s="11"/>
      <c r="K19" s="11"/>
      <c r="L19" s="11"/>
      <c r="M19" s="11"/>
      <c r="P19" s="62"/>
      <c r="Q19" s="62" t="s">
        <v>69</v>
      </c>
      <c r="R19" s="62" t="s">
        <v>131</v>
      </c>
      <c r="S19" s="62" t="s">
        <v>34</v>
      </c>
      <c r="T19" s="62" t="s">
        <v>132</v>
      </c>
      <c r="U19" s="62" t="s">
        <v>168</v>
      </c>
      <c r="V19" s="62" t="s">
        <v>182</v>
      </c>
      <c r="W19" s="62" t="s">
        <v>183</v>
      </c>
    </row>
    <row r="20" spans="1:36" ht="21" x14ac:dyDescent="0.35">
      <c r="A20" s="4"/>
      <c r="B20" s="11"/>
      <c r="C20" s="11"/>
      <c r="D20" s="11"/>
      <c r="E20" s="11"/>
      <c r="F20" s="11"/>
      <c r="G20" s="11"/>
      <c r="H20" s="11"/>
      <c r="I20" s="11"/>
      <c r="J20" s="11"/>
      <c r="K20" s="11"/>
      <c r="L20" s="11"/>
      <c r="M20" s="11"/>
      <c r="P20" s="62" t="s">
        <v>0</v>
      </c>
      <c r="Q20" s="62">
        <f>(232*Q18*R18)</f>
        <v>928</v>
      </c>
      <c r="R20" s="62">
        <f>(816*Q18*R18)</f>
        <v>3264</v>
      </c>
      <c r="S20" s="62">
        <f>(430*Q18*R18)</f>
        <v>1720</v>
      </c>
      <c r="T20" s="62">
        <f>(816*ROUNDUP(Q18/4,0)*R18)</f>
        <v>816</v>
      </c>
      <c r="U20" s="62">
        <f>(232*ROUNDUP(Q18/3,0)*R18)</f>
        <v>464</v>
      </c>
      <c r="V20" s="62">
        <f>(816)*R18</f>
        <v>816</v>
      </c>
      <c r="W20" s="62">
        <f>(232)*R18</f>
        <v>232</v>
      </c>
    </row>
    <row r="21" spans="1:36" ht="21" x14ac:dyDescent="0.35">
      <c r="A21" s="4" t="s">
        <v>42</v>
      </c>
      <c r="B21" s="11" t="s">
        <v>41</v>
      </c>
      <c r="C21" s="1"/>
      <c r="D21" s="11" t="s">
        <v>0</v>
      </c>
      <c r="E21" s="11" t="s">
        <v>39</v>
      </c>
      <c r="F21" s="11" t="s">
        <v>40</v>
      </c>
      <c r="G21" s="11" t="s">
        <v>20</v>
      </c>
      <c r="H21" s="11"/>
      <c r="I21" s="11"/>
      <c r="J21" s="11"/>
      <c r="K21" s="11"/>
      <c r="L21" s="11"/>
      <c r="M21" s="11"/>
      <c r="P21" s="62" t="s">
        <v>133</v>
      </c>
      <c r="Q21" s="62">
        <f>(347*Q18*R18)</f>
        <v>1388</v>
      </c>
      <c r="R21" s="62">
        <f>(347*Q18*R18)</f>
        <v>1388</v>
      </c>
      <c r="S21" s="62">
        <f>(74*Q18*R18)</f>
        <v>296</v>
      </c>
      <c r="T21" s="62">
        <f>(347*Q18*R18)</f>
        <v>1388</v>
      </c>
      <c r="U21" s="62">
        <f>(347*Q18*R18)</f>
        <v>1388</v>
      </c>
      <c r="V21" s="62">
        <f>(347*2*R18)</f>
        <v>694</v>
      </c>
      <c r="W21" s="62">
        <f>(347*2*R18)</f>
        <v>694</v>
      </c>
    </row>
    <row r="22" spans="1:36" ht="21" x14ac:dyDescent="0.35">
      <c r="A22" s="21">
        <f>1-(E6)/E6</f>
        <v>0</v>
      </c>
      <c r="B22" s="21">
        <f>1-(F6)/F3</f>
        <v>0.18945634266886324</v>
      </c>
      <c r="C22" s="1" t="s">
        <v>69</v>
      </c>
      <c r="D22" s="12">
        <f>(H6)*4</f>
        <v>926.6</v>
      </c>
      <c r="E22" s="12">
        <f>(D15)*4</f>
        <v>1386.84</v>
      </c>
      <c r="F22" s="12">
        <f>(E15)*4</f>
        <v>637.96</v>
      </c>
      <c r="G22" s="12">
        <f>(F15)*4</f>
        <v>0</v>
      </c>
      <c r="H22" s="11"/>
      <c r="I22" s="11"/>
      <c r="J22" s="11"/>
      <c r="K22" s="11"/>
      <c r="L22" s="11"/>
      <c r="M22" s="11"/>
      <c r="P22" s="62" t="s">
        <v>134</v>
      </c>
      <c r="Q22" s="62">
        <f>91.9*Q18*R18</f>
        <v>367.6</v>
      </c>
      <c r="R22" s="62">
        <f>(200*Q18*R18)</f>
        <v>800</v>
      </c>
      <c r="S22" s="62">
        <v>0</v>
      </c>
      <c r="T22" s="62">
        <f t="shared" ref="T22:V22" si="2">(138.99+269)*$Q$18*$R$18</f>
        <v>1631.96</v>
      </c>
      <c r="U22" s="62">
        <f t="shared" si="2"/>
        <v>1631.96</v>
      </c>
      <c r="V22" s="62">
        <f t="shared" si="2"/>
        <v>1631.96</v>
      </c>
      <c r="W22" s="62">
        <f>(138.99+269)*$Q$18*$R$18</f>
        <v>1631.96</v>
      </c>
    </row>
    <row r="23" spans="1:36" ht="21" x14ac:dyDescent="0.35">
      <c r="A23" s="21">
        <f>1-(E3)/E6</f>
        <v>4.2908450227010841E-2</v>
      </c>
      <c r="B23" s="21">
        <f>1-(F3)/F3</f>
        <v>0</v>
      </c>
      <c r="C23" s="1" t="s">
        <v>35</v>
      </c>
      <c r="D23" s="12">
        <f>(H3)</f>
        <v>816.46</v>
      </c>
      <c r="E23" s="12">
        <f t="shared" ref="E23:G24" si="3">(D12)*4</f>
        <v>1386.84</v>
      </c>
      <c r="F23" s="12">
        <f t="shared" si="3"/>
        <v>637.96</v>
      </c>
      <c r="G23" s="12">
        <f t="shared" si="3"/>
        <v>799.96</v>
      </c>
      <c r="H23" s="11"/>
      <c r="I23" s="11"/>
      <c r="J23" s="11"/>
      <c r="K23" s="11"/>
      <c r="L23" s="11"/>
      <c r="M23" s="11"/>
      <c r="P23" s="62" t="s">
        <v>40</v>
      </c>
      <c r="Q23" s="62">
        <f>(159*Q18*R18)</f>
        <v>636</v>
      </c>
      <c r="R23" s="62">
        <f>(159*Q18*R18)</f>
        <v>636</v>
      </c>
      <c r="S23" s="62">
        <v>0</v>
      </c>
      <c r="T23" s="62">
        <f>159*ROUNDUP(Q18/4,0)*R18</f>
        <v>159</v>
      </c>
      <c r="U23" s="62">
        <f>(159*ROUNDUP(Q18/3,0)*R18)</f>
        <v>318</v>
      </c>
      <c r="V23" s="62">
        <f>159*R18</f>
        <v>159</v>
      </c>
      <c r="W23" s="62">
        <f>(159)*R18</f>
        <v>159</v>
      </c>
    </row>
    <row r="24" spans="1:36" ht="21" x14ac:dyDescent="0.35">
      <c r="A24" s="21">
        <f>1-(E4)/E6</f>
        <v>0.2857626888934065</v>
      </c>
      <c r="B24" s="21">
        <f>1-(F4)/F3</f>
        <v>0.42119714442613954</v>
      </c>
      <c r="C24" s="1" t="s">
        <v>72</v>
      </c>
      <c r="D24" s="12">
        <f>(H4)*4</f>
        <v>1720</v>
      </c>
      <c r="E24" s="12">
        <f t="shared" si="3"/>
        <v>388</v>
      </c>
      <c r="F24" s="12">
        <f t="shared" si="3"/>
        <v>0</v>
      </c>
      <c r="G24" s="12">
        <f t="shared" si="3"/>
        <v>0</v>
      </c>
      <c r="H24" s="11"/>
      <c r="I24" s="11"/>
      <c r="J24" s="11"/>
      <c r="K24" s="11"/>
      <c r="L24" s="11"/>
      <c r="M24" s="11"/>
      <c r="P24" s="62" t="s">
        <v>135</v>
      </c>
      <c r="Q24" s="62">
        <v>0</v>
      </c>
      <c r="R24" s="62">
        <v>0</v>
      </c>
      <c r="S24" s="62">
        <f>((25+3.5+3.5)*1)*Q18*R18</f>
        <v>128</v>
      </c>
      <c r="T24" s="62">
        <v>0</v>
      </c>
      <c r="U24" s="62">
        <v>0</v>
      </c>
      <c r="V24" s="62">
        <v>0</v>
      </c>
      <c r="W24" s="62">
        <v>0</v>
      </c>
    </row>
    <row r="25" spans="1:36" ht="21" x14ac:dyDescent="0.35">
      <c r="A25" s="11"/>
      <c r="B25" s="11"/>
      <c r="C25" s="11"/>
      <c r="D25" s="11"/>
      <c r="E25" s="11"/>
      <c r="F25" s="11"/>
      <c r="G25" s="11"/>
      <c r="H25" s="11"/>
      <c r="I25" s="11"/>
      <c r="J25" s="11"/>
      <c r="K25" s="11"/>
      <c r="L25" s="11"/>
      <c r="M25" s="11"/>
      <c r="P25" s="62"/>
      <c r="Q25" s="62"/>
      <c r="R25" s="62"/>
      <c r="S25" s="62"/>
      <c r="T25" s="62"/>
      <c r="U25" s="62"/>
      <c r="V25" s="62"/>
      <c r="W25" s="62"/>
    </row>
    <row r="26" spans="1:36" ht="21" x14ac:dyDescent="0.35">
      <c r="A26" s="11"/>
      <c r="B26" s="11"/>
      <c r="C26" s="11"/>
      <c r="D26" s="11"/>
      <c r="E26" s="11"/>
      <c r="F26" s="11"/>
      <c r="G26" s="11"/>
      <c r="H26" s="11"/>
      <c r="I26" s="11"/>
      <c r="J26" s="11"/>
      <c r="K26" s="11"/>
      <c r="L26" s="11"/>
      <c r="M26" s="11"/>
      <c r="P26" s="62"/>
      <c r="Q26" s="62"/>
      <c r="R26" s="62"/>
      <c r="S26" s="62"/>
      <c r="T26" s="62"/>
      <c r="U26" s="62"/>
      <c r="V26" s="62"/>
      <c r="W26" s="62"/>
    </row>
    <row r="27" spans="1:36" ht="21" x14ac:dyDescent="0.35">
      <c r="A27" s="11"/>
      <c r="B27" s="11"/>
      <c r="C27" s="11"/>
      <c r="D27" s="11"/>
      <c r="E27" s="11"/>
      <c r="F27" s="11"/>
      <c r="G27" s="11"/>
      <c r="H27" s="11"/>
      <c r="I27" s="11"/>
      <c r="J27" s="11"/>
      <c r="K27" s="11"/>
      <c r="L27" s="11"/>
      <c r="M27" s="11"/>
      <c r="P27" s="62"/>
      <c r="Q27" s="62"/>
      <c r="R27" s="62"/>
      <c r="S27" s="62"/>
      <c r="T27" s="62"/>
      <c r="U27" s="62"/>
      <c r="V27" s="62"/>
      <c r="W27" s="62"/>
    </row>
    <row r="28" spans="1:36" ht="21" x14ac:dyDescent="0.35">
      <c r="A28" s="11"/>
      <c r="B28" s="11"/>
      <c r="C28" s="11"/>
      <c r="D28" s="11"/>
      <c r="E28" s="11"/>
      <c r="F28" s="11"/>
      <c r="G28" s="11"/>
      <c r="H28" s="11"/>
      <c r="I28" s="11"/>
      <c r="J28" s="11"/>
      <c r="K28" s="11"/>
      <c r="L28" s="11"/>
      <c r="M28" s="11"/>
      <c r="P28" s="62" t="s">
        <v>136</v>
      </c>
      <c r="Q28" s="62">
        <f t="shared" ref="Q28" si="4">(SUM(Q20:Q27))</f>
        <v>3319.6</v>
      </c>
      <c r="R28" s="62">
        <f t="shared" ref="R28" si="5">(SUM(R20:R27))</f>
        <v>6088</v>
      </c>
      <c r="S28" s="62">
        <f t="shared" ref="S28" si="6">(SUM(S20:S27))</f>
        <v>2144</v>
      </c>
      <c r="T28" s="62">
        <f t="shared" ref="T28" si="7">(SUM(T20:T27))</f>
        <v>3994.96</v>
      </c>
      <c r="U28" s="62">
        <f t="shared" ref="U28" si="8">(SUM(U20:U27))</f>
        <v>3801.96</v>
      </c>
      <c r="V28" s="62">
        <f t="shared" ref="V28" si="9">(SUM(V20:V27))</f>
        <v>3300.96</v>
      </c>
      <c r="W28" s="62">
        <f t="shared" ref="W28" si="10">(SUM(W20:W27))</f>
        <v>2716.96</v>
      </c>
    </row>
    <row r="29" spans="1:36" x14ac:dyDescent="0.25">
      <c r="A29" s="11"/>
      <c r="B29" s="11"/>
      <c r="C29" s="11"/>
      <c r="D29" s="11"/>
      <c r="E29" s="11"/>
      <c r="F29" s="11"/>
      <c r="G29" s="11"/>
      <c r="H29" s="11"/>
      <c r="I29" s="11"/>
      <c r="J29" s="11"/>
      <c r="K29" s="11"/>
      <c r="L29" s="11"/>
      <c r="M29" s="11"/>
      <c r="P29" s="11"/>
      <c r="Q29" s="11"/>
      <c r="R29" s="11"/>
      <c r="S29" s="11"/>
      <c r="T29" s="11"/>
      <c r="U29" s="11"/>
      <c r="V29" s="11"/>
      <c r="W29" s="11"/>
    </row>
    <row r="30" spans="1:36" x14ac:dyDescent="0.25">
      <c r="A30" s="11"/>
      <c r="B30" s="11"/>
      <c r="C30" s="11"/>
      <c r="D30" s="11"/>
      <c r="E30" s="11"/>
      <c r="F30" s="11"/>
      <c r="G30" s="11"/>
      <c r="H30" s="11"/>
      <c r="I30" s="11"/>
      <c r="J30" s="11"/>
      <c r="K30" s="11"/>
      <c r="L30" s="11"/>
      <c r="M30" s="11"/>
      <c r="Q30" s="61" t="s">
        <v>204</v>
      </c>
      <c r="R30" s="61" t="s">
        <v>203</v>
      </c>
    </row>
    <row r="31" spans="1:36" ht="42" x14ac:dyDescent="0.35">
      <c r="P31" s="62" t="s">
        <v>216</v>
      </c>
      <c r="Q31" s="62">
        <v>6</v>
      </c>
      <c r="R31" s="62">
        <v>1</v>
      </c>
      <c r="S31" s="62"/>
      <c r="T31" s="62"/>
      <c r="U31" s="62"/>
      <c r="V31" s="62"/>
      <c r="W31" s="62"/>
      <c r="Z31" s="62" t="s">
        <v>202</v>
      </c>
      <c r="AA31" s="62"/>
      <c r="AB31" s="62" t="s">
        <v>0</v>
      </c>
      <c r="AC31" s="62" t="s">
        <v>133</v>
      </c>
      <c r="AD31" s="62" t="s">
        <v>134</v>
      </c>
      <c r="AE31" s="62" t="s">
        <v>40</v>
      </c>
      <c r="AF31" s="39" t="s">
        <v>135</v>
      </c>
      <c r="AG31" s="62"/>
      <c r="AH31" s="62"/>
      <c r="AI31" s="62"/>
      <c r="AJ31" s="62" t="s">
        <v>136</v>
      </c>
    </row>
    <row r="32" spans="1:36" ht="21" x14ac:dyDescent="0.35">
      <c r="P32" s="62"/>
      <c r="Q32" s="62" t="s">
        <v>69</v>
      </c>
      <c r="R32" s="62" t="s">
        <v>131</v>
      </c>
      <c r="S32" s="62" t="s">
        <v>34</v>
      </c>
      <c r="T32" s="62" t="s">
        <v>132</v>
      </c>
      <c r="U32" s="62" t="s">
        <v>168</v>
      </c>
      <c r="V32" s="62" t="s">
        <v>182</v>
      </c>
      <c r="W32" s="62" t="s">
        <v>183</v>
      </c>
      <c r="Y32" s="61" t="s">
        <v>204</v>
      </c>
      <c r="Z32" s="62">
        <v>6</v>
      </c>
      <c r="AA32" s="62" t="s">
        <v>183</v>
      </c>
      <c r="AB32" s="62">
        <f>(232)*$Z$33</f>
        <v>232</v>
      </c>
      <c r="AC32" s="62">
        <f>(347*2*$Z$33)</f>
        <v>694</v>
      </c>
      <c r="AD32" s="62">
        <f>(200*$Z$32*$Z$33)</f>
        <v>1200</v>
      </c>
      <c r="AE32" s="62">
        <f>(159)*$Z$33</f>
        <v>159</v>
      </c>
      <c r="AF32" s="62">
        <v>0</v>
      </c>
      <c r="AG32" s="62"/>
      <c r="AH32" s="62"/>
      <c r="AI32" s="62"/>
      <c r="AJ32" s="62">
        <f t="shared" ref="AJ32:AJ38" si="11">(SUM(AB32:AI32))</f>
        <v>2285</v>
      </c>
    </row>
    <row r="33" spans="16:36" ht="21" x14ac:dyDescent="0.35">
      <c r="P33" s="62" t="s">
        <v>0</v>
      </c>
      <c r="Q33" s="62">
        <f>(232*Q31*R31)</f>
        <v>1392</v>
      </c>
      <c r="R33" s="62">
        <f>(816*Q31*R31)</f>
        <v>4896</v>
      </c>
      <c r="S33" s="62">
        <f>(430*Q31*R31)</f>
        <v>2580</v>
      </c>
      <c r="T33" s="62">
        <f>(816*ROUNDUP(Q31/4,0)*R31)</f>
        <v>1632</v>
      </c>
      <c r="U33" s="62">
        <f>(232*ROUNDUP(Q31/3,0)*R31)</f>
        <v>464</v>
      </c>
      <c r="V33" s="62">
        <f>(816)*ROUNDUP(R31/2,0)</f>
        <v>816</v>
      </c>
      <c r="W33" s="62">
        <f>(232)*R31</f>
        <v>232</v>
      </c>
      <c r="Y33" s="61" t="s">
        <v>203</v>
      </c>
      <c r="Z33" s="62">
        <v>1</v>
      </c>
      <c r="AA33" s="62" t="s">
        <v>182</v>
      </c>
      <c r="AB33" s="62">
        <f>(816)*ROUNDUP($Z$33/2,0)</f>
        <v>816</v>
      </c>
      <c r="AC33" s="62">
        <f>(347*2*ROUNDUP($Z$33/2,0))</f>
        <v>694</v>
      </c>
      <c r="AD33" s="62">
        <f>(200*$Z$32*ROUNDUP($Z$33/2,0))</f>
        <v>1200</v>
      </c>
      <c r="AE33" s="62">
        <f>159*ROUNDUP($Z$33/2,0)</f>
        <v>159</v>
      </c>
      <c r="AF33" s="62">
        <v>0</v>
      </c>
      <c r="AG33" s="62"/>
      <c r="AH33" s="62"/>
      <c r="AI33" s="62"/>
      <c r="AJ33" s="62">
        <f t="shared" si="11"/>
        <v>2869</v>
      </c>
    </row>
    <row r="34" spans="16:36" ht="21" x14ac:dyDescent="0.35">
      <c r="P34" s="62" t="s">
        <v>133</v>
      </c>
      <c r="Q34" s="62">
        <f>(347*Q31*R31)</f>
        <v>2082</v>
      </c>
      <c r="R34" s="62">
        <f>(347*Q31*R31)</f>
        <v>2082</v>
      </c>
      <c r="S34" s="62">
        <f>(74*Q31*R31)</f>
        <v>444</v>
      </c>
      <c r="T34" s="62">
        <f>(347*Q31*R31)</f>
        <v>2082</v>
      </c>
      <c r="U34" s="62">
        <f>(347*Q31*R31)</f>
        <v>2082</v>
      </c>
      <c r="V34" s="62">
        <f>(347*2*ROUNDUP(R31/2,0))</f>
        <v>694</v>
      </c>
      <c r="W34" s="62">
        <f>(347*2*R31)</f>
        <v>694</v>
      </c>
      <c r="Z34" s="62"/>
      <c r="AA34" s="62" t="s">
        <v>34</v>
      </c>
      <c r="AB34" s="62">
        <f>(430*$Z$32*$Z$33)</f>
        <v>2580</v>
      </c>
      <c r="AC34" s="62">
        <f>(74*$Z$32*$Z$33)</f>
        <v>444</v>
      </c>
      <c r="AD34" s="62">
        <v>0</v>
      </c>
      <c r="AE34" s="62">
        <v>0</v>
      </c>
      <c r="AF34" s="62">
        <f>((25+3.5+3.5)*1)*$Z$32*$Z$33</f>
        <v>192</v>
      </c>
      <c r="AG34" s="62"/>
      <c r="AH34" s="62"/>
      <c r="AI34" s="62"/>
      <c r="AJ34" s="62">
        <f t="shared" si="11"/>
        <v>3216</v>
      </c>
    </row>
    <row r="35" spans="16:36" ht="21" x14ac:dyDescent="0.35">
      <c r="P35" s="62" t="s">
        <v>134</v>
      </c>
      <c r="Q35" s="62">
        <f>91.9*Q31*R31</f>
        <v>551.40000000000009</v>
      </c>
      <c r="R35" s="62">
        <f>(200*Q31*R31)</f>
        <v>1200</v>
      </c>
      <c r="S35" s="62">
        <v>0</v>
      </c>
      <c r="T35" s="62">
        <f t="shared" ref="T35:V35" si="12">(138.99+269)*$Q$31*$R$31</f>
        <v>2447.94</v>
      </c>
      <c r="U35" s="62">
        <f t="shared" si="12"/>
        <v>2447.94</v>
      </c>
      <c r="V35" s="62">
        <f t="shared" si="12"/>
        <v>2447.94</v>
      </c>
      <c r="W35" s="62">
        <f>(138.99+269)*$Q$31*$R$31</f>
        <v>2447.94</v>
      </c>
      <c r="Z35" s="62"/>
      <c r="AA35" s="62" t="s">
        <v>168</v>
      </c>
      <c r="AB35" s="62">
        <f>(232*ROUNDUP($Z$32/3,0)*$Z$33)</f>
        <v>464</v>
      </c>
      <c r="AC35" s="62">
        <f>(347*$Z$32*$Z$33)</f>
        <v>2082</v>
      </c>
      <c r="AD35" s="62">
        <f>(200*$Z$32*$Z$33)</f>
        <v>1200</v>
      </c>
      <c r="AE35" s="62">
        <f>(159*ROUNDUP($Z$32/3,0)*$Z$33)</f>
        <v>318</v>
      </c>
      <c r="AF35" s="62">
        <v>0</v>
      </c>
      <c r="AG35" s="62"/>
      <c r="AH35" s="62"/>
      <c r="AI35" s="62"/>
      <c r="AJ35" s="62">
        <f t="shared" si="11"/>
        <v>4064</v>
      </c>
    </row>
    <row r="36" spans="16:36" ht="21" x14ac:dyDescent="0.35">
      <c r="P36" s="62" t="s">
        <v>40</v>
      </c>
      <c r="Q36" s="62">
        <f>(159*Q31*R31)</f>
        <v>954</v>
      </c>
      <c r="R36" s="62">
        <f>(159*Q31*R31)</f>
        <v>954</v>
      </c>
      <c r="S36" s="62">
        <v>0</v>
      </c>
      <c r="T36" s="62">
        <f>159*ROUNDUP(Q31/4,0)*R31</f>
        <v>318</v>
      </c>
      <c r="U36" s="62">
        <f>(159*ROUNDUP(Q31/3,0)*R31)</f>
        <v>318</v>
      </c>
      <c r="V36" s="62">
        <f>159*R31</f>
        <v>159</v>
      </c>
      <c r="W36" s="62">
        <f>(159)*R31</f>
        <v>159</v>
      </c>
      <c r="Z36" s="62"/>
      <c r="AA36" s="62" t="s">
        <v>69</v>
      </c>
      <c r="AB36" s="62">
        <f>(232*$Z$32*$Z$33)</f>
        <v>1392</v>
      </c>
      <c r="AC36" s="62">
        <f>(347*$Z$32*$Z$33)</f>
        <v>2082</v>
      </c>
      <c r="AD36" s="62">
        <f>91.9*$Z$32*$Z$33</f>
        <v>551.40000000000009</v>
      </c>
      <c r="AE36" s="62">
        <f>(159*$Z$32*$Z$33)</f>
        <v>954</v>
      </c>
      <c r="AF36" s="62">
        <v>0</v>
      </c>
      <c r="AG36" s="62"/>
      <c r="AH36" s="62"/>
      <c r="AI36" s="62"/>
      <c r="AJ36" s="62">
        <f t="shared" si="11"/>
        <v>4979.3999999999996</v>
      </c>
    </row>
    <row r="37" spans="16:36" ht="21" x14ac:dyDescent="0.35">
      <c r="P37" s="62" t="s">
        <v>135</v>
      </c>
      <c r="Q37" s="62">
        <v>0</v>
      </c>
      <c r="R37" s="62">
        <v>0</v>
      </c>
      <c r="S37" s="62">
        <f>((25+3.5+3.5)*1)*Q31*R31</f>
        <v>192</v>
      </c>
      <c r="T37" s="62">
        <v>0</v>
      </c>
      <c r="U37" s="62">
        <v>0</v>
      </c>
      <c r="V37" s="62">
        <v>0</v>
      </c>
      <c r="W37" s="62">
        <v>0</v>
      </c>
      <c r="Z37" s="62"/>
      <c r="AA37" s="62" t="s">
        <v>132</v>
      </c>
      <c r="AB37" s="62">
        <f>(816*ROUNDUP($Z$32/4,0)*$Z$33)</f>
        <v>1632</v>
      </c>
      <c r="AC37" s="62">
        <f>(347*$Z$32*$Z$33)</f>
        <v>2082</v>
      </c>
      <c r="AD37" s="62">
        <f>(200*$Z$32*$Z$33)</f>
        <v>1200</v>
      </c>
      <c r="AE37" s="62">
        <f>159*ROUNDUP($Z$32/4,0)*$Z$33</f>
        <v>318</v>
      </c>
      <c r="AF37" s="62">
        <v>0</v>
      </c>
      <c r="AG37" s="62"/>
      <c r="AH37" s="62"/>
      <c r="AI37" s="62"/>
      <c r="AJ37" s="62">
        <f t="shared" si="11"/>
        <v>5232</v>
      </c>
    </row>
    <row r="38" spans="16:36" ht="21" x14ac:dyDescent="0.35">
      <c r="P38" s="62"/>
      <c r="Q38" s="62"/>
      <c r="R38" s="62"/>
      <c r="S38" s="62"/>
      <c r="T38" s="62"/>
      <c r="U38" s="62"/>
      <c r="V38" s="62"/>
      <c r="W38" s="62"/>
      <c r="Z38" s="62"/>
      <c r="AA38" s="62" t="s">
        <v>131</v>
      </c>
      <c r="AB38" s="62">
        <f>(816*$Z$32*$Z$33)</f>
        <v>4896</v>
      </c>
      <c r="AC38" s="62">
        <f>(347*$Z$32*$Z$33)</f>
        <v>2082</v>
      </c>
      <c r="AD38" s="62">
        <f>(200*$Z$32*$Z$33)</f>
        <v>1200</v>
      </c>
      <c r="AE38" s="62">
        <f>(159*$Z$32*$Z$33)</f>
        <v>954</v>
      </c>
      <c r="AF38" s="62">
        <v>0</v>
      </c>
      <c r="AG38" s="62"/>
      <c r="AH38" s="62"/>
      <c r="AI38" s="62"/>
      <c r="AJ38" s="62">
        <f t="shared" si="11"/>
        <v>9132</v>
      </c>
    </row>
    <row r="39" spans="16:36" ht="21" x14ac:dyDescent="0.35">
      <c r="P39" s="62"/>
      <c r="Q39" s="62"/>
      <c r="R39" s="62"/>
      <c r="S39" s="62"/>
      <c r="T39" s="62"/>
      <c r="U39" s="62"/>
      <c r="V39" s="62"/>
      <c r="W39" s="62"/>
    </row>
    <row r="40" spans="16:36" ht="21" x14ac:dyDescent="0.35">
      <c r="P40" s="62"/>
      <c r="Q40" s="62"/>
      <c r="R40" s="62"/>
      <c r="S40" s="62"/>
      <c r="T40" s="62"/>
      <c r="U40" s="62"/>
      <c r="V40" s="62"/>
      <c r="W40" s="62"/>
    </row>
    <row r="41" spans="16:36" ht="21" x14ac:dyDescent="0.35">
      <c r="P41" s="62" t="s">
        <v>136</v>
      </c>
      <c r="Q41" s="62">
        <f t="shared" ref="Q41" si="13">(SUM(Q33:Q40))</f>
        <v>4979.3999999999996</v>
      </c>
      <c r="R41" s="62">
        <f t="shared" ref="R41" si="14">(SUM(R33:R40))</f>
        <v>9132</v>
      </c>
      <c r="S41" s="62">
        <f t="shared" ref="S41" si="15">(SUM(S33:S40))</f>
        <v>3216</v>
      </c>
      <c r="T41" s="62">
        <f t="shared" ref="T41" si="16">(SUM(T33:T40))</f>
        <v>6479.9400000000005</v>
      </c>
      <c r="U41" s="62">
        <f t="shared" ref="U41" si="17">(SUM(U33:U40))</f>
        <v>5311.9400000000005</v>
      </c>
      <c r="V41" s="62">
        <f t="shared" ref="V41" si="18">(SUM(V33:V40))</f>
        <v>4116.9400000000005</v>
      </c>
      <c r="W41" s="62">
        <f t="shared" ref="W41" si="19">(SUM(W33:W40))</f>
        <v>3532.94</v>
      </c>
    </row>
    <row r="43" spans="16:36" ht="21" x14ac:dyDescent="0.35">
      <c r="P43" s="62" t="s">
        <v>206</v>
      </c>
      <c r="Q43" s="62">
        <v>4</v>
      </c>
      <c r="R43" s="62">
        <v>12</v>
      </c>
      <c r="S43" s="62"/>
      <c r="T43" s="62"/>
      <c r="U43" s="62"/>
      <c r="V43" s="62"/>
      <c r="W43" s="62"/>
      <c r="Z43" s="61" t="s">
        <v>215</v>
      </c>
    </row>
    <row r="44" spans="16:36" ht="21" x14ac:dyDescent="0.35">
      <c r="P44" s="62"/>
      <c r="Q44" s="62" t="s">
        <v>69</v>
      </c>
      <c r="R44" s="62" t="s">
        <v>131</v>
      </c>
      <c r="S44" s="62" t="s">
        <v>34</v>
      </c>
      <c r="T44" s="62" t="s">
        <v>132</v>
      </c>
      <c r="U44" s="62" t="s">
        <v>168</v>
      </c>
      <c r="V44" s="62" t="s">
        <v>182</v>
      </c>
      <c r="W44" s="62" t="s">
        <v>183</v>
      </c>
    </row>
    <row r="45" spans="16:36" ht="21" x14ac:dyDescent="0.35">
      <c r="P45" s="62" t="s">
        <v>0</v>
      </c>
      <c r="Q45" s="62">
        <f>(232*Q43*R43)</f>
        <v>11136</v>
      </c>
      <c r="R45" s="62">
        <f>(816*Q43*R43)</f>
        <v>39168</v>
      </c>
      <c r="S45" s="62">
        <f>(430*Q43*R43)</f>
        <v>20640</v>
      </c>
      <c r="T45" s="62">
        <f>(816*ROUNDUP(Q43/4,0)*R43)</f>
        <v>9792</v>
      </c>
      <c r="U45" s="62">
        <f>(232*ROUNDUP(Q43/3,0)*R43)</f>
        <v>5568</v>
      </c>
      <c r="V45" s="62">
        <f>(816)*ROUNDUP(R43/2,0)</f>
        <v>4896</v>
      </c>
      <c r="W45" s="62">
        <f>(232)*R43</f>
        <v>2784</v>
      </c>
    </row>
    <row r="46" spans="16:36" ht="21" x14ac:dyDescent="0.35">
      <c r="P46" s="62" t="s">
        <v>133</v>
      </c>
      <c r="Q46" s="62">
        <f>(347*Q43*R43)</f>
        <v>16656</v>
      </c>
      <c r="R46" s="62">
        <f>(347*Q43*R43)</f>
        <v>16656</v>
      </c>
      <c r="S46" s="62">
        <f>(74*Q43*R43)</f>
        <v>3552</v>
      </c>
      <c r="T46" s="62">
        <f>(347*Q43*R43)</f>
        <v>16656</v>
      </c>
      <c r="U46" s="62">
        <f>(347*Q43*R43)</f>
        <v>16656</v>
      </c>
      <c r="V46" s="62">
        <f>(347*2*ROUNDUP(R43/2,0))</f>
        <v>4164</v>
      </c>
      <c r="W46" s="62">
        <f>(347*2*R43)</f>
        <v>8328</v>
      </c>
    </row>
    <row r="47" spans="16:36" ht="21" x14ac:dyDescent="0.35">
      <c r="P47" s="62" t="s">
        <v>134</v>
      </c>
      <c r="Q47" s="62">
        <f>91.9*Q43*R43</f>
        <v>4411.2000000000007</v>
      </c>
      <c r="R47" s="62">
        <f>(200*Q43*R43)</f>
        <v>9600</v>
      </c>
      <c r="S47" s="62">
        <v>0</v>
      </c>
      <c r="T47" s="62">
        <f>(138.99+269)*$Q$43*$R$43</f>
        <v>19583.52</v>
      </c>
      <c r="U47" s="62">
        <f t="shared" ref="U47:W47" si="20">(138.99+269)*$Q$43*$R$43</f>
        <v>19583.52</v>
      </c>
      <c r="V47" s="62">
        <f t="shared" si="20"/>
        <v>19583.52</v>
      </c>
      <c r="W47" s="62">
        <f t="shared" si="20"/>
        <v>19583.52</v>
      </c>
    </row>
    <row r="48" spans="16:36" ht="21" x14ac:dyDescent="0.35">
      <c r="P48" s="62" t="s">
        <v>40</v>
      </c>
      <c r="Q48" s="62">
        <f>(159*Q43*R43)</f>
        <v>7632</v>
      </c>
      <c r="R48" s="62">
        <f>(159*Q43*R43)</f>
        <v>7632</v>
      </c>
      <c r="S48" s="62">
        <v>0</v>
      </c>
      <c r="T48" s="62">
        <f>159*ROUNDUP(Q43/4,0)*R43</f>
        <v>1908</v>
      </c>
      <c r="U48" s="62">
        <f>(159*ROUNDUP(Q43/3,0)*R43)</f>
        <v>3816</v>
      </c>
      <c r="V48" s="62">
        <f>159*R43</f>
        <v>1908</v>
      </c>
      <c r="W48" s="62">
        <f>(159)*R43</f>
        <v>1908</v>
      </c>
    </row>
    <row r="49" spans="16:23" ht="21" x14ac:dyDescent="0.35">
      <c r="P49" s="62" t="s">
        <v>135</v>
      </c>
      <c r="Q49" s="62">
        <v>0</v>
      </c>
      <c r="R49" s="62">
        <v>0</v>
      </c>
      <c r="S49" s="62">
        <f>((25+3.5+3.5)*1)*Q43*R43</f>
        <v>1536</v>
      </c>
      <c r="T49" s="62">
        <v>0</v>
      </c>
      <c r="U49" s="62">
        <v>0</v>
      </c>
      <c r="V49" s="62">
        <v>0</v>
      </c>
      <c r="W49" s="62">
        <v>0</v>
      </c>
    </row>
    <row r="50" spans="16:23" ht="21" x14ac:dyDescent="0.35">
      <c r="P50" s="62"/>
      <c r="Q50" s="62"/>
      <c r="R50" s="62"/>
      <c r="S50" s="62"/>
      <c r="T50" s="62"/>
      <c r="U50" s="62"/>
      <c r="V50" s="62"/>
      <c r="W50" s="62"/>
    </row>
    <row r="51" spans="16:23" ht="21" x14ac:dyDescent="0.35">
      <c r="P51" s="62"/>
      <c r="Q51" s="62"/>
      <c r="R51" s="62"/>
      <c r="S51" s="62"/>
      <c r="T51" s="62"/>
      <c r="U51" s="62"/>
      <c r="V51" s="62"/>
      <c r="W51" s="62"/>
    </row>
    <row r="52" spans="16:23" ht="21" x14ac:dyDescent="0.35">
      <c r="P52" s="62"/>
      <c r="Q52" s="62"/>
      <c r="R52" s="62"/>
      <c r="S52" s="62"/>
      <c r="T52" s="62"/>
      <c r="U52" s="62"/>
      <c r="V52" s="62"/>
      <c r="W52" s="62"/>
    </row>
    <row r="53" spans="16:23" ht="21" x14ac:dyDescent="0.35">
      <c r="P53" s="62" t="s">
        <v>136</v>
      </c>
      <c r="Q53" s="62">
        <f t="shared" ref="Q53" si="21">(SUM(Q45:Q52))</f>
        <v>39835.199999999997</v>
      </c>
      <c r="R53" s="62">
        <f t="shared" ref="R53" si="22">(SUM(R45:R52))</f>
        <v>73056</v>
      </c>
      <c r="S53" s="62">
        <f t="shared" ref="S53" si="23">(SUM(S45:S52))</f>
        <v>25728</v>
      </c>
      <c r="T53" s="62">
        <f t="shared" ref="T53" si="24">(SUM(T45:T52))</f>
        <v>47939.520000000004</v>
      </c>
      <c r="U53" s="62">
        <f t="shared" ref="U53" si="25">(SUM(U45:U52))</f>
        <v>45623.520000000004</v>
      </c>
      <c r="V53" s="62">
        <f t="shared" ref="V53" si="26">(SUM(V45:V52))</f>
        <v>30551.52</v>
      </c>
      <c r="W53" s="62">
        <f t="shared" ref="W53" si="27">(SUM(W45:W52))</f>
        <v>32603.52</v>
      </c>
    </row>
    <row r="55" spans="16:23" ht="21" x14ac:dyDescent="0.35">
      <c r="P55" s="69"/>
      <c r="Q55" s="69" t="s">
        <v>220</v>
      </c>
      <c r="R55" s="69" t="s">
        <v>221</v>
      </c>
      <c r="S55" s="69" t="s">
        <v>132</v>
      </c>
      <c r="T55" s="69" t="s">
        <v>182</v>
      </c>
    </row>
    <row r="56" spans="16:23" ht="21" x14ac:dyDescent="0.35">
      <c r="P56" s="69" t="s">
        <v>217</v>
      </c>
      <c r="Q56" s="70">
        <v>829.9</v>
      </c>
      <c r="R56" s="70">
        <v>536</v>
      </c>
      <c r="S56" s="70">
        <v>1729.99</v>
      </c>
      <c r="T56" s="70">
        <v>2076.9899999999998</v>
      </c>
    </row>
    <row r="57" spans="16:23" ht="21" x14ac:dyDescent="0.35">
      <c r="P57" s="69" t="s">
        <v>218</v>
      </c>
      <c r="Q57" s="70">
        <v>3319.6</v>
      </c>
      <c r="R57" s="70">
        <v>2144</v>
      </c>
      <c r="S57" s="70">
        <v>3994.96</v>
      </c>
      <c r="T57" s="70">
        <v>3300.96</v>
      </c>
    </row>
    <row r="58" spans="16:23" ht="21" x14ac:dyDescent="0.35">
      <c r="P58" s="69" t="s">
        <v>219</v>
      </c>
      <c r="Q58" s="70">
        <v>4979.3999999999996</v>
      </c>
      <c r="R58" s="70">
        <v>3216</v>
      </c>
      <c r="S58" s="70">
        <v>6479.9400000000005</v>
      </c>
      <c r="T58" s="70">
        <v>4116.9400000000005</v>
      </c>
    </row>
    <row r="59" spans="16:23" ht="21" x14ac:dyDescent="0.35">
      <c r="P59" s="71" t="s">
        <v>222</v>
      </c>
      <c r="Q59" s="72">
        <f>-(Q58-$Q$58)/$Q$58</f>
        <v>0</v>
      </c>
      <c r="R59" s="72">
        <f t="shared" ref="R59:T59" si="28">-(R58-$Q$58)/$Q$58</f>
        <v>0.35413905289793945</v>
      </c>
      <c r="S59" s="72">
        <f t="shared" si="28"/>
        <v>-0.30134956018797465</v>
      </c>
      <c r="T59" s="72">
        <f t="shared" si="28"/>
        <v>0.17320560710125701</v>
      </c>
    </row>
    <row r="60" spans="16:23" ht="21" x14ac:dyDescent="0.35">
      <c r="P60" s="71" t="s">
        <v>223</v>
      </c>
      <c r="Q60" s="72">
        <f>-(Q58-$T$58)/$T$58</f>
        <v>-0.20949054394768907</v>
      </c>
      <c r="R60" s="72">
        <f t="shared" ref="R60:T60" si="29">-(R58-$T$58)/$T$58</f>
        <v>0.21883729177495917</v>
      </c>
      <c r="S60" s="72">
        <f t="shared" si="29"/>
        <v>-0.57396998741783944</v>
      </c>
      <c r="T60" s="72">
        <f t="shared" si="29"/>
        <v>0</v>
      </c>
    </row>
    <row r="62" spans="16:23" ht="21" x14ac:dyDescent="0.35">
      <c r="P62" s="62" t="s">
        <v>137</v>
      </c>
      <c r="Q62" s="62" t="s">
        <v>69</v>
      </c>
      <c r="R62" s="62">
        <v>1510</v>
      </c>
      <c r="S62" s="62" t="s">
        <v>34</v>
      </c>
      <c r="T62" s="62" t="s">
        <v>205</v>
      </c>
    </row>
    <row r="63" spans="16:23" ht="21" x14ac:dyDescent="0.35">
      <c r="P63" s="62" t="s">
        <v>186</v>
      </c>
      <c r="Q63" s="62">
        <v>4979.3999999999996</v>
      </c>
      <c r="R63" s="62">
        <v>9132</v>
      </c>
      <c r="S63" s="62">
        <v>3216</v>
      </c>
      <c r="T63" s="62">
        <f>(MIN(Q63:S63))</f>
        <v>3216</v>
      </c>
    </row>
    <row r="64" spans="16:23" ht="21" x14ac:dyDescent="0.35">
      <c r="P64" s="62" t="s">
        <v>184</v>
      </c>
      <c r="Q64" s="62">
        <v>4064</v>
      </c>
      <c r="R64" s="62">
        <v>5232</v>
      </c>
      <c r="S64" s="62">
        <v>0</v>
      </c>
      <c r="T64" s="62">
        <f>(MIN(Q64:R64))</f>
        <v>4064</v>
      </c>
    </row>
    <row r="65" spans="16:20" ht="21" x14ac:dyDescent="0.35">
      <c r="P65" s="62" t="s">
        <v>185</v>
      </c>
      <c r="Q65" s="62">
        <v>2285</v>
      </c>
      <c r="R65" s="62">
        <v>2869</v>
      </c>
      <c r="S65" s="62">
        <v>0</v>
      </c>
      <c r="T65" s="62">
        <f>(MIN(Q65:R65))</f>
        <v>2285</v>
      </c>
    </row>
  </sheetData>
  <sortState ref="AA32:AJ38">
    <sortCondition ref="AJ32:AJ38"/>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1"/>
  <sheetViews>
    <sheetView topLeftCell="E1" zoomScale="115" zoomScaleNormal="115" workbookViewId="0">
      <selection activeCell="K24" sqref="K24"/>
    </sheetView>
  </sheetViews>
  <sheetFormatPr defaultRowHeight="15" x14ac:dyDescent="0.25"/>
  <cols>
    <col min="1" max="1" width="26" customWidth="1"/>
    <col min="2" max="8" width="11.7109375" bestFit="1" customWidth="1"/>
    <col min="10" max="10" width="15.7109375" bestFit="1" customWidth="1"/>
    <col min="12" max="12" width="10.28515625" style="63" bestFit="1" customWidth="1"/>
    <col min="13" max="18" width="8.85546875" style="63"/>
  </cols>
  <sheetData>
    <row r="1" spans="1:18" x14ac:dyDescent="0.25">
      <c r="B1" t="s">
        <v>69</v>
      </c>
      <c r="C1" t="s">
        <v>131</v>
      </c>
      <c r="D1" t="s">
        <v>34</v>
      </c>
      <c r="E1" t="s">
        <v>132</v>
      </c>
      <c r="F1" t="s">
        <v>168</v>
      </c>
      <c r="G1" t="s">
        <v>182</v>
      </c>
      <c r="H1" t="s">
        <v>183</v>
      </c>
      <c r="J1" t="s">
        <v>212</v>
      </c>
      <c r="K1">
        <v>6</v>
      </c>
      <c r="L1" t="s">
        <v>69</v>
      </c>
      <c r="M1" t="s">
        <v>131</v>
      </c>
      <c r="N1" t="s">
        <v>34</v>
      </c>
      <c r="O1" t="s">
        <v>132</v>
      </c>
      <c r="P1" t="s">
        <v>168</v>
      </c>
      <c r="Q1" t="s">
        <v>182</v>
      </c>
      <c r="R1" t="s">
        <v>183</v>
      </c>
    </row>
    <row r="2" spans="1:18" x14ac:dyDescent="0.25">
      <c r="A2" t="s">
        <v>208</v>
      </c>
      <c r="B2">
        <v>0</v>
      </c>
      <c r="C2">
        <v>0</v>
      </c>
      <c r="D2">
        <v>0</v>
      </c>
      <c r="E2">
        <v>0</v>
      </c>
      <c r="F2">
        <v>0</v>
      </c>
      <c r="G2">
        <f>347*2</f>
        <v>694</v>
      </c>
      <c r="H2">
        <f>347*2</f>
        <v>694</v>
      </c>
      <c r="I2" t="s">
        <v>213</v>
      </c>
      <c r="J2" s="63">
        <f>(MIN(L71:R71))</f>
        <v>1000000</v>
      </c>
      <c r="K2">
        <v>21</v>
      </c>
      <c r="L2" s="63">
        <f>IF(($B$3*K2+$B$4*K2)&gt;$J$2,0,($B$3*K2+$B$4*K2))</f>
        <v>17427.900000000001</v>
      </c>
      <c r="M2" s="63">
        <f>IF((K2*$C$3+$C$4*K2)&gt;$J$2,0,(K2*$C$3+$C$4*K2))</f>
        <v>31962</v>
      </c>
      <c r="N2" s="63">
        <f>IF(($D$3*K2+$D$4*K2)&gt;$J$2,0,($D$3*K2+$D$4*K2))</f>
        <v>11067</v>
      </c>
      <c r="O2" s="63">
        <f t="shared" ref="O2:O33" si="0">IF((((ROUNDUP($K2/$K$1,0)*ROUNDUP($K$1/$E$5,0))+IF(MOD($K2,$K$1)&gt;$E$5,1,0)+IF(MOD($K2,$K$1)=0,IF(($K$1-1)/$E$5&gt;=1,1,0),0))*$E$3+$K2*$E$4)&gt;$J$2,0,(((ROUNDUP($K2/$K$1,0)*ROUNDUP($K$1/$E$5,0))+IF(MOD($K2,$K$1)&gt;$E$5,1,0)+IF(MOD($K2,$K$1)=0,IF(($K$1-1)/$E$5&gt;=1,1,0),0))*$E$3+$K2*$E$4))</f>
        <v>23654.79</v>
      </c>
      <c r="P2" s="63">
        <f t="shared" ref="P2:P33" si="1">IF(((((ROUNDUP($K2/$K$1,0)*ROUNDUP($K$1/$F$5,0))+IF(MOD($K2,$K$1)&gt;$F$5,1,0)+IF(MOD($K2,$K$1)=0,1,0))-1)*$F$3+$K2*$F$4)&gt;$J$2,0,((((ROUNDUP($K2/$K$1,0)*ROUNDUP($K$1/$F$5,0))+IF(MOD($K2,$K$1)&gt;$F$5,1,0)+IF(MOD($K2,$K$1)=0,1,0))-1)*$F$3+$K2*$F$4))</f>
        <v>18591.79</v>
      </c>
      <c r="Q2" s="63">
        <f t="shared" ref="Q2:Q33" si="2">IF((ROUNDUP($K2/$K$1,0)*$G$2+(ROUNDUP(($K2/$K$1)/$G$6,0)*$G$3+$K2*$G$4))&gt;$J$2,0,(ROUNDUP($K2/$K$1,0)*$G$2+(ROUNDUP(($K2/$K$1)/$G$6,0)*$G$3+$K2*$G$4)))</f>
        <v>16525</v>
      </c>
      <c r="R2" s="63">
        <f t="shared" ref="R2:R33" si="3">IF((ROUNDUP($K2/$K$1,0)*$H$2+(ROUNDUP(($K2/$K$1)/$H$6,0)*$H$3+$K2*$H$4))&gt;$J$2,0,(ROUNDUP($K2/$K$1,0)*$H$2+(ROUNDUP(($K2/$K$1)/$H$6,0)*$H$3+$K2*$H$4)))</f>
        <v>14189</v>
      </c>
    </row>
    <row r="3" spans="1:18" ht="21" x14ac:dyDescent="0.35">
      <c r="A3" t="s">
        <v>211</v>
      </c>
      <c r="B3" s="62">
        <f>(232)+159</f>
        <v>391</v>
      </c>
      <c r="C3" s="62">
        <f>(816)+159</f>
        <v>975</v>
      </c>
      <c r="D3" s="62">
        <f>(430)</f>
        <v>430</v>
      </c>
      <c r="E3" s="62">
        <f>(816)+159</f>
        <v>975</v>
      </c>
      <c r="F3" s="62">
        <f>(232)+159</f>
        <v>391</v>
      </c>
      <c r="G3" s="62">
        <f>(816)+159</f>
        <v>975</v>
      </c>
      <c r="H3" s="62">
        <f>(232)+159</f>
        <v>391</v>
      </c>
      <c r="K3">
        <v>1</v>
      </c>
      <c r="L3" s="63">
        <f>IF(($B$3*K3+$B$4*K3)&gt;$J$2,0,($B$3*K3+$B$4*K3))</f>
        <v>829.9</v>
      </c>
      <c r="M3" s="63">
        <f>IF((K3*$C$3+$C$4*K3)&gt;$J$2,0,(K3*$C$3+$C$4*K3))</f>
        <v>1522</v>
      </c>
      <c r="N3" s="63">
        <f>IF(($D$3*K3+$D$4*K3)&gt;$J$2,0,($D$3*K3+$D$4*K3))</f>
        <v>527</v>
      </c>
      <c r="O3" s="63">
        <f t="shared" si="0"/>
        <v>2704.99</v>
      </c>
      <c r="P3" s="63">
        <f t="shared" si="1"/>
        <v>1145.99</v>
      </c>
      <c r="Q3" s="63">
        <f t="shared" si="2"/>
        <v>2138</v>
      </c>
      <c r="R3" s="63">
        <f t="shared" si="3"/>
        <v>1554</v>
      </c>
    </row>
    <row r="4" spans="1:18" x14ac:dyDescent="0.25">
      <c r="A4" t="s">
        <v>207</v>
      </c>
      <c r="B4">
        <f>347+91.9</f>
        <v>438.9</v>
      </c>
      <c r="C4">
        <v>547</v>
      </c>
      <c r="D4">
        <v>97</v>
      </c>
      <c r="E4">
        <f>(138.99+269+347)</f>
        <v>754.99</v>
      </c>
      <c r="F4">
        <f>(138.99+269+347)</f>
        <v>754.99</v>
      </c>
      <c r="G4">
        <f>(200+269)</f>
        <v>469</v>
      </c>
      <c r="H4">
        <f>(200+269)</f>
        <v>469</v>
      </c>
      <c r="K4">
        <v>2</v>
      </c>
      <c r="L4" s="63">
        <f t="shared" ref="L4:L67" si="4">IF(($B$3*K4+$B$4*K4)&gt;$J$2,0,($B$3*K4+$B$4*K4))</f>
        <v>1659.8</v>
      </c>
      <c r="M4" s="63">
        <f t="shared" ref="M4:M67" si="5">IF((K4*$C$3+$C$4*K4)&gt;$J$2,0,(K4*$C$3+$C$4*K4))</f>
        <v>3044</v>
      </c>
      <c r="N4" s="63">
        <f t="shared" ref="N4:N67" si="6">IF(($D$3*K4+$D$4*K4)&gt;$J$2,0,($D$3*K4+$D$4*K4))</f>
        <v>1054</v>
      </c>
      <c r="O4" s="63">
        <f t="shared" si="0"/>
        <v>3459.98</v>
      </c>
      <c r="P4" s="63">
        <f t="shared" si="1"/>
        <v>1900.98</v>
      </c>
      <c r="Q4" s="63">
        <f t="shared" si="2"/>
        <v>2607</v>
      </c>
      <c r="R4" s="63">
        <f t="shared" si="3"/>
        <v>2023</v>
      </c>
    </row>
    <row r="5" spans="1:18" x14ac:dyDescent="0.25">
      <c r="A5" t="s">
        <v>209</v>
      </c>
      <c r="B5">
        <v>1</v>
      </c>
      <c r="C5">
        <v>1</v>
      </c>
      <c r="D5">
        <v>1</v>
      </c>
      <c r="E5">
        <v>4</v>
      </c>
      <c r="F5">
        <v>3</v>
      </c>
      <c r="G5">
        <v>16</v>
      </c>
      <c r="H5">
        <v>32</v>
      </c>
      <c r="K5">
        <v>3</v>
      </c>
      <c r="L5" s="63">
        <f t="shared" si="4"/>
        <v>2489.6999999999998</v>
      </c>
      <c r="M5" s="63">
        <f t="shared" si="5"/>
        <v>4566</v>
      </c>
      <c r="N5" s="63">
        <f t="shared" si="6"/>
        <v>1581</v>
      </c>
      <c r="O5" s="63">
        <f t="shared" si="0"/>
        <v>4214.97</v>
      </c>
      <c r="P5" s="63">
        <f t="shared" si="1"/>
        <v>2655.9700000000003</v>
      </c>
      <c r="Q5" s="63">
        <f t="shared" si="2"/>
        <v>3076</v>
      </c>
      <c r="R5" s="63">
        <f t="shared" si="3"/>
        <v>2492</v>
      </c>
    </row>
    <row r="6" spans="1:18" x14ac:dyDescent="0.25">
      <c r="A6" t="s">
        <v>210</v>
      </c>
      <c r="B6">
        <v>0</v>
      </c>
      <c r="C6">
        <v>0</v>
      </c>
      <c r="D6">
        <v>0</v>
      </c>
      <c r="E6">
        <v>0</v>
      </c>
      <c r="F6">
        <v>0</v>
      </c>
      <c r="G6">
        <v>1</v>
      </c>
      <c r="H6">
        <v>1</v>
      </c>
      <c r="K6">
        <v>4</v>
      </c>
      <c r="L6" s="63">
        <f t="shared" si="4"/>
        <v>3319.6</v>
      </c>
      <c r="M6" s="63">
        <f t="shared" si="5"/>
        <v>6088</v>
      </c>
      <c r="N6" s="63">
        <f t="shared" si="6"/>
        <v>2108</v>
      </c>
      <c r="O6" s="63">
        <f t="shared" si="0"/>
        <v>4969.96</v>
      </c>
      <c r="P6" s="63">
        <f t="shared" si="1"/>
        <v>3801.96</v>
      </c>
      <c r="Q6" s="63">
        <f t="shared" si="2"/>
        <v>3545</v>
      </c>
      <c r="R6" s="63">
        <f t="shared" si="3"/>
        <v>2961</v>
      </c>
    </row>
    <row r="7" spans="1:18" x14ac:dyDescent="0.25">
      <c r="K7">
        <v>5</v>
      </c>
      <c r="L7" s="63">
        <f t="shared" si="4"/>
        <v>4149.5</v>
      </c>
      <c r="M7" s="63">
        <f t="shared" si="5"/>
        <v>7610</v>
      </c>
      <c r="N7" s="63">
        <f t="shared" si="6"/>
        <v>2635</v>
      </c>
      <c r="O7" s="63">
        <f t="shared" si="0"/>
        <v>6699.95</v>
      </c>
      <c r="P7" s="63">
        <f t="shared" si="1"/>
        <v>4556.95</v>
      </c>
      <c r="Q7" s="63">
        <f t="shared" si="2"/>
        <v>4014</v>
      </c>
      <c r="R7" s="63">
        <f t="shared" si="3"/>
        <v>3430</v>
      </c>
    </row>
    <row r="8" spans="1:18" x14ac:dyDescent="0.25">
      <c r="B8">
        <v>829.9</v>
      </c>
      <c r="C8">
        <v>1522</v>
      </c>
      <c r="D8">
        <v>536</v>
      </c>
      <c r="E8">
        <v>1522</v>
      </c>
      <c r="F8">
        <v>938</v>
      </c>
      <c r="G8">
        <v>1869</v>
      </c>
      <c r="H8">
        <v>1285</v>
      </c>
      <c r="K8">
        <v>6</v>
      </c>
      <c r="L8" s="63">
        <f t="shared" si="4"/>
        <v>4979.3999999999996</v>
      </c>
      <c r="M8" s="63">
        <f t="shared" si="5"/>
        <v>9132</v>
      </c>
      <c r="N8" s="63">
        <f t="shared" si="6"/>
        <v>3162</v>
      </c>
      <c r="O8" s="63">
        <f t="shared" si="0"/>
        <v>7454.9400000000005</v>
      </c>
      <c r="P8" s="63">
        <f t="shared" si="1"/>
        <v>5311.9400000000005</v>
      </c>
      <c r="Q8" s="63">
        <f t="shared" si="2"/>
        <v>4483</v>
      </c>
      <c r="R8" s="63">
        <f t="shared" si="3"/>
        <v>3899</v>
      </c>
    </row>
    <row r="9" spans="1:18" x14ac:dyDescent="0.25">
      <c r="K9">
        <v>7</v>
      </c>
      <c r="L9" s="63">
        <f t="shared" si="4"/>
        <v>5809.2999999999993</v>
      </c>
      <c r="M9" s="63">
        <f t="shared" si="5"/>
        <v>10654</v>
      </c>
      <c r="N9" s="63">
        <f t="shared" si="6"/>
        <v>3689</v>
      </c>
      <c r="O9" s="63">
        <f t="shared" si="0"/>
        <v>9184.93</v>
      </c>
      <c r="P9" s="63">
        <f t="shared" si="1"/>
        <v>6457.93</v>
      </c>
      <c r="Q9" s="63">
        <f t="shared" si="2"/>
        <v>6621</v>
      </c>
      <c r="R9" s="63">
        <f t="shared" si="3"/>
        <v>5453</v>
      </c>
    </row>
    <row r="10" spans="1:18" x14ac:dyDescent="0.25">
      <c r="K10">
        <v>8</v>
      </c>
      <c r="L10" s="63">
        <f t="shared" si="4"/>
        <v>6639.2</v>
      </c>
      <c r="M10" s="63">
        <f t="shared" si="5"/>
        <v>12176</v>
      </c>
      <c r="N10" s="63">
        <f t="shared" si="6"/>
        <v>4216</v>
      </c>
      <c r="O10" s="63">
        <f t="shared" si="0"/>
        <v>9939.92</v>
      </c>
      <c r="P10" s="63">
        <f t="shared" si="1"/>
        <v>7212.92</v>
      </c>
      <c r="Q10" s="63">
        <f t="shared" si="2"/>
        <v>7090</v>
      </c>
      <c r="R10" s="63">
        <f t="shared" si="3"/>
        <v>5922</v>
      </c>
    </row>
    <row r="11" spans="1:18" x14ac:dyDescent="0.25">
      <c r="K11">
        <v>9</v>
      </c>
      <c r="L11" s="63">
        <f t="shared" si="4"/>
        <v>7469.1</v>
      </c>
      <c r="M11" s="63">
        <f t="shared" si="5"/>
        <v>13698</v>
      </c>
      <c r="N11" s="63">
        <f t="shared" si="6"/>
        <v>4743</v>
      </c>
      <c r="O11" s="63">
        <f t="shared" si="0"/>
        <v>10694.91</v>
      </c>
      <c r="P11" s="63">
        <f t="shared" si="1"/>
        <v>7967.91</v>
      </c>
      <c r="Q11" s="63">
        <f t="shared" si="2"/>
        <v>7559</v>
      </c>
      <c r="R11" s="63">
        <f t="shared" si="3"/>
        <v>6391</v>
      </c>
    </row>
    <row r="12" spans="1:18" x14ac:dyDescent="0.25">
      <c r="K12">
        <v>10</v>
      </c>
      <c r="L12" s="63">
        <f t="shared" si="4"/>
        <v>8299</v>
      </c>
      <c r="M12" s="63">
        <f t="shared" si="5"/>
        <v>15220</v>
      </c>
      <c r="N12" s="63">
        <f t="shared" si="6"/>
        <v>5270</v>
      </c>
      <c r="O12" s="63">
        <f t="shared" si="0"/>
        <v>11449.9</v>
      </c>
      <c r="P12" s="63">
        <f t="shared" si="1"/>
        <v>9113.9</v>
      </c>
      <c r="Q12" s="63">
        <f t="shared" si="2"/>
        <v>8028</v>
      </c>
      <c r="R12" s="63">
        <f t="shared" si="3"/>
        <v>6860</v>
      </c>
    </row>
    <row r="13" spans="1:18" x14ac:dyDescent="0.25">
      <c r="K13">
        <v>11</v>
      </c>
      <c r="L13" s="63">
        <f t="shared" si="4"/>
        <v>9128.9</v>
      </c>
      <c r="M13" s="63">
        <f t="shared" si="5"/>
        <v>16742</v>
      </c>
      <c r="N13" s="63">
        <f t="shared" si="6"/>
        <v>5797</v>
      </c>
      <c r="O13" s="63">
        <f t="shared" si="0"/>
        <v>13179.89</v>
      </c>
      <c r="P13" s="63">
        <f t="shared" si="1"/>
        <v>9868.89</v>
      </c>
      <c r="Q13" s="63">
        <f t="shared" si="2"/>
        <v>8497</v>
      </c>
      <c r="R13" s="63">
        <f t="shared" si="3"/>
        <v>7329</v>
      </c>
    </row>
    <row r="14" spans="1:18" x14ac:dyDescent="0.25">
      <c r="K14">
        <v>12</v>
      </c>
      <c r="L14" s="63">
        <f t="shared" si="4"/>
        <v>9958.7999999999993</v>
      </c>
      <c r="M14" s="63">
        <f t="shared" si="5"/>
        <v>18264</v>
      </c>
      <c r="N14" s="63">
        <f t="shared" si="6"/>
        <v>6324</v>
      </c>
      <c r="O14" s="63">
        <f t="shared" si="0"/>
        <v>13934.880000000001</v>
      </c>
      <c r="P14" s="63">
        <f t="shared" si="1"/>
        <v>10623.880000000001</v>
      </c>
      <c r="Q14" s="63">
        <f t="shared" si="2"/>
        <v>8966</v>
      </c>
      <c r="R14" s="63">
        <f t="shared" si="3"/>
        <v>7798</v>
      </c>
    </row>
    <row r="15" spans="1:18" x14ac:dyDescent="0.25">
      <c r="K15">
        <v>13</v>
      </c>
      <c r="L15" s="63">
        <f t="shared" si="4"/>
        <v>10788.7</v>
      </c>
      <c r="M15" s="63">
        <f t="shared" si="5"/>
        <v>19786</v>
      </c>
      <c r="N15" s="63">
        <f t="shared" si="6"/>
        <v>6851</v>
      </c>
      <c r="O15" s="63">
        <f t="shared" si="0"/>
        <v>15664.87</v>
      </c>
      <c r="P15" s="63">
        <f t="shared" si="1"/>
        <v>11769.87</v>
      </c>
      <c r="Q15" s="63">
        <f t="shared" si="2"/>
        <v>11104</v>
      </c>
      <c r="R15" s="63">
        <f t="shared" si="3"/>
        <v>9352</v>
      </c>
    </row>
    <row r="16" spans="1:18" x14ac:dyDescent="0.25">
      <c r="K16">
        <v>14</v>
      </c>
      <c r="L16" s="63">
        <f t="shared" si="4"/>
        <v>11618.599999999999</v>
      </c>
      <c r="M16" s="63">
        <f t="shared" si="5"/>
        <v>21308</v>
      </c>
      <c r="N16" s="63">
        <f t="shared" si="6"/>
        <v>7378</v>
      </c>
      <c r="O16" s="63">
        <f t="shared" si="0"/>
        <v>16419.86</v>
      </c>
      <c r="P16" s="63">
        <f t="shared" si="1"/>
        <v>12524.86</v>
      </c>
      <c r="Q16" s="63">
        <f t="shared" si="2"/>
        <v>11573</v>
      </c>
      <c r="R16" s="63">
        <f t="shared" si="3"/>
        <v>9821</v>
      </c>
    </row>
    <row r="17" spans="11:18" x14ac:dyDescent="0.25">
      <c r="K17">
        <v>15</v>
      </c>
      <c r="L17" s="63">
        <f t="shared" si="4"/>
        <v>12448.5</v>
      </c>
      <c r="M17" s="63">
        <f t="shared" si="5"/>
        <v>22830</v>
      </c>
      <c r="N17" s="63">
        <f t="shared" si="6"/>
        <v>7905</v>
      </c>
      <c r="O17" s="63">
        <f t="shared" si="0"/>
        <v>17174.849999999999</v>
      </c>
      <c r="P17" s="63">
        <f t="shared" si="1"/>
        <v>13279.85</v>
      </c>
      <c r="Q17" s="63">
        <f t="shared" si="2"/>
        <v>12042</v>
      </c>
      <c r="R17" s="63">
        <f t="shared" si="3"/>
        <v>10290</v>
      </c>
    </row>
    <row r="18" spans="11:18" x14ac:dyDescent="0.25">
      <c r="K18">
        <v>16</v>
      </c>
      <c r="L18" s="63">
        <f t="shared" si="4"/>
        <v>13278.4</v>
      </c>
      <c r="M18" s="63">
        <f t="shared" si="5"/>
        <v>24352</v>
      </c>
      <c r="N18" s="63">
        <f t="shared" si="6"/>
        <v>8432</v>
      </c>
      <c r="O18" s="63">
        <f t="shared" si="0"/>
        <v>17929.84</v>
      </c>
      <c r="P18" s="63">
        <f t="shared" si="1"/>
        <v>14425.84</v>
      </c>
      <c r="Q18" s="63">
        <f t="shared" si="2"/>
        <v>12511</v>
      </c>
      <c r="R18" s="63">
        <f t="shared" si="3"/>
        <v>10759</v>
      </c>
    </row>
    <row r="19" spans="11:18" x14ac:dyDescent="0.25">
      <c r="K19">
        <v>17</v>
      </c>
      <c r="L19" s="63">
        <f t="shared" si="4"/>
        <v>14108.3</v>
      </c>
      <c r="M19" s="63">
        <f t="shared" si="5"/>
        <v>25874</v>
      </c>
      <c r="N19" s="63">
        <f t="shared" si="6"/>
        <v>8959</v>
      </c>
      <c r="O19" s="63">
        <f t="shared" si="0"/>
        <v>19659.830000000002</v>
      </c>
      <c r="P19" s="63">
        <f t="shared" si="1"/>
        <v>15180.83</v>
      </c>
      <c r="Q19" s="63">
        <f t="shared" si="2"/>
        <v>12980</v>
      </c>
      <c r="R19" s="63">
        <f t="shared" si="3"/>
        <v>11228</v>
      </c>
    </row>
    <row r="20" spans="11:18" x14ac:dyDescent="0.25">
      <c r="K20">
        <v>18</v>
      </c>
      <c r="L20" s="63">
        <f t="shared" si="4"/>
        <v>14938.2</v>
      </c>
      <c r="M20" s="63">
        <f t="shared" si="5"/>
        <v>27396</v>
      </c>
      <c r="N20" s="63">
        <f t="shared" si="6"/>
        <v>9486</v>
      </c>
      <c r="O20" s="63">
        <f t="shared" si="0"/>
        <v>20414.82</v>
      </c>
      <c r="P20" s="63">
        <f t="shared" si="1"/>
        <v>15935.82</v>
      </c>
      <c r="Q20" s="63">
        <f t="shared" si="2"/>
        <v>13449</v>
      </c>
      <c r="R20" s="63">
        <f t="shared" si="3"/>
        <v>11697</v>
      </c>
    </row>
    <row r="21" spans="11:18" x14ac:dyDescent="0.25">
      <c r="K21">
        <v>19</v>
      </c>
      <c r="L21" s="63">
        <f t="shared" si="4"/>
        <v>15768.1</v>
      </c>
      <c r="M21" s="63">
        <f t="shared" si="5"/>
        <v>28918</v>
      </c>
      <c r="N21" s="63">
        <f t="shared" si="6"/>
        <v>10013</v>
      </c>
      <c r="O21" s="63">
        <f t="shared" si="0"/>
        <v>22144.809999999998</v>
      </c>
      <c r="P21" s="63">
        <f t="shared" si="1"/>
        <v>17081.809999999998</v>
      </c>
      <c r="Q21" s="63">
        <f t="shared" si="2"/>
        <v>15587</v>
      </c>
      <c r="R21" s="63">
        <f t="shared" si="3"/>
        <v>13251</v>
      </c>
    </row>
    <row r="22" spans="11:18" x14ac:dyDescent="0.25">
      <c r="K22">
        <v>20</v>
      </c>
      <c r="L22" s="63">
        <f t="shared" si="4"/>
        <v>16598</v>
      </c>
      <c r="M22" s="63">
        <f t="shared" si="5"/>
        <v>30440</v>
      </c>
      <c r="N22" s="63">
        <f t="shared" si="6"/>
        <v>10540</v>
      </c>
      <c r="O22" s="63">
        <f t="shared" si="0"/>
        <v>22899.8</v>
      </c>
      <c r="P22" s="63">
        <f t="shared" si="1"/>
        <v>17836.8</v>
      </c>
      <c r="Q22" s="63">
        <f t="shared" si="2"/>
        <v>16056</v>
      </c>
      <c r="R22" s="63">
        <f t="shared" si="3"/>
        <v>13720</v>
      </c>
    </row>
    <row r="23" spans="11:18" x14ac:dyDescent="0.25">
      <c r="K23">
        <v>21</v>
      </c>
      <c r="L23" s="63">
        <f t="shared" si="4"/>
        <v>17427.900000000001</v>
      </c>
      <c r="M23" s="63">
        <f t="shared" si="5"/>
        <v>31962</v>
      </c>
      <c r="N23" s="63">
        <f t="shared" si="6"/>
        <v>11067</v>
      </c>
      <c r="O23" s="63">
        <f t="shared" si="0"/>
        <v>23654.79</v>
      </c>
      <c r="P23" s="63">
        <f t="shared" si="1"/>
        <v>18591.79</v>
      </c>
      <c r="Q23" s="63">
        <f t="shared" si="2"/>
        <v>16525</v>
      </c>
      <c r="R23" s="63">
        <f t="shared" si="3"/>
        <v>14189</v>
      </c>
    </row>
    <row r="24" spans="11:18" x14ac:dyDescent="0.25">
      <c r="K24">
        <v>22</v>
      </c>
      <c r="L24" s="63">
        <f t="shared" si="4"/>
        <v>18257.8</v>
      </c>
      <c r="M24" s="63">
        <f t="shared" si="5"/>
        <v>33484</v>
      </c>
      <c r="N24" s="63">
        <f t="shared" si="6"/>
        <v>11594</v>
      </c>
      <c r="O24" s="63">
        <f t="shared" si="0"/>
        <v>24409.78</v>
      </c>
      <c r="P24" s="63">
        <f t="shared" si="1"/>
        <v>19737.78</v>
      </c>
      <c r="Q24" s="63">
        <f t="shared" si="2"/>
        <v>16994</v>
      </c>
      <c r="R24" s="63">
        <f t="shared" si="3"/>
        <v>14658</v>
      </c>
    </row>
    <row r="25" spans="11:18" x14ac:dyDescent="0.25">
      <c r="K25">
        <v>23</v>
      </c>
      <c r="L25" s="63">
        <f t="shared" si="4"/>
        <v>19087.699999999997</v>
      </c>
      <c r="M25" s="63">
        <f t="shared" si="5"/>
        <v>35006</v>
      </c>
      <c r="N25" s="63">
        <f t="shared" si="6"/>
        <v>12121</v>
      </c>
      <c r="O25" s="63">
        <f t="shared" si="0"/>
        <v>26139.77</v>
      </c>
      <c r="P25" s="63">
        <f t="shared" si="1"/>
        <v>20492.77</v>
      </c>
      <c r="Q25" s="63">
        <f t="shared" si="2"/>
        <v>17463</v>
      </c>
      <c r="R25" s="63">
        <f t="shared" si="3"/>
        <v>15127</v>
      </c>
    </row>
    <row r="26" spans="11:18" x14ac:dyDescent="0.25">
      <c r="K26">
        <v>24</v>
      </c>
      <c r="L26" s="63">
        <f t="shared" si="4"/>
        <v>19917.599999999999</v>
      </c>
      <c r="M26" s="63">
        <f t="shared" si="5"/>
        <v>36528</v>
      </c>
      <c r="N26" s="63">
        <f t="shared" si="6"/>
        <v>12648</v>
      </c>
      <c r="O26" s="63">
        <f t="shared" si="0"/>
        <v>26894.760000000002</v>
      </c>
      <c r="P26" s="63">
        <f t="shared" si="1"/>
        <v>21247.760000000002</v>
      </c>
      <c r="Q26" s="63">
        <f t="shared" si="2"/>
        <v>17932</v>
      </c>
      <c r="R26" s="63">
        <f t="shared" si="3"/>
        <v>15596</v>
      </c>
    </row>
    <row r="27" spans="11:18" x14ac:dyDescent="0.25">
      <c r="K27">
        <v>25</v>
      </c>
      <c r="L27" s="63">
        <f t="shared" si="4"/>
        <v>20747.5</v>
      </c>
      <c r="M27" s="63">
        <f t="shared" si="5"/>
        <v>38050</v>
      </c>
      <c r="N27" s="63">
        <f t="shared" si="6"/>
        <v>13175</v>
      </c>
      <c r="O27" s="63">
        <f t="shared" si="0"/>
        <v>28624.75</v>
      </c>
      <c r="P27" s="63">
        <f t="shared" si="1"/>
        <v>22393.75</v>
      </c>
      <c r="Q27" s="63">
        <f t="shared" si="2"/>
        <v>20070</v>
      </c>
      <c r="R27" s="63">
        <f t="shared" si="3"/>
        <v>17150</v>
      </c>
    </row>
    <row r="28" spans="11:18" x14ac:dyDescent="0.25">
      <c r="K28">
        <v>26</v>
      </c>
      <c r="L28" s="63">
        <f t="shared" si="4"/>
        <v>21577.4</v>
      </c>
      <c r="M28" s="63">
        <f t="shared" si="5"/>
        <v>39572</v>
      </c>
      <c r="N28" s="63">
        <f t="shared" si="6"/>
        <v>13702</v>
      </c>
      <c r="O28" s="63">
        <f t="shared" si="0"/>
        <v>29379.74</v>
      </c>
      <c r="P28" s="63">
        <f t="shared" si="1"/>
        <v>23148.74</v>
      </c>
      <c r="Q28" s="63">
        <f t="shared" si="2"/>
        <v>20539</v>
      </c>
      <c r="R28" s="63">
        <f t="shared" si="3"/>
        <v>17619</v>
      </c>
    </row>
    <row r="29" spans="11:18" x14ac:dyDescent="0.25">
      <c r="K29">
        <v>27</v>
      </c>
      <c r="L29" s="63">
        <f t="shared" si="4"/>
        <v>22407.3</v>
      </c>
      <c r="M29" s="63">
        <f t="shared" si="5"/>
        <v>41094</v>
      </c>
      <c r="N29" s="63">
        <f t="shared" si="6"/>
        <v>14229</v>
      </c>
      <c r="O29" s="63">
        <f t="shared" si="0"/>
        <v>30134.73</v>
      </c>
      <c r="P29" s="63">
        <f t="shared" si="1"/>
        <v>23903.73</v>
      </c>
      <c r="Q29" s="63">
        <f t="shared" si="2"/>
        <v>21008</v>
      </c>
      <c r="R29" s="63">
        <f t="shared" si="3"/>
        <v>18088</v>
      </c>
    </row>
    <row r="30" spans="11:18" x14ac:dyDescent="0.25">
      <c r="K30">
        <v>28</v>
      </c>
      <c r="L30" s="63">
        <f t="shared" si="4"/>
        <v>23237.199999999997</v>
      </c>
      <c r="M30" s="63">
        <f t="shared" si="5"/>
        <v>42616</v>
      </c>
      <c r="N30" s="63">
        <f t="shared" si="6"/>
        <v>14756</v>
      </c>
      <c r="O30" s="63">
        <f t="shared" si="0"/>
        <v>30889.72</v>
      </c>
      <c r="P30" s="63">
        <f t="shared" si="1"/>
        <v>25049.72</v>
      </c>
      <c r="Q30" s="63">
        <f t="shared" si="2"/>
        <v>21477</v>
      </c>
      <c r="R30" s="63">
        <f t="shared" si="3"/>
        <v>18557</v>
      </c>
    </row>
    <row r="31" spans="11:18" x14ac:dyDescent="0.25">
      <c r="K31">
        <v>29</v>
      </c>
      <c r="L31" s="63">
        <f t="shared" si="4"/>
        <v>24067.1</v>
      </c>
      <c r="M31" s="63">
        <f t="shared" si="5"/>
        <v>44138</v>
      </c>
      <c r="N31" s="63">
        <f t="shared" si="6"/>
        <v>15283</v>
      </c>
      <c r="O31" s="63">
        <f t="shared" si="0"/>
        <v>32619.71</v>
      </c>
      <c r="P31" s="63">
        <f t="shared" si="1"/>
        <v>25804.71</v>
      </c>
      <c r="Q31" s="63">
        <f t="shared" si="2"/>
        <v>21946</v>
      </c>
      <c r="R31" s="63">
        <f t="shared" si="3"/>
        <v>19026</v>
      </c>
    </row>
    <row r="32" spans="11:18" x14ac:dyDescent="0.25">
      <c r="K32">
        <v>30</v>
      </c>
      <c r="L32" s="63">
        <f t="shared" si="4"/>
        <v>24897</v>
      </c>
      <c r="M32" s="63">
        <f t="shared" si="5"/>
        <v>45660</v>
      </c>
      <c r="N32" s="63">
        <f t="shared" si="6"/>
        <v>15810</v>
      </c>
      <c r="O32" s="63">
        <f t="shared" si="0"/>
        <v>33374.699999999997</v>
      </c>
      <c r="P32" s="63">
        <f t="shared" si="1"/>
        <v>26559.7</v>
      </c>
      <c r="Q32" s="63">
        <f t="shared" si="2"/>
        <v>22415</v>
      </c>
      <c r="R32" s="63">
        <f t="shared" si="3"/>
        <v>19495</v>
      </c>
    </row>
    <row r="33" spans="11:18" x14ac:dyDescent="0.25">
      <c r="K33">
        <v>31</v>
      </c>
      <c r="L33" s="63">
        <f t="shared" si="4"/>
        <v>25726.9</v>
      </c>
      <c r="M33" s="63">
        <f t="shared" si="5"/>
        <v>47182</v>
      </c>
      <c r="N33" s="63">
        <f t="shared" si="6"/>
        <v>16337</v>
      </c>
      <c r="O33" s="63">
        <f t="shared" si="0"/>
        <v>35104.69</v>
      </c>
      <c r="P33" s="63">
        <f t="shared" si="1"/>
        <v>27705.69</v>
      </c>
      <c r="Q33" s="63">
        <f t="shared" si="2"/>
        <v>24553</v>
      </c>
      <c r="R33" s="63">
        <f t="shared" si="3"/>
        <v>21049</v>
      </c>
    </row>
    <row r="34" spans="11:18" x14ac:dyDescent="0.25">
      <c r="K34">
        <v>32</v>
      </c>
      <c r="L34" s="63">
        <f t="shared" si="4"/>
        <v>26556.799999999999</v>
      </c>
      <c r="M34" s="63">
        <f t="shared" si="5"/>
        <v>48704</v>
      </c>
      <c r="N34" s="63">
        <f t="shared" si="6"/>
        <v>16864</v>
      </c>
      <c r="O34" s="63">
        <f t="shared" ref="O34:O70" si="7">IF((((ROUNDUP($K34/$K$1,0)*ROUNDUP($K$1/$E$5,0))+IF(MOD($K34,$K$1)&gt;$E$5,1,0)+IF(MOD($K34,$K$1)=0,IF(($K$1-1)/$E$5&gt;=1,1,0),0))*$E$3+$K34*$E$4)&gt;$J$2,0,(((ROUNDUP($K34/$K$1,0)*ROUNDUP($K$1/$E$5,0))+IF(MOD($K34,$K$1)&gt;$E$5,1,0)+IF(MOD($K34,$K$1)=0,IF(($K$1-1)/$E$5&gt;=1,1,0),0))*$E$3+$K34*$E$4))</f>
        <v>35859.68</v>
      </c>
      <c r="P34" s="63">
        <f t="shared" ref="P34:P70" si="8">IF(((((ROUNDUP($K34/$K$1,0)*ROUNDUP($K$1/$F$5,0))+IF(MOD($K34,$K$1)&gt;$F$5,1,0)+IF(MOD($K34,$K$1)=0,1,0))-1)*$F$3+$K34*$F$4)&gt;$J$2,0,((((ROUNDUP($K34/$K$1,0)*ROUNDUP($K$1/$F$5,0))+IF(MOD($K34,$K$1)&gt;$F$5,1,0)+IF(MOD($K34,$K$1)=0,1,0))-1)*$F$3+$K34*$F$4))</f>
        <v>28460.68</v>
      </c>
      <c r="Q34" s="63">
        <f t="shared" ref="Q34:Q70" si="9">IF((ROUNDUP($K34/$K$1,0)*$G$2+(ROUNDUP(($K34/$K$1)/$G$6,0)*$G$3+$K34*$G$4))&gt;$J$2,0,(ROUNDUP($K34/$K$1,0)*$G$2+(ROUNDUP(($K34/$K$1)/$G$6,0)*$G$3+$K34*$G$4)))</f>
        <v>25022</v>
      </c>
      <c r="R34" s="63">
        <f t="shared" ref="R34:R70" si="10">IF((ROUNDUP($K34/$K$1,0)*$H$2+(ROUNDUP(($K34/$K$1)/$H$6,0)*$H$3+$K34*$H$4))&gt;$J$2,0,(ROUNDUP($K34/$K$1,0)*$H$2+(ROUNDUP(($K34/$K$1)/$H$6,0)*$H$3+$K34*$H$4)))</f>
        <v>21518</v>
      </c>
    </row>
    <row r="35" spans="11:18" x14ac:dyDescent="0.25">
      <c r="K35">
        <v>33</v>
      </c>
      <c r="L35" s="63">
        <f t="shared" si="4"/>
        <v>27386.699999999997</v>
      </c>
      <c r="M35" s="63">
        <f t="shared" si="5"/>
        <v>50226</v>
      </c>
      <c r="N35" s="63">
        <f t="shared" si="6"/>
        <v>17391</v>
      </c>
      <c r="O35" s="63">
        <f t="shared" si="7"/>
        <v>36614.67</v>
      </c>
      <c r="P35" s="63">
        <f t="shared" si="8"/>
        <v>29215.670000000002</v>
      </c>
      <c r="Q35" s="63">
        <f t="shared" si="9"/>
        <v>25491</v>
      </c>
      <c r="R35" s="63">
        <f t="shared" si="10"/>
        <v>21987</v>
      </c>
    </row>
    <row r="36" spans="11:18" x14ac:dyDescent="0.25">
      <c r="K36">
        <v>34</v>
      </c>
      <c r="L36" s="63">
        <f t="shared" si="4"/>
        <v>28216.6</v>
      </c>
      <c r="M36" s="63">
        <f t="shared" si="5"/>
        <v>51748</v>
      </c>
      <c r="N36" s="63">
        <f t="shared" si="6"/>
        <v>17918</v>
      </c>
      <c r="O36" s="63">
        <f t="shared" si="7"/>
        <v>37369.660000000003</v>
      </c>
      <c r="P36" s="63">
        <f t="shared" si="8"/>
        <v>30361.66</v>
      </c>
      <c r="Q36" s="63">
        <f t="shared" si="9"/>
        <v>25960</v>
      </c>
      <c r="R36" s="63">
        <f t="shared" si="10"/>
        <v>22456</v>
      </c>
    </row>
    <row r="37" spans="11:18" x14ac:dyDescent="0.25">
      <c r="K37">
        <v>35</v>
      </c>
      <c r="L37" s="63">
        <f t="shared" si="4"/>
        <v>29046.5</v>
      </c>
      <c r="M37" s="63">
        <f t="shared" si="5"/>
        <v>53270</v>
      </c>
      <c r="N37" s="63">
        <f t="shared" si="6"/>
        <v>18445</v>
      </c>
      <c r="O37" s="63">
        <f t="shared" si="7"/>
        <v>39099.65</v>
      </c>
      <c r="P37" s="63">
        <f t="shared" si="8"/>
        <v>31116.65</v>
      </c>
      <c r="Q37" s="63">
        <f t="shared" si="9"/>
        <v>26429</v>
      </c>
      <c r="R37" s="63">
        <f t="shared" si="10"/>
        <v>22925</v>
      </c>
    </row>
    <row r="38" spans="11:18" x14ac:dyDescent="0.25">
      <c r="K38">
        <v>36</v>
      </c>
      <c r="L38" s="63">
        <f t="shared" si="4"/>
        <v>29876.400000000001</v>
      </c>
      <c r="M38" s="63">
        <f t="shared" si="5"/>
        <v>54792</v>
      </c>
      <c r="N38" s="63">
        <f t="shared" si="6"/>
        <v>18972</v>
      </c>
      <c r="O38" s="63">
        <f t="shared" si="7"/>
        <v>39854.639999999999</v>
      </c>
      <c r="P38" s="63">
        <f t="shared" si="8"/>
        <v>31871.64</v>
      </c>
      <c r="Q38" s="63">
        <f t="shared" si="9"/>
        <v>26898</v>
      </c>
      <c r="R38" s="63">
        <f t="shared" si="10"/>
        <v>23394</v>
      </c>
    </row>
    <row r="39" spans="11:18" x14ac:dyDescent="0.25">
      <c r="K39">
        <v>37</v>
      </c>
      <c r="L39" s="63">
        <f t="shared" si="4"/>
        <v>30706.3</v>
      </c>
      <c r="M39" s="63">
        <f t="shared" si="5"/>
        <v>56314</v>
      </c>
      <c r="N39" s="63">
        <f t="shared" si="6"/>
        <v>19499</v>
      </c>
      <c r="O39" s="63">
        <f t="shared" si="7"/>
        <v>41584.630000000005</v>
      </c>
      <c r="P39" s="63">
        <f t="shared" si="8"/>
        <v>33017.630000000005</v>
      </c>
      <c r="Q39" s="63">
        <f t="shared" si="9"/>
        <v>29036</v>
      </c>
      <c r="R39" s="63">
        <f t="shared" si="10"/>
        <v>24948</v>
      </c>
    </row>
    <row r="40" spans="11:18" x14ac:dyDescent="0.25">
      <c r="K40">
        <v>38</v>
      </c>
      <c r="L40" s="63">
        <f t="shared" si="4"/>
        <v>31536.2</v>
      </c>
      <c r="M40" s="63">
        <f t="shared" si="5"/>
        <v>57836</v>
      </c>
      <c r="N40" s="63">
        <f t="shared" si="6"/>
        <v>20026</v>
      </c>
      <c r="O40" s="63">
        <f t="shared" si="7"/>
        <v>42339.619999999995</v>
      </c>
      <c r="P40" s="63">
        <f t="shared" si="8"/>
        <v>33772.619999999995</v>
      </c>
      <c r="Q40" s="63">
        <f t="shared" si="9"/>
        <v>29505</v>
      </c>
      <c r="R40" s="63">
        <f t="shared" si="10"/>
        <v>25417</v>
      </c>
    </row>
    <row r="41" spans="11:18" x14ac:dyDescent="0.25">
      <c r="K41">
        <v>39</v>
      </c>
      <c r="L41" s="63">
        <f t="shared" si="4"/>
        <v>32366.1</v>
      </c>
      <c r="M41" s="63">
        <f t="shared" si="5"/>
        <v>59358</v>
      </c>
      <c r="N41" s="63">
        <f t="shared" si="6"/>
        <v>20553</v>
      </c>
      <c r="O41" s="63">
        <f t="shared" si="7"/>
        <v>43094.61</v>
      </c>
      <c r="P41" s="63">
        <f t="shared" si="8"/>
        <v>34527.61</v>
      </c>
      <c r="Q41" s="63">
        <f t="shared" si="9"/>
        <v>29974</v>
      </c>
      <c r="R41" s="63">
        <f t="shared" si="10"/>
        <v>25886</v>
      </c>
    </row>
    <row r="42" spans="11:18" x14ac:dyDescent="0.25">
      <c r="K42">
        <v>40</v>
      </c>
      <c r="L42" s="63">
        <f t="shared" si="4"/>
        <v>33196</v>
      </c>
      <c r="M42" s="63">
        <f t="shared" si="5"/>
        <v>60880</v>
      </c>
      <c r="N42" s="63">
        <f t="shared" si="6"/>
        <v>21080</v>
      </c>
      <c r="O42" s="63">
        <f t="shared" si="7"/>
        <v>43849.599999999999</v>
      </c>
      <c r="P42" s="63">
        <f t="shared" si="8"/>
        <v>35673.599999999999</v>
      </c>
      <c r="Q42" s="63">
        <f t="shared" si="9"/>
        <v>30443</v>
      </c>
      <c r="R42" s="63">
        <f t="shared" si="10"/>
        <v>26355</v>
      </c>
    </row>
    <row r="43" spans="11:18" x14ac:dyDescent="0.25">
      <c r="K43">
        <v>41</v>
      </c>
      <c r="L43" s="63">
        <f t="shared" si="4"/>
        <v>34025.899999999994</v>
      </c>
      <c r="M43" s="63">
        <f t="shared" si="5"/>
        <v>62402</v>
      </c>
      <c r="N43" s="63">
        <f t="shared" si="6"/>
        <v>21607</v>
      </c>
      <c r="O43" s="63">
        <f t="shared" si="7"/>
        <v>45579.59</v>
      </c>
      <c r="P43" s="63">
        <f t="shared" si="8"/>
        <v>36428.589999999997</v>
      </c>
      <c r="Q43" s="63">
        <f t="shared" si="9"/>
        <v>30912</v>
      </c>
      <c r="R43" s="63">
        <f t="shared" si="10"/>
        <v>26824</v>
      </c>
    </row>
    <row r="44" spans="11:18" x14ac:dyDescent="0.25">
      <c r="K44">
        <v>42</v>
      </c>
      <c r="L44" s="63">
        <f t="shared" si="4"/>
        <v>34855.800000000003</v>
      </c>
      <c r="M44" s="63">
        <f t="shared" si="5"/>
        <v>63924</v>
      </c>
      <c r="N44" s="63">
        <f t="shared" si="6"/>
        <v>22134</v>
      </c>
      <c r="O44" s="63">
        <f t="shared" si="7"/>
        <v>46334.58</v>
      </c>
      <c r="P44" s="63">
        <f t="shared" si="8"/>
        <v>37183.58</v>
      </c>
      <c r="Q44" s="63">
        <f t="shared" si="9"/>
        <v>31381</v>
      </c>
      <c r="R44" s="63">
        <f t="shared" si="10"/>
        <v>27293</v>
      </c>
    </row>
    <row r="45" spans="11:18" x14ac:dyDescent="0.25">
      <c r="K45">
        <v>43</v>
      </c>
      <c r="L45" s="63">
        <f t="shared" si="4"/>
        <v>35685.699999999997</v>
      </c>
      <c r="M45" s="63">
        <f t="shared" si="5"/>
        <v>65446</v>
      </c>
      <c r="N45" s="63">
        <f t="shared" si="6"/>
        <v>22661</v>
      </c>
      <c r="O45" s="63">
        <f t="shared" si="7"/>
        <v>48064.57</v>
      </c>
      <c r="P45" s="63">
        <f t="shared" si="8"/>
        <v>38329.57</v>
      </c>
      <c r="Q45" s="63">
        <f t="shared" si="9"/>
        <v>33519</v>
      </c>
      <c r="R45" s="63">
        <f t="shared" si="10"/>
        <v>28847</v>
      </c>
    </row>
    <row r="46" spans="11:18" x14ac:dyDescent="0.25">
      <c r="K46">
        <v>44</v>
      </c>
      <c r="L46" s="63">
        <f t="shared" si="4"/>
        <v>36515.599999999999</v>
      </c>
      <c r="M46" s="63">
        <f t="shared" si="5"/>
        <v>66968</v>
      </c>
      <c r="N46" s="63">
        <f t="shared" si="6"/>
        <v>23188</v>
      </c>
      <c r="O46" s="63">
        <f t="shared" si="7"/>
        <v>48819.56</v>
      </c>
      <c r="P46" s="63">
        <f t="shared" si="8"/>
        <v>39084.559999999998</v>
      </c>
      <c r="Q46" s="63">
        <f t="shared" si="9"/>
        <v>33988</v>
      </c>
      <c r="R46" s="63">
        <f t="shared" si="10"/>
        <v>29316</v>
      </c>
    </row>
    <row r="47" spans="11:18" x14ac:dyDescent="0.25">
      <c r="K47">
        <v>45</v>
      </c>
      <c r="L47" s="63">
        <f t="shared" si="4"/>
        <v>37345.5</v>
      </c>
      <c r="M47" s="63">
        <f t="shared" si="5"/>
        <v>68490</v>
      </c>
      <c r="N47" s="63">
        <f t="shared" si="6"/>
        <v>23715</v>
      </c>
      <c r="O47" s="63">
        <f t="shared" si="7"/>
        <v>49574.55</v>
      </c>
      <c r="P47" s="63">
        <f t="shared" si="8"/>
        <v>39839.550000000003</v>
      </c>
      <c r="Q47" s="63">
        <f t="shared" si="9"/>
        <v>34457</v>
      </c>
      <c r="R47" s="63">
        <f t="shared" si="10"/>
        <v>29785</v>
      </c>
    </row>
    <row r="48" spans="11:18" x14ac:dyDescent="0.25">
      <c r="K48">
        <v>46</v>
      </c>
      <c r="L48" s="63">
        <f t="shared" si="4"/>
        <v>38175.399999999994</v>
      </c>
      <c r="M48" s="63">
        <f t="shared" si="5"/>
        <v>70012</v>
      </c>
      <c r="N48" s="63">
        <f t="shared" si="6"/>
        <v>24242</v>
      </c>
      <c r="O48" s="63">
        <f t="shared" si="7"/>
        <v>50329.54</v>
      </c>
      <c r="P48" s="63">
        <f t="shared" si="8"/>
        <v>40985.54</v>
      </c>
      <c r="Q48" s="63">
        <f t="shared" si="9"/>
        <v>34926</v>
      </c>
      <c r="R48" s="63">
        <f t="shared" si="10"/>
        <v>30254</v>
      </c>
    </row>
    <row r="49" spans="4:18" x14ac:dyDescent="0.25">
      <c r="K49">
        <v>47</v>
      </c>
      <c r="L49" s="63">
        <f t="shared" si="4"/>
        <v>39005.300000000003</v>
      </c>
      <c r="M49" s="63">
        <f t="shared" si="5"/>
        <v>71534</v>
      </c>
      <c r="N49" s="63">
        <f t="shared" si="6"/>
        <v>24769</v>
      </c>
      <c r="O49" s="63">
        <f t="shared" si="7"/>
        <v>52059.53</v>
      </c>
      <c r="P49" s="63">
        <f t="shared" si="8"/>
        <v>41740.53</v>
      </c>
      <c r="Q49" s="63">
        <f t="shared" si="9"/>
        <v>35395</v>
      </c>
      <c r="R49" s="63">
        <f t="shared" si="10"/>
        <v>30723</v>
      </c>
    </row>
    <row r="50" spans="4:18" x14ac:dyDescent="0.25">
      <c r="K50">
        <v>48</v>
      </c>
      <c r="L50" s="63">
        <f t="shared" si="4"/>
        <v>39835.199999999997</v>
      </c>
      <c r="M50" s="63">
        <f t="shared" si="5"/>
        <v>73056</v>
      </c>
      <c r="N50" s="63">
        <f t="shared" si="6"/>
        <v>25296</v>
      </c>
      <c r="O50" s="63">
        <f t="shared" si="7"/>
        <v>52814.520000000004</v>
      </c>
      <c r="P50" s="63">
        <f t="shared" si="8"/>
        <v>42495.520000000004</v>
      </c>
      <c r="Q50" s="63">
        <f t="shared" si="9"/>
        <v>35864</v>
      </c>
      <c r="R50" s="63">
        <f t="shared" si="10"/>
        <v>31192</v>
      </c>
    </row>
    <row r="51" spans="4:18" x14ac:dyDescent="0.25">
      <c r="K51">
        <v>49</v>
      </c>
      <c r="L51" s="63">
        <f t="shared" si="4"/>
        <v>40665.1</v>
      </c>
      <c r="M51" s="63">
        <f t="shared" si="5"/>
        <v>74578</v>
      </c>
      <c r="N51" s="63">
        <f t="shared" si="6"/>
        <v>25823</v>
      </c>
      <c r="O51" s="63">
        <f t="shared" si="7"/>
        <v>54544.51</v>
      </c>
      <c r="P51" s="63">
        <f t="shared" si="8"/>
        <v>43641.51</v>
      </c>
      <c r="Q51" s="63">
        <f t="shared" si="9"/>
        <v>38002</v>
      </c>
      <c r="R51" s="63">
        <f t="shared" si="10"/>
        <v>32746</v>
      </c>
    </row>
    <row r="52" spans="4:18" x14ac:dyDescent="0.25">
      <c r="K52">
        <v>50</v>
      </c>
      <c r="L52" s="63">
        <f t="shared" si="4"/>
        <v>41495</v>
      </c>
      <c r="M52" s="63">
        <f t="shared" si="5"/>
        <v>76100</v>
      </c>
      <c r="N52" s="63">
        <f t="shared" si="6"/>
        <v>26350</v>
      </c>
      <c r="O52" s="63">
        <f t="shared" si="7"/>
        <v>55299.5</v>
      </c>
      <c r="P52" s="63">
        <f t="shared" si="8"/>
        <v>44396.5</v>
      </c>
      <c r="Q52" s="63">
        <f t="shared" si="9"/>
        <v>38471</v>
      </c>
      <c r="R52" s="63">
        <f t="shared" si="10"/>
        <v>33215</v>
      </c>
    </row>
    <row r="53" spans="4:18" x14ac:dyDescent="0.25">
      <c r="K53">
        <v>51</v>
      </c>
      <c r="L53" s="63">
        <f t="shared" si="4"/>
        <v>42324.899999999994</v>
      </c>
      <c r="M53" s="63">
        <f t="shared" si="5"/>
        <v>77622</v>
      </c>
      <c r="N53" s="63">
        <f t="shared" si="6"/>
        <v>26877</v>
      </c>
      <c r="O53" s="63">
        <f t="shared" si="7"/>
        <v>56054.49</v>
      </c>
      <c r="P53" s="63">
        <f t="shared" si="8"/>
        <v>45151.49</v>
      </c>
      <c r="Q53" s="63">
        <f t="shared" si="9"/>
        <v>38940</v>
      </c>
      <c r="R53" s="63">
        <f t="shared" si="10"/>
        <v>33684</v>
      </c>
    </row>
    <row r="54" spans="4:18" x14ac:dyDescent="0.25">
      <c r="K54">
        <v>52</v>
      </c>
      <c r="L54" s="63">
        <f t="shared" si="4"/>
        <v>43154.8</v>
      </c>
      <c r="M54" s="63">
        <f t="shared" si="5"/>
        <v>79144</v>
      </c>
      <c r="N54" s="63">
        <f t="shared" si="6"/>
        <v>27404</v>
      </c>
      <c r="O54" s="63">
        <f t="shared" si="7"/>
        <v>56809.48</v>
      </c>
      <c r="P54" s="63">
        <f t="shared" si="8"/>
        <v>46297.48</v>
      </c>
      <c r="Q54" s="63">
        <f t="shared" si="9"/>
        <v>39409</v>
      </c>
      <c r="R54" s="63">
        <f t="shared" si="10"/>
        <v>34153</v>
      </c>
    </row>
    <row r="55" spans="4:18" x14ac:dyDescent="0.25">
      <c r="K55">
        <v>53</v>
      </c>
      <c r="L55" s="63">
        <f t="shared" si="4"/>
        <v>43984.7</v>
      </c>
      <c r="M55" s="63">
        <f t="shared" si="5"/>
        <v>80666</v>
      </c>
      <c r="N55" s="63">
        <f t="shared" si="6"/>
        <v>27931</v>
      </c>
      <c r="O55" s="63">
        <f t="shared" si="7"/>
        <v>58539.47</v>
      </c>
      <c r="P55" s="63">
        <f t="shared" si="8"/>
        <v>47052.47</v>
      </c>
      <c r="Q55" s="63">
        <f t="shared" si="9"/>
        <v>39878</v>
      </c>
      <c r="R55" s="63">
        <f t="shared" si="10"/>
        <v>34622</v>
      </c>
    </row>
    <row r="56" spans="4:18" x14ac:dyDescent="0.25">
      <c r="K56">
        <v>54</v>
      </c>
      <c r="L56" s="63">
        <f t="shared" si="4"/>
        <v>44814.6</v>
      </c>
      <c r="M56" s="63">
        <f t="shared" si="5"/>
        <v>82188</v>
      </c>
      <c r="N56" s="63">
        <f t="shared" si="6"/>
        <v>28458</v>
      </c>
      <c r="O56" s="63">
        <f t="shared" si="7"/>
        <v>59294.46</v>
      </c>
      <c r="P56" s="63">
        <f t="shared" si="8"/>
        <v>47807.46</v>
      </c>
      <c r="Q56" s="63">
        <f t="shared" si="9"/>
        <v>40347</v>
      </c>
      <c r="R56" s="63">
        <f t="shared" si="10"/>
        <v>35091</v>
      </c>
    </row>
    <row r="57" spans="4:18" x14ac:dyDescent="0.25">
      <c r="K57">
        <v>55</v>
      </c>
      <c r="L57" s="63">
        <f t="shared" si="4"/>
        <v>45644.5</v>
      </c>
      <c r="M57" s="63">
        <f t="shared" si="5"/>
        <v>83710</v>
      </c>
      <c r="N57" s="63">
        <f t="shared" si="6"/>
        <v>28985</v>
      </c>
      <c r="O57" s="63">
        <f t="shared" si="7"/>
        <v>61024.45</v>
      </c>
      <c r="P57" s="63">
        <f t="shared" si="8"/>
        <v>48953.45</v>
      </c>
      <c r="Q57" s="63">
        <f t="shared" si="9"/>
        <v>42485</v>
      </c>
      <c r="R57" s="63">
        <f t="shared" si="10"/>
        <v>36645</v>
      </c>
    </row>
    <row r="58" spans="4:18" x14ac:dyDescent="0.25">
      <c r="K58">
        <v>56</v>
      </c>
      <c r="L58" s="63">
        <f t="shared" si="4"/>
        <v>46474.399999999994</v>
      </c>
      <c r="M58" s="63">
        <f t="shared" si="5"/>
        <v>85232</v>
      </c>
      <c r="N58" s="63">
        <f t="shared" si="6"/>
        <v>29512</v>
      </c>
      <c r="O58" s="63">
        <f t="shared" si="7"/>
        <v>61779.44</v>
      </c>
      <c r="P58" s="63">
        <f t="shared" si="8"/>
        <v>49708.44</v>
      </c>
      <c r="Q58" s="63">
        <f t="shared" si="9"/>
        <v>42954</v>
      </c>
      <c r="R58" s="63">
        <f t="shared" si="10"/>
        <v>37114</v>
      </c>
    </row>
    <row r="59" spans="4:18" x14ac:dyDescent="0.25">
      <c r="K59">
        <v>57</v>
      </c>
      <c r="L59" s="63">
        <f t="shared" si="4"/>
        <v>47304.3</v>
      </c>
      <c r="M59" s="63">
        <f t="shared" si="5"/>
        <v>86754</v>
      </c>
      <c r="N59" s="63">
        <f t="shared" si="6"/>
        <v>30039</v>
      </c>
      <c r="O59" s="63">
        <f t="shared" si="7"/>
        <v>62534.43</v>
      </c>
      <c r="P59" s="63">
        <f t="shared" si="8"/>
        <v>50463.43</v>
      </c>
      <c r="Q59" s="63">
        <f t="shared" si="9"/>
        <v>43423</v>
      </c>
      <c r="R59" s="63">
        <f t="shared" si="10"/>
        <v>37583</v>
      </c>
    </row>
    <row r="60" spans="4:18" x14ac:dyDescent="0.25">
      <c r="K60">
        <v>58</v>
      </c>
      <c r="L60" s="63">
        <f t="shared" si="4"/>
        <v>48134.2</v>
      </c>
      <c r="M60" s="63">
        <f t="shared" si="5"/>
        <v>88276</v>
      </c>
      <c r="N60" s="63">
        <f t="shared" si="6"/>
        <v>30566</v>
      </c>
      <c r="O60" s="63">
        <f t="shared" si="7"/>
        <v>63289.42</v>
      </c>
      <c r="P60" s="63">
        <f t="shared" si="8"/>
        <v>51609.42</v>
      </c>
      <c r="Q60" s="63">
        <f t="shared" si="9"/>
        <v>43892</v>
      </c>
      <c r="R60" s="63">
        <f t="shared" si="10"/>
        <v>38052</v>
      </c>
    </row>
    <row r="61" spans="4:18" x14ac:dyDescent="0.25">
      <c r="K61">
        <v>59</v>
      </c>
      <c r="L61" s="63">
        <f t="shared" si="4"/>
        <v>48964.1</v>
      </c>
      <c r="M61" s="63">
        <f t="shared" si="5"/>
        <v>89798</v>
      </c>
      <c r="N61" s="63">
        <f t="shared" si="6"/>
        <v>31093</v>
      </c>
      <c r="O61" s="63">
        <f t="shared" si="7"/>
        <v>65019.41</v>
      </c>
      <c r="P61" s="63">
        <f t="shared" si="8"/>
        <v>52364.41</v>
      </c>
      <c r="Q61" s="63">
        <f t="shared" si="9"/>
        <v>44361</v>
      </c>
      <c r="R61" s="63">
        <f t="shared" si="10"/>
        <v>38521</v>
      </c>
    </row>
    <row r="62" spans="4:18" x14ac:dyDescent="0.25">
      <c r="K62">
        <v>60</v>
      </c>
      <c r="L62" s="63">
        <f t="shared" si="4"/>
        <v>49794</v>
      </c>
      <c r="M62" s="63">
        <f t="shared" si="5"/>
        <v>91320</v>
      </c>
      <c r="N62" s="63">
        <f t="shared" si="6"/>
        <v>31620</v>
      </c>
      <c r="O62" s="63">
        <f t="shared" si="7"/>
        <v>65774.399999999994</v>
      </c>
      <c r="P62" s="63">
        <f t="shared" si="8"/>
        <v>53119.4</v>
      </c>
      <c r="Q62" s="63">
        <f t="shared" si="9"/>
        <v>44830</v>
      </c>
      <c r="R62" s="63">
        <f t="shared" si="10"/>
        <v>38990</v>
      </c>
    </row>
    <row r="63" spans="4:18" x14ac:dyDescent="0.25">
      <c r="D63" s="63">
        <f t="shared" ref="D63" si="11">($B$3*C63+$B$4*C63)</f>
        <v>0</v>
      </c>
      <c r="E63" s="63">
        <f t="shared" ref="E63" si="12">(C63*$C$3+$C$4*C63)</f>
        <v>0</v>
      </c>
      <c r="F63" s="63">
        <f t="shared" ref="F63" si="13">($D$3*C63+$D$4*C63)</f>
        <v>0</v>
      </c>
      <c r="G63" s="63">
        <f>((ROUNDUP($K64/$K$1,0)*ROUNDUP($K$1/$E$5,0))+IF(MOD($K64,$K$1)&gt;$E$5,1,0)+IF(MOD($K64,$K$1)=0,IF(($K$1-1)/$E$5&gt;=1,1,0),0))*$E$3+$K64*$E$4</f>
        <v>68259.38</v>
      </c>
      <c r="H63" s="63">
        <f>(((ROUNDUP($K64/$K$1,0)*ROUNDUP($K$1/$F$5,0))+IF(MOD($K64,$K$1)&gt;$F$5,1,0)+IF(MOD($K64,$K$1)=0,1,0))-1)*$F$3+$K64*$F$4</f>
        <v>55020.38</v>
      </c>
      <c r="I63" s="63">
        <f>(ROUNDUP($K64/$K$1,0)*$G$2+(ROUNDUP(($K64/$K$1)/$G$6,0)*$G$3+$K64*$G$4))</f>
        <v>47437</v>
      </c>
      <c r="J63" s="63">
        <f>(ROUNDUP($K64/$K$1,0)*$H$2+(ROUNDUP(($K64/$K$1)/$H$6,0)*$H$3+$K64*$H$4))</f>
        <v>41013</v>
      </c>
      <c r="K63">
        <v>61</v>
      </c>
      <c r="L63" s="63">
        <f t="shared" si="4"/>
        <v>50623.899999999994</v>
      </c>
      <c r="M63" s="63">
        <f t="shared" si="5"/>
        <v>92842</v>
      </c>
      <c r="N63" s="63">
        <f t="shared" si="6"/>
        <v>32147</v>
      </c>
      <c r="O63" s="63">
        <f t="shared" si="7"/>
        <v>67504.39</v>
      </c>
      <c r="P63" s="63">
        <f t="shared" si="8"/>
        <v>54265.39</v>
      </c>
      <c r="Q63" s="63">
        <f t="shared" si="9"/>
        <v>46968</v>
      </c>
      <c r="R63" s="63">
        <f t="shared" si="10"/>
        <v>40544</v>
      </c>
    </row>
    <row r="64" spans="4:18" x14ac:dyDescent="0.25">
      <c r="K64">
        <v>62</v>
      </c>
      <c r="L64" s="63">
        <f t="shared" si="4"/>
        <v>51453.8</v>
      </c>
      <c r="M64" s="63">
        <f t="shared" si="5"/>
        <v>94364</v>
      </c>
      <c r="N64" s="63">
        <f t="shared" si="6"/>
        <v>32674</v>
      </c>
      <c r="O64" s="63">
        <f t="shared" si="7"/>
        <v>68259.38</v>
      </c>
      <c r="P64" s="63">
        <f t="shared" si="8"/>
        <v>55020.38</v>
      </c>
      <c r="Q64" s="63">
        <f t="shared" si="9"/>
        <v>47437</v>
      </c>
      <c r="R64" s="63">
        <f t="shared" si="10"/>
        <v>41013</v>
      </c>
    </row>
    <row r="65" spans="11:18" x14ac:dyDescent="0.25">
      <c r="K65">
        <v>63</v>
      </c>
      <c r="L65" s="63">
        <f t="shared" si="4"/>
        <v>52283.7</v>
      </c>
      <c r="M65" s="63">
        <f t="shared" si="5"/>
        <v>95886</v>
      </c>
      <c r="N65" s="63">
        <f t="shared" si="6"/>
        <v>33201</v>
      </c>
      <c r="O65" s="63">
        <f t="shared" si="7"/>
        <v>69014.37</v>
      </c>
      <c r="P65" s="63">
        <f t="shared" si="8"/>
        <v>55775.37</v>
      </c>
      <c r="Q65" s="63">
        <f t="shared" si="9"/>
        <v>47906</v>
      </c>
      <c r="R65" s="63">
        <f t="shared" si="10"/>
        <v>41482</v>
      </c>
    </row>
    <row r="66" spans="11:18" x14ac:dyDescent="0.25">
      <c r="K66">
        <v>64</v>
      </c>
      <c r="L66" s="63">
        <f t="shared" si="4"/>
        <v>53113.599999999999</v>
      </c>
      <c r="M66" s="63">
        <f t="shared" si="5"/>
        <v>97408</v>
      </c>
      <c r="N66" s="63">
        <f t="shared" si="6"/>
        <v>33728</v>
      </c>
      <c r="O66" s="63">
        <f t="shared" si="7"/>
        <v>69769.36</v>
      </c>
      <c r="P66" s="63">
        <f t="shared" si="8"/>
        <v>56921.36</v>
      </c>
      <c r="Q66" s="63">
        <f t="shared" si="9"/>
        <v>48375</v>
      </c>
      <c r="R66" s="63">
        <f t="shared" si="10"/>
        <v>41951</v>
      </c>
    </row>
    <row r="67" spans="11:18" x14ac:dyDescent="0.25">
      <c r="K67">
        <v>65</v>
      </c>
      <c r="L67" s="63">
        <f t="shared" si="4"/>
        <v>53943.5</v>
      </c>
      <c r="M67" s="63">
        <f t="shared" si="5"/>
        <v>98930</v>
      </c>
      <c r="N67" s="63">
        <f t="shared" si="6"/>
        <v>34255</v>
      </c>
      <c r="O67" s="63">
        <f t="shared" si="7"/>
        <v>71499.350000000006</v>
      </c>
      <c r="P67" s="63">
        <f t="shared" si="8"/>
        <v>57676.35</v>
      </c>
      <c r="Q67" s="63">
        <f t="shared" si="9"/>
        <v>48844</v>
      </c>
      <c r="R67" s="63">
        <f t="shared" si="10"/>
        <v>42420</v>
      </c>
    </row>
    <row r="68" spans="11:18" x14ac:dyDescent="0.25">
      <c r="K68">
        <v>66</v>
      </c>
      <c r="L68" s="63">
        <f t="shared" ref="L68:L70" si="14">IF(($B$3*K68+$B$4*K68)&gt;$J$2,0,($B$3*K68+$B$4*K68))</f>
        <v>54773.399999999994</v>
      </c>
      <c r="M68" s="63">
        <f t="shared" ref="M68:M70" si="15">IF((K68*$C$3+$C$4*K68)&gt;$J$2,0,(K68*$C$3+$C$4*K68))</f>
        <v>100452</v>
      </c>
      <c r="N68" s="63">
        <f t="shared" ref="N68:N70" si="16">IF(($D$3*K68+$D$4*K68)&gt;$J$2,0,($D$3*K68+$D$4*K68))</f>
        <v>34782</v>
      </c>
      <c r="O68" s="63">
        <f t="shared" si="7"/>
        <v>72254.34</v>
      </c>
      <c r="P68" s="63">
        <f t="shared" si="8"/>
        <v>58431.340000000004</v>
      </c>
      <c r="Q68" s="63">
        <f t="shared" si="9"/>
        <v>49313</v>
      </c>
      <c r="R68" s="63">
        <f t="shared" si="10"/>
        <v>42889</v>
      </c>
    </row>
    <row r="69" spans="11:18" x14ac:dyDescent="0.25">
      <c r="K69">
        <v>67</v>
      </c>
      <c r="L69" s="63">
        <f t="shared" si="14"/>
        <v>55603.3</v>
      </c>
      <c r="M69" s="63">
        <f t="shared" si="15"/>
        <v>101974</v>
      </c>
      <c r="N69" s="63">
        <f t="shared" si="16"/>
        <v>35309</v>
      </c>
      <c r="O69" s="63">
        <f t="shared" si="7"/>
        <v>73984.33</v>
      </c>
      <c r="P69" s="63">
        <f t="shared" si="8"/>
        <v>59577.33</v>
      </c>
      <c r="Q69" s="63">
        <f t="shared" si="9"/>
        <v>51451</v>
      </c>
      <c r="R69" s="63">
        <f t="shared" si="10"/>
        <v>44443</v>
      </c>
    </row>
    <row r="70" spans="11:18" x14ac:dyDescent="0.25">
      <c r="K70">
        <v>68</v>
      </c>
      <c r="L70" s="63">
        <f t="shared" si="14"/>
        <v>56433.2</v>
      </c>
      <c r="M70" s="63">
        <f t="shared" si="15"/>
        <v>103496</v>
      </c>
      <c r="N70" s="63">
        <f t="shared" si="16"/>
        <v>35836</v>
      </c>
      <c r="O70" s="63">
        <f t="shared" si="7"/>
        <v>74739.320000000007</v>
      </c>
      <c r="P70" s="63">
        <f t="shared" si="8"/>
        <v>60332.32</v>
      </c>
      <c r="Q70" s="63">
        <f t="shared" si="9"/>
        <v>51920</v>
      </c>
      <c r="R70" s="63">
        <f t="shared" si="10"/>
        <v>44912</v>
      </c>
    </row>
    <row r="71" spans="11:18" x14ac:dyDescent="0.25">
      <c r="K71">
        <v>69</v>
      </c>
      <c r="L71" s="63">
        <v>1000000</v>
      </c>
      <c r="M71" s="63">
        <v>1000000</v>
      </c>
      <c r="N71" s="63">
        <v>1000000</v>
      </c>
      <c r="O71" s="63">
        <v>1000000</v>
      </c>
      <c r="P71" s="63">
        <v>1000000</v>
      </c>
      <c r="Q71" s="63">
        <v>1000000</v>
      </c>
      <c r="R71" s="63">
        <v>1000000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zoomScale="55" zoomScaleNormal="55" workbookViewId="0">
      <selection activeCell="M7" sqref="M7"/>
    </sheetView>
  </sheetViews>
  <sheetFormatPr defaultRowHeight="15" x14ac:dyDescent="0.25"/>
  <cols>
    <col min="1" max="1" width="63.28515625" bestFit="1" customWidth="1"/>
    <col min="2" max="2" width="57.28515625" customWidth="1"/>
    <col min="3" max="3" width="42.28515625" customWidth="1"/>
    <col min="5" max="5" width="31.85546875" bestFit="1" customWidth="1"/>
    <col min="7" max="7" width="19.7109375" customWidth="1"/>
    <col min="8" max="8" width="32.5703125" customWidth="1"/>
    <col min="9" max="9" width="31.7109375" customWidth="1"/>
    <col min="15" max="15" width="8.85546875" customWidth="1"/>
  </cols>
  <sheetData>
    <row r="1" spans="1:27" x14ac:dyDescent="0.25">
      <c r="A1" s="11" t="s">
        <v>34</v>
      </c>
      <c r="B1" s="11" t="s">
        <v>69</v>
      </c>
      <c r="C1" s="11" t="s">
        <v>35</v>
      </c>
      <c r="D1" s="11"/>
      <c r="E1" s="11"/>
      <c r="F1" s="11"/>
      <c r="G1" s="11"/>
      <c r="H1" s="11"/>
      <c r="I1" s="11"/>
      <c r="J1" s="11"/>
      <c r="K1" s="11"/>
      <c r="L1" s="11"/>
      <c r="M1" s="11"/>
      <c r="N1" s="11"/>
      <c r="O1" s="11"/>
      <c r="P1" s="11"/>
      <c r="Q1" s="11"/>
      <c r="R1" s="11"/>
      <c r="S1" s="11"/>
      <c r="T1" s="11"/>
      <c r="U1" s="11"/>
      <c r="V1" s="11"/>
      <c r="W1" s="11"/>
      <c r="X1" s="11"/>
      <c r="Y1" s="11"/>
      <c r="Z1" s="11"/>
      <c r="AA1" s="11"/>
    </row>
    <row r="2" spans="1:27" ht="45" x14ac:dyDescent="0.25">
      <c r="A2" s="13" t="s">
        <v>100</v>
      </c>
      <c r="B2" s="13" t="s">
        <v>43</v>
      </c>
      <c r="C2" s="13" t="s">
        <v>44</v>
      </c>
      <c r="D2" s="11" t="s">
        <v>23</v>
      </c>
      <c r="E2" s="5" t="s">
        <v>13</v>
      </c>
      <c r="F2" s="11" t="s">
        <v>121</v>
      </c>
      <c r="G2" s="34" t="s">
        <v>112</v>
      </c>
      <c r="H2" s="34"/>
      <c r="I2" s="11" t="s">
        <v>114</v>
      </c>
      <c r="J2" s="11"/>
      <c r="K2" s="11"/>
      <c r="L2" s="11"/>
      <c r="M2" s="11"/>
      <c r="N2" s="11"/>
      <c r="O2" s="11"/>
      <c r="P2" s="11"/>
      <c r="Q2" s="11"/>
      <c r="R2" s="11"/>
      <c r="S2" s="11"/>
      <c r="T2" s="11"/>
      <c r="U2" s="11"/>
      <c r="V2" s="11"/>
      <c r="W2" s="11"/>
      <c r="X2" s="11"/>
      <c r="Y2" s="11"/>
      <c r="Z2" s="11"/>
      <c r="AA2" s="11"/>
    </row>
    <row r="3" spans="1:27" ht="60" x14ac:dyDescent="0.25">
      <c r="A3" s="13" t="s">
        <v>45</v>
      </c>
      <c r="B3" s="13" t="s">
        <v>46</v>
      </c>
      <c r="C3" s="13" t="s">
        <v>46</v>
      </c>
      <c r="D3" s="11"/>
      <c r="E3" s="5" t="s">
        <v>14</v>
      </c>
      <c r="F3" s="11" t="s">
        <v>122</v>
      </c>
      <c r="G3" s="34" t="s">
        <v>86</v>
      </c>
      <c r="H3" s="34" t="s">
        <v>109</v>
      </c>
      <c r="I3" s="34" t="s">
        <v>115</v>
      </c>
      <c r="J3" s="11"/>
      <c r="K3" s="11"/>
      <c r="L3" s="11"/>
      <c r="M3" s="11"/>
      <c r="N3" s="11"/>
      <c r="O3" s="11"/>
      <c r="P3" s="11"/>
      <c r="Q3" s="11"/>
      <c r="R3" s="11"/>
      <c r="S3" s="11"/>
      <c r="T3" s="11"/>
      <c r="U3" s="11"/>
      <c r="V3" s="11"/>
      <c r="W3" s="11"/>
      <c r="X3" s="11"/>
      <c r="Y3" s="11"/>
      <c r="Z3" s="11"/>
      <c r="AA3" s="11"/>
    </row>
    <row r="4" spans="1:27" ht="101.45" customHeight="1" thickBot="1" x14ac:dyDescent="0.3">
      <c r="A4" s="15" t="s">
        <v>101</v>
      </c>
      <c r="B4" s="15" t="s">
        <v>102</v>
      </c>
      <c r="C4" s="15" t="s">
        <v>102</v>
      </c>
      <c r="D4" s="11"/>
      <c r="E4" s="8" t="s">
        <v>15</v>
      </c>
      <c r="F4" s="11" t="s">
        <v>123</v>
      </c>
      <c r="G4" s="34" t="s">
        <v>110</v>
      </c>
      <c r="H4" s="34" t="s">
        <v>113</v>
      </c>
      <c r="I4" s="34" t="s">
        <v>118</v>
      </c>
      <c r="J4" s="11"/>
      <c r="K4" s="11"/>
      <c r="L4" s="11"/>
      <c r="M4" s="11"/>
      <c r="N4" s="11"/>
      <c r="O4" s="11"/>
      <c r="P4" s="11"/>
      <c r="Q4" s="11"/>
      <c r="R4" s="11"/>
      <c r="S4" s="11"/>
      <c r="T4" s="11"/>
      <c r="U4" s="11"/>
      <c r="V4" s="11"/>
      <c r="W4" s="11"/>
      <c r="X4" s="11"/>
      <c r="Y4" s="11"/>
      <c r="Z4" s="11"/>
      <c r="AA4" s="11"/>
    </row>
    <row r="5" spans="1:27" ht="180" x14ac:dyDescent="0.25">
      <c r="A5" s="13" t="s">
        <v>47</v>
      </c>
      <c r="B5" s="13" t="s">
        <v>90</v>
      </c>
      <c r="C5" s="13" t="s">
        <v>91</v>
      </c>
      <c r="D5" s="11" t="s">
        <v>16</v>
      </c>
      <c r="E5" s="5" t="s">
        <v>25</v>
      </c>
      <c r="F5" s="11"/>
      <c r="G5" s="11"/>
      <c r="H5" s="11"/>
      <c r="I5" s="11"/>
      <c r="J5" s="11"/>
      <c r="K5" s="11"/>
      <c r="L5" s="11"/>
      <c r="M5" s="11"/>
      <c r="N5" s="11"/>
      <c r="O5" s="11"/>
      <c r="P5" s="11"/>
      <c r="Q5" s="11"/>
      <c r="R5" s="11"/>
      <c r="S5" s="11"/>
      <c r="T5" s="11"/>
      <c r="U5" s="11"/>
      <c r="V5" s="11"/>
      <c r="W5" s="11"/>
      <c r="X5" s="11"/>
      <c r="Y5" s="11"/>
      <c r="Z5" s="11"/>
      <c r="AA5" s="11"/>
    </row>
    <row r="6" spans="1:27" ht="180" x14ac:dyDescent="0.25">
      <c r="A6" s="13" t="s">
        <v>48</v>
      </c>
      <c r="B6" s="13" t="s">
        <v>92</v>
      </c>
      <c r="C6" s="13" t="s">
        <v>92</v>
      </c>
      <c r="D6" s="11"/>
      <c r="E6" s="5" t="s">
        <v>17</v>
      </c>
      <c r="F6" s="11"/>
      <c r="G6" s="11"/>
      <c r="H6" s="11"/>
      <c r="I6" s="11"/>
      <c r="J6" s="11"/>
      <c r="K6" s="11"/>
      <c r="L6" s="11"/>
      <c r="M6" s="11"/>
      <c r="N6" s="11"/>
      <c r="O6" s="11"/>
      <c r="P6" s="11"/>
      <c r="Q6" s="11"/>
      <c r="R6" s="11"/>
      <c r="S6" s="11"/>
      <c r="T6" s="11"/>
      <c r="U6" s="11"/>
      <c r="V6" s="11"/>
      <c r="W6" s="11"/>
      <c r="X6" s="11"/>
      <c r="Y6" s="11"/>
      <c r="Z6" s="11"/>
      <c r="AA6" s="11"/>
    </row>
    <row r="7" spans="1:27" ht="108.75" thickBot="1" x14ac:dyDescent="0.3">
      <c r="A7" s="15" t="s">
        <v>54</v>
      </c>
      <c r="B7" s="15" t="s">
        <v>93</v>
      </c>
      <c r="C7" s="15" t="s">
        <v>93</v>
      </c>
      <c r="D7" s="11"/>
      <c r="E7" s="8" t="s">
        <v>18</v>
      </c>
      <c r="F7" s="11"/>
      <c r="G7" s="11"/>
      <c r="H7" s="11"/>
      <c r="I7" s="11"/>
      <c r="J7" s="11"/>
      <c r="K7" s="11"/>
      <c r="L7" s="11"/>
      <c r="M7" s="11"/>
      <c r="N7" s="11"/>
      <c r="O7" s="11"/>
      <c r="P7" s="11"/>
      <c r="Q7" s="11"/>
      <c r="R7" s="11"/>
      <c r="S7" s="11"/>
      <c r="T7" s="11"/>
      <c r="U7" s="11"/>
      <c r="V7" s="11"/>
      <c r="W7" s="11"/>
      <c r="X7" s="11"/>
      <c r="Y7" s="11"/>
      <c r="Z7" s="11"/>
      <c r="AA7" s="11"/>
    </row>
    <row r="8" spans="1:27" ht="108" x14ac:dyDescent="0.25">
      <c r="A8" s="17" t="s">
        <v>55</v>
      </c>
      <c r="B8" s="17" t="s">
        <v>95</v>
      </c>
      <c r="C8" s="17" t="s">
        <v>95</v>
      </c>
      <c r="D8" s="11"/>
      <c r="E8" s="16" t="s">
        <v>26</v>
      </c>
      <c r="F8" s="11"/>
      <c r="G8" s="11"/>
      <c r="H8" s="11"/>
      <c r="I8" s="11"/>
      <c r="J8" s="11"/>
      <c r="K8" s="11"/>
      <c r="L8" s="11"/>
      <c r="M8" s="11"/>
      <c r="N8" s="11"/>
      <c r="O8" s="11"/>
      <c r="P8" s="11"/>
      <c r="Q8" s="11"/>
      <c r="R8" s="11"/>
      <c r="S8" s="11"/>
      <c r="T8" s="11"/>
      <c r="U8" s="11"/>
      <c r="V8" s="11"/>
      <c r="W8" s="11"/>
      <c r="X8" s="11"/>
      <c r="Y8" s="11"/>
      <c r="Z8" s="11"/>
      <c r="AA8" s="11"/>
    </row>
    <row r="9" spans="1:27" ht="90" x14ac:dyDescent="0.25">
      <c r="A9" s="17" t="s">
        <v>56</v>
      </c>
      <c r="B9" s="17" t="s">
        <v>94</v>
      </c>
      <c r="C9" s="17" t="s">
        <v>94</v>
      </c>
      <c r="D9" s="11"/>
      <c r="E9" s="11" t="s">
        <v>28</v>
      </c>
      <c r="F9" s="11"/>
      <c r="G9" s="11"/>
      <c r="H9" s="11"/>
      <c r="I9" s="11"/>
      <c r="J9" s="11"/>
      <c r="K9" s="11"/>
      <c r="L9" s="11"/>
      <c r="M9" s="11"/>
      <c r="N9" s="11"/>
      <c r="O9" s="11"/>
      <c r="P9" s="11"/>
      <c r="Q9" s="11"/>
      <c r="R9" s="11"/>
      <c r="S9" s="11"/>
      <c r="T9" s="11"/>
      <c r="U9" s="11"/>
      <c r="V9" s="11"/>
      <c r="W9" s="11"/>
      <c r="X9" s="11"/>
      <c r="Y9" s="11"/>
      <c r="Z9" s="11"/>
      <c r="AA9" s="11"/>
    </row>
    <row r="10" spans="1:27" ht="54" x14ac:dyDescent="0.25">
      <c r="A10" s="17" t="s">
        <v>58</v>
      </c>
      <c r="B10" s="17" t="s">
        <v>57</v>
      </c>
      <c r="C10" s="17" t="s">
        <v>57</v>
      </c>
      <c r="D10" s="11"/>
      <c r="E10" s="18" t="s">
        <v>29</v>
      </c>
      <c r="F10" s="11"/>
      <c r="G10" s="11"/>
      <c r="H10" s="11"/>
      <c r="I10" s="11"/>
      <c r="J10" s="11"/>
      <c r="K10" s="11"/>
      <c r="L10" s="11"/>
      <c r="M10" s="11"/>
      <c r="N10" s="11"/>
      <c r="O10" s="11"/>
      <c r="P10" s="11"/>
      <c r="Q10" s="11"/>
      <c r="R10" s="11"/>
      <c r="S10" s="11"/>
      <c r="T10" s="11"/>
      <c r="U10" s="11"/>
      <c r="V10" s="11"/>
      <c r="W10" s="11"/>
      <c r="X10" s="11"/>
      <c r="Y10" s="11"/>
      <c r="Z10" s="11"/>
      <c r="AA10" s="11"/>
    </row>
    <row r="11" spans="1:27" ht="54" x14ac:dyDescent="0.25">
      <c r="A11" s="13" t="s">
        <v>59</v>
      </c>
      <c r="B11" s="13" t="s">
        <v>96</v>
      </c>
      <c r="C11" s="13" t="s">
        <v>60</v>
      </c>
      <c r="D11" s="11" t="s">
        <v>24</v>
      </c>
      <c r="E11" s="5" t="s">
        <v>19</v>
      </c>
      <c r="F11" s="11"/>
      <c r="G11" s="11"/>
      <c r="H11" s="11"/>
      <c r="I11" s="11"/>
      <c r="J11" s="11"/>
      <c r="K11" s="11"/>
      <c r="L11" s="11"/>
      <c r="M11" s="11"/>
      <c r="N11" s="11"/>
      <c r="O11" s="11"/>
      <c r="P11" s="11"/>
      <c r="Q11" s="11"/>
      <c r="R11" s="11"/>
      <c r="S11" s="11"/>
      <c r="T11" s="11"/>
      <c r="U11" s="11"/>
      <c r="V11" s="11"/>
      <c r="W11" s="11"/>
      <c r="X11" s="11"/>
      <c r="Y11" s="11"/>
      <c r="Z11" s="11"/>
      <c r="AA11" s="11"/>
    </row>
    <row r="12" spans="1:27" ht="54.75" thickBot="1" x14ac:dyDescent="0.3">
      <c r="A12" s="15" t="s">
        <v>61</v>
      </c>
      <c r="B12" s="15" t="s">
        <v>98</v>
      </c>
      <c r="C12" s="15" t="s">
        <v>97</v>
      </c>
      <c r="D12" s="11"/>
      <c r="E12" s="8" t="s">
        <v>20</v>
      </c>
      <c r="F12" s="11"/>
      <c r="G12" s="11"/>
      <c r="H12" s="11"/>
      <c r="I12" s="11"/>
      <c r="J12" s="11"/>
      <c r="K12" s="11"/>
      <c r="L12" s="11"/>
      <c r="M12" s="11"/>
      <c r="N12" s="11"/>
      <c r="O12" s="11"/>
      <c r="P12" s="11"/>
      <c r="Q12" s="11"/>
      <c r="R12" s="11"/>
      <c r="S12" s="11"/>
      <c r="T12" s="11"/>
      <c r="U12" s="11"/>
      <c r="V12" s="11"/>
      <c r="W12" s="11"/>
      <c r="X12" s="11"/>
      <c r="Y12" s="11"/>
      <c r="Z12" s="11"/>
      <c r="AA12" s="11"/>
    </row>
    <row r="13" spans="1:27" ht="144.75" thickBot="1" x14ac:dyDescent="0.3">
      <c r="A13" s="13" t="s">
        <v>99</v>
      </c>
      <c r="B13" s="13" t="s">
        <v>99</v>
      </c>
      <c r="C13" s="13" t="s">
        <v>62</v>
      </c>
      <c r="D13" s="11" t="s">
        <v>12</v>
      </c>
      <c r="E13" s="19" t="s">
        <v>27</v>
      </c>
      <c r="F13" s="11"/>
      <c r="G13" s="11"/>
      <c r="H13" s="11"/>
      <c r="I13" s="11"/>
      <c r="J13" s="11"/>
      <c r="K13" s="11"/>
      <c r="L13" s="11"/>
      <c r="M13" s="11"/>
      <c r="N13" s="11"/>
      <c r="O13" s="11"/>
      <c r="P13" s="11"/>
      <c r="Q13" s="11"/>
      <c r="R13" s="11"/>
      <c r="S13" s="11"/>
      <c r="T13" s="11"/>
      <c r="U13" s="11"/>
      <c r="V13" s="11"/>
      <c r="W13" s="11"/>
      <c r="X13" s="11"/>
      <c r="Y13" s="11"/>
      <c r="Z13" s="11"/>
      <c r="AA13" s="11"/>
    </row>
    <row r="14" spans="1:27" ht="144" x14ac:dyDescent="0.25">
      <c r="A14" s="13" t="s">
        <v>63</v>
      </c>
      <c r="B14" s="38" t="s">
        <v>130</v>
      </c>
      <c r="C14" s="13" t="s">
        <v>130</v>
      </c>
      <c r="D14" s="11" t="s">
        <v>21</v>
      </c>
      <c r="E14" s="9" t="s">
        <v>37</v>
      </c>
      <c r="F14" s="11"/>
      <c r="G14" s="11"/>
      <c r="H14" s="11"/>
      <c r="I14" s="11"/>
      <c r="J14" s="11"/>
      <c r="K14" s="11"/>
      <c r="L14" s="11"/>
      <c r="M14" s="11"/>
      <c r="N14" s="11"/>
      <c r="O14" s="11"/>
      <c r="P14" s="11"/>
      <c r="Q14" s="11"/>
      <c r="R14" s="11"/>
      <c r="S14" s="11"/>
      <c r="T14" s="11"/>
      <c r="U14" s="11"/>
      <c r="V14" s="11"/>
      <c r="W14" s="11"/>
      <c r="X14" s="11"/>
      <c r="Y14" s="11"/>
      <c r="Z14" s="11"/>
      <c r="AA14" s="11"/>
    </row>
    <row r="15" spans="1:27" ht="97.15" customHeight="1" thickBot="1" x14ac:dyDescent="0.3">
      <c r="A15" s="15" t="s">
        <v>64</v>
      </c>
      <c r="B15" s="15" t="s">
        <v>116</v>
      </c>
      <c r="C15" s="15" t="s">
        <v>65</v>
      </c>
      <c r="D15" s="11"/>
      <c r="E15" s="8" t="s">
        <v>22</v>
      </c>
      <c r="F15" s="11"/>
      <c r="G15" s="11"/>
      <c r="H15" s="11"/>
      <c r="I15" s="11"/>
      <c r="J15" s="11"/>
      <c r="K15" s="11"/>
      <c r="L15" s="11"/>
      <c r="M15" s="11"/>
      <c r="N15" s="11"/>
      <c r="O15" s="11"/>
      <c r="P15" s="11"/>
      <c r="Q15" s="11"/>
      <c r="R15" s="11"/>
      <c r="S15" s="11"/>
      <c r="T15" s="11"/>
      <c r="U15" s="11"/>
      <c r="V15" s="11"/>
      <c r="W15" s="11"/>
      <c r="X15" s="11"/>
      <c r="Y15" s="11"/>
      <c r="Z15" s="11"/>
      <c r="AA15" s="11"/>
    </row>
    <row r="16" spans="1:27" ht="72" x14ac:dyDescent="0.25">
      <c r="A16" s="20" t="s">
        <v>66</v>
      </c>
      <c r="B16" s="20" t="s">
        <v>120</v>
      </c>
      <c r="C16" s="20" t="s">
        <v>67</v>
      </c>
      <c r="D16" s="11"/>
      <c r="E16" s="10" t="s">
        <v>30</v>
      </c>
      <c r="F16" s="11"/>
      <c r="G16" s="11"/>
      <c r="H16" s="11"/>
      <c r="I16" s="11"/>
      <c r="J16" s="11"/>
      <c r="K16" s="11"/>
      <c r="L16" s="11"/>
      <c r="M16" s="11"/>
      <c r="N16" s="11"/>
      <c r="O16" s="11"/>
      <c r="P16" s="11"/>
      <c r="Q16" s="11"/>
      <c r="R16" s="11"/>
      <c r="S16" s="11"/>
      <c r="T16" s="11"/>
      <c r="U16" s="11"/>
      <c r="V16" s="11"/>
      <c r="W16" s="11"/>
      <c r="X16" s="11"/>
      <c r="Y16" s="11"/>
      <c r="Z16" s="11"/>
      <c r="AA16" s="11"/>
    </row>
    <row r="17" spans="1:27" ht="198" x14ac:dyDescent="0.25">
      <c r="A17" s="20" t="s">
        <v>117</v>
      </c>
      <c r="B17" s="20" t="s">
        <v>119</v>
      </c>
      <c r="C17" s="20" t="s">
        <v>68</v>
      </c>
      <c r="D17" s="11"/>
      <c r="E17" s="11" t="s">
        <v>33</v>
      </c>
      <c r="F17" s="11"/>
      <c r="G17" s="11"/>
      <c r="H17" s="11"/>
      <c r="I17" s="11"/>
      <c r="J17" s="11"/>
      <c r="K17" s="11"/>
      <c r="L17" s="11"/>
      <c r="M17" s="11"/>
      <c r="N17" s="11"/>
      <c r="O17" s="11"/>
      <c r="P17" s="11"/>
      <c r="Q17" s="11"/>
      <c r="R17" s="11"/>
      <c r="S17" s="11"/>
      <c r="T17" s="11"/>
      <c r="U17" s="11"/>
      <c r="V17" s="11"/>
      <c r="W17" s="11"/>
      <c r="X17" s="11"/>
      <c r="Y17" s="11"/>
      <c r="Z17" s="11"/>
      <c r="AA17" s="11"/>
    </row>
    <row r="18" spans="1:27" ht="45" x14ac:dyDescent="0.25">
      <c r="A18" s="34" t="s">
        <v>103</v>
      </c>
      <c r="B18" s="34" t="s">
        <v>104</v>
      </c>
      <c r="C18" s="34" t="s">
        <v>104</v>
      </c>
      <c r="D18" s="34"/>
      <c r="E18" s="34" t="s">
        <v>86</v>
      </c>
      <c r="F18" s="11"/>
      <c r="G18" s="11"/>
      <c r="H18" s="11"/>
      <c r="I18" s="11"/>
      <c r="J18" s="11"/>
      <c r="K18" s="11"/>
      <c r="L18" s="11"/>
      <c r="M18" s="11"/>
      <c r="N18" s="11"/>
      <c r="O18" s="11"/>
      <c r="P18" s="11"/>
      <c r="Q18" s="11"/>
      <c r="R18" s="11"/>
      <c r="S18" s="11"/>
      <c r="T18" s="11"/>
      <c r="U18" s="11"/>
      <c r="V18" s="11"/>
      <c r="W18" s="11"/>
      <c r="X18" s="11"/>
      <c r="Y18" s="11"/>
      <c r="Z18" s="11"/>
      <c r="AA18" s="11"/>
    </row>
    <row r="19" spans="1:27" ht="150" x14ac:dyDescent="0.25">
      <c r="A19" s="34" t="s">
        <v>106</v>
      </c>
      <c r="B19" s="34" t="s">
        <v>107</v>
      </c>
      <c r="C19" s="34" t="s">
        <v>108</v>
      </c>
      <c r="D19" s="34"/>
      <c r="E19" s="34" t="s">
        <v>105</v>
      </c>
      <c r="F19" s="11"/>
      <c r="G19" s="11"/>
      <c r="H19" s="11"/>
      <c r="I19" s="11"/>
      <c r="J19" s="11"/>
      <c r="K19" s="11"/>
      <c r="L19" s="11"/>
      <c r="M19" s="11"/>
      <c r="N19" s="11"/>
      <c r="O19" s="11"/>
      <c r="P19" s="11"/>
      <c r="Q19" s="11"/>
      <c r="R19" s="11"/>
      <c r="S19" s="11"/>
      <c r="T19" s="11"/>
      <c r="U19" s="11"/>
      <c r="V19" s="11"/>
      <c r="W19" s="11"/>
      <c r="X19" s="11"/>
      <c r="Y19" s="11"/>
      <c r="Z19" s="11"/>
      <c r="AA19" s="11"/>
    </row>
  </sheetData>
  <conditionalFormatting sqref="E17 E14:E15">
    <cfRule type="duplicateValues" dxfId="13" priority="2"/>
  </conditionalFormatting>
  <conditionalFormatting sqref="D17 D14:D15">
    <cfRule type="duplicateValues" dxfId="1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zoomScale="55" zoomScaleNormal="55" workbookViewId="0">
      <selection activeCell="L38" sqref="L38"/>
    </sheetView>
  </sheetViews>
  <sheetFormatPr defaultColWidth="8.85546875" defaultRowHeight="15" x14ac:dyDescent="0.25"/>
  <cols>
    <col min="1" max="1" width="14.42578125" style="11" bestFit="1" customWidth="1"/>
    <col min="2" max="2" width="63.85546875" style="11" customWidth="1"/>
    <col min="3" max="3" width="7.5703125" style="11" bestFit="1" customWidth="1"/>
    <col min="4" max="4" width="6.7109375" style="11" bestFit="1" customWidth="1"/>
    <col min="5" max="5" width="7.5703125" style="11" bestFit="1" customWidth="1"/>
    <col min="6" max="6" width="21.28515625" style="11" bestFit="1" customWidth="1"/>
    <col min="7" max="7" width="8" style="11" bestFit="1" customWidth="1"/>
    <col min="8" max="8" width="6.7109375" style="11" bestFit="1" customWidth="1"/>
    <col min="9" max="9" width="16.28515625" style="11" bestFit="1" customWidth="1"/>
    <col min="10" max="10" width="2.5703125" style="11" bestFit="1" customWidth="1"/>
    <col min="11" max="11" width="14.28515625" style="11" bestFit="1" customWidth="1"/>
    <col min="12" max="12" width="45.28515625" style="11" bestFit="1" customWidth="1"/>
    <col min="13" max="13" width="13.42578125" style="11" bestFit="1" customWidth="1"/>
    <col min="14" max="14" width="11.85546875" style="11" customWidth="1"/>
    <col min="15" max="15" width="16.42578125" style="11" customWidth="1"/>
    <col min="16" max="16" width="16.7109375" style="11" customWidth="1"/>
    <col min="17" max="17" width="19" style="11" customWidth="1"/>
    <col min="18" max="18" width="22.28515625" style="11" bestFit="1" customWidth="1"/>
    <col min="19" max="19" width="49.28515625" style="11" bestFit="1" customWidth="1"/>
    <col min="20" max="20" width="10.7109375" style="11" bestFit="1" customWidth="1"/>
    <col min="21" max="21" width="7.28515625" style="11" customWidth="1"/>
    <col min="22" max="22" width="8.85546875" style="11" customWidth="1"/>
    <col min="23" max="23" width="8.28515625" style="11" bestFit="1" customWidth="1"/>
    <col min="24" max="24" width="16.28515625" style="11" bestFit="1" customWidth="1"/>
    <col min="25" max="26" width="8.28515625" style="11" bestFit="1" customWidth="1"/>
    <col min="27" max="16384" width="8.85546875" style="11"/>
  </cols>
  <sheetData>
    <row r="1" spans="1:23" x14ac:dyDescent="0.25">
      <c r="C1" s="11" t="s">
        <v>34</v>
      </c>
      <c r="D1" s="11" t="s">
        <v>69</v>
      </c>
      <c r="E1" s="11" t="s">
        <v>35</v>
      </c>
      <c r="G1" s="11" t="s">
        <v>34</v>
      </c>
      <c r="H1" s="11" t="s">
        <v>69</v>
      </c>
      <c r="I1" s="11" t="s">
        <v>35</v>
      </c>
    </row>
    <row r="2" spans="1:23" ht="18.75" x14ac:dyDescent="0.25">
      <c r="A2" s="11" t="s">
        <v>23</v>
      </c>
      <c r="B2" s="5" t="s">
        <v>13</v>
      </c>
      <c r="C2" s="13">
        <v>10</v>
      </c>
      <c r="D2" s="13">
        <v>6</v>
      </c>
      <c r="E2" s="13">
        <v>8</v>
      </c>
      <c r="F2" s="11" t="s">
        <v>80</v>
      </c>
      <c r="G2" s="35">
        <f>(SUM(C2:C4))+(SUM(C14:C17))</f>
        <v>54</v>
      </c>
      <c r="H2" s="35">
        <f>(SUM(D2:D4))+(SUM(D14:D17))</f>
        <v>37</v>
      </c>
      <c r="I2" s="35">
        <f>(SUM(E2:E4))+(SUM(E14:E17))</f>
        <v>39</v>
      </c>
      <c r="K2" s="23"/>
      <c r="L2" s="23" t="s">
        <v>129</v>
      </c>
      <c r="M2" s="23"/>
      <c r="N2" s="23"/>
      <c r="O2" s="23"/>
      <c r="R2" s="23"/>
      <c r="S2" s="23" t="s">
        <v>128</v>
      </c>
      <c r="T2" s="23"/>
      <c r="U2" s="23"/>
      <c r="V2" s="23"/>
    </row>
    <row r="3" spans="1:23" ht="18.75" x14ac:dyDescent="0.25">
      <c r="B3" s="5" t="s">
        <v>14</v>
      </c>
      <c r="C3" s="13">
        <v>8</v>
      </c>
      <c r="D3" s="13">
        <v>6</v>
      </c>
      <c r="E3" s="13">
        <v>6</v>
      </c>
      <c r="F3" s="11" t="s">
        <v>16</v>
      </c>
      <c r="G3" s="35">
        <f>(SUM(C5:C10))/2</f>
        <v>9.5</v>
      </c>
      <c r="H3" s="35">
        <f>(SUM(D5:D10))/2</f>
        <v>27</v>
      </c>
      <c r="I3" s="35">
        <f>(SUM(E5:E10))/2</f>
        <v>27</v>
      </c>
      <c r="K3" s="23"/>
      <c r="L3" s="23"/>
      <c r="M3" s="23" t="s">
        <v>34</v>
      </c>
      <c r="N3" s="23" t="s">
        <v>69</v>
      </c>
      <c r="O3" s="23" t="s">
        <v>139</v>
      </c>
      <c r="P3" s="23" t="s">
        <v>138</v>
      </c>
      <c r="Q3" s="11" t="s">
        <v>124</v>
      </c>
      <c r="R3" s="23"/>
      <c r="S3" s="23"/>
      <c r="T3" s="23" t="s">
        <v>34</v>
      </c>
      <c r="U3" s="23" t="s">
        <v>69</v>
      </c>
      <c r="V3" s="23" t="s">
        <v>35</v>
      </c>
      <c r="W3" s="11" t="s">
        <v>124</v>
      </c>
    </row>
    <row r="4" spans="1:23" ht="18.75" thickBot="1" x14ac:dyDescent="0.3">
      <c r="B4" s="8" t="s">
        <v>15</v>
      </c>
      <c r="C4" s="15">
        <v>10</v>
      </c>
      <c r="D4" s="15">
        <v>7</v>
      </c>
      <c r="E4" s="15">
        <v>4</v>
      </c>
      <c r="F4" s="11" t="s">
        <v>81</v>
      </c>
      <c r="G4" s="35">
        <f>(SUM(C11:C12))*3</f>
        <v>27</v>
      </c>
      <c r="H4" s="35">
        <f>(SUM(D11:D12))*3</f>
        <v>33</v>
      </c>
      <c r="I4" s="35">
        <f>(SUM(E11:E12))*3</f>
        <v>24</v>
      </c>
      <c r="K4" s="24" t="s">
        <v>85</v>
      </c>
      <c r="L4" s="25" t="s">
        <v>75</v>
      </c>
      <c r="M4" s="26">
        <v>3</v>
      </c>
      <c r="N4" s="26">
        <v>2</v>
      </c>
      <c r="O4" s="26">
        <v>2</v>
      </c>
      <c r="P4" s="26">
        <v>2</v>
      </c>
      <c r="Q4" s="26">
        <v>2</v>
      </c>
      <c r="R4" s="24" t="s">
        <v>85</v>
      </c>
      <c r="S4" s="25" t="s">
        <v>75</v>
      </c>
      <c r="T4" s="26">
        <v>1</v>
      </c>
      <c r="U4" s="26">
        <v>2</v>
      </c>
      <c r="V4" s="26">
        <v>2</v>
      </c>
      <c r="W4" s="26">
        <v>2</v>
      </c>
    </row>
    <row r="5" spans="1:23" ht="18" x14ac:dyDescent="0.25">
      <c r="A5" s="11" t="s">
        <v>16</v>
      </c>
      <c r="B5" s="5" t="s">
        <v>25</v>
      </c>
      <c r="C5" s="13">
        <v>2</v>
      </c>
      <c r="D5" s="13">
        <v>10</v>
      </c>
      <c r="E5" s="13">
        <v>10</v>
      </c>
      <c r="F5" s="11" t="s">
        <v>12</v>
      </c>
      <c r="G5" s="35">
        <f>(SUM(C13))*3</f>
        <v>18</v>
      </c>
      <c r="H5" s="35">
        <f>(SUM(D13))*3</f>
        <v>24</v>
      </c>
      <c r="I5" s="35">
        <f>(SUM(E13))*3</f>
        <v>9</v>
      </c>
      <c r="K5" s="24"/>
      <c r="L5" s="25" t="s">
        <v>76</v>
      </c>
      <c r="M5" s="26">
        <v>3</v>
      </c>
      <c r="N5" s="26">
        <v>2</v>
      </c>
      <c r="O5" s="26">
        <v>2</v>
      </c>
      <c r="P5" s="26">
        <v>2</v>
      </c>
      <c r="Q5" s="26">
        <v>1</v>
      </c>
      <c r="R5" s="24"/>
      <c r="S5" s="25" t="s">
        <v>76</v>
      </c>
      <c r="T5" s="26">
        <v>1</v>
      </c>
      <c r="U5" s="26">
        <v>2</v>
      </c>
      <c r="V5" s="26">
        <v>2</v>
      </c>
      <c r="W5" s="26">
        <v>1</v>
      </c>
    </row>
    <row r="6" spans="1:23" ht="18.75" thickBot="1" x14ac:dyDescent="0.3">
      <c r="B6" s="5" t="s">
        <v>17</v>
      </c>
      <c r="C6" s="13">
        <v>6</v>
      </c>
      <c r="D6" s="13">
        <v>8</v>
      </c>
      <c r="E6" s="13">
        <v>8</v>
      </c>
      <c r="K6" s="24"/>
      <c r="L6" s="27" t="s">
        <v>83</v>
      </c>
      <c r="M6" s="28">
        <v>3</v>
      </c>
      <c r="N6" s="28">
        <v>3</v>
      </c>
      <c r="O6" s="28">
        <v>3</v>
      </c>
      <c r="P6" s="28">
        <v>3</v>
      </c>
      <c r="Q6" s="26">
        <v>2</v>
      </c>
      <c r="R6" s="24"/>
      <c r="S6" s="27" t="s">
        <v>83</v>
      </c>
      <c r="T6" s="28">
        <v>1</v>
      </c>
      <c r="U6" s="28">
        <v>1</v>
      </c>
      <c r="V6" s="28">
        <v>1</v>
      </c>
      <c r="W6" s="26">
        <v>2</v>
      </c>
    </row>
    <row r="7" spans="1:23" ht="17.45" customHeight="1" thickBot="1" x14ac:dyDescent="0.3">
      <c r="B7" s="8" t="s">
        <v>18</v>
      </c>
      <c r="C7" s="15">
        <v>4</v>
      </c>
      <c r="D7" s="15">
        <v>8</v>
      </c>
      <c r="E7" s="15">
        <v>8</v>
      </c>
      <c r="F7" s="11" t="s">
        <v>31</v>
      </c>
      <c r="G7" s="35">
        <f>(SUM(G2:G5,G3))/5</f>
        <v>23.6</v>
      </c>
      <c r="H7" s="35">
        <f>(SUM(H2:H5,H3))/5</f>
        <v>29.6</v>
      </c>
      <c r="I7" s="35">
        <f>(SUM(I2:I5,I3))/5</f>
        <v>25.2</v>
      </c>
      <c r="K7" s="24" t="s">
        <v>16</v>
      </c>
      <c r="L7" s="25" t="s">
        <v>25</v>
      </c>
      <c r="M7" s="26">
        <v>1</v>
      </c>
      <c r="N7" s="26">
        <v>3</v>
      </c>
      <c r="O7" s="26">
        <v>3</v>
      </c>
      <c r="P7" s="26">
        <v>3</v>
      </c>
      <c r="Q7" s="26">
        <v>2</v>
      </c>
      <c r="R7" s="24" t="s">
        <v>16</v>
      </c>
      <c r="S7" s="25" t="s">
        <v>25</v>
      </c>
      <c r="T7" s="26">
        <v>3</v>
      </c>
      <c r="U7" s="26">
        <v>1</v>
      </c>
      <c r="V7" s="26">
        <v>1</v>
      </c>
      <c r="W7" s="26">
        <v>2</v>
      </c>
    </row>
    <row r="8" spans="1:23" ht="18" x14ac:dyDescent="0.25">
      <c r="B8" s="16" t="s">
        <v>26</v>
      </c>
      <c r="C8" s="17">
        <v>3</v>
      </c>
      <c r="D8" s="17">
        <v>10</v>
      </c>
      <c r="E8" s="17">
        <v>10</v>
      </c>
      <c r="F8" s="11" t="s">
        <v>10</v>
      </c>
      <c r="G8" s="22">
        <f>1000/((Prices!F4)/100)</f>
        <v>47.438330170777995</v>
      </c>
      <c r="H8" s="12">
        <f>1000/((Prices!F6)/100)</f>
        <v>33.875338753387531</v>
      </c>
      <c r="I8" s="12">
        <f>1000/((Prices!F3)/100)</f>
        <v>27.45744096650192</v>
      </c>
      <c r="J8" s="11">
        <v>6</v>
      </c>
      <c r="K8" s="24"/>
      <c r="L8" s="25" t="s">
        <v>77</v>
      </c>
      <c r="M8" s="26">
        <v>3</v>
      </c>
      <c r="N8" s="26">
        <v>2</v>
      </c>
      <c r="O8" s="26">
        <v>2</v>
      </c>
      <c r="P8" s="26">
        <v>2</v>
      </c>
      <c r="Q8" s="26">
        <v>1</v>
      </c>
      <c r="R8" s="24"/>
      <c r="S8" s="25" t="s">
        <v>77</v>
      </c>
      <c r="T8" s="26">
        <v>1</v>
      </c>
      <c r="U8" s="26">
        <v>2</v>
      </c>
      <c r="V8" s="26">
        <v>2</v>
      </c>
      <c r="W8" s="26">
        <v>1</v>
      </c>
    </row>
    <row r="9" spans="1:23" ht="18.75" thickBot="1" x14ac:dyDescent="0.3">
      <c r="B9" s="11" t="s">
        <v>28</v>
      </c>
      <c r="C9" s="17">
        <v>1</v>
      </c>
      <c r="D9" s="17">
        <v>8</v>
      </c>
      <c r="E9" s="17">
        <v>8</v>
      </c>
      <c r="F9" s="1"/>
      <c r="G9" s="1" t="s">
        <v>31</v>
      </c>
      <c r="H9" s="1" t="s">
        <v>10</v>
      </c>
      <c r="I9" s="2" t="s">
        <v>71</v>
      </c>
      <c r="J9" s="1"/>
      <c r="K9" s="24"/>
      <c r="L9" s="27" t="s">
        <v>78</v>
      </c>
      <c r="M9" s="28">
        <v>1</v>
      </c>
      <c r="N9" s="28">
        <v>3</v>
      </c>
      <c r="O9" s="28">
        <v>2</v>
      </c>
      <c r="P9" s="28">
        <v>2</v>
      </c>
      <c r="Q9" s="26">
        <v>1</v>
      </c>
      <c r="R9" s="24"/>
      <c r="S9" s="27" t="s">
        <v>78</v>
      </c>
      <c r="T9" s="28">
        <v>3</v>
      </c>
      <c r="U9" s="28">
        <v>1</v>
      </c>
      <c r="V9" s="28">
        <v>2</v>
      </c>
      <c r="W9" s="26">
        <v>1</v>
      </c>
    </row>
    <row r="10" spans="1:23" ht="18.75" thickBot="1" x14ac:dyDescent="0.3">
      <c r="B10" s="18" t="s">
        <v>29</v>
      </c>
      <c r="C10" s="17">
        <v>3</v>
      </c>
      <c r="D10" s="17">
        <v>10</v>
      </c>
      <c r="E10" s="17">
        <v>10</v>
      </c>
      <c r="F10" s="11" t="s">
        <v>36</v>
      </c>
      <c r="G10" s="6">
        <f>(G7)</f>
        <v>23.6</v>
      </c>
      <c r="H10" s="1">
        <f>(1000/((Prices!F4)/100))</f>
        <v>47.438330170777995</v>
      </c>
      <c r="I10" s="7">
        <f>(G10/(Prices!F4/100)*40)</f>
        <v>44.781783681214421</v>
      </c>
      <c r="K10" s="24"/>
      <c r="L10" s="27" t="s">
        <v>87</v>
      </c>
      <c r="M10" s="28">
        <v>1</v>
      </c>
      <c r="N10" s="28">
        <v>3</v>
      </c>
      <c r="O10" s="28">
        <v>3</v>
      </c>
      <c r="P10" s="28">
        <v>3</v>
      </c>
      <c r="Q10" s="26">
        <v>1</v>
      </c>
      <c r="R10" s="24"/>
      <c r="S10" s="27" t="s">
        <v>87</v>
      </c>
      <c r="T10" s="28">
        <v>3</v>
      </c>
      <c r="U10" s="28">
        <v>1</v>
      </c>
      <c r="V10" s="28">
        <v>1</v>
      </c>
      <c r="W10" s="26">
        <v>1</v>
      </c>
    </row>
    <row r="11" spans="1:23" ht="18.75" thickBot="1" x14ac:dyDescent="0.3">
      <c r="A11" s="11" t="s">
        <v>24</v>
      </c>
      <c r="B11" s="5" t="s">
        <v>19</v>
      </c>
      <c r="C11" s="13">
        <v>8</v>
      </c>
      <c r="D11" s="13">
        <v>4</v>
      </c>
      <c r="E11" s="13">
        <v>1</v>
      </c>
      <c r="F11" s="11" t="s">
        <v>70</v>
      </c>
      <c r="G11" s="6">
        <f>(H7)</f>
        <v>29.6</v>
      </c>
      <c r="H11" s="1">
        <f>(1000/((Prices!F6)/100))</f>
        <v>33.875338753387531</v>
      </c>
      <c r="I11" s="7">
        <f>(G11/(Prices!F6/100)*40)</f>
        <v>40.108401084010843</v>
      </c>
      <c r="K11" s="24"/>
      <c r="L11" s="27" t="s">
        <v>88</v>
      </c>
      <c r="M11" s="28">
        <v>1</v>
      </c>
      <c r="N11" s="28">
        <v>3</v>
      </c>
      <c r="O11" s="28">
        <v>3</v>
      </c>
      <c r="P11" s="28">
        <v>3</v>
      </c>
      <c r="Q11" s="26">
        <v>2</v>
      </c>
      <c r="R11" s="24"/>
      <c r="S11" s="27" t="s">
        <v>88</v>
      </c>
      <c r="T11" s="28">
        <v>3</v>
      </c>
      <c r="U11" s="28">
        <v>1</v>
      </c>
      <c r="V11" s="28">
        <v>1</v>
      </c>
      <c r="W11" s="26">
        <v>2</v>
      </c>
    </row>
    <row r="12" spans="1:23" ht="18.75" thickBot="1" x14ac:dyDescent="0.3">
      <c r="B12" s="8" t="s">
        <v>20</v>
      </c>
      <c r="C12" s="15">
        <v>1</v>
      </c>
      <c r="D12" s="15">
        <v>7</v>
      </c>
      <c r="E12" s="15">
        <v>7</v>
      </c>
      <c r="F12" s="11" t="s">
        <v>11</v>
      </c>
      <c r="G12" s="6">
        <f>(I7)</f>
        <v>25.2</v>
      </c>
      <c r="H12" s="1">
        <f>(1000/((Prices!F3)/100))</f>
        <v>27.45744096650192</v>
      </c>
      <c r="I12" s="7">
        <f>(G12/(Prices!F3/100)*40)</f>
        <v>27.677100494233933</v>
      </c>
      <c r="K12" s="24"/>
      <c r="L12" s="27" t="s">
        <v>89</v>
      </c>
      <c r="M12" s="28">
        <v>1</v>
      </c>
      <c r="N12" s="28">
        <v>3</v>
      </c>
      <c r="O12" s="28">
        <v>3</v>
      </c>
      <c r="P12" s="28">
        <v>3</v>
      </c>
      <c r="Q12" s="26">
        <v>2</v>
      </c>
      <c r="R12" s="24"/>
      <c r="S12" s="27" t="s">
        <v>89</v>
      </c>
      <c r="T12" s="28">
        <v>3</v>
      </c>
      <c r="U12" s="28">
        <v>1</v>
      </c>
      <c r="V12" s="28">
        <v>1</v>
      </c>
      <c r="W12" s="26">
        <v>2</v>
      </c>
    </row>
    <row r="13" spans="1:23" ht="17.45" customHeight="1" thickBot="1" x14ac:dyDescent="0.3">
      <c r="A13" s="11" t="s">
        <v>12</v>
      </c>
      <c r="B13" s="19" t="s">
        <v>27</v>
      </c>
      <c r="C13" s="13">
        <v>6</v>
      </c>
      <c r="D13" s="13">
        <v>8</v>
      </c>
      <c r="E13" s="13">
        <v>3</v>
      </c>
      <c r="K13" s="24" t="s">
        <v>24</v>
      </c>
      <c r="L13" s="25" t="s">
        <v>19</v>
      </c>
      <c r="M13" s="26">
        <v>2</v>
      </c>
      <c r="N13" s="26">
        <v>3</v>
      </c>
      <c r="O13" s="26">
        <v>3</v>
      </c>
      <c r="P13" s="26">
        <v>3</v>
      </c>
      <c r="Q13" s="26">
        <v>1</v>
      </c>
      <c r="R13" s="24" t="s">
        <v>24</v>
      </c>
      <c r="S13" s="25" t="s">
        <v>19</v>
      </c>
      <c r="T13" s="26">
        <v>1</v>
      </c>
      <c r="U13" s="26">
        <v>2</v>
      </c>
      <c r="V13" s="26">
        <v>3</v>
      </c>
      <c r="W13" s="26">
        <v>1</v>
      </c>
    </row>
    <row r="14" spans="1:23" ht="18" customHeight="1" thickBot="1" x14ac:dyDescent="0.3">
      <c r="A14" s="11" t="s">
        <v>21</v>
      </c>
      <c r="B14" s="9" t="s">
        <v>37</v>
      </c>
      <c r="C14" s="13">
        <v>8</v>
      </c>
      <c r="D14" s="13">
        <v>5</v>
      </c>
      <c r="E14" s="13">
        <v>5</v>
      </c>
      <c r="K14" s="24"/>
      <c r="L14" s="27" t="s">
        <v>20</v>
      </c>
      <c r="M14" s="28">
        <v>1</v>
      </c>
      <c r="N14" s="28">
        <v>3</v>
      </c>
      <c r="O14" s="28">
        <v>3</v>
      </c>
      <c r="P14" s="28">
        <v>3</v>
      </c>
      <c r="Q14" s="26">
        <v>1.5</v>
      </c>
      <c r="R14" s="24"/>
      <c r="S14" s="27" t="s">
        <v>20</v>
      </c>
      <c r="T14" s="28">
        <v>3</v>
      </c>
      <c r="U14" s="28">
        <v>1</v>
      </c>
      <c r="V14" s="28">
        <v>1</v>
      </c>
      <c r="W14" s="26">
        <v>1.5</v>
      </c>
    </row>
    <row r="15" spans="1:23" ht="17.45" customHeight="1" thickBot="1" x14ac:dyDescent="0.3">
      <c r="B15" s="8" t="s">
        <v>22</v>
      </c>
      <c r="C15" s="15">
        <v>8</v>
      </c>
      <c r="D15" s="15">
        <v>5</v>
      </c>
      <c r="E15" s="15">
        <v>4</v>
      </c>
      <c r="K15" s="24" t="s">
        <v>12</v>
      </c>
      <c r="L15" s="29" t="s">
        <v>27</v>
      </c>
      <c r="M15" s="26">
        <v>3</v>
      </c>
      <c r="N15" s="26">
        <v>3</v>
      </c>
      <c r="O15" s="26">
        <v>2</v>
      </c>
      <c r="P15" s="26">
        <v>2</v>
      </c>
      <c r="Q15" s="26">
        <v>1</v>
      </c>
      <c r="R15" s="24" t="s">
        <v>12</v>
      </c>
      <c r="S15" s="29" t="s">
        <v>27</v>
      </c>
      <c r="T15" s="26">
        <v>1</v>
      </c>
      <c r="U15" s="26">
        <v>1</v>
      </c>
      <c r="V15" s="26">
        <v>2</v>
      </c>
      <c r="W15" s="26">
        <v>1</v>
      </c>
    </row>
    <row r="16" spans="1:23" ht="16.149999999999999" customHeight="1" x14ac:dyDescent="0.25">
      <c r="B16" s="10" t="s">
        <v>30</v>
      </c>
      <c r="C16" s="20">
        <v>8</v>
      </c>
      <c r="D16" s="20">
        <v>4</v>
      </c>
      <c r="E16" s="20">
        <v>4</v>
      </c>
      <c r="K16" s="24" t="s">
        <v>21</v>
      </c>
      <c r="L16" s="30" t="s">
        <v>127</v>
      </c>
      <c r="M16" s="26">
        <v>3</v>
      </c>
      <c r="N16" s="26">
        <v>2</v>
      </c>
      <c r="O16" s="26">
        <v>2</v>
      </c>
      <c r="P16" s="26">
        <v>2</v>
      </c>
      <c r="Q16" s="26">
        <v>1</v>
      </c>
      <c r="R16" s="24" t="s">
        <v>21</v>
      </c>
      <c r="S16" s="30" t="s">
        <v>79</v>
      </c>
      <c r="T16" s="26">
        <v>1</v>
      </c>
      <c r="U16" s="26">
        <v>2</v>
      </c>
      <c r="V16" s="26">
        <v>2</v>
      </c>
      <c r="W16" s="26">
        <v>1</v>
      </c>
    </row>
    <row r="17" spans="2:25" ht="20.45" customHeight="1" x14ac:dyDescent="0.25">
      <c r="B17" s="11" t="s">
        <v>33</v>
      </c>
      <c r="C17" s="20">
        <v>2</v>
      </c>
      <c r="D17" s="20">
        <v>4</v>
      </c>
      <c r="E17" s="20">
        <v>8</v>
      </c>
      <c r="K17" s="24"/>
      <c r="L17" s="20" t="s">
        <v>33</v>
      </c>
      <c r="M17" s="20">
        <v>1</v>
      </c>
      <c r="N17" s="20">
        <v>2</v>
      </c>
      <c r="O17" s="20">
        <v>3</v>
      </c>
      <c r="P17" s="20">
        <v>3</v>
      </c>
      <c r="Q17" s="26">
        <v>1</v>
      </c>
      <c r="R17" s="24"/>
      <c r="S17" s="20" t="s">
        <v>33</v>
      </c>
      <c r="T17" s="20">
        <v>3</v>
      </c>
      <c r="U17" s="20">
        <v>2</v>
      </c>
      <c r="V17" s="20">
        <v>1</v>
      </c>
      <c r="W17" s="26">
        <v>1</v>
      </c>
    </row>
    <row r="18" spans="2:25" ht="18" x14ac:dyDescent="0.25">
      <c r="K18" s="24"/>
      <c r="L18" s="20" t="s">
        <v>86</v>
      </c>
      <c r="M18" s="20">
        <v>1</v>
      </c>
      <c r="N18" s="20">
        <v>3</v>
      </c>
      <c r="O18" s="20">
        <v>3</v>
      </c>
      <c r="P18" s="20">
        <v>3</v>
      </c>
      <c r="Q18" s="26">
        <v>1.5</v>
      </c>
      <c r="R18" s="24"/>
      <c r="S18" s="20" t="s">
        <v>86</v>
      </c>
      <c r="T18" s="20">
        <v>3</v>
      </c>
      <c r="U18" s="20">
        <v>1</v>
      </c>
      <c r="V18" s="20">
        <v>1</v>
      </c>
      <c r="W18" s="26">
        <v>1.5</v>
      </c>
    </row>
    <row r="19" spans="2:25" x14ac:dyDescent="0.25">
      <c r="K19" s="24"/>
      <c r="L19" s="24" t="s">
        <v>74</v>
      </c>
      <c r="M19" s="35">
        <f>(M29)</f>
        <v>31.5</v>
      </c>
      <c r="N19" s="35">
        <f>(N29)</f>
        <v>40.5</v>
      </c>
      <c r="O19" s="35">
        <f>(O29)</f>
        <v>38</v>
      </c>
      <c r="P19" s="35">
        <f>(P29)</f>
        <v>38</v>
      </c>
      <c r="R19" s="24"/>
      <c r="S19" s="24" t="s">
        <v>74</v>
      </c>
      <c r="T19" s="24">
        <f>(T29)</f>
        <v>27</v>
      </c>
      <c r="U19" s="24">
        <f>(U29)</f>
        <v>21</v>
      </c>
      <c r="V19" s="24">
        <f>(V29)</f>
        <v>25</v>
      </c>
    </row>
    <row r="20" spans="2:25" x14ac:dyDescent="0.25">
      <c r="K20" s="24"/>
      <c r="L20" s="24" t="s">
        <v>125</v>
      </c>
      <c r="M20" s="35">
        <f>(M29+M25+M27)/3</f>
        <v>27.833333333333332</v>
      </c>
      <c r="N20" s="35">
        <f>(N29+N25+N27)/3</f>
        <v>36.833333333333336</v>
      </c>
      <c r="O20" s="35">
        <f>(O29+O25+O27)/3</f>
        <v>31.333333333333332</v>
      </c>
      <c r="P20" s="35">
        <f>(P29+P25+P27)/3</f>
        <v>31.333333333333332</v>
      </c>
      <c r="R20" s="24"/>
      <c r="S20" s="24" t="s">
        <v>82</v>
      </c>
      <c r="T20" s="24">
        <f>(T29+T25+T27)</f>
        <v>38</v>
      </c>
      <c r="U20" s="24">
        <f>(U29+U25+U27)</f>
        <v>27.5</v>
      </c>
      <c r="V20" s="24">
        <f>(V29+V25+V27)</f>
        <v>35</v>
      </c>
    </row>
    <row r="21" spans="2:25" x14ac:dyDescent="0.25">
      <c r="K21" s="24"/>
      <c r="L21" s="24" t="s">
        <v>126</v>
      </c>
      <c r="M21" s="35">
        <f>(M29+M28+M26+M24)/3</f>
        <v>35.166666666666664</v>
      </c>
      <c r="N21" s="35">
        <f>(N29+N28+N26+N24)/3</f>
        <v>44.166666666666664</v>
      </c>
      <c r="O21" s="35">
        <f>(O29+O28+O26+O24)/3</f>
        <v>44.666666666666664</v>
      </c>
      <c r="P21" s="35">
        <f>(P29+P28+P26+P24)/3</f>
        <v>44.666666666666664</v>
      </c>
      <c r="R21" s="24"/>
      <c r="S21" s="24" t="s">
        <v>84</v>
      </c>
      <c r="T21" s="24">
        <f>(T29+T28+T26+T24)</f>
        <v>43</v>
      </c>
      <c r="U21" s="24">
        <f>(U29+U28+U26+U24)</f>
        <v>35.5</v>
      </c>
      <c r="V21" s="24">
        <f>(V29+V28+V26+V24)</f>
        <v>40</v>
      </c>
    </row>
    <row r="22" spans="2:25" x14ac:dyDescent="0.25">
      <c r="K22" s="24"/>
      <c r="L22" s="11" t="s">
        <v>111</v>
      </c>
      <c r="M22" s="35">
        <f>(M4*Q4+M5*Q5+M6*Q6+M7*Q7+M8*Q8+M9*Q9+M10*Q10+M11*Q11+M12*Q12+M13*Q13+M14*Q14+M15*Q15+M16*Q16+M17*Q17+M18*Q18)</f>
        <v>38</v>
      </c>
      <c r="N22" s="35">
        <f>(N4*Q4+N5*Q5+N6*Q6+N7*Q7+N8*Q8+N9*Q9+N10*Q10+N11*Q11+N12*Q12+N13*Q13+N14*Q14+N15*Q15+N16*Q16+N17*Q17+N18*Q18)</f>
        <v>57</v>
      </c>
      <c r="O22" s="35">
        <f>(O4*P4+O5*P5+O6*P6+O7*P7+O8*P8+O9*P9+O10*P10+O11*P11+O12*P12+O13*P13+O14*P14+O15*P15+O16*P16+O17*P17+O18*P18)</f>
        <v>105</v>
      </c>
      <c r="P22" s="35">
        <f>(P4*Q4+P5*Q5+P6*Q6+P7*Q7+P8*Q8+P9*Q9+P10*Q10+P11*Q11+P12*Q12+P13*Q13+P14*Q14+P15*Q15+P16*Q16+P17*Q17+P18*Q18)</f>
        <v>56</v>
      </c>
      <c r="R22" s="24"/>
      <c r="S22" s="11" t="s">
        <v>111</v>
      </c>
      <c r="T22" s="11">
        <f>(T4*W4+T5*W5+T6*W6+T7*W7+T8*W8+T9*W9+T10*W10+T11*W11+T12*W12+T13*W13+T14*W14+T15*W15+T16*W16+T17*W17+T18*W18)</f>
        <v>45</v>
      </c>
      <c r="U22" s="11">
        <f>(U4*W4+U5*W5+U6*W6+U7*W7+U8*W8+U9*W9+U10*W10+U11*W11+U12*W12+U13*W13+U14*W14+U15*W15+U16*W16+U17*W17+U18*W18)</f>
        <v>28</v>
      </c>
      <c r="V22" s="11">
        <f>(V4*W4+V5*W5+V6*W6+V7*W7+V8*W8+V9*W9+V10*W10+V11*W11+V12*W12+V13*W13+V14*W14+V15*W15+V16*W16+V17*W17+V18*W18)</f>
        <v>30</v>
      </c>
    </row>
    <row r="23" spans="2:25" ht="28.15" customHeight="1" x14ac:dyDescent="0.25">
      <c r="K23" s="24"/>
      <c r="L23" s="24"/>
      <c r="M23" s="24" t="s">
        <v>34</v>
      </c>
      <c r="N23" s="24" t="s">
        <v>69</v>
      </c>
      <c r="O23" s="24" t="s">
        <v>35</v>
      </c>
      <c r="P23" s="24" t="s">
        <v>35</v>
      </c>
      <c r="R23" s="24"/>
      <c r="S23" s="24"/>
      <c r="T23" s="24" t="s">
        <v>34</v>
      </c>
      <c r="U23" s="24" t="s">
        <v>69</v>
      </c>
      <c r="V23" s="24" t="s">
        <v>35</v>
      </c>
    </row>
    <row r="24" spans="2:25" ht="18" customHeight="1" x14ac:dyDescent="0.25">
      <c r="K24" s="24"/>
      <c r="L24" s="24" t="s">
        <v>80</v>
      </c>
      <c r="M24" s="35">
        <f>(SUM(M4:M6))*4</f>
        <v>36</v>
      </c>
      <c r="N24" s="35">
        <f>(SUM(N4:N6))*4</f>
        <v>28</v>
      </c>
      <c r="O24" s="35">
        <f>(SUM(O4:O6))*4</f>
        <v>28</v>
      </c>
      <c r="P24" s="35">
        <f>(SUM(P4:P6))*4</f>
        <v>28</v>
      </c>
      <c r="R24" s="24"/>
      <c r="S24" s="24" t="s">
        <v>80</v>
      </c>
      <c r="T24" s="35">
        <f>(SUM(T4:T6))</f>
        <v>3</v>
      </c>
      <c r="U24" s="35">
        <f>(SUM(U4:U6))</f>
        <v>5</v>
      </c>
      <c r="V24" s="35">
        <f>(SUM(V4:V6))</f>
        <v>5</v>
      </c>
    </row>
    <row r="25" spans="2:25" ht="18" customHeight="1" x14ac:dyDescent="0.25">
      <c r="K25" s="24"/>
      <c r="L25" s="24" t="s">
        <v>16</v>
      </c>
      <c r="M25" s="35">
        <f>SUM(M7:M12)*2</f>
        <v>16</v>
      </c>
      <c r="N25" s="35">
        <f>SUM(N7:N12)*2</f>
        <v>34</v>
      </c>
      <c r="O25" s="35">
        <f>SUM(O7:O12)*2</f>
        <v>32</v>
      </c>
      <c r="P25" s="35">
        <f>SUM(P7:P12)*2</f>
        <v>32</v>
      </c>
      <c r="R25" s="24"/>
      <c r="S25" s="24" t="s">
        <v>16</v>
      </c>
      <c r="T25" s="35">
        <f>SUM(T7:T12)/2</f>
        <v>8</v>
      </c>
      <c r="U25" s="35">
        <f>SUM(U7:U12)/2</f>
        <v>3.5</v>
      </c>
      <c r="V25" s="35">
        <f>SUM(V7:V12)/2</f>
        <v>4</v>
      </c>
    </row>
    <row r="26" spans="2:25" ht="27.6" customHeight="1" x14ac:dyDescent="0.25">
      <c r="K26" s="24"/>
      <c r="L26" s="24" t="s">
        <v>81</v>
      </c>
      <c r="M26" s="35">
        <f>SUM(M13:M14)*6</f>
        <v>18</v>
      </c>
      <c r="N26" s="35">
        <f>SUM(N13:N14)*6</f>
        <v>36</v>
      </c>
      <c r="O26" s="35">
        <f>SUM(O13:O14)*6</f>
        <v>36</v>
      </c>
      <c r="P26" s="35">
        <f>SUM(P13:P14)*6</f>
        <v>36</v>
      </c>
      <c r="R26" s="24"/>
      <c r="S26" s="24" t="s">
        <v>81</v>
      </c>
      <c r="T26" s="35">
        <f>SUM(T13:T14)*1.5</f>
        <v>6</v>
      </c>
      <c r="U26" s="35">
        <f>SUM(U13:U14)*1.5</f>
        <v>4.5</v>
      </c>
      <c r="V26" s="35">
        <f>SUM(V13:V14)*1.5</f>
        <v>6</v>
      </c>
    </row>
    <row r="27" spans="2:25" x14ac:dyDescent="0.25">
      <c r="K27" s="24"/>
      <c r="L27" s="24" t="s">
        <v>12</v>
      </c>
      <c r="M27" s="35">
        <f>(SUM(M15))*12</f>
        <v>36</v>
      </c>
      <c r="N27" s="35">
        <f>(SUM(N15))*12</f>
        <v>36</v>
      </c>
      <c r="O27" s="35">
        <f>(SUM(O15))*12</f>
        <v>24</v>
      </c>
      <c r="P27" s="35">
        <f>(SUM(P15))*12</f>
        <v>24</v>
      </c>
      <c r="R27" s="24"/>
      <c r="S27" s="24" t="s">
        <v>12</v>
      </c>
      <c r="T27" s="35">
        <f>(SUM(T15))*3</f>
        <v>3</v>
      </c>
      <c r="U27" s="35">
        <f>(SUM(U15))*3</f>
        <v>3</v>
      </c>
      <c r="V27" s="35">
        <f>(SUM(V15))*3</f>
        <v>6</v>
      </c>
    </row>
    <row r="28" spans="2:25" x14ac:dyDescent="0.25">
      <c r="K28" s="24"/>
      <c r="L28" s="24" t="s">
        <v>21</v>
      </c>
      <c r="M28" s="35">
        <f>(SUM(M16:M18))*4</f>
        <v>20</v>
      </c>
      <c r="N28" s="35">
        <f>(SUM(N16:N18))*4</f>
        <v>28</v>
      </c>
      <c r="O28" s="35">
        <f>(SUM(O16:O18))*4</f>
        <v>32</v>
      </c>
      <c r="P28" s="35">
        <f>(SUM(P16:P18))*4</f>
        <v>32</v>
      </c>
      <c r="R28" s="24"/>
      <c r="S28" s="24" t="s">
        <v>21</v>
      </c>
      <c r="T28" s="35">
        <f>(SUM(T16:T18))</f>
        <v>7</v>
      </c>
      <c r="U28" s="35">
        <f>(SUM(U16:U18))</f>
        <v>5</v>
      </c>
      <c r="V28" s="35">
        <f>(SUM(V16:V18))</f>
        <v>4</v>
      </c>
    </row>
    <row r="29" spans="2:25" x14ac:dyDescent="0.25">
      <c r="H29" s="1"/>
      <c r="I29" s="1"/>
      <c r="K29" s="24"/>
      <c r="L29" s="24" t="s">
        <v>31</v>
      </c>
      <c r="M29" s="35">
        <f>(SUM(M24:M28))/4</f>
        <v>31.5</v>
      </c>
      <c r="N29" s="35">
        <f>(SUM(N24:N28))/4</f>
        <v>40.5</v>
      </c>
      <c r="O29" s="35">
        <f>(SUM(O24:O28))/4</f>
        <v>38</v>
      </c>
      <c r="P29" s="35">
        <f>(SUM(P24:P28))/4</f>
        <v>38</v>
      </c>
      <c r="R29" s="24"/>
      <c r="S29" s="24" t="s">
        <v>31</v>
      </c>
      <c r="T29" s="35">
        <f>(SUM(T24:T28))</f>
        <v>27</v>
      </c>
      <c r="U29" s="35">
        <f>(SUM(U24:U28))</f>
        <v>21</v>
      </c>
      <c r="V29" s="35">
        <f>(SUM(V24:V28))</f>
        <v>25</v>
      </c>
    </row>
    <row r="30" spans="2:25" x14ac:dyDescent="0.25">
      <c r="I30" s="6"/>
      <c r="K30" s="24"/>
      <c r="L30" s="24" t="s">
        <v>10</v>
      </c>
      <c r="M30" s="31">
        <f>(Prices!F4)/100</f>
        <v>21.08</v>
      </c>
      <c r="N30" s="32">
        <f>(Prices!F6)/100</f>
        <v>29.52</v>
      </c>
      <c r="O30" s="32">
        <f>(Prices!E3)/100</f>
        <v>7.0619000000000005</v>
      </c>
      <c r="P30" s="32">
        <f>(Prices!F3)/100</f>
        <v>36.42</v>
      </c>
      <c r="R30" s="24"/>
      <c r="S30" s="24" t="s">
        <v>10</v>
      </c>
      <c r="T30" s="31">
        <f>(Prices!D4)</f>
        <v>527</v>
      </c>
      <c r="U30" s="32">
        <f>(Prices!D6)</f>
        <v>737.85</v>
      </c>
      <c r="V30" s="32">
        <f>(Prices!D3)</f>
        <v>1523</v>
      </c>
    </row>
    <row r="31" spans="2:25" x14ac:dyDescent="0.25">
      <c r="I31" s="6"/>
      <c r="K31" s="24"/>
      <c r="L31" s="33"/>
      <c r="M31" s="33" t="s">
        <v>74</v>
      </c>
      <c r="N31" s="24" t="str">
        <f>(L20)</f>
        <v>Weighted for Maintainability and Setup</v>
      </c>
      <c r="O31" s="24" t="str">
        <f>(L21)</f>
        <v>Weighted for Expansion and Adaptability</v>
      </c>
      <c r="P31" s="1" t="s">
        <v>10</v>
      </c>
      <c r="Q31" s="2" t="s">
        <v>71</v>
      </c>
      <c r="R31" s="24"/>
      <c r="S31" s="33"/>
      <c r="T31" s="33" t="s">
        <v>74</v>
      </c>
      <c r="U31" s="24" t="str">
        <f>(S20)</f>
        <v>Weighted for Better Maintainability and setup</v>
      </c>
      <c r="V31" s="24" t="str">
        <f>(S21)</f>
        <v>Weighted for better expansion and adaptability</v>
      </c>
      <c r="W31" s="1" t="s">
        <v>10</v>
      </c>
      <c r="X31" s="2" t="s">
        <v>71</v>
      </c>
    </row>
    <row r="32" spans="2:25" ht="17.45" customHeight="1" x14ac:dyDescent="0.25">
      <c r="I32" s="6"/>
      <c r="K32" s="24"/>
      <c r="L32" s="24" t="s">
        <v>36</v>
      </c>
      <c r="M32" s="37">
        <f>(M29)</f>
        <v>31.5</v>
      </c>
      <c r="N32" s="35">
        <f>(M20)</f>
        <v>27.833333333333332</v>
      </c>
      <c r="O32" s="35">
        <f>(M21)</f>
        <v>35.166666666666664</v>
      </c>
      <c r="P32" s="1">
        <f>70-((M30))</f>
        <v>48.92</v>
      </c>
      <c r="Q32" s="37">
        <f>(M32/(M30)*20)</f>
        <v>29.886148007590133</v>
      </c>
      <c r="R32" s="24"/>
      <c r="S32" s="24" t="s">
        <v>36</v>
      </c>
      <c r="T32" s="35">
        <f>70-(T29)</f>
        <v>43</v>
      </c>
      <c r="U32" s="35">
        <f>70-(T20)</f>
        <v>32</v>
      </c>
      <c r="V32" s="35">
        <f>70-(T21)</f>
        <v>27</v>
      </c>
      <c r="W32" s="1">
        <f>1000/((T30)/100)</f>
        <v>189.75332068311198</v>
      </c>
      <c r="X32" s="35">
        <f>(T32/(T30/100)*20)</f>
        <v>163.18785578747628</v>
      </c>
      <c r="Y32" s="35"/>
    </row>
    <row r="33" spans="11:25" ht="17.45" customHeight="1" x14ac:dyDescent="0.25">
      <c r="K33" s="24"/>
      <c r="L33" s="24" t="s">
        <v>70</v>
      </c>
      <c r="M33" s="37">
        <f>(N29)</f>
        <v>40.5</v>
      </c>
      <c r="N33" s="35">
        <f>(N20)</f>
        <v>36.833333333333336</v>
      </c>
      <c r="O33" s="35">
        <f>(N21)</f>
        <v>44.166666666666664</v>
      </c>
      <c r="P33" s="12">
        <f>70-((N30))</f>
        <v>40.480000000000004</v>
      </c>
      <c r="Q33" s="37">
        <f>(M33/(N30)*20)</f>
        <v>27.439024390243905</v>
      </c>
      <c r="R33" s="24"/>
      <c r="S33" s="24" t="s">
        <v>70</v>
      </c>
      <c r="T33" s="35">
        <f>70-(U29)</f>
        <v>49</v>
      </c>
      <c r="U33" s="35">
        <f>70-(U20)</f>
        <v>42.5</v>
      </c>
      <c r="V33" s="35">
        <f>70-(U21)</f>
        <v>34.5</v>
      </c>
      <c r="W33" s="12">
        <f>1000/((U30)/100)</f>
        <v>135.52890153825302</v>
      </c>
      <c r="X33" s="35">
        <f>(T33/(U30/100)*20)</f>
        <v>132.81832350748797</v>
      </c>
      <c r="Y33" s="35"/>
    </row>
    <row r="34" spans="11:25" ht="18" customHeight="1" x14ac:dyDescent="0.25">
      <c r="L34" s="24" t="s">
        <v>11</v>
      </c>
      <c r="M34" s="37">
        <f>(P29)</f>
        <v>38</v>
      </c>
      <c r="N34" s="35">
        <f>(P20)</f>
        <v>31.333333333333332</v>
      </c>
      <c r="O34" s="35">
        <f>(P21)</f>
        <v>44.666666666666664</v>
      </c>
      <c r="P34" s="1">
        <f>70-((P30))</f>
        <v>33.58</v>
      </c>
      <c r="Q34" s="37">
        <f>(M34/(P30))*20</f>
        <v>20.867655134541462</v>
      </c>
      <c r="S34" s="24" t="s">
        <v>11</v>
      </c>
      <c r="T34" s="35">
        <f>70-(V29)</f>
        <v>45</v>
      </c>
      <c r="U34" s="35">
        <f>70-(V20)</f>
        <v>35</v>
      </c>
      <c r="V34" s="35">
        <f>70-(V21)</f>
        <v>30</v>
      </c>
      <c r="W34" s="1">
        <f>1000/((V30)/100)</f>
        <v>65.659881812212731</v>
      </c>
      <c r="X34" s="35">
        <f>(T34/(V30/100))*20</f>
        <v>59.09389363099146</v>
      </c>
      <c r="Y34" s="35"/>
    </row>
    <row r="35" spans="11:25" x14ac:dyDescent="0.25">
      <c r="T35" s="6"/>
      <c r="W35" s="12"/>
      <c r="X35" s="7"/>
    </row>
    <row r="36" spans="11:25" x14ac:dyDescent="0.25">
      <c r="T36" s="6"/>
      <c r="W36" s="1"/>
      <c r="X36" s="7"/>
    </row>
    <row r="53" spans="1:5" x14ac:dyDescent="0.25">
      <c r="A53" s="34"/>
      <c r="B53" s="34"/>
      <c r="C53" s="34"/>
      <c r="D53" s="34"/>
      <c r="E53" s="34"/>
    </row>
    <row r="54" spans="1:5" x14ac:dyDescent="0.25">
      <c r="A54" s="34"/>
      <c r="B54" s="34"/>
      <c r="C54" s="34"/>
      <c r="D54" s="34"/>
      <c r="E54" s="34"/>
    </row>
    <row r="55" spans="1:5" x14ac:dyDescent="0.25">
      <c r="A55" s="34"/>
      <c r="B55" s="34"/>
      <c r="C55" s="34"/>
      <c r="D55" s="34"/>
      <c r="E55" s="34"/>
    </row>
    <row r="56" spans="1:5" x14ac:dyDescent="0.25">
      <c r="A56" s="34"/>
      <c r="B56" s="34"/>
      <c r="C56" s="34"/>
      <c r="D56" s="34"/>
      <c r="E56" s="34"/>
    </row>
    <row r="57" spans="1:5" x14ac:dyDescent="0.25">
      <c r="A57" s="34"/>
      <c r="B57" s="34"/>
      <c r="C57" s="34"/>
      <c r="D57" s="34"/>
      <c r="E57" s="34"/>
    </row>
    <row r="58" spans="1:5" x14ac:dyDescent="0.25">
      <c r="A58" s="34"/>
      <c r="B58" s="34"/>
      <c r="C58" s="34"/>
      <c r="D58" s="34"/>
      <c r="E58" s="34"/>
    </row>
    <row r="59" spans="1:5" x14ac:dyDescent="0.25">
      <c r="A59" s="34"/>
      <c r="B59" s="34"/>
      <c r="C59" s="34"/>
      <c r="D59" s="34"/>
      <c r="E59" s="34"/>
    </row>
    <row r="60" spans="1:5" x14ac:dyDescent="0.25">
      <c r="A60" s="34"/>
      <c r="B60" s="34"/>
      <c r="C60" s="34"/>
      <c r="D60" s="34"/>
      <c r="E60" s="34"/>
    </row>
    <row r="61" spans="1:5" x14ac:dyDescent="0.25">
      <c r="A61" s="34"/>
      <c r="B61" s="34"/>
      <c r="C61" s="34"/>
      <c r="D61" s="34"/>
      <c r="E61" s="34"/>
    </row>
    <row r="62" spans="1:5" x14ac:dyDescent="0.25">
      <c r="A62" s="34"/>
      <c r="B62" s="34"/>
      <c r="C62" s="34"/>
      <c r="D62" s="34"/>
      <c r="E62" s="34"/>
    </row>
    <row r="63" spans="1:5" x14ac:dyDescent="0.25">
      <c r="A63" s="34"/>
      <c r="B63" s="34"/>
      <c r="C63" s="34"/>
      <c r="D63" s="34"/>
      <c r="E63" s="34"/>
    </row>
  </sheetData>
  <conditionalFormatting sqref="B17 B14:B15">
    <cfRule type="duplicateValues" dxfId="11" priority="25"/>
  </conditionalFormatting>
  <conditionalFormatting sqref="B19">
    <cfRule type="duplicateValues" dxfId="10" priority="26"/>
  </conditionalFormatting>
  <conditionalFormatting sqref="A17 A14:A15">
    <cfRule type="duplicateValues" dxfId="9" priority="19"/>
  </conditionalFormatting>
  <conditionalFormatting sqref="A19">
    <cfRule type="duplicateValues" dxfId="8" priority="20"/>
  </conditionalFormatting>
  <conditionalFormatting sqref="L16">
    <cfRule type="duplicateValues" dxfId="7" priority="6"/>
  </conditionalFormatting>
  <conditionalFormatting sqref="K19 K16:K17">
    <cfRule type="duplicateValues" dxfId="6" priority="5"/>
  </conditionalFormatting>
  <conditionalFormatting sqref="S16">
    <cfRule type="duplicateValues" dxfId="5" priority="2"/>
  </conditionalFormatting>
  <conditionalFormatting sqref="R19 R16:R17">
    <cfRule type="duplicateValues" dxfId="4" priority="1"/>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5"/>
  <sheetViews>
    <sheetView zoomScale="85" zoomScaleNormal="85" workbookViewId="0">
      <pane ySplit="3" topLeftCell="A4" activePane="bottomLeft" state="frozen"/>
      <selection pane="bottomLeft" activeCell="D17" sqref="D17"/>
    </sheetView>
  </sheetViews>
  <sheetFormatPr defaultColWidth="8.85546875" defaultRowHeight="15" x14ac:dyDescent="0.25"/>
  <cols>
    <col min="1" max="1" width="14.28515625" style="2" customWidth="1"/>
    <col min="2" max="2" width="8.85546875" style="11"/>
    <col min="3" max="3" width="16.28515625" style="2" bestFit="1" customWidth="1"/>
    <col min="4" max="4" width="43.7109375" style="11" customWidth="1"/>
    <col min="5" max="5" width="13.42578125" style="11" bestFit="1" customWidth="1"/>
    <col min="6" max="6" width="11.85546875" style="11" customWidth="1"/>
    <col min="7" max="7" width="16.42578125" style="11" customWidth="1"/>
    <col min="8" max="8" width="16.7109375" style="11" customWidth="1"/>
    <col min="9" max="9" width="7" style="11" bestFit="1" customWidth="1"/>
    <col min="10" max="10" width="12.85546875" style="11" bestFit="1" customWidth="1"/>
    <col min="11" max="11" width="15" style="11" customWidth="1"/>
    <col min="12" max="16384" width="8.85546875" style="11"/>
  </cols>
  <sheetData>
    <row r="2" spans="1:10" ht="18.75" x14ac:dyDescent="0.25">
      <c r="A2" s="23"/>
      <c r="C2" s="23"/>
      <c r="D2" s="23" t="s">
        <v>129</v>
      </c>
      <c r="E2" s="23"/>
      <c r="F2" s="23"/>
      <c r="G2" s="23"/>
    </row>
    <row r="3" spans="1:10" ht="18.75" x14ac:dyDescent="0.25">
      <c r="A3" s="23" t="s">
        <v>140</v>
      </c>
      <c r="C3" s="23"/>
      <c r="D3" s="23"/>
      <c r="E3" s="23" t="s">
        <v>34</v>
      </c>
      <c r="F3" s="23" t="s">
        <v>69</v>
      </c>
      <c r="G3" s="23" t="s">
        <v>139</v>
      </c>
      <c r="H3" s="23" t="s">
        <v>147</v>
      </c>
      <c r="I3" s="11" t="s">
        <v>124</v>
      </c>
      <c r="J3" s="24" t="s">
        <v>151</v>
      </c>
    </row>
    <row r="4" spans="1:10" ht="18" x14ac:dyDescent="0.25">
      <c r="A4" s="40" t="s">
        <v>141</v>
      </c>
      <c r="B4" s="11">
        <v>1</v>
      </c>
      <c r="C4" s="40" t="s">
        <v>85</v>
      </c>
      <c r="D4" s="25" t="s">
        <v>75</v>
      </c>
      <c r="E4" s="26">
        <v>3</v>
      </c>
      <c r="F4" s="26">
        <v>2</v>
      </c>
      <c r="G4" s="26">
        <v>2</v>
      </c>
      <c r="H4" s="26">
        <v>2</v>
      </c>
      <c r="I4" s="26">
        <v>100</v>
      </c>
      <c r="J4" s="26">
        <v>100</v>
      </c>
    </row>
    <row r="5" spans="1:10" ht="27" x14ac:dyDescent="0.25">
      <c r="A5" s="40" t="s">
        <v>141</v>
      </c>
      <c r="B5" s="11">
        <v>4</v>
      </c>
      <c r="C5" s="40" t="s">
        <v>16</v>
      </c>
      <c r="D5" s="41" t="s">
        <v>143</v>
      </c>
      <c r="E5" s="26">
        <v>1</v>
      </c>
      <c r="F5" s="26">
        <v>3</v>
      </c>
      <c r="G5" s="26">
        <v>3</v>
      </c>
      <c r="H5" s="26">
        <v>3</v>
      </c>
      <c r="I5" s="26">
        <v>60</v>
      </c>
      <c r="J5" s="26">
        <v>60</v>
      </c>
    </row>
    <row r="6" spans="1:10" ht="18.75" thickBot="1" x14ac:dyDescent="0.3">
      <c r="A6" s="40" t="s">
        <v>141</v>
      </c>
      <c r="B6" s="11">
        <v>6</v>
      </c>
      <c r="C6" s="40"/>
      <c r="D6" s="27" t="s">
        <v>78</v>
      </c>
      <c r="E6" s="28">
        <v>1</v>
      </c>
      <c r="F6" s="28">
        <v>3</v>
      </c>
      <c r="G6" s="28">
        <v>3</v>
      </c>
      <c r="H6" s="28">
        <v>3</v>
      </c>
      <c r="I6" s="26">
        <v>50</v>
      </c>
      <c r="J6" s="26">
        <v>50</v>
      </c>
    </row>
    <row r="7" spans="1:10" ht="17.45" customHeight="1" x14ac:dyDescent="0.25">
      <c r="A7" s="40" t="s">
        <v>141</v>
      </c>
      <c r="B7" s="11">
        <v>8</v>
      </c>
      <c r="C7" s="40"/>
      <c r="D7" s="25" t="s">
        <v>198</v>
      </c>
      <c r="E7" s="26">
        <v>1</v>
      </c>
      <c r="F7" s="26">
        <v>3</v>
      </c>
      <c r="G7" s="26">
        <v>3</v>
      </c>
      <c r="H7" s="26">
        <v>3</v>
      </c>
      <c r="I7" s="26">
        <v>75</v>
      </c>
      <c r="J7" s="26">
        <v>75</v>
      </c>
    </row>
    <row r="8" spans="1:10" ht="18" x14ac:dyDescent="0.25">
      <c r="A8" s="40" t="s">
        <v>141</v>
      </c>
      <c r="B8" s="11">
        <v>9</v>
      </c>
      <c r="C8" s="40"/>
      <c r="D8" s="25" t="s">
        <v>89</v>
      </c>
      <c r="E8" s="26">
        <v>1</v>
      </c>
      <c r="F8" s="26">
        <v>3</v>
      </c>
      <c r="G8" s="26">
        <v>3</v>
      </c>
      <c r="H8" s="26">
        <v>3</v>
      </c>
      <c r="I8" s="26">
        <v>100</v>
      </c>
      <c r="J8" s="26">
        <v>100</v>
      </c>
    </row>
    <row r="9" spans="1:10" ht="18.75" thickBot="1" x14ac:dyDescent="0.3">
      <c r="A9" s="40" t="s">
        <v>141</v>
      </c>
      <c r="B9" s="11">
        <v>12</v>
      </c>
      <c r="C9" s="40" t="s">
        <v>12</v>
      </c>
      <c r="D9" s="42" t="s">
        <v>149</v>
      </c>
      <c r="E9" s="28">
        <v>3</v>
      </c>
      <c r="F9" s="28">
        <v>3</v>
      </c>
      <c r="G9" s="28">
        <v>3</v>
      </c>
      <c r="H9" s="28">
        <v>2</v>
      </c>
      <c r="I9" s="26">
        <v>10</v>
      </c>
      <c r="J9" s="26">
        <v>10</v>
      </c>
    </row>
    <row r="10" spans="1:10" ht="18.75" thickBot="1" x14ac:dyDescent="0.3">
      <c r="A10" s="40" t="s">
        <v>141</v>
      </c>
      <c r="B10" s="11">
        <v>16</v>
      </c>
      <c r="C10" s="40" t="s">
        <v>144</v>
      </c>
      <c r="D10" s="44" t="s">
        <v>10</v>
      </c>
      <c r="E10" s="28">
        <v>3</v>
      </c>
      <c r="F10" s="28">
        <v>2</v>
      </c>
      <c r="G10" s="28">
        <v>1</v>
      </c>
      <c r="H10" s="28">
        <v>4</v>
      </c>
      <c r="I10" s="26">
        <v>37.5</v>
      </c>
      <c r="J10" s="26">
        <v>37.5</v>
      </c>
    </row>
    <row r="11" spans="1:10" ht="18.75" thickBot="1" x14ac:dyDescent="0.3">
      <c r="A11" s="40" t="s">
        <v>142</v>
      </c>
      <c r="B11" s="11">
        <v>2</v>
      </c>
      <c r="C11" s="40"/>
      <c r="D11" s="27" t="s">
        <v>76</v>
      </c>
      <c r="E11" s="28">
        <v>3</v>
      </c>
      <c r="F11" s="28">
        <v>2</v>
      </c>
      <c r="G11" s="28">
        <v>2</v>
      </c>
      <c r="H11" s="28">
        <v>2</v>
      </c>
      <c r="I11" s="26">
        <v>10</v>
      </c>
      <c r="J11" s="26">
        <v>0</v>
      </c>
    </row>
    <row r="12" spans="1:10" ht="18.75" thickBot="1" x14ac:dyDescent="0.3">
      <c r="A12" s="40" t="s">
        <v>142</v>
      </c>
      <c r="B12" s="11">
        <v>3</v>
      </c>
      <c r="C12" s="40"/>
      <c r="D12" s="42" t="s">
        <v>148</v>
      </c>
      <c r="E12" s="28">
        <v>3</v>
      </c>
      <c r="F12" s="28">
        <v>3</v>
      </c>
      <c r="G12" s="28">
        <v>3</v>
      </c>
      <c r="H12" s="28">
        <v>1</v>
      </c>
      <c r="I12" s="26">
        <v>40</v>
      </c>
      <c r="J12" s="26">
        <v>0</v>
      </c>
    </row>
    <row r="13" spans="1:10" ht="17.45" customHeight="1" x14ac:dyDescent="0.25">
      <c r="A13" s="40" t="s">
        <v>142</v>
      </c>
      <c r="B13" s="11">
        <v>5</v>
      </c>
      <c r="C13" s="40"/>
      <c r="D13" s="25" t="s">
        <v>77</v>
      </c>
      <c r="E13" s="26">
        <v>2</v>
      </c>
      <c r="F13" s="26">
        <v>2</v>
      </c>
      <c r="G13" s="26">
        <v>2</v>
      </c>
      <c r="H13" s="26">
        <v>2</v>
      </c>
      <c r="I13" s="26">
        <v>40</v>
      </c>
      <c r="J13" s="26">
        <v>0</v>
      </c>
    </row>
    <row r="14" spans="1:10" ht="18" customHeight="1" thickBot="1" x14ac:dyDescent="0.3">
      <c r="A14" s="40" t="s">
        <v>142</v>
      </c>
      <c r="B14" s="11">
        <v>7</v>
      </c>
      <c r="C14" s="40"/>
      <c r="D14" s="27" t="s">
        <v>87</v>
      </c>
      <c r="E14" s="28">
        <v>1</v>
      </c>
      <c r="F14" s="28">
        <v>3</v>
      </c>
      <c r="G14" s="28">
        <v>3</v>
      </c>
      <c r="H14" s="28">
        <v>3</v>
      </c>
      <c r="I14" s="26">
        <v>10</v>
      </c>
      <c r="J14" s="26">
        <v>0</v>
      </c>
    </row>
    <row r="15" spans="1:10" ht="17.45" customHeight="1" thickBot="1" x14ac:dyDescent="0.3">
      <c r="A15" s="40" t="s">
        <v>142</v>
      </c>
      <c r="B15" s="11">
        <v>10</v>
      </c>
      <c r="C15" s="40" t="s">
        <v>24</v>
      </c>
      <c r="D15" s="29" t="s">
        <v>19</v>
      </c>
      <c r="E15" s="26">
        <v>2</v>
      </c>
      <c r="F15" s="26">
        <v>3</v>
      </c>
      <c r="G15" s="26">
        <v>1</v>
      </c>
      <c r="H15" s="26">
        <v>1</v>
      </c>
      <c r="I15" s="26">
        <v>10</v>
      </c>
      <c r="J15" s="26">
        <v>0</v>
      </c>
    </row>
    <row r="16" spans="1:10" ht="16.149999999999999" customHeight="1" x14ac:dyDescent="0.25">
      <c r="A16" s="40" t="s">
        <v>142</v>
      </c>
      <c r="B16" s="11">
        <v>11</v>
      </c>
      <c r="C16" s="40"/>
      <c r="D16" s="30" t="s">
        <v>20</v>
      </c>
      <c r="E16" s="26">
        <v>1</v>
      </c>
      <c r="F16" s="26">
        <v>3</v>
      </c>
      <c r="G16" s="26">
        <v>3</v>
      </c>
      <c r="H16" s="26">
        <v>3</v>
      </c>
      <c r="I16" s="26">
        <v>10</v>
      </c>
      <c r="J16" s="26">
        <v>0</v>
      </c>
    </row>
    <row r="17" spans="1:11" ht="20.45" customHeight="1" x14ac:dyDescent="0.25">
      <c r="A17" s="40" t="s">
        <v>142</v>
      </c>
      <c r="B17" s="11">
        <v>13</v>
      </c>
      <c r="C17" s="40" t="s">
        <v>21</v>
      </c>
      <c r="D17" s="45" t="s">
        <v>127</v>
      </c>
      <c r="E17" s="20">
        <v>3</v>
      </c>
      <c r="F17" s="20">
        <v>2</v>
      </c>
      <c r="G17" s="20">
        <v>2</v>
      </c>
      <c r="H17" s="20">
        <v>2</v>
      </c>
      <c r="I17" s="26">
        <v>10</v>
      </c>
      <c r="J17" s="26">
        <v>0</v>
      </c>
    </row>
    <row r="18" spans="1:11" ht="18" x14ac:dyDescent="0.25">
      <c r="A18" s="40" t="s">
        <v>142</v>
      </c>
      <c r="B18" s="11">
        <v>14</v>
      </c>
      <c r="C18" s="40"/>
      <c r="D18" s="26" t="s">
        <v>33</v>
      </c>
      <c r="E18" s="26">
        <v>1</v>
      </c>
      <c r="F18" s="26">
        <v>1</v>
      </c>
      <c r="G18" s="26">
        <v>1</v>
      </c>
      <c r="H18" s="26">
        <v>3</v>
      </c>
      <c r="I18" s="26">
        <v>10</v>
      </c>
      <c r="J18" s="26">
        <v>0</v>
      </c>
    </row>
    <row r="19" spans="1:11" ht="18" x14ac:dyDescent="0.25">
      <c r="A19" s="40" t="s">
        <v>142</v>
      </c>
      <c r="B19" s="11">
        <v>15</v>
      </c>
      <c r="C19" s="40"/>
      <c r="D19" s="43" t="s">
        <v>150</v>
      </c>
      <c r="E19" s="26">
        <v>1</v>
      </c>
      <c r="F19" s="26">
        <v>3</v>
      </c>
      <c r="G19" s="26">
        <v>3</v>
      </c>
      <c r="H19" s="26">
        <v>3</v>
      </c>
      <c r="I19" s="26">
        <v>10</v>
      </c>
      <c r="J19" s="26">
        <v>0</v>
      </c>
      <c r="K19" s="34"/>
    </row>
    <row r="20" spans="1:11" x14ac:dyDescent="0.25">
      <c r="A20" s="40"/>
      <c r="C20" s="40"/>
      <c r="D20" s="24" t="s">
        <v>145</v>
      </c>
      <c r="E20" s="35">
        <f>SUMPRODUCT(E4:E19,$I4:$I19)</f>
        <v>1047.5</v>
      </c>
      <c r="F20" s="35">
        <f>SUMPRODUCT(F4:F19,$I4:$I19)</f>
        <v>1530</v>
      </c>
      <c r="G20" s="35">
        <f>SUMPRODUCT(G4:G19,$I4:$I19)</f>
        <v>1472.5</v>
      </c>
      <c r="H20" s="35">
        <f>SUMPRODUCT(H4:H19,$I4:$I19)</f>
        <v>1515</v>
      </c>
      <c r="I20" s="35"/>
    </row>
    <row r="21" spans="1:11" x14ac:dyDescent="0.25">
      <c r="A21" s="40"/>
      <c r="C21" s="40"/>
      <c r="D21" s="24" t="s">
        <v>151</v>
      </c>
      <c r="E21" s="35">
        <f>SUMPRODUCT(E4:E19,$J4:$J19)</f>
        <v>727.5</v>
      </c>
      <c r="F21" s="35">
        <f>SUMPRODUCT(F4:F19,$J4:$J19)</f>
        <v>1160</v>
      </c>
      <c r="G21" s="35">
        <f>SUMPRODUCT(G4:G19,$J4:$J19)</f>
        <v>1122.5</v>
      </c>
      <c r="H21" s="35">
        <f>SUMPRODUCT(H4:H19,$J4:$J19)</f>
        <v>1225</v>
      </c>
    </row>
    <row r="22" spans="1:11" x14ac:dyDescent="0.25">
      <c r="A22" s="40"/>
      <c r="C22" s="40"/>
      <c r="D22" s="24" t="s">
        <v>146</v>
      </c>
      <c r="E22" s="35">
        <f>(E21-E20)/E20*100</f>
        <v>-30.548926014319811</v>
      </c>
      <c r="F22" s="35">
        <f>(F21-F20)/F20*100</f>
        <v>-24.183006535947712</v>
      </c>
      <c r="G22" s="35">
        <f>(G21-G20)/G20*100</f>
        <v>-23.769100169779286</v>
      </c>
      <c r="H22" s="35">
        <f>(H21-H20)/H20*100</f>
        <v>-19.141914191419144</v>
      </c>
      <c r="I22" s="36">
        <f>(AVERAGE(E22:H22))</f>
        <v>-24.410736727866489</v>
      </c>
      <c r="J22" s="11" t="s">
        <v>152</v>
      </c>
    </row>
    <row r="23" spans="1:11" ht="28.15" customHeight="1" x14ac:dyDescent="0.25">
      <c r="A23" s="40"/>
      <c r="C23" s="40"/>
      <c r="E23" s="35"/>
      <c r="F23" s="35"/>
      <c r="G23" s="35"/>
      <c r="H23" s="35"/>
    </row>
    <row r="24" spans="1:11" ht="18" customHeight="1" x14ac:dyDescent="0.25">
      <c r="A24" s="40"/>
      <c r="C24" s="40"/>
      <c r="D24" s="24"/>
      <c r="E24" s="24"/>
      <c r="F24" s="24"/>
      <c r="G24" s="24"/>
      <c r="H24" s="24"/>
    </row>
    <row r="25" spans="1:11" ht="18" customHeight="1" x14ac:dyDescent="0.25">
      <c r="A25" s="40"/>
      <c r="C25" s="40"/>
      <c r="D25" s="24"/>
      <c r="E25" s="35"/>
      <c r="F25" s="35"/>
      <c r="G25" s="35"/>
      <c r="H25" s="35"/>
    </row>
    <row r="26" spans="1:11" ht="27.6" customHeight="1" x14ac:dyDescent="0.25">
      <c r="A26" s="40"/>
      <c r="C26" s="40"/>
      <c r="D26" s="24"/>
      <c r="E26" s="35"/>
      <c r="F26" s="35"/>
      <c r="G26" s="35"/>
      <c r="H26" s="35"/>
    </row>
    <row r="27" spans="1:11" x14ac:dyDescent="0.25">
      <c r="A27" s="40"/>
      <c r="C27" s="40"/>
      <c r="D27" s="24"/>
      <c r="E27" s="35"/>
      <c r="F27" s="35"/>
      <c r="G27" s="35"/>
      <c r="H27" s="35"/>
    </row>
    <row r="28" spans="1:11" x14ac:dyDescent="0.25">
      <c r="A28" s="40"/>
      <c r="C28" s="40"/>
      <c r="D28" s="24"/>
      <c r="E28" s="35"/>
      <c r="F28" s="35"/>
      <c r="G28" s="35"/>
      <c r="H28" s="35"/>
    </row>
    <row r="29" spans="1:11" x14ac:dyDescent="0.25">
      <c r="A29" s="40"/>
      <c r="C29" s="40"/>
      <c r="D29" s="24"/>
      <c r="E29" s="35"/>
      <c r="F29" s="35"/>
      <c r="G29" s="35"/>
      <c r="H29" s="35"/>
    </row>
    <row r="30" spans="1:11" x14ac:dyDescent="0.25">
      <c r="A30" s="40"/>
      <c r="C30" s="40"/>
      <c r="D30" s="24"/>
      <c r="E30" s="35"/>
      <c r="F30" s="35"/>
      <c r="G30" s="35"/>
      <c r="H30" s="35"/>
    </row>
    <row r="31" spans="1:11" x14ac:dyDescent="0.25">
      <c r="A31" s="40"/>
      <c r="C31" s="40"/>
      <c r="D31" s="24"/>
      <c r="E31" s="31"/>
      <c r="F31" s="32"/>
      <c r="G31" s="32"/>
      <c r="H31" s="32"/>
    </row>
    <row r="32" spans="1:11" ht="17.45" customHeight="1" x14ac:dyDescent="0.25">
      <c r="A32" s="40"/>
      <c r="C32" s="40"/>
      <c r="D32" s="33"/>
      <c r="E32" s="33"/>
      <c r="F32" s="24"/>
      <c r="G32" s="24"/>
      <c r="H32" s="1"/>
      <c r="I32" s="2"/>
    </row>
    <row r="33" spans="1:9" ht="17.45" customHeight="1" x14ac:dyDescent="0.25">
      <c r="A33" s="40"/>
      <c r="C33" s="40"/>
      <c r="D33" s="24"/>
      <c r="E33" s="37"/>
      <c r="F33" s="35"/>
      <c r="G33" s="35"/>
      <c r="H33" s="1"/>
      <c r="I33" s="37"/>
    </row>
    <row r="34" spans="1:9" ht="18" customHeight="1" x14ac:dyDescent="0.25">
      <c r="D34" s="24"/>
      <c r="E34" s="37"/>
      <c r="F34" s="35"/>
      <c r="G34" s="35"/>
      <c r="H34" s="12"/>
      <c r="I34" s="37"/>
    </row>
    <row r="35" spans="1:9" x14ac:dyDescent="0.25">
      <c r="D35" s="24"/>
      <c r="E35" s="37"/>
      <c r="F35" s="35"/>
      <c r="G35" s="35"/>
      <c r="H35" s="1"/>
      <c r="I35" s="37"/>
    </row>
  </sheetData>
  <sortState ref="A4:J19">
    <sortCondition descending="1" ref="A4:A19"/>
  </sortState>
  <conditionalFormatting sqref="D16">
    <cfRule type="duplicateValues" dxfId="3" priority="4"/>
  </conditionalFormatting>
  <conditionalFormatting sqref="C19 A19 C16:C17">
    <cfRule type="duplicateValues" dxfId="2" priority="3"/>
  </conditionalFormatting>
  <conditionalFormatting sqref="AA8">
    <cfRule type="duplicateValues" dxfId="1" priority="2"/>
  </conditionalFormatting>
  <conditionalFormatting sqref="AD7 AD5 AA7:AB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Weighted Perato Charts</vt:lpstr>
      <vt:lpstr>Pareto Charts</vt:lpstr>
      <vt:lpstr>Devlin Score Sheet new</vt:lpstr>
      <vt:lpstr>Prices</vt:lpstr>
      <vt:lpstr>Price Per Machine Graph</vt:lpstr>
      <vt:lpstr>Explanations</vt:lpstr>
      <vt:lpstr>Old ScoreSheet</vt:lpstr>
      <vt:lpstr>New Score 2</vt:lpstr>
    </vt:vector>
  </TitlesOfParts>
  <Company>OSRAM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Paddock, Devlin</dc:creator>
  <cp:lastModifiedBy>Paddock, Devlin</cp:lastModifiedBy>
  <dcterms:created xsi:type="dcterms:W3CDTF">2019-05-29T12:42:23Z</dcterms:created>
  <dcterms:modified xsi:type="dcterms:W3CDTF">2019-07-22T17:07:10Z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c8e0fde-d954-47be-ab67-d16694a3feef_Enabled">
    <vt:lpwstr>True</vt:lpwstr>
  </property>
  <property fmtid="{D5CDD505-2E9C-101B-9397-08002B2CF9AE}" pid="3" name="MSIP_Label_1c8e0fde-d954-47be-ab67-d16694a3feef_SiteId">
    <vt:lpwstr>ec1ca250-c234-4d56-a76b-7dfb9eee0c46</vt:lpwstr>
  </property>
  <property fmtid="{D5CDD505-2E9C-101B-9397-08002B2CF9AE}" pid="4" name="MSIP_Label_1c8e0fde-d954-47be-ab67-d16694a3feef_Owner">
    <vt:lpwstr>D.Paddock@osram.com</vt:lpwstr>
  </property>
  <property fmtid="{D5CDD505-2E9C-101B-9397-08002B2CF9AE}" pid="5" name="MSIP_Label_1c8e0fde-d954-47be-ab67-d16694a3feef_SetDate">
    <vt:lpwstr>2019-05-31T15:56:43.1352232Z</vt:lpwstr>
  </property>
  <property fmtid="{D5CDD505-2E9C-101B-9397-08002B2CF9AE}" pid="6" name="MSIP_Label_1c8e0fde-d954-47be-ab67-d16694a3feef_Name">
    <vt:lpwstr>Internal Use</vt:lpwstr>
  </property>
  <property fmtid="{D5CDD505-2E9C-101B-9397-08002B2CF9AE}" pid="7" name="MSIP_Label_1c8e0fde-d954-47be-ab67-d16694a3feef_Application">
    <vt:lpwstr>Microsoft Azure Information Protection</vt:lpwstr>
  </property>
  <property fmtid="{D5CDD505-2E9C-101B-9397-08002B2CF9AE}" pid="8" name="MSIP_Label_1c8e0fde-d954-47be-ab67-d16694a3feef_Extended_MSFT_Method">
    <vt:lpwstr>Automatic</vt:lpwstr>
  </property>
  <property fmtid="{D5CDD505-2E9C-101B-9397-08002B2CF9AE}" pid="9" name="MSIP_Label_f9dda1df-3fca-45c7-91be-5629a3733338_Enabled">
    <vt:lpwstr>True</vt:lpwstr>
  </property>
  <property fmtid="{D5CDD505-2E9C-101B-9397-08002B2CF9AE}" pid="10" name="MSIP_Label_f9dda1df-3fca-45c7-91be-5629a3733338_SiteId">
    <vt:lpwstr>ec1ca250-c234-4d56-a76b-7dfb9eee0c46</vt:lpwstr>
  </property>
  <property fmtid="{D5CDD505-2E9C-101B-9397-08002B2CF9AE}" pid="11" name="MSIP_Label_f9dda1df-3fca-45c7-91be-5629a3733338_Owner">
    <vt:lpwstr>D.Paddock@osram.com</vt:lpwstr>
  </property>
  <property fmtid="{D5CDD505-2E9C-101B-9397-08002B2CF9AE}" pid="12" name="MSIP_Label_f9dda1df-3fca-45c7-91be-5629a3733338_SetDate">
    <vt:lpwstr>2019-05-31T15:56:43.1352232Z</vt:lpwstr>
  </property>
  <property fmtid="{D5CDD505-2E9C-101B-9397-08002B2CF9AE}" pid="13" name="MSIP_Label_f9dda1df-3fca-45c7-91be-5629a3733338_Name">
    <vt:lpwstr>All employees (unprotected)</vt:lpwstr>
  </property>
  <property fmtid="{D5CDD505-2E9C-101B-9397-08002B2CF9AE}" pid="14" name="MSIP_Label_f9dda1df-3fca-45c7-91be-5629a3733338_Application">
    <vt:lpwstr>Microsoft Azure Information Protection</vt:lpwstr>
  </property>
  <property fmtid="{D5CDD505-2E9C-101B-9397-08002B2CF9AE}" pid="15" name="MSIP_Label_f9dda1df-3fca-45c7-91be-5629a3733338_Parent">
    <vt:lpwstr>1c8e0fde-d954-47be-ab67-d16694a3feef</vt:lpwstr>
  </property>
  <property fmtid="{D5CDD505-2E9C-101B-9397-08002B2CF9AE}" pid="16" name="MSIP_Label_f9dda1df-3fca-45c7-91be-5629a3733338_Extended_MSFT_Method">
    <vt:lpwstr>Automatic</vt:lpwstr>
  </property>
  <property fmtid="{D5CDD505-2E9C-101B-9397-08002B2CF9AE}" pid="17" name="Sensitivity">
    <vt:lpwstr>Internal Use All employees (unprotected)</vt:lpwstr>
  </property>
</Properties>
</file>