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ch\OneDrive\바탕 화면\snuvalue\my 보고서\"/>
    </mc:Choice>
  </mc:AlternateContent>
  <xr:revisionPtr revIDLastSave="0" documentId="13_ncr:1_{A73E2BEA-0DF4-4E0C-ADF4-9134304CF81E}" xr6:coauthVersionLast="36" xr6:coauthVersionMax="36" xr10:uidLastSave="{00000000-0000-0000-0000-000000000000}"/>
  <bookViews>
    <workbookView xWindow="0" yWindow="0" windowWidth="23040" windowHeight="7644" xr2:uid="{AE6EC69D-C14C-40CD-989D-AB93522E316D}"/>
  </bookViews>
  <sheets>
    <sheet name="report" sheetId="4" r:id="rId1"/>
    <sheet name="raw data" sheetId="3" r:id="rId2"/>
    <sheet name="IR" sheetId="5" r:id="rId3"/>
    <sheet name="용어설명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4" l="1"/>
  <c r="G502" i="4"/>
  <c r="G500" i="4"/>
  <c r="F501" i="4"/>
  <c r="F502" i="4"/>
  <c r="F500" i="4"/>
  <c r="E502" i="4"/>
  <c r="E501" i="4"/>
  <c r="E500" i="4"/>
  <c r="D501" i="4"/>
  <c r="E269" i="4" l="1"/>
  <c r="F269" i="4" s="1"/>
  <c r="G269" i="4" s="1"/>
  <c r="E268" i="4"/>
  <c r="E267" i="4"/>
  <c r="F267" i="4" s="1"/>
  <c r="G267" i="4" s="1"/>
  <c r="E263" i="4"/>
  <c r="F263" i="4" s="1"/>
  <c r="G263" i="4" s="1"/>
  <c r="E262" i="4"/>
  <c r="F262" i="4" s="1"/>
  <c r="G262" i="4" s="1"/>
  <c r="E261" i="4"/>
  <c r="F261" i="4" s="1"/>
  <c r="G261" i="4" s="1"/>
  <c r="F268" i="4"/>
  <c r="G268" i="4" s="1"/>
  <c r="I269" i="4"/>
  <c r="J269" i="4" s="1"/>
  <c r="K269" i="4" s="1"/>
  <c r="I268" i="4"/>
  <c r="J268" i="4" s="1"/>
  <c r="K268" i="4" s="1"/>
  <c r="I267" i="4"/>
  <c r="J267" i="4" s="1"/>
  <c r="K267" i="4" s="1"/>
  <c r="I263" i="4"/>
  <c r="I262" i="4"/>
  <c r="J262" i="4" s="1"/>
  <c r="K262" i="4" s="1"/>
  <c r="I261" i="4"/>
  <c r="J261" i="4" s="1"/>
  <c r="K261" i="4" s="1"/>
  <c r="J263" i="4"/>
  <c r="K263" i="4" s="1"/>
  <c r="D274" i="4" l="1"/>
  <c r="E274" i="4"/>
  <c r="F274" i="4"/>
  <c r="G274" i="4"/>
  <c r="H274" i="4"/>
  <c r="I274" i="4"/>
  <c r="J274" i="4"/>
  <c r="K274" i="4"/>
  <c r="L274" i="4"/>
  <c r="D273" i="4"/>
  <c r="E273" i="4"/>
  <c r="F273" i="4"/>
  <c r="G273" i="4"/>
  <c r="H273" i="4"/>
  <c r="I273" i="4"/>
  <c r="J273" i="4"/>
  <c r="K273" i="4"/>
  <c r="L273" i="4"/>
  <c r="M269" i="4"/>
  <c r="M268" i="4"/>
  <c r="M267" i="4"/>
  <c r="M263" i="4"/>
  <c r="M262" i="4"/>
  <c r="M261" i="4"/>
  <c r="E275" i="4" l="1"/>
  <c r="F275" i="4"/>
  <c r="H275" i="4"/>
  <c r="J275" i="4"/>
  <c r="G275" i="4"/>
  <c r="K275" i="4"/>
  <c r="M273" i="4"/>
  <c r="L275" i="4"/>
  <c r="M274" i="4"/>
  <c r="I275" i="4"/>
  <c r="D275" i="4"/>
  <c r="M275" i="4" l="1"/>
  <c r="F14" i="3" l="1"/>
  <c r="J14" i="3"/>
  <c r="N14" i="3"/>
  <c r="F15" i="3"/>
  <c r="J15" i="3"/>
  <c r="N15" i="3"/>
  <c r="F16" i="3"/>
  <c r="J16" i="3"/>
  <c r="N16" i="3"/>
  <c r="F17" i="3"/>
  <c r="J17" i="3"/>
  <c r="N17" i="3"/>
  <c r="F13" i="3"/>
  <c r="J13" i="3"/>
  <c r="N13" i="3"/>
  <c r="E11" i="3" l="1"/>
  <c r="E17" i="3" s="1"/>
  <c r="E10" i="3"/>
  <c r="E16" i="3" s="1"/>
  <c r="E9" i="3"/>
  <c r="E15" i="3" s="1"/>
  <c r="E8" i="3"/>
  <c r="E14" i="3" s="1"/>
  <c r="E7" i="3"/>
  <c r="E13" i="3" s="1"/>
  <c r="E57" i="3"/>
  <c r="E56" i="3"/>
  <c r="E55" i="3"/>
  <c r="E71" i="3" s="1"/>
  <c r="E54" i="3"/>
  <c r="E70" i="3" s="1"/>
  <c r="E53" i="3"/>
  <c r="E69" i="3" s="1"/>
  <c r="E52" i="3"/>
  <c r="E51" i="3"/>
  <c r="E68" i="3" s="1"/>
  <c r="E50" i="3"/>
  <c r="E67" i="3" s="1"/>
  <c r="E48" i="3"/>
  <c r="E65" i="3" s="1"/>
  <c r="E49" i="3"/>
  <c r="E66" i="3" s="1"/>
  <c r="E47" i="3"/>
  <c r="E64" i="3" s="1"/>
  <c r="E46" i="3"/>
  <c r="E63" i="3" s="1"/>
  <c r="E45" i="3"/>
  <c r="E62" i="3" s="1"/>
  <c r="E44" i="3"/>
  <c r="E61" i="3" s="1"/>
  <c r="E43" i="3"/>
  <c r="E60" i="3" s="1"/>
  <c r="E42" i="3"/>
  <c r="E59" i="3" s="1"/>
  <c r="E39" i="3"/>
  <c r="E38" i="3"/>
  <c r="G11" i="3"/>
  <c r="G10" i="3"/>
  <c r="G9" i="3"/>
  <c r="G8" i="3"/>
  <c r="G7" i="3"/>
  <c r="G39" i="3"/>
  <c r="G38" i="3"/>
  <c r="H38" i="3"/>
  <c r="I38" i="3"/>
  <c r="K38" i="3"/>
  <c r="L38" i="3"/>
  <c r="M38" i="3"/>
  <c r="O38" i="3"/>
  <c r="K11" i="3"/>
  <c r="K10" i="3"/>
  <c r="K9" i="3"/>
  <c r="K15" i="3" s="1"/>
  <c r="K8" i="3"/>
  <c r="K14" i="3" s="1"/>
  <c r="K7" i="3"/>
  <c r="K39" i="3"/>
  <c r="L39" i="3" s="1"/>
  <c r="M39" i="3" s="1"/>
  <c r="O11" i="3"/>
  <c r="O17" i="3" s="1"/>
  <c r="O10" i="3"/>
  <c r="O16" i="3" s="1"/>
  <c r="O9" i="3"/>
  <c r="O15" i="3" s="1"/>
  <c r="O8" i="3"/>
  <c r="O14" i="3" s="1"/>
  <c r="O7" i="3"/>
  <c r="O13" i="3" s="1"/>
  <c r="I57" i="3"/>
  <c r="I74" i="3" s="1"/>
  <c r="I56" i="3"/>
  <c r="I73" i="3" s="1"/>
  <c r="I55" i="3"/>
  <c r="I72" i="3" s="1"/>
  <c r="I54" i="3"/>
  <c r="I71" i="3" s="1"/>
  <c r="I53" i="3"/>
  <c r="I70" i="3" s="1"/>
  <c r="I52" i="3"/>
  <c r="I69" i="3" s="1"/>
  <c r="I51" i="3"/>
  <c r="I68" i="3" s="1"/>
  <c r="I50" i="3"/>
  <c r="I67" i="3" s="1"/>
  <c r="I49" i="3"/>
  <c r="I66" i="3" s="1"/>
  <c r="I48" i="3"/>
  <c r="I65" i="3" s="1"/>
  <c r="I47" i="3"/>
  <c r="I64" i="3" s="1"/>
  <c r="I46" i="3"/>
  <c r="I63" i="3" s="1"/>
  <c r="I45" i="3"/>
  <c r="I62" i="3" s="1"/>
  <c r="I44" i="3"/>
  <c r="I61" i="3" s="1"/>
  <c r="I43" i="3"/>
  <c r="I60" i="3" s="1"/>
  <c r="I42" i="3"/>
  <c r="I59" i="3" s="1"/>
  <c r="M57" i="3"/>
  <c r="M74" i="3" s="1"/>
  <c r="M56" i="3"/>
  <c r="M73" i="3" s="1"/>
  <c r="M55" i="3"/>
  <c r="M72" i="3" s="1"/>
  <c r="M54" i="3"/>
  <c r="M71" i="3" s="1"/>
  <c r="M53" i="3"/>
  <c r="M70" i="3" s="1"/>
  <c r="M52" i="3"/>
  <c r="M69" i="3" s="1"/>
  <c r="M51" i="3"/>
  <c r="M68" i="3" s="1"/>
  <c r="M50" i="3"/>
  <c r="M67" i="3" s="1"/>
  <c r="M49" i="3"/>
  <c r="M66" i="3" s="1"/>
  <c r="M48" i="3"/>
  <c r="M65" i="3" s="1"/>
  <c r="M47" i="3"/>
  <c r="M64" i="3" s="1"/>
  <c r="M46" i="3"/>
  <c r="M63" i="3" s="1"/>
  <c r="M45" i="3"/>
  <c r="M44" i="3"/>
  <c r="M61" i="3" s="1"/>
  <c r="M43" i="3"/>
  <c r="M60" i="3" s="1"/>
  <c r="M42" i="3"/>
  <c r="M59" i="3" s="1"/>
  <c r="C60" i="3"/>
  <c r="D60" i="3"/>
  <c r="F60" i="3"/>
  <c r="G60" i="3"/>
  <c r="H60" i="3"/>
  <c r="J60" i="3"/>
  <c r="K60" i="3"/>
  <c r="L60" i="3"/>
  <c r="N60" i="3"/>
  <c r="O60" i="3"/>
  <c r="C61" i="3"/>
  <c r="D61" i="3"/>
  <c r="F61" i="3"/>
  <c r="G61" i="3"/>
  <c r="H61" i="3"/>
  <c r="J61" i="3"/>
  <c r="K61" i="3"/>
  <c r="L61" i="3"/>
  <c r="N61" i="3"/>
  <c r="O61" i="3"/>
  <c r="C62" i="3"/>
  <c r="D62" i="3"/>
  <c r="F62" i="3"/>
  <c r="G62" i="3"/>
  <c r="H62" i="3"/>
  <c r="J62" i="3"/>
  <c r="K62" i="3"/>
  <c r="L62" i="3"/>
  <c r="M62" i="3"/>
  <c r="N62" i="3"/>
  <c r="O62" i="3"/>
  <c r="C63" i="3"/>
  <c r="D63" i="3"/>
  <c r="F63" i="3"/>
  <c r="G63" i="3"/>
  <c r="H63" i="3"/>
  <c r="J63" i="3"/>
  <c r="K63" i="3"/>
  <c r="L63" i="3"/>
  <c r="N63" i="3"/>
  <c r="O63" i="3"/>
  <c r="C64" i="3"/>
  <c r="D64" i="3"/>
  <c r="F64" i="3"/>
  <c r="G64" i="3"/>
  <c r="H64" i="3"/>
  <c r="J64" i="3"/>
  <c r="K64" i="3"/>
  <c r="L64" i="3"/>
  <c r="N64" i="3"/>
  <c r="O64" i="3"/>
  <c r="C65" i="3"/>
  <c r="D65" i="3"/>
  <c r="F65" i="3"/>
  <c r="G65" i="3"/>
  <c r="H65" i="3"/>
  <c r="J65" i="3"/>
  <c r="K65" i="3"/>
  <c r="L65" i="3"/>
  <c r="N65" i="3"/>
  <c r="O65" i="3"/>
  <c r="C66" i="3"/>
  <c r="D66" i="3"/>
  <c r="F66" i="3"/>
  <c r="G66" i="3"/>
  <c r="H66" i="3"/>
  <c r="J66" i="3"/>
  <c r="K66" i="3"/>
  <c r="L66" i="3"/>
  <c r="N66" i="3"/>
  <c r="O66" i="3"/>
  <c r="C67" i="3"/>
  <c r="D67" i="3"/>
  <c r="F67" i="3"/>
  <c r="G67" i="3"/>
  <c r="H67" i="3"/>
  <c r="J67" i="3"/>
  <c r="K67" i="3"/>
  <c r="L67" i="3"/>
  <c r="N67" i="3"/>
  <c r="O67" i="3"/>
  <c r="C68" i="3"/>
  <c r="D68" i="3"/>
  <c r="F68" i="3"/>
  <c r="G68" i="3"/>
  <c r="H68" i="3"/>
  <c r="J68" i="3"/>
  <c r="K68" i="3"/>
  <c r="L68" i="3"/>
  <c r="N68" i="3"/>
  <c r="O68" i="3"/>
  <c r="C69" i="3"/>
  <c r="D69" i="3"/>
  <c r="F69" i="3"/>
  <c r="G69" i="3"/>
  <c r="H69" i="3"/>
  <c r="J69" i="3"/>
  <c r="K69" i="3"/>
  <c r="L69" i="3"/>
  <c r="N69" i="3"/>
  <c r="O69" i="3"/>
  <c r="C70" i="3"/>
  <c r="D70" i="3"/>
  <c r="F70" i="3"/>
  <c r="G70" i="3"/>
  <c r="H70" i="3"/>
  <c r="J70" i="3"/>
  <c r="K70" i="3"/>
  <c r="L70" i="3"/>
  <c r="N70" i="3"/>
  <c r="O70" i="3"/>
  <c r="C71" i="3"/>
  <c r="D71" i="3"/>
  <c r="F71" i="3"/>
  <c r="G71" i="3"/>
  <c r="H71" i="3"/>
  <c r="J71" i="3"/>
  <c r="K71" i="3"/>
  <c r="L71" i="3"/>
  <c r="N71" i="3"/>
  <c r="O71" i="3"/>
  <c r="C72" i="3"/>
  <c r="D72" i="3"/>
  <c r="E72" i="3"/>
  <c r="F72" i="3"/>
  <c r="G72" i="3"/>
  <c r="H72" i="3"/>
  <c r="J72" i="3"/>
  <c r="K72" i="3"/>
  <c r="L72" i="3"/>
  <c r="N72" i="3"/>
  <c r="O72" i="3"/>
  <c r="C73" i="3"/>
  <c r="D73" i="3"/>
  <c r="F73" i="3"/>
  <c r="G73" i="3"/>
  <c r="H73" i="3"/>
  <c r="J73" i="3"/>
  <c r="K73" i="3"/>
  <c r="L73" i="3"/>
  <c r="N73" i="3"/>
  <c r="O73" i="3"/>
  <c r="C74" i="3"/>
  <c r="D74" i="3"/>
  <c r="F74" i="3"/>
  <c r="G74" i="3"/>
  <c r="H74" i="3"/>
  <c r="J74" i="3"/>
  <c r="K74" i="3"/>
  <c r="L74" i="3"/>
  <c r="N74" i="3"/>
  <c r="O74" i="3"/>
  <c r="D59" i="3"/>
  <c r="F59" i="3"/>
  <c r="G59" i="3"/>
  <c r="H59" i="3"/>
  <c r="J59" i="3"/>
  <c r="K59" i="3"/>
  <c r="L59" i="3"/>
  <c r="N59" i="3"/>
  <c r="O59" i="3"/>
  <c r="C59" i="3"/>
  <c r="D40" i="3"/>
  <c r="F40" i="3"/>
  <c r="J40" i="3"/>
  <c r="N40" i="3"/>
  <c r="C40" i="3"/>
  <c r="O39" i="3"/>
  <c r="E26" i="3"/>
  <c r="F26" i="3"/>
  <c r="G26" i="3"/>
  <c r="H26" i="3"/>
  <c r="I26" i="3"/>
  <c r="J26" i="3"/>
  <c r="K26" i="3"/>
  <c r="L26" i="3"/>
  <c r="M26" i="3"/>
  <c r="N26" i="3"/>
  <c r="O26" i="3"/>
  <c r="D26" i="3"/>
  <c r="H27" i="3"/>
  <c r="I27" i="3"/>
  <c r="J27" i="3"/>
  <c r="K27" i="3"/>
  <c r="L27" i="3"/>
  <c r="M27" i="3"/>
  <c r="N27" i="3"/>
  <c r="O27" i="3"/>
  <c r="G27" i="3"/>
  <c r="O23" i="3"/>
  <c r="H23" i="3"/>
  <c r="I23" i="3"/>
  <c r="J23" i="3"/>
  <c r="K23" i="3"/>
  <c r="L23" i="3"/>
  <c r="M23" i="3"/>
  <c r="N23" i="3"/>
  <c r="G23" i="3"/>
  <c r="E22" i="3"/>
  <c r="F22" i="3"/>
  <c r="G22" i="3"/>
  <c r="H22" i="3"/>
  <c r="I22" i="3"/>
  <c r="J22" i="3"/>
  <c r="K22" i="3"/>
  <c r="L22" i="3"/>
  <c r="M22" i="3"/>
  <c r="N22" i="3"/>
  <c r="O22" i="3"/>
  <c r="D22" i="3"/>
  <c r="D21" i="3"/>
  <c r="E21" i="3"/>
  <c r="F21" i="3"/>
  <c r="G21" i="3"/>
  <c r="H21" i="3"/>
  <c r="I21" i="3"/>
  <c r="J21" i="3"/>
  <c r="K21" i="3"/>
  <c r="L21" i="3"/>
  <c r="M21" i="3"/>
  <c r="N21" i="3"/>
  <c r="O21" i="3"/>
  <c r="C21" i="3"/>
  <c r="D19" i="3"/>
  <c r="E19" i="3"/>
  <c r="F19" i="3"/>
  <c r="G19" i="3"/>
  <c r="H19" i="3"/>
  <c r="I19" i="3"/>
  <c r="J19" i="3"/>
  <c r="K19" i="3"/>
  <c r="L19" i="3"/>
  <c r="M19" i="3"/>
  <c r="N19" i="3"/>
  <c r="O19" i="3"/>
  <c r="C19" i="3"/>
  <c r="H5" i="3"/>
  <c r="I5" i="3"/>
  <c r="J5" i="3"/>
  <c r="K5" i="3"/>
  <c r="L5" i="3"/>
  <c r="M5" i="3"/>
  <c r="N5" i="3"/>
  <c r="O5" i="3"/>
  <c r="G5" i="3"/>
  <c r="E4" i="3"/>
  <c r="F4" i="3"/>
  <c r="G4" i="3"/>
  <c r="H4" i="3"/>
  <c r="I4" i="3"/>
  <c r="J4" i="3"/>
  <c r="K4" i="3"/>
  <c r="L4" i="3"/>
  <c r="M4" i="3"/>
  <c r="N4" i="3"/>
  <c r="O4" i="3"/>
  <c r="D4" i="3"/>
  <c r="K290" i="4" l="1"/>
  <c r="H10" i="3"/>
  <c r="G16" i="3"/>
  <c r="D290" i="4"/>
  <c r="H11" i="3"/>
  <c r="G17" i="3"/>
  <c r="L10" i="3"/>
  <c r="K16" i="3"/>
  <c r="H7" i="3"/>
  <c r="G13" i="3"/>
  <c r="L11" i="3"/>
  <c r="K17" i="3"/>
  <c r="H8" i="3"/>
  <c r="G14" i="3"/>
  <c r="L7" i="3"/>
  <c r="K13" i="3"/>
  <c r="H9" i="3"/>
  <c r="G15" i="3"/>
  <c r="E73" i="3"/>
  <c r="E74" i="3"/>
  <c r="L9" i="3"/>
  <c r="L8" i="3"/>
  <c r="G40" i="3"/>
  <c r="O40" i="3"/>
  <c r="H39" i="3"/>
  <c r="I39" i="3" s="1"/>
  <c r="I40" i="3" s="1"/>
  <c r="K40" i="3"/>
  <c r="E40" i="3"/>
  <c r="I11" i="3" l="1"/>
  <c r="I17" i="3" s="1"/>
  <c r="H17" i="3"/>
  <c r="I7" i="3"/>
  <c r="I13" i="3" s="1"/>
  <c r="H13" i="3"/>
  <c r="I8" i="3"/>
  <c r="I14" i="3" s="1"/>
  <c r="H14" i="3"/>
  <c r="M9" i="3"/>
  <c r="M15" i="3" s="1"/>
  <c r="L15" i="3"/>
  <c r="M11" i="3"/>
  <c r="M17" i="3" s="1"/>
  <c r="L17" i="3"/>
  <c r="M7" i="3"/>
  <c r="M13" i="3" s="1"/>
  <c r="L13" i="3"/>
  <c r="M8" i="3"/>
  <c r="M14" i="3" s="1"/>
  <c r="L14" i="3"/>
  <c r="I9" i="3"/>
  <c r="I15" i="3" s="1"/>
  <c r="H15" i="3"/>
  <c r="M10" i="3"/>
  <c r="M16" i="3" s="1"/>
  <c r="L16" i="3"/>
  <c r="I10" i="3"/>
  <c r="I16" i="3" s="1"/>
  <c r="H16" i="3"/>
  <c r="H40" i="3"/>
  <c r="L40" i="3"/>
  <c r="M40" i="3"/>
</calcChain>
</file>

<file path=xl/sharedStrings.xml><?xml version="1.0" encoding="utf-8"?>
<sst xmlns="http://schemas.openxmlformats.org/spreadsheetml/2006/main" count="358" uniqueCount="284">
  <si>
    <t>매출액</t>
  </si>
  <si>
    <t>% YoY</t>
  </si>
  <si>
    <t>매출총이익</t>
  </si>
  <si>
    <t>영업이익</t>
  </si>
  <si>
    <t>당기순이익</t>
  </si>
  <si>
    <t>(단위: 일억원)</t>
    <phoneticPr fontId="2" type="noConversion"/>
  </si>
  <si>
    <t>건강기능식품소재</t>
    <phoneticPr fontId="2" type="noConversion"/>
  </si>
  <si>
    <t>하청제품</t>
    <phoneticPr fontId="2" type="noConversion"/>
  </si>
  <si>
    <t>기타매출</t>
    <phoneticPr fontId="2" type="noConversion"/>
  </si>
  <si>
    <t>breakdown</t>
    <phoneticPr fontId="2" type="noConversion"/>
  </si>
  <si>
    <t>일반기능식품소재(분말형)</t>
    <phoneticPr fontId="2" type="noConversion"/>
  </si>
  <si>
    <t>일반기능식품소재(액상형)</t>
    <phoneticPr fontId="2" type="noConversion"/>
  </si>
  <si>
    <t>%qoq</t>
    <phoneticPr fontId="2" type="noConversion"/>
  </si>
  <si>
    <t>%yoy</t>
    <phoneticPr fontId="2" type="noConversion"/>
  </si>
  <si>
    <t>%gpm</t>
    <phoneticPr fontId="2" type="noConversion"/>
  </si>
  <si>
    <t>%opm</t>
    <phoneticPr fontId="2" type="noConversion"/>
  </si>
  <si>
    <t>%npm</t>
    <phoneticPr fontId="2" type="noConversion"/>
  </si>
  <si>
    <t>쇠고기 분말</t>
    <phoneticPr fontId="2" type="noConversion"/>
  </si>
  <si>
    <t>크림맛 분말</t>
    <phoneticPr fontId="2" type="noConversion"/>
  </si>
  <si>
    <t>매운치즈소스-브이(V)</t>
    <phoneticPr fontId="2" type="noConversion"/>
  </si>
  <si>
    <t>치킨향분말-브이트(V2)</t>
    <phoneticPr fontId="2" type="noConversion"/>
  </si>
  <si>
    <t>생산실적</t>
    <phoneticPr fontId="2" type="noConversion"/>
  </si>
  <si>
    <t>가동율</t>
    <phoneticPr fontId="2" type="noConversion"/>
  </si>
  <si>
    <t>주요 제품 가격 (kg/원)</t>
    <phoneticPr fontId="2" type="noConversion"/>
  </si>
  <si>
    <t>콩나물 추출물 분말</t>
    <phoneticPr fontId="2" type="noConversion"/>
  </si>
  <si>
    <t>성격별 비용</t>
    <phoneticPr fontId="2" type="noConversion"/>
  </si>
  <si>
    <t>재고자산의 변동</t>
    <phoneticPr fontId="2" type="noConversion"/>
  </si>
  <si>
    <t>원재료 및 부재료 매입액</t>
    <phoneticPr fontId="2" type="noConversion"/>
  </si>
  <si>
    <t>급여</t>
    <phoneticPr fontId="2" type="noConversion"/>
  </si>
  <si>
    <t>퇴직급여</t>
    <phoneticPr fontId="2" type="noConversion"/>
  </si>
  <si>
    <t>복리후생비</t>
    <phoneticPr fontId="2" type="noConversion"/>
  </si>
  <si>
    <t>감가상각비</t>
    <phoneticPr fontId="2" type="noConversion"/>
  </si>
  <si>
    <t>사용권자산상각비</t>
    <phoneticPr fontId="2" type="noConversion"/>
  </si>
  <si>
    <t>무형자산상각비</t>
    <phoneticPr fontId="2" type="noConversion"/>
  </si>
  <si>
    <t>운반비</t>
    <phoneticPr fontId="2" type="noConversion"/>
  </si>
  <si>
    <t>지급수수료</t>
    <phoneticPr fontId="2" type="noConversion"/>
  </si>
  <si>
    <t>외주가공비</t>
    <phoneticPr fontId="2" type="noConversion"/>
  </si>
  <si>
    <t>수도광열비</t>
    <phoneticPr fontId="2" type="noConversion"/>
  </si>
  <si>
    <t>전력비</t>
    <phoneticPr fontId="2" type="noConversion"/>
  </si>
  <si>
    <t>세금과공과</t>
    <phoneticPr fontId="2" type="noConversion"/>
  </si>
  <si>
    <t>소모품비</t>
    <phoneticPr fontId="2" type="noConversion"/>
  </si>
  <si>
    <t>기타비용</t>
    <phoneticPr fontId="2" type="noConversion"/>
  </si>
  <si>
    <t>%of sales</t>
    <phoneticPr fontId="2" type="noConversion"/>
  </si>
  <si>
    <t>치킨향분말-지(G)</t>
    <phoneticPr fontId="2" type="noConversion"/>
  </si>
  <si>
    <t>그릴농축액-지(G)</t>
    <phoneticPr fontId="2" type="noConversion"/>
  </si>
  <si>
    <t>모짜렐라치즈분말</t>
    <phoneticPr fontId="2" type="noConversion"/>
  </si>
  <si>
    <t>매운치즈소스-지(G)</t>
    <phoneticPr fontId="2" type="noConversion"/>
  </si>
  <si>
    <t>Q. 불닭 소스 관련 제품들</t>
    <phoneticPr fontId="2" type="noConversion"/>
  </si>
  <si>
    <t>Q. 불닭 소스 경쟁자가 있는지</t>
    <phoneticPr fontId="2" type="noConversion"/>
  </si>
  <si>
    <t>Q. 가장 비중이 큰 원재료</t>
    <phoneticPr fontId="2" type="noConversion"/>
  </si>
  <si>
    <t>Q. 공시에서 나온 제품명들에 대한 설명 부탁(분말형 vs 액상형, 브이랑 지 차이)</t>
    <phoneticPr fontId="2" type="noConversion"/>
  </si>
  <si>
    <t>A. 분말형과 액상형은 대분류. 그 안에 포함되는 제품군은 다양하다. 브이랑 지는 원재료 배합비에 따라 큰 틀에서 제품은 같지만 살짝 달라진 느낌</t>
    <phoneticPr fontId="2" type="noConversion"/>
  </si>
  <si>
    <t>A. 매운치즈소스, 크림맛분말, 치킨향분말, 그릴농축액</t>
    <phoneticPr fontId="2" type="noConversion"/>
  </si>
  <si>
    <t>A. 자사 고유 레시피라 없음.</t>
    <phoneticPr fontId="2" type="noConversion"/>
  </si>
  <si>
    <t>A. 공시를 보면 큰 비중의 원재료는 다 나와 있다. 기타 매입액이 큰 이유는 원재료가 200개가 넘게 들어가다 보니 전체 금액으로는 커진 것.</t>
    <phoneticPr fontId="2" type="noConversion"/>
  </si>
  <si>
    <t>생산능력 (톤)</t>
    <phoneticPr fontId="2" type="noConversion"/>
  </si>
  <si>
    <t>Business Model</t>
    <phoneticPr fontId="2" type="noConversion"/>
  </si>
  <si>
    <t>여러 가지 식품 소재를 만드는 식품제조사로 삼양식품의 불닭 소스를 전담으로 제조하는 기업이다.</t>
    <phoneticPr fontId="2" type="noConversion"/>
  </si>
  <si>
    <t>공시에 있는 제품명들은 이해하기 어려워 ir 전화 + 증권신고서에 있는 내용을 정리해 BM을 이해해보자.</t>
    <phoneticPr fontId="2" type="noConversion"/>
  </si>
  <si>
    <t>일반기능 식품소재(분말)</t>
    <phoneticPr fontId="2" type="noConversion"/>
  </si>
  <si>
    <t>1.치킨향 분말</t>
    <phoneticPr fontId="2" type="noConversion"/>
  </si>
  <si>
    <t>동사 고유의 레시피로 치킨맛과 감칠맛을 가지는 제품으로 치킨맛을 필요로 하는 조미식품에 범용적으로 사용가능하다.</t>
    <phoneticPr fontId="2" type="noConversion"/>
  </si>
  <si>
    <t>삼양식품 수출용 불닭볶음면 시리즈 핵심원료로 할랄인증등록된 제품이다.</t>
    <phoneticPr fontId="2" type="noConversion"/>
  </si>
  <si>
    <t>할랄</t>
    <phoneticPr fontId="2" type="noConversion"/>
  </si>
  <si>
    <t>halal은 이슬람 율법에 의해 무슬림이 먹고 쓸 수 있도록 허용된 제품을 총칭하는 용어로 채소 곡류 등 식물성 음식과 어류 등 해산물, 육류 중 닭고기 소고기 등이 포함되며 술 돼지고기 등 무슬림에게 금지된 음식은 ‘하람(haram)’이라고 한다.</t>
    <phoneticPr fontId="2" type="noConversion"/>
  </si>
  <si>
    <t>원래 '치킨향 분말-지(G)'로 공시되다가 '치킨향 분말-브이트(V2)'로 공시된다고 한다.</t>
    <phoneticPr fontId="2" type="noConversion"/>
  </si>
  <si>
    <t>2.크림맛 분말</t>
    <phoneticPr fontId="2" type="noConversion"/>
  </si>
  <si>
    <t>각기 다른 특성의 유제품 분말을 혼합하여 부드럽고 고소한 크림맛을 부여하고 할 때 적합한 제품이다.</t>
    <phoneticPr fontId="2" type="noConversion"/>
  </si>
  <si>
    <t>3.모짜렐라 치즈분말</t>
    <phoneticPr fontId="2" type="noConversion"/>
  </si>
  <si>
    <t>Q. 컵라면에 들어가는 것과 봉지라면에 들어가는 제품 종류가 같은가?</t>
    <phoneticPr fontId="2" type="noConversion"/>
  </si>
  <si>
    <t>모짜렐라 치즈를 가공하여 시즈닝한 제품으로 치즈 고유의 풍미를 가진다.</t>
    <phoneticPr fontId="2" type="noConversion"/>
  </si>
  <si>
    <t>할랄인증등록되어 있다.</t>
    <phoneticPr fontId="2" type="noConversion"/>
  </si>
  <si>
    <t>4.버터시즈닝 분말</t>
    <phoneticPr fontId="2" type="noConversion"/>
  </si>
  <si>
    <t>버터와 치즈를 가공, 시즈닝한 제품으로 버터 특유의 부드럽고 풍부한 향미를 가지는 제품이다.</t>
    <phoneticPr fontId="2" type="noConversion"/>
  </si>
  <si>
    <t>5.햄맛분말</t>
    <phoneticPr fontId="2" type="noConversion"/>
  </si>
  <si>
    <t>햄과 양파, 마늘, 간장 등을 배합, 반응한 제품으로 햄맛이 풍부하다.</t>
    <phoneticPr fontId="2" type="noConversion"/>
  </si>
  <si>
    <t>6.진사골 추출물 분말</t>
    <phoneticPr fontId="2" type="noConversion"/>
  </si>
  <si>
    <t>볼드체 처리된 제품명은 주요 제품들로 가격이 공시된 제품들이다.</t>
    <phoneticPr fontId="2" type="noConversion"/>
  </si>
  <si>
    <t>Q.사업보고서나 분기보고서를 보면 원재료 가격이 공시된 제품들을 보니 증권신고서에 있는 모든 제품이 있는 것이 아님. 공시된 제품들이 대표 제품으로 이해하면 되는가?</t>
    <phoneticPr fontId="2" type="noConversion"/>
  </si>
  <si>
    <t>사골엑기스를 분말화한 제품으로 진한 사골국물맛을 내고자 할 때 적합한 제품이다.</t>
    <phoneticPr fontId="2" type="noConversion"/>
  </si>
  <si>
    <t>7.콩나물 추출물 분말</t>
    <phoneticPr fontId="2" type="noConversion"/>
  </si>
  <si>
    <t>콩나물, 마늘, 양파를 직접 추출하여 조미 시즈닝한 제품으로 콩나물 특유의 시원하고 깔끔한 맛을 가지는 제품이다.</t>
    <phoneticPr fontId="2" type="noConversion"/>
  </si>
  <si>
    <t>할랄인증 등록이 되었다.</t>
    <phoneticPr fontId="2" type="noConversion"/>
  </si>
  <si>
    <t>8.핫소스 분말</t>
    <phoneticPr fontId="2" type="noConversion"/>
  </si>
  <si>
    <t>레드 핫소스와 향신료를 혼합하여 분말화한 제품으로 핫소스 특유의 매운 맛을 가지고 있다.</t>
    <phoneticPr fontId="2" type="noConversion"/>
  </si>
  <si>
    <t>적용 제품인 타파피오 라면은 내수용이 아닌 미국 수출용이다.</t>
    <phoneticPr fontId="2" type="noConversion"/>
  </si>
  <si>
    <t>9.청양고추 시즈닝 분말</t>
    <phoneticPr fontId="2" type="noConversion"/>
  </si>
  <si>
    <t>청양고추 특유의 향과 매운맛을 가지고 있는 제품으로 자연스러운 매운 맛을 내고자 할 때 적합한 제품이다.</t>
    <phoneticPr fontId="2" type="noConversion"/>
  </si>
  <si>
    <t>CJ, 농심, 삼양라면 등 굉장히 다양한 종류의 각종 조미식품에 적용된다.</t>
    <phoneticPr fontId="2" type="noConversion"/>
  </si>
  <si>
    <t>10.버터체다혼합분말</t>
    <phoneticPr fontId="2" type="noConversion"/>
  </si>
  <si>
    <t>버터와 체다치즈를 혼합한 제품으로 버터 특유의 부드러운 맛과 체다치즈의 진한맛을 가지고 있는 제품이다.</t>
    <phoneticPr fontId="2" type="noConversion"/>
  </si>
  <si>
    <t>일반기능식품소재(액상)</t>
    <phoneticPr fontId="2" type="noConversion"/>
  </si>
  <si>
    <t>1.그릴농축액</t>
    <phoneticPr fontId="2" type="noConversion"/>
  </si>
  <si>
    <t>알파벳이 바뀐건 배합비율의 변경 때문.(다른 제품의 알파벳 변경도 동일 이유)</t>
    <phoneticPr fontId="2" type="noConversion"/>
  </si>
  <si>
    <t>당사의 핵심 기술인 리액션 반응 key base를 시즈닝한 제품으로 고유의 치킨맛과 볶음 야채향을 가지고 있는 제품이다.</t>
    <phoneticPr fontId="2" type="noConversion"/>
  </si>
  <si>
    <t>Q. 증권신고서를 보니 수출용과 내수용 제품을 구분 짓는 것 같다. 맛의 차이가 있는가?</t>
    <phoneticPr fontId="2" type="noConversion"/>
  </si>
  <si>
    <t>수출용 불닭볶음면의 핵심원료로 할랄인증이 되었다.</t>
    <phoneticPr fontId="2" type="noConversion"/>
  </si>
  <si>
    <t>2.매운치즈소스</t>
    <phoneticPr fontId="2" type="noConversion"/>
  </si>
  <si>
    <t>당사의 핵심 기술인 리액션 반응 key base를 모짜렐라 치즈와 시즈닝한 제품으로 고유의 맛과 향을 가진 제품이다.</t>
    <phoneticPr fontId="2" type="noConversion"/>
  </si>
  <si>
    <t>할랄인증이 된 제품으로 알파벳이 붙어있으면 수출용, 없으면 내수용이다.</t>
    <phoneticPr fontId="2" type="noConversion"/>
  </si>
  <si>
    <t>3.그릴치킨 농축액</t>
    <phoneticPr fontId="2" type="noConversion"/>
  </si>
  <si>
    <t>당사의 핵심 기술인 리액션 반응 key base를 시즈닝한 제품으로 고유의 치킨 맛과 향을 가지고 있는 제품이다.</t>
    <phoneticPr fontId="2" type="noConversion"/>
  </si>
  <si>
    <t>내수용 불닭볶음면과 불닭소스의 핵심원료 제품이다.</t>
    <phoneticPr fontId="2" type="noConversion"/>
  </si>
  <si>
    <t>4.진한 가쓰오 조미액</t>
    <phoneticPr fontId="2" type="noConversion"/>
  </si>
  <si>
    <t>가쓰오부시, 다시마, 건멸치 등을 알코올, 열수 추출하여 시즈닝한 제품으로 가쓰오 풍미가 진하고 깊은 맛을 가진 제품이다.</t>
    <phoneticPr fontId="2" type="noConversion"/>
  </si>
  <si>
    <t>풀무원의 우동 제품의 핵심원료로 적용된다.</t>
    <phoneticPr fontId="2" type="noConversion"/>
  </si>
  <si>
    <t>5.매운 치즈 소스</t>
    <phoneticPr fontId="2" type="noConversion"/>
  </si>
  <si>
    <t>당사의 핵심 기술인 리액션 반응 key base를 모짜렐라 치즈와 시즈닝한 제품으로 고유의 맛과 향을 가지고 있는 제품이다.</t>
    <phoneticPr fontId="2" type="noConversion"/>
  </si>
  <si>
    <t>내수용 치즈 불닭 볶음면 핵심원료로 할랄 인증이 되어 있다.</t>
    <phoneticPr fontId="2" type="noConversion"/>
  </si>
  <si>
    <t>6.냉면베이스</t>
    <phoneticPr fontId="2" type="noConversion"/>
  </si>
  <si>
    <t>쇠고기 육수와 닭고기 육수를 혼합, 시즈닝한 제품으로 냉면의 깊은 맛을 내고자 할 때 적합한 제품이다.</t>
    <phoneticPr fontId="2" type="noConversion"/>
  </si>
  <si>
    <t>풀무원의 냉면 제품의 핵심 원료로 적용된다.</t>
    <phoneticPr fontId="2" type="noConversion"/>
  </si>
  <si>
    <t>7.비프 추출물</t>
    <phoneticPr fontId="2" type="noConversion"/>
  </si>
  <si>
    <t>쇠고기를 효소분해 및 열수 추출하여 만든 진한 쇠고기 맛 베이스의 제품이다.</t>
    <phoneticPr fontId="2" type="noConversion"/>
  </si>
  <si>
    <t>삼양 식품에서 고기 맛을 내는 여러 제품에 적용된다.</t>
    <phoneticPr fontId="2" type="noConversion"/>
  </si>
  <si>
    <t>쇠고기 엑기스와 사골 엑기스를 잘 혼합하여 양파, 표고버섯 분말 등을 첨가하여 깊고 진한 풍미를 가지고 있는 제품이다.</t>
    <phoneticPr fontId="2" type="noConversion"/>
  </si>
  <si>
    <t>8.참 진한 육수(스프) 베이스</t>
    <phoneticPr fontId="2" type="noConversion"/>
  </si>
  <si>
    <t>9.냉면스탁</t>
    <phoneticPr fontId="2" type="noConversion"/>
  </si>
  <si>
    <t>건강기능식품소재</t>
    <phoneticPr fontId="2" type="noConversion"/>
  </si>
  <si>
    <t>미감주정추출물</t>
    <phoneticPr fontId="2" type="noConversion"/>
  </si>
  <si>
    <t>감태추출물</t>
    <phoneticPr fontId="2" type="noConversion"/>
  </si>
  <si>
    <t>엠피지-6</t>
    <phoneticPr fontId="2" type="noConversion"/>
  </si>
  <si>
    <t>하이프로젝트포뮬라</t>
    <phoneticPr fontId="2" type="noConversion"/>
  </si>
  <si>
    <t>헛개나무열매추출농축액</t>
    <phoneticPr fontId="2" type="noConversion"/>
  </si>
  <si>
    <t>하이프레젝트포뮬라 골드</t>
    <phoneticPr fontId="2" type="noConversion"/>
  </si>
  <si>
    <t>가당전란분말</t>
    <phoneticPr fontId="2" type="noConversion"/>
  </si>
  <si>
    <t>컨디션혼합농축액</t>
    <phoneticPr fontId="2" type="noConversion"/>
  </si>
  <si>
    <t>타트체리농축분말</t>
    <phoneticPr fontId="2" type="noConversion"/>
  </si>
  <si>
    <t>마이크로바이옴시너지 복합소재</t>
    <phoneticPr fontId="2" type="noConversion"/>
  </si>
  <si>
    <t>비피더스 인핸서</t>
    <phoneticPr fontId="2" type="noConversion"/>
  </si>
  <si>
    <t>제품명</t>
    <phoneticPr fontId="2" type="noConversion"/>
  </si>
  <si>
    <t>설명</t>
    <phoneticPr fontId="2" type="noConversion"/>
  </si>
  <si>
    <t>수면의 질 개선</t>
    <phoneticPr fontId="2" type="noConversion"/>
  </si>
  <si>
    <t>입면 시간 단축</t>
    <phoneticPr fontId="2" type="noConversion"/>
  </si>
  <si>
    <t>멜라토닌과 베타카로틴 함량이 높은 타트체리 농축액을 분말화</t>
    <phoneticPr fontId="2" type="noConversion"/>
  </si>
  <si>
    <t>적용 제품</t>
    <phoneticPr fontId="2" type="noConversion"/>
  </si>
  <si>
    <t>일동후디스의 하이키드밀크</t>
    <phoneticPr fontId="2" type="noConversion"/>
  </si>
  <si>
    <t>남양유업의 위쎈</t>
    <phoneticPr fontId="2" type="noConversion"/>
  </si>
  <si>
    <t>컨디션, 헛개수</t>
    <phoneticPr fontId="2" type="noConversion"/>
  </si>
  <si>
    <t>건국우유의 요구트</t>
    <phoneticPr fontId="2" type="noConversion"/>
  </si>
  <si>
    <t>컨디션</t>
    <phoneticPr fontId="2" type="noConversion"/>
  </si>
  <si>
    <t>그린스토어의 수면엔</t>
    <phoneticPr fontId="2" type="noConversion"/>
  </si>
  <si>
    <t>파이토뉴트리의 슬립밸런스</t>
    <phoneticPr fontId="2" type="noConversion"/>
  </si>
  <si>
    <t>미래바이오텍의 제품</t>
    <phoneticPr fontId="2" type="noConversion"/>
  </si>
  <si>
    <t>남양유업의 불가리스, 위쎈</t>
    <phoneticPr fontId="2" type="noConversion"/>
  </si>
  <si>
    <t>위질환 예방에 효과적</t>
    <phoneticPr fontId="2" type="noConversion"/>
  </si>
  <si>
    <t>영양성분 보충소재</t>
    <phoneticPr fontId="2" type="noConversion"/>
  </si>
  <si>
    <t>갈증 해소 음료</t>
    <phoneticPr fontId="2" type="noConversion"/>
  </si>
  <si>
    <t>국산 전란을 분말화</t>
    <phoneticPr fontId="2" type="noConversion"/>
  </si>
  <si>
    <t>전피, 감초, 생강, 창출을 혼합, 추출, 농축</t>
    <phoneticPr fontId="2" type="noConversion"/>
  </si>
  <si>
    <t>무, 함초, 다시마를 추출, 농축</t>
    <phoneticPr fontId="2" type="noConversion"/>
  </si>
  <si>
    <t>쌀 발효 추출물을 분말화, 남양유업</t>
    <phoneticPr fontId="2" type="noConversion"/>
  </si>
  <si>
    <t>용도</t>
    <phoneticPr fontId="2" type="noConversion"/>
  </si>
  <si>
    <t>건강기능성식품</t>
    <phoneticPr fontId="2" type="noConversion"/>
  </si>
  <si>
    <t>건강보조식품</t>
    <phoneticPr fontId="2" type="noConversion"/>
  </si>
  <si>
    <t>2Q21</t>
    <phoneticPr fontId="2" type="noConversion"/>
  </si>
  <si>
    <t>3Q21</t>
    <phoneticPr fontId="2" type="noConversion"/>
  </si>
  <si>
    <t>4Q21</t>
    <phoneticPr fontId="2" type="noConversion"/>
  </si>
  <si>
    <t>1Q22</t>
    <phoneticPr fontId="2" type="noConversion"/>
  </si>
  <si>
    <t>2Q22</t>
    <phoneticPr fontId="2" type="noConversion"/>
  </si>
  <si>
    <t>3Q22</t>
    <phoneticPr fontId="2" type="noConversion"/>
  </si>
  <si>
    <t>4Q22</t>
    <phoneticPr fontId="2" type="noConversion"/>
  </si>
  <si>
    <t>1Q23</t>
    <phoneticPr fontId="2" type="noConversion"/>
  </si>
  <si>
    <t>2Q23</t>
    <phoneticPr fontId="2" type="noConversion"/>
  </si>
  <si>
    <t>3Q23</t>
    <phoneticPr fontId="2" type="noConversion"/>
  </si>
  <si>
    <t>4Q23</t>
    <phoneticPr fontId="2" type="noConversion"/>
  </si>
  <si>
    <t>2Q24</t>
    <phoneticPr fontId="2" type="noConversion"/>
  </si>
  <si>
    <t>매출액 비중</t>
    <phoneticPr fontId="2" type="noConversion"/>
  </si>
  <si>
    <t>flat</t>
    <phoneticPr fontId="2" type="noConversion"/>
  </si>
  <si>
    <t>현금흐름</t>
    <phoneticPr fontId="2" type="noConversion"/>
  </si>
  <si>
    <t>영업활동으로 인한 현금흐름</t>
  </si>
  <si>
    <t>투자활동으로 인한 현금흐름</t>
  </si>
  <si>
    <t>재무활동으로 인한 현금흐름</t>
  </si>
  <si>
    <t>1Q24</t>
    <phoneticPr fontId="2" type="noConversion"/>
  </si>
  <si>
    <t>상장 이후 큰 관심이 없었음.</t>
    <phoneticPr fontId="2" type="noConversion"/>
  </si>
  <si>
    <t>24.03.06. 자사주 공개매수후 소각 결정(주총) - 상한가</t>
    <phoneticPr fontId="2" type="noConversion"/>
  </si>
  <si>
    <t>취득가액은 3만원으로 당시 주가는 18000원.</t>
    <phoneticPr fontId="2" type="noConversion"/>
  </si>
  <si>
    <t>24.03.22. 공시를 통해 발행주식의 29% 소각 결정</t>
    <phoneticPr fontId="2" type="noConversion"/>
  </si>
  <si>
    <t>05.17과 06.13에 리포트 나오며 상한가</t>
    <phoneticPr fontId="2" type="noConversion"/>
  </si>
  <si>
    <t>Q. 생산능력이 점점 늘고 있다. 지금 분기당 최대 300억 가능하다고 하는데 얼마까지 늘릴 생각인지?</t>
    <phoneticPr fontId="2" type="noConversion"/>
  </si>
  <si>
    <t>Q. 생산능력을 계속 늘릴만큼 쇼티지가 난 상황?</t>
    <phoneticPr fontId="2" type="noConversion"/>
  </si>
  <si>
    <t>에스앤디 ir 통화 내용</t>
    <phoneticPr fontId="2" type="noConversion"/>
  </si>
  <si>
    <t>삼양식품 주담통 카페</t>
    <phoneticPr fontId="2" type="noConversion"/>
  </si>
  <si>
    <t>Q.불닭소스 내재화 계획?</t>
    <phoneticPr fontId="2" type="noConversion"/>
  </si>
  <si>
    <t>A. 원료단 내재화 계획 없음.</t>
    <phoneticPr fontId="2" type="noConversion"/>
  </si>
  <si>
    <t>Q.에스앤디 회사가 원료 납품 중. 벤더 다변화 계획은?</t>
    <phoneticPr fontId="2" type="noConversion"/>
  </si>
  <si>
    <t>A. 계획 없음.</t>
    <phoneticPr fontId="2" type="noConversion"/>
  </si>
  <si>
    <t>2Q23 세무조사 수수료</t>
    <phoneticPr fontId="2" type="noConversion"/>
  </si>
  <si>
    <t>1Q24 자사주 소각 증권사 수수료</t>
    <phoneticPr fontId="2" type="noConversion"/>
  </si>
  <si>
    <t>2Q23에 하락. 공시 상 판가는 누적금액이다보니 계속 낮아지는 것으로 표기.</t>
    <phoneticPr fontId="2" type="noConversion"/>
  </si>
  <si>
    <t>Q. 작년 2분기에 판가 인하 한걸로 알고 있다. 삼양식품에서 물량 증대에 따라 판가 인하 요청을 한걸로 아는데 독점 공급이라 굳이 인하 해 줄 필요 없지 않았나? 앞으로 또 추가 인하 가능성은?</t>
    <phoneticPr fontId="2" type="noConversion"/>
  </si>
  <si>
    <t>2023.02.01. 삼양식품향 매출 64% 정도(일반기능식품의 80% 정도)</t>
    <phoneticPr fontId="2" type="noConversion"/>
  </si>
  <si>
    <t>2023.11.27. 삼양식품향 매출 76% 정도</t>
    <phoneticPr fontId="2" type="noConversion"/>
  </si>
  <si>
    <t>2024.06.11. 삼양식품향 매출 76.5% (일반기능식품의 90%)</t>
    <phoneticPr fontId="2" type="noConversion"/>
  </si>
  <si>
    <t>Q. 지금 삼양식품향 매출 비중은?</t>
    <phoneticPr fontId="2" type="noConversion"/>
  </si>
  <si>
    <t>A. 전체로 7-80% 정도</t>
    <phoneticPr fontId="2" type="noConversion"/>
  </si>
  <si>
    <t>A.같은걸로 알고 있다.</t>
    <phoneticPr fontId="2" type="noConversion"/>
  </si>
  <si>
    <t>A.네</t>
    <phoneticPr fontId="2" type="noConversion"/>
  </si>
  <si>
    <t>A.맛의 차이가 있는걸로 아는데 정확히는 모르겠음. 배합비가 다르다.</t>
    <phoneticPr fontId="2" type="noConversion"/>
  </si>
  <si>
    <t>A.을의 입장이라 어느 정도 맞춰 줬다. 물량이 늘어서 이익률은 줄지만 이익금은 늘어나니까 요청에 응해준것. 밀양 2공장 증설 시 추가 인하 가능성도 있지만 논의된 것은 없다.</t>
    <phoneticPr fontId="2" type="noConversion"/>
  </si>
  <si>
    <t>A.특별한 계획은 없고 조금식 계속 늘어나는 중이다. 밀양 2공장 증설 시 추가 capa 증설이 있을 수는 있지만 논의된 것은 없다.</t>
    <phoneticPr fontId="2" type="noConversion"/>
  </si>
  <si>
    <t>A.쇼티지가 있었어서 capa 증설. 밀양 2공장 증설 시 또 쇼티지 가능성 있다.</t>
    <phoneticPr fontId="2" type="noConversion"/>
  </si>
  <si>
    <t>2024.08.23. 삼양식품향 매출 7-80%</t>
    <phoneticPr fontId="2" type="noConversion"/>
  </si>
  <si>
    <t>동사는 삼양식품향 매출 비중이 압도적으로 높은 불닭 소스 독점 공급사이다.</t>
    <phoneticPr fontId="2" type="noConversion"/>
  </si>
  <si>
    <t>ir 통화 내용에 따르면 독점 공급사이지만 힘은 없는것 같고 을의 위치인 것 같다.</t>
    <phoneticPr fontId="2" type="noConversion"/>
  </si>
  <si>
    <t>삼양식품 판매량 증가에 따라 꾸준히 생산능력이 늘어 왔고 그에 따라 매출액, 영업이익 모두 늘어 왔다.</t>
    <phoneticPr fontId="2" type="noConversion"/>
  </si>
  <si>
    <t>투자 포인트: 불닭 소스 전문가</t>
    <phoneticPr fontId="2" type="noConversion"/>
  </si>
  <si>
    <t>현재는 생산능력 증가 가능성이 없어 회사 가이던스 대로 1H 500억, 2H 500억 정도로 이번년도 1천억 정도의 매출액이 무난히 찍힐 것이다.</t>
    <phoneticPr fontId="2" type="noConversion"/>
  </si>
  <si>
    <t>밀양 2공장이 증설되는 시점에서 불닭 수요가 견조하다면 추가적인 물량 공급이 필요할 것이고 동사도 증설을 통해 매출액 성장을 이뤄낼 수 있을 것이다.</t>
    <phoneticPr fontId="2" type="noConversion"/>
  </si>
  <si>
    <t>삼양의 capa는?</t>
    <phoneticPr fontId="2" type="noConversion"/>
  </si>
  <si>
    <t>삼양식품의 면류를 생산하는 공장들의 생산 능력과 생산 실적은 아래 표와 같다.</t>
    <phoneticPr fontId="2" type="noConversion"/>
  </si>
  <si>
    <t>생산능력</t>
    <phoneticPr fontId="2" type="noConversion"/>
  </si>
  <si>
    <t>원주</t>
    <phoneticPr fontId="2" type="noConversion"/>
  </si>
  <si>
    <t>익산</t>
    <phoneticPr fontId="2" type="noConversion"/>
  </si>
  <si>
    <t>밀양</t>
    <phoneticPr fontId="2" type="noConversion"/>
  </si>
  <si>
    <t>생산실적</t>
    <phoneticPr fontId="2" type="noConversion"/>
  </si>
  <si>
    <t>생산능력 (억 원)</t>
    <phoneticPr fontId="2" type="noConversion"/>
  </si>
  <si>
    <t>생산실적 (억 원)</t>
    <phoneticPr fontId="2" type="noConversion"/>
  </si>
  <si>
    <t>종합 (억 원)</t>
    <phoneticPr fontId="2" type="noConversion"/>
  </si>
  <si>
    <t>가동률</t>
    <phoneticPr fontId="2" type="noConversion"/>
  </si>
  <si>
    <t>상관계수</t>
    <phoneticPr fontId="2" type="noConversion"/>
  </si>
  <si>
    <t>전반적으로 삼양식품의 capa와 생산량이 늘어날 수록 에스앤디도 같이 늘어나는 모습이다.</t>
    <phoneticPr fontId="2" type="noConversion"/>
  </si>
  <si>
    <t>동사 ir에 따르면 에스앤디는 거의 풀캐파라고 하고 매출액 가이던스도 비교적 정확하게 나오는 편이다.</t>
    <phoneticPr fontId="2" type="noConversion"/>
  </si>
  <si>
    <t>기사에 따르면 삼양식품의 연간 라면 생산량은 18억개로 밀양 2공장에서 6.9억 개가 늘어 총 25억 개 정도 생산한다고 한다.</t>
    <phoneticPr fontId="2" type="noConversion"/>
  </si>
  <si>
    <t>capa가 약 38% 정도 증가하게 되는 것이다.</t>
    <phoneticPr fontId="2" type="noConversion"/>
  </si>
  <si>
    <t>밀양 2공장의 증설은 시장이 너무나도 잘 알고 있는 것이다.</t>
    <phoneticPr fontId="2" type="noConversion"/>
  </si>
  <si>
    <t>이것이 에스앤디의 투자 포인트가 되려면 증설분이 가동률이 올라와 풀캐파 수준으로 돌아가여야 한다.</t>
    <phoneticPr fontId="2" type="noConversion"/>
  </si>
  <si>
    <t>결국 수요단에서 증명이 되어야 동사도 캐파 확장을 하고 매출액 성장을 이뤄낼 것이다.</t>
    <phoneticPr fontId="2" type="noConversion"/>
  </si>
  <si>
    <t>삼양식품의 수요?</t>
    <phoneticPr fontId="2" type="noConversion"/>
  </si>
  <si>
    <t>결론부터 말하자면 시장에 알려진 사실들이 다고 삼양식품을 믿는 수 밖에 없다고 생각한다.</t>
    <phoneticPr fontId="2" type="noConversion"/>
  </si>
  <si>
    <t>꺾이지 않는 수출 실적</t>
    <phoneticPr fontId="2" type="noConversion"/>
  </si>
  <si>
    <t>페레로 로쉐 beat</t>
    <phoneticPr fontId="2" type="noConversion"/>
  </si>
  <si>
    <t>닛신 상대 안됨</t>
    <phoneticPr fontId="2" type="noConversion"/>
  </si>
  <si>
    <t>빅맥과 비등비등</t>
    <phoneticPr fontId="2" type="noConversion"/>
  </si>
  <si>
    <t>펩시 30% 정도</t>
    <phoneticPr fontId="2" type="noConversion"/>
  </si>
  <si>
    <t>혼자 봐도 아직 견조한 인기</t>
    <phoneticPr fontId="2" type="noConversion"/>
  </si>
  <si>
    <t>여기부터는 춰릿님 블로그 글 발췌</t>
    <phoneticPr fontId="2" type="noConversion"/>
  </si>
  <si>
    <t>현재 미국 기준 대형마트들에 불닭이 깔린 매장은 정말 많지만 아직 1sku만 깔렸다.</t>
    <phoneticPr fontId="2" type="noConversion"/>
  </si>
  <si>
    <t>인터뷰 내용을 종합하면 아직도 미국에서는 물량 부족하다는 얘기가 많다.</t>
    <phoneticPr fontId="2" type="noConversion"/>
  </si>
  <si>
    <t>그리고 아직 다른 종류의 불닭이 들어간 것이 아니기에 성장할 룸이 더 남았다는 설명이다.</t>
    <phoneticPr fontId="2" type="noConversion"/>
  </si>
  <si>
    <t>여기부터는 내 생각</t>
    <phoneticPr fontId="2" type="noConversion"/>
  </si>
  <si>
    <t>불닭볶음면의 출시가 2012년이고 그때부터 꾸준히 해외에서 챌린지로 컨텐츠화 되는 경우가 많았다.</t>
    <phoneticPr fontId="2" type="noConversion"/>
  </si>
  <si>
    <t>그 중 대표격인 영국남자의 영상이 2014년이고 해외에서는 매운 맛을 잘 먹는 한국인도 죽이는 라면으로 불닭이 알려져 있었다.</t>
    <phoneticPr fontId="2" type="noConversion"/>
  </si>
  <si>
    <t>이미 불닭은 매운 맛으로 알려진 라면이었고 이제 와서 매워서 안 먹는다? 과한 우려라고 생각한다.</t>
    <phoneticPr fontId="2" type="noConversion"/>
  </si>
  <si>
    <t>유튜브에 buldak 검색했을 때 가장 조회수가 높은 영상도 무려 5년전 영상이다.</t>
    <phoneticPr fontId="2" type="noConversion"/>
  </si>
  <si>
    <t>지금 트렌드가 이래저래 겹쳐서 호실적이 나오는건 사실이지만 알 만한 사람들은 불닭 알았다고 생각한다.</t>
    <phoneticPr fontId="2" type="noConversion"/>
  </si>
  <si>
    <t>따라서 불닭은 신라면처럼 하나의 메가트렌드로 자리잡아 스테디셀러 역할을 해 줄 수 있을 것으로 예상한다.</t>
    <phoneticPr fontId="2" type="noConversion"/>
  </si>
  <si>
    <t>신라면 스코빌 지수도 2012년 1320, 2015년 2700, 2022년 3400으로 계속 올랐다.</t>
    <phoneticPr fontId="2" type="noConversion"/>
  </si>
  <si>
    <t>우리나라 사람들도 매운 맛에 적응하는데 외쿡인이라고 못할까?</t>
    <phoneticPr fontId="2" type="noConversion"/>
  </si>
  <si>
    <t>그러므로 밀양 2공장 증설분만큼 수요는 충분히 있을것이라고 생각한다.</t>
    <phoneticPr fontId="2" type="noConversion"/>
  </si>
  <si>
    <t>주가가 약 18000원이던 때에 취득가액 3만원으로 발행주식의 28.7% 소각 공시를 낸다.</t>
    <phoneticPr fontId="2" type="noConversion"/>
  </si>
  <si>
    <t>3월에 있던 주주총회에서 주주제안으로 냈던 자사주 공개매수가 의결되었기 때문이다.</t>
    <phoneticPr fontId="2" type="noConversion"/>
  </si>
  <si>
    <t>당시 13.23%의 지분을 가지고 있던 대주주 유안타인베스트가 낸 주주제안이었다.</t>
    <phoneticPr fontId="2" type="noConversion"/>
  </si>
  <si>
    <t>총 매수 규모는 350억원으로 당시 시총이 작았기에 29%에 가까운 소각 규모가 나온 것 같다.</t>
    <phoneticPr fontId="2" type="noConversion"/>
  </si>
  <si>
    <t>현재 대주주는 오너 일가 밖에 없어 이러한 주주 제안이 더 들어올 일은 없을 것 같기는 하다.</t>
    <phoneticPr fontId="2" type="noConversion"/>
  </si>
  <si>
    <t>하지만 주담통 카페 ir 통화 내역들을 보면 현금 여력이 생기는 대로 배당을 할 의지는 있는 것 같다.</t>
    <phoneticPr fontId="2" type="noConversion"/>
  </si>
  <si>
    <t>지금까지 배당성향은 10% 초중반대였지만 capa 증설에 돈이 많이 나갔기 때문이다.</t>
    <phoneticPr fontId="2" type="noConversion"/>
  </si>
  <si>
    <t>충분히 주주친화적인 모습을 보여줬기에 실적이 오르는대로 정직하게 주가도 가주지 않을까 조심스레 생각해본다.</t>
    <phoneticPr fontId="2" type="noConversion"/>
  </si>
  <si>
    <t>투자판단</t>
    <phoneticPr fontId="2" type="noConversion"/>
  </si>
  <si>
    <t>이번 년도는 특별한 이슈가 없기에 가이던스대로 매출액도 나올거고 하반기도 상반기처럼 실적이 나올 것이다.</t>
    <phoneticPr fontId="2" type="noConversion"/>
  </si>
  <si>
    <t>매출액 변동은 2025년 5월 31일 밀양 2공장이 완공되는 시점 이후 생산능력 증가에 따라 나타날 것이기에 2H25부터 실적 상승이 있을 것이다.</t>
    <phoneticPr fontId="2" type="noConversion"/>
  </si>
  <si>
    <t>동사에 투자를 하기 위해서는 불닭볶음면의 견조한 수요를 트래킹해야 할 것이고 밀양 2공장 증설 소식을 잘 봐야 한다.</t>
    <phoneticPr fontId="2" type="noConversion"/>
  </si>
  <si>
    <t>2026년 기준 동사 capa는 삼양식품의 capa 증설분인 38%만큼 늘 것이라 생각하면 Q가 38% 증가할 것이다.</t>
    <phoneticPr fontId="2" type="noConversion"/>
  </si>
  <si>
    <t>그리고 작년에 납품 물량 증대에 따라 판가가 1% 감소했으므로 2026년에도 판가가 1% 감소할 것이라고 생각하자.</t>
    <phoneticPr fontId="2" type="noConversion"/>
  </si>
  <si>
    <t>2024년 가이던스가 최소 1000억, 맥시멈 1200억이다.</t>
    <phoneticPr fontId="2" type="noConversion"/>
  </si>
  <si>
    <t>그럼 2026년으로는 1242억~1490억이 나온다.</t>
    <phoneticPr fontId="2" type="noConversion"/>
  </si>
  <si>
    <t>opm이 적게는 11%, 많게는 18% 나오는데 case를 나누어 2026년 실적을 추정하면 다음과 같다.</t>
    <phoneticPr fontId="2" type="noConversion"/>
  </si>
  <si>
    <t>bull case</t>
    <phoneticPr fontId="2" type="noConversion"/>
  </si>
  <si>
    <t>base case</t>
    <phoneticPr fontId="2" type="noConversion"/>
  </si>
  <si>
    <t>bear case</t>
    <phoneticPr fontId="2" type="noConversion"/>
  </si>
  <si>
    <t>2026년</t>
    <phoneticPr fontId="2" type="noConversion"/>
  </si>
  <si>
    <t>매출액</t>
    <phoneticPr fontId="2" type="noConversion"/>
  </si>
  <si>
    <t>영업이익</t>
    <phoneticPr fontId="2" type="noConversion"/>
  </si>
  <si>
    <t>동사 per은 6~7 수준이다가 자사주 소각 이후 10~12가 되었다.</t>
    <phoneticPr fontId="2" type="noConversion"/>
  </si>
  <si>
    <t>목표가</t>
    <phoneticPr fontId="2" type="noConversion"/>
  </si>
  <si>
    <t>상승여력</t>
    <phoneticPr fontId="2" type="noConversion"/>
  </si>
  <si>
    <t>보수적으로 per 10 주고 순이익은 영업이익의 80%로 목표가까지 선정하였다.</t>
    <phoneticPr fontId="2" type="noConversion"/>
  </si>
  <si>
    <t>주주환원</t>
    <phoneticPr fontId="2" type="noConversion"/>
  </si>
  <si>
    <t>또한 삼양식품은 2024년 6월 5일 공시를 통해 밀양 2공장에 추가 투자함을 밝혔다.</t>
    <phoneticPr fontId="2" type="noConversion"/>
  </si>
  <si>
    <t>기존에는 5개의 라인만 추가하기로 한 것을 6개로 바꾼 것이다.</t>
    <phoneticPr fontId="2" type="noConversion"/>
  </si>
  <si>
    <t>가장 수요를 많이 체감하고 있을 삼양식품이 증설량을 늘렸다는 것은 강력한 수요를 입증한다고 생각한다.</t>
    <phoneticPr fontId="2" type="noConversion"/>
  </si>
  <si>
    <t>따라서 지금의 시점에서는 불닭볶음면의 인기가 아직 꺾이지 않았다고 보는 것이 합리적일거 같다.</t>
    <phoneticPr fontId="2" type="noConversion"/>
  </si>
  <si>
    <t>물론 증설 완료 되는 시점에서의 인기는 의심해 봐야 한다.</t>
    <phoneticPr fontId="2" type="noConversion"/>
  </si>
  <si>
    <t>하지만 불닭이 오래전부터 팔렸고 바이럴은 오래전부터 됐다는 점에서 순식간에 꺾일 가능성은 적지 않나 조심스레 생각해본다.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</si>
</sst>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yy"/>
    <numFmt numFmtId="177" formatCode="0.0%"/>
    <numFmt numFmtId="178" formatCode="0.0_ "/>
    <numFmt numFmtId="179" formatCode="0_ "/>
  </numFmts>
  <fonts count="13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5" tint="0.39997558519241921"/>
        <bgColor rgb="FFEEEE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3" borderId="0" xfId="1" applyFill="1">
      <alignment vertical="center"/>
    </xf>
    <xf numFmtId="0" fontId="3" fillId="5" borderId="0" xfId="2" applyFill="1">
      <alignment vertical="center"/>
    </xf>
    <xf numFmtId="0" fontId="4" fillId="0" borderId="0" xfId="0" applyFont="1">
      <alignment vertical="center"/>
    </xf>
    <xf numFmtId="10" fontId="9" fillId="0" borderId="0" xfId="0" applyNumberFormat="1" applyFont="1" applyBorder="1" applyAlignment="1">
      <alignment horizontal="right" vertical="center"/>
    </xf>
    <xf numFmtId="0" fontId="5" fillId="6" borderId="0" xfId="0" applyFont="1" applyFill="1" applyBorder="1" applyAlignment="1">
      <alignment horizontal="left" vertical="center"/>
    </xf>
    <xf numFmtId="176" fontId="5" fillId="6" borderId="0" xfId="0" applyNumberFormat="1" applyFont="1" applyFill="1" applyBorder="1" applyAlignment="1">
      <alignment horizontal="right" vertical="center"/>
    </xf>
    <xf numFmtId="0" fontId="6" fillId="7" borderId="0" xfId="0" applyFont="1" applyFill="1" applyBorder="1" applyAlignment="1">
      <alignment horizontal="left" vertical="center"/>
    </xf>
    <xf numFmtId="3" fontId="6" fillId="7" borderId="0" xfId="0" applyNumberFormat="1" applyFont="1" applyFill="1" applyBorder="1" applyAlignment="1">
      <alignment horizontal="right" vertical="center"/>
    </xf>
    <xf numFmtId="10" fontId="9" fillId="8" borderId="0" xfId="0" applyNumberFormat="1" applyFont="1" applyFill="1" applyBorder="1" applyAlignment="1">
      <alignment horizontal="left" vertical="center"/>
    </xf>
    <xf numFmtId="10" fontId="9" fillId="8" borderId="0" xfId="0" applyNumberFormat="1" applyFont="1" applyFill="1" applyBorder="1" applyAlignment="1">
      <alignment horizontal="right" vertical="center"/>
    </xf>
    <xf numFmtId="10" fontId="10" fillId="8" borderId="0" xfId="0" applyNumberFormat="1" applyFont="1" applyFill="1">
      <alignment vertical="center"/>
    </xf>
    <xf numFmtId="0" fontId="8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4" fillId="8" borderId="0" xfId="0" applyFont="1" applyFill="1" applyAlignment="1">
      <alignment horizontal="left" vertical="center" indent="1"/>
    </xf>
    <xf numFmtId="0" fontId="6" fillId="9" borderId="0" xfId="0" applyFont="1" applyFill="1" applyBorder="1" applyAlignment="1">
      <alignment horizontal="left" vertical="center"/>
    </xf>
    <xf numFmtId="3" fontId="6" fillId="9" borderId="0" xfId="0" applyNumberFormat="1" applyFont="1" applyFill="1" applyBorder="1" applyAlignment="1">
      <alignment horizontal="right" vertical="center"/>
    </xf>
    <xf numFmtId="10" fontId="7" fillId="8" borderId="0" xfId="0" applyNumberFormat="1" applyFont="1" applyFill="1" applyBorder="1" applyAlignment="1">
      <alignment horizontal="left" vertical="center"/>
    </xf>
    <xf numFmtId="10" fontId="6" fillId="9" borderId="0" xfId="0" applyNumberFormat="1" applyFont="1" applyFill="1" applyBorder="1" applyAlignment="1">
      <alignment horizontal="left" vertical="center"/>
    </xf>
    <xf numFmtId="0" fontId="4" fillId="9" borderId="0" xfId="0" applyFont="1" applyFill="1">
      <alignment vertical="center"/>
    </xf>
    <xf numFmtId="0" fontId="11" fillId="9" borderId="0" xfId="0" applyFont="1" applyFill="1">
      <alignment vertical="center"/>
    </xf>
    <xf numFmtId="177" fontId="4" fillId="8" borderId="0" xfId="0" applyNumberFormat="1" applyFont="1" applyFill="1">
      <alignment vertical="center"/>
    </xf>
    <xf numFmtId="10" fontId="4" fillId="8" borderId="0" xfId="0" applyNumberFormat="1" applyFont="1" applyFill="1">
      <alignment vertical="center"/>
    </xf>
    <xf numFmtId="178" fontId="4" fillId="8" borderId="0" xfId="0" applyNumberFormat="1" applyFont="1" applyFill="1">
      <alignment vertical="center"/>
    </xf>
    <xf numFmtId="179" fontId="11" fillId="9" borderId="0" xfId="0" applyNumberFormat="1" applyFont="1" applyFill="1">
      <alignment vertical="center"/>
    </xf>
    <xf numFmtId="0" fontId="12" fillId="10" borderId="1" xfId="0" applyFont="1" applyFill="1" applyBorder="1">
      <alignment vertical="center"/>
    </xf>
    <xf numFmtId="0" fontId="12" fillId="10" borderId="0" xfId="0" applyFont="1" applyFill="1">
      <alignment vertical="center"/>
    </xf>
    <xf numFmtId="0" fontId="12" fillId="10" borderId="2" xfId="0" applyFont="1" applyFill="1" applyBorder="1">
      <alignment vertical="center"/>
    </xf>
    <xf numFmtId="0" fontId="11" fillId="0" borderId="0" xfId="0" applyFont="1">
      <alignment vertical="center"/>
    </xf>
    <xf numFmtId="179" fontId="4" fillId="8" borderId="0" xfId="0" applyNumberFormat="1" applyFont="1" applyFill="1">
      <alignment vertical="center"/>
    </xf>
    <xf numFmtId="0" fontId="0" fillId="0" borderId="3" xfId="0" applyBorder="1" applyAlignment="1">
      <alignment horizontal="centerContinuous" vertical="center"/>
    </xf>
    <xf numFmtId="0" fontId="11" fillId="0" borderId="3" xfId="0" applyFont="1" applyBorder="1" applyAlignment="1">
      <alignment horizontal="centerContinuous" vertical="center"/>
    </xf>
    <xf numFmtId="0" fontId="11" fillId="8" borderId="0" xfId="0" applyFont="1" applyFill="1">
      <alignment vertical="center"/>
    </xf>
    <xf numFmtId="0" fontId="7" fillId="8" borderId="0" xfId="0" applyFont="1" applyFill="1" applyBorder="1" applyAlignment="1">
      <alignment horizontal="left" vertical="center"/>
    </xf>
    <xf numFmtId="3" fontId="7" fillId="8" borderId="0" xfId="0" applyNumberFormat="1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11" fillId="11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Fill="1" applyBorder="1">
      <alignment vertical="center"/>
    </xf>
    <xf numFmtId="179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3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3">
    <cellStyle name="60% - 강조색3" xfId="2" builtinId="4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'raw data'!$B$7</c:f>
              <c:strCache>
                <c:ptCount val="1"/>
                <c:pt idx="0">
                  <c:v>일반기능식품소재(분말형)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data'!$E$7:$O$7</c:f>
              <c:numCache>
                <c:formatCode>0_ </c:formatCode>
                <c:ptCount val="11"/>
                <c:pt idx="0">
                  <c:v>91.900000000000034</c:v>
                </c:pt>
                <c:pt idx="1">
                  <c:v>85.9</c:v>
                </c:pt>
                <c:pt idx="2">
                  <c:v>94.62</c:v>
                </c:pt>
                <c:pt idx="3">
                  <c:v>83.65</c:v>
                </c:pt>
                <c:pt idx="4">
                  <c:v>101.72</c:v>
                </c:pt>
                <c:pt idx="5">
                  <c:v>91.66</c:v>
                </c:pt>
                <c:pt idx="6">
                  <c:v>112.72</c:v>
                </c:pt>
                <c:pt idx="7">
                  <c:v>118.17000000000002</c:v>
                </c:pt>
                <c:pt idx="8">
                  <c:v>129.43</c:v>
                </c:pt>
                <c:pt idx="9">
                  <c:v>137.99</c:v>
                </c:pt>
                <c:pt idx="10">
                  <c:v>159.01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57A-BF24-4E8E4C20CD1B}"/>
            </c:ext>
          </c:extLst>
        </c:ser>
        <c:ser>
          <c:idx val="1"/>
          <c:order val="1"/>
          <c:tx>
            <c:strRef>
              <c:f>'raw data'!$B$8</c:f>
              <c:strCache>
                <c:ptCount val="1"/>
                <c:pt idx="0">
                  <c:v>일반기능식품소재(액상형)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data'!$E$8:$O$8</c:f>
              <c:numCache>
                <c:formatCode>0_ </c:formatCode>
                <c:ptCount val="11"/>
                <c:pt idx="0">
                  <c:v>59.06</c:v>
                </c:pt>
                <c:pt idx="1">
                  <c:v>51.93</c:v>
                </c:pt>
                <c:pt idx="2">
                  <c:v>66.550000000000011</c:v>
                </c:pt>
                <c:pt idx="3">
                  <c:v>54.02999999999998</c:v>
                </c:pt>
                <c:pt idx="4">
                  <c:v>63.060000000000009</c:v>
                </c:pt>
                <c:pt idx="5">
                  <c:v>56.34</c:v>
                </c:pt>
                <c:pt idx="6">
                  <c:v>72.25</c:v>
                </c:pt>
                <c:pt idx="7">
                  <c:v>70.53</c:v>
                </c:pt>
                <c:pt idx="8">
                  <c:v>78.259999999999991</c:v>
                </c:pt>
                <c:pt idx="9">
                  <c:v>73.17</c:v>
                </c:pt>
                <c:pt idx="10">
                  <c:v>88.99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D-457A-BF24-4E8E4C20CD1B}"/>
            </c:ext>
          </c:extLst>
        </c:ser>
        <c:ser>
          <c:idx val="2"/>
          <c:order val="2"/>
          <c:tx>
            <c:strRef>
              <c:f>'raw data'!$B$9</c:f>
              <c:strCache>
                <c:ptCount val="1"/>
                <c:pt idx="0">
                  <c:v>건강기능식품소재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data'!$E$9:$O$9</c:f>
              <c:numCache>
                <c:formatCode>0_ </c:formatCode>
                <c:ptCount val="11"/>
                <c:pt idx="0">
                  <c:v>21.739999999999995</c:v>
                </c:pt>
                <c:pt idx="1">
                  <c:v>33.21</c:v>
                </c:pt>
                <c:pt idx="2">
                  <c:v>31.68</c:v>
                </c:pt>
                <c:pt idx="3">
                  <c:v>30.260000000000005</c:v>
                </c:pt>
                <c:pt idx="4">
                  <c:v>24.549999999999997</c:v>
                </c:pt>
                <c:pt idx="5">
                  <c:v>30.27</c:v>
                </c:pt>
                <c:pt idx="6">
                  <c:v>28.81</c:v>
                </c:pt>
                <c:pt idx="7">
                  <c:v>37.730000000000004</c:v>
                </c:pt>
                <c:pt idx="8">
                  <c:v>37.090000000000003</c:v>
                </c:pt>
                <c:pt idx="9">
                  <c:v>23.89</c:v>
                </c:pt>
                <c:pt idx="10">
                  <c:v>35.71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D-457A-BF24-4E8E4C20CD1B}"/>
            </c:ext>
          </c:extLst>
        </c:ser>
        <c:ser>
          <c:idx val="3"/>
          <c:order val="3"/>
          <c:tx>
            <c:strRef>
              <c:f>'raw data'!$B$10</c:f>
              <c:strCache>
                <c:ptCount val="1"/>
                <c:pt idx="0">
                  <c:v>하청제품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data'!$E$10:$O$10</c:f>
              <c:numCache>
                <c:formatCode>0_ </c:formatCode>
                <c:ptCount val="11"/>
                <c:pt idx="0">
                  <c:v>1.67</c:v>
                </c:pt>
                <c:pt idx="1">
                  <c:v>1.91</c:v>
                </c:pt>
                <c:pt idx="2">
                  <c:v>1.91</c:v>
                </c:pt>
                <c:pt idx="3">
                  <c:v>2.6799999999999997</c:v>
                </c:pt>
                <c:pt idx="4">
                  <c:v>1.6400000000000008</c:v>
                </c:pt>
                <c:pt idx="5">
                  <c:v>2.4700000000000002</c:v>
                </c:pt>
                <c:pt idx="6">
                  <c:v>3.1999999999999997</c:v>
                </c:pt>
                <c:pt idx="7">
                  <c:v>5.9399999999999995</c:v>
                </c:pt>
                <c:pt idx="8">
                  <c:v>3.4200000000000004</c:v>
                </c:pt>
                <c:pt idx="9">
                  <c:v>2.76</c:v>
                </c:pt>
                <c:pt idx="10">
                  <c:v>3.6500000000000004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D-457A-BF24-4E8E4C20CD1B}"/>
            </c:ext>
          </c:extLst>
        </c:ser>
        <c:ser>
          <c:idx val="4"/>
          <c:order val="4"/>
          <c:tx>
            <c:strRef>
              <c:f>'raw data'!$B$11</c:f>
              <c:strCache>
                <c:ptCount val="1"/>
                <c:pt idx="0">
                  <c:v>기타매출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data'!$E$11:$O$11</c:f>
              <c:numCache>
                <c:formatCode>0_ </c:formatCode>
                <c:ptCount val="11"/>
                <c:pt idx="0">
                  <c:v>3.11</c:v>
                </c:pt>
                <c:pt idx="1">
                  <c:v>0.7</c:v>
                </c:pt>
                <c:pt idx="2">
                  <c:v>0.73</c:v>
                </c:pt>
                <c:pt idx="3">
                  <c:v>1.0200000000000002</c:v>
                </c:pt>
                <c:pt idx="4">
                  <c:v>1.4199999999999997</c:v>
                </c:pt>
                <c:pt idx="5">
                  <c:v>1.38</c:v>
                </c:pt>
                <c:pt idx="6">
                  <c:v>1.1800000000000002</c:v>
                </c:pt>
                <c:pt idx="7">
                  <c:v>0.75</c:v>
                </c:pt>
                <c:pt idx="8">
                  <c:v>1.1599999999999997</c:v>
                </c:pt>
                <c:pt idx="9">
                  <c:v>0.41</c:v>
                </c:pt>
                <c:pt idx="10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D-457A-BF24-4E8E4C20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539840"/>
        <c:axId val="1268814144"/>
      </c:barChart>
      <c:catAx>
        <c:axId val="12675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814144"/>
        <c:crosses val="autoZero"/>
        <c:auto val="1"/>
        <c:lblAlgn val="ctr"/>
        <c:lblOffset val="100"/>
        <c:noMultiLvlLbl val="0"/>
      </c:catAx>
      <c:valAx>
        <c:axId val="12688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75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매출액 비중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'raw data'!$B$13</c:f>
              <c:strCache>
                <c:ptCount val="1"/>
                <c:pt idx="0">
                  <c:v>일반기능식품소재(분말형)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data'!$E$13:$O$13</c:f>
              <c:numCache>
                <c:formatCode>0.0%</c:formatCode>
                <c:ptCount val="11"/>
                <c:pt idx="0">
                  <c:v>0.51781357584363064</c:v>
                </c:pt>
                <c:pt idx="1">
                  <c:v>0.49466920508559109</c:v>
                </c:pt>
                <c:pt idx="2">
                  <c:v>0.48402319341744826</c:v>
                </c:pt>
                <c:pt idx="3">
                  <c:v>0.48733880387890233</c:v>
                </c:pt>
                <c:pt idx="4">
                  <c:v>0.52871798363635514</c:v>
                </c:pt>
                <c:pt idx="5">
                  <c:v>0.50329287296439829</c:v>
                </c:pt>
                <c:pt idx="6">
                  <c:v>0.51671034470429189</c:v>
                </c:pt>
                <c:pt idx="7">
                  <c:v>0.50688304886486435</c:v>
                </c:pt>
                <c:pt idx="8">
                  <c:v>0.51905188714240746</c:v>
                </c:pt>
                <c:pt idx="9">
                  <c:v>0.57927635583579262</c:v>
                </c:pt>
                <c:pt idx="10">
                  <c:v>0.55174122396266156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E72-BB6B-AFCBD936090B}"/>
            </c:ext>
          </c:extLst>
        </c:ser>
        <c:ser>
          <c:idx val="1"/>
          <c:order val="1"/>
          <c:tx>
            <c:strRef>
              <c:f>'raw data'!$B$14</c:f>
              <c:strCache>
                <c:ptCount val="1"/>
                <c:pt idx="0">
                  <c:v>일반기능식품소재(액상형)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data'!$E$14:$O$14</c:f>
              <c:numCache>
                <c:formatCode>0.0%</c:formatCode>
                <c:ptCount val="11"/>
                <c:pt idx="0">
                  <c:v>0.3327755145737194</c:v>
                </c:pt>
                <c:pt idx="1">
                  <c:v>0.29904740186373391</c:v>
                </c:pt>
                <c:pt idx="2">
                  <c:v>0.34043271530259128</c:v>
                </c:pt>
                <c:pt idx="3">
                  <c:v>0.31477484248149529</c:v>
                </c:pt>
                <c:pt idx="4">
                  <c:v>0.32777188407499563</c:v>
                </c:pt>
                <c:pt idx="5">
                  <c:v>0.30935544908154272</c:v>
                </c:pt>
                <c:pt idx="6">
                  <c:v>0.33119519521722046</c:v>
                </c:pt>
                <c:pt idx="7">
                  <c:v>0.30253415787796289</c:v>
                </c:pt>
                <c:pt idx="8">
                  <c:v>0.31384532710936258</c:v>
                </c:pt>
                <c:pt idx="9">
                  <c:v>0.30716465654398828</c:v>
                </c:pt>
                <c:pt idx="10">
                  <c:v>0.30878216162780486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F-4E72-BB6B-AFCBD936090B}"/>
            </c:ext>
          </c:extLst>
        </c:ser>
        <c:ser>
          <c:idx val="2"/>
          <c:order val="2"/>
          <c:tx>
            <c:strRef>
              <c:f>'raw data'!$B$15</c:f>
              <c:strCache>
                <c:ptCount val="1"/>
                <c:pt idx="0">
                  <c:v>건강기능식품소재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data'!$E$15:$O$15</c:f>
              <c:numCache>
                <c:formatCode>0.0%</c:formatCode>
                <c:ptCount val="11"/>
                <c:pt idx="0">
                  <c:v>0.12249474579804703</c:v>
                </c:pt>
                <c:pt idx="1">
                  <c:v>0.19124521886952828</c:v>
                </c:pt>
                <c:pt idx="2">
                  <c:v>0.16205722645809301</c:v>
                </c:pt>
                <c:pt idx="3">
                  <c:v>0.17629255475643257</c:v>
                </c:pt>
                <c:pt idx="4">
                  <c:v>0.12760545122171171</c:v>
                </c:pt>
                <c:pt idx="5">
                  <c:v>0.16620854532655835</c:v>
                </c:pt>
                <c:pt idx="6">
                  <c:v>0.13206551659803628</c:v>
                </c:pt>
                <c:pt idx="7">
                  <c:v>0.16184054695499137</c:v>
                </c:pt>
                <c:pt idx="8">
                  <c:v>0.14874167112811476</c:v>
                </c:pt>
                <c:pt idx="9">
                  <c:v>0.10028923937181743</c:v>
                </c:pt>
                <c:pt idx="10">
                  <c:v>0.12390842782030467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F-4E72-BB6B-AFCBD936090B}"/>
            </c:ext>
          </c:extLst>
        </c:ser>
        <c:ser>
          <c:idx val="3"/>
          <c:order val="3"/>
          <c:tx>
            <c:strRef>
              <c:f>'raw data'!$B$16</c:f>
              <c:strCache>
                <c:ptCount val="1"/>
                <c:pt idx="0">
                  <c:v>하청제품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data'!$E$16:$O$16</c:f>
              <c:numCache>
                <c:formatCode>0.0%</c:formatCode>
                <c:ptCount val="11"/>
                <c:pt idx="0">
                  <c:v>9.4096699854065591E-3</c:v>
                </c:pt>
                <c:pt idx="1">
                  <c:v>1.0999047517037007E-2</c:v>
                </c:pt>
                <c:pt idx="2">
                  <c:v>9.7704956608256829E-3</c:v>
                </c:pt>
                <c:pt idx="3">
                  <c:v>1.5613484690919999E-2</c:v>
                </c:pt>
                <c:pt idx="4">
                  <c:v>8.5243560082935779E-3</c:v>
                </c:pt>
                <c:pt idx="5">
                  <c:v>1.3562441590901855E-2</c:v>
                </c:pt>
                <c:pt idx="6">
                  <c:v>1.4668852936956477E-2</c:v>
                </c:pt>
                <c:pt idx="7">
                  <c:v>2.5479269783001551E-2</c:v>
                </c:pt>
                <c:pt idx="8">
                  <c:v>1.3715193185714545E-2</c:v>
                </c:pt>
                <c:pt idx="9">
                  <c:v>1.1586366708506322E-2</c:v>
                </c:pt>
                <c:pt idx="10">
                  <c:v>1.2664961118569367E-2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F-4E72-BB6B-AFCBD936090B}"/>
            </c:ext>
          </c:extLst>
        </c:ser>
        <c:ser>
          <c:idx val="4"/>
          <c:order val="4"/>
          <c:tx>
            <c:strRef>
              <c:f>'raw data'!$B$17</c:f>
              <c:strCache>
                <c:ptCount val="1"/>
                <c:pt idx="0">
                  <c:v>기타매출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data'!$E$17:$O$17</c:f>
              <c:numCache>
                <c:formatCode>0.0%</c:formatCode>
                <c:ptCount val="11"/>
                <c:pt idx="0">
                  <c:v>1.7523397397972693E-2</c:v>
                </c:pt>
                <c:pt idx="1">
                  <c:v>4.0310645350397408E-3</c:v>
                </c:pt>
                <c:pt idx="2">
                  <c:v>3.7342732106820675E-3</c:v>
                </c:pt>
                <c:pt idx="3">
                  <c:v>5.9424456659471657E-3</c:v>
                </c:pt>
                <c:pt idx="4">
                  <c:v>7.3808448364493127E-3</c:v>
                </c:pt>
                <c:pt idx="5">
                  <c:v>7.5773965163743141E-3</c:v>
                </c:pt>
                <c:pt idx="6">
                  <c:v>5.409139520502702E-3</c:v>
                </c:pt>
                <c:pt idx="7">
                  <c:v>3.2170795180557518E-3</c:v>
                </c:pt>
                <c:pt idx="8">
                  <c:v>4.6519368700084409E-3</c:v>
                </c:pt>
                <c:pt idx="9">
                  <c:v>1.7211631704665189E-3</c:v>
                </c:pt>
                <c:pt idx="10">
                  <c:v>2.8452789362265426E-3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4E72-BB6B-AFCBD936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089120"/>
        <c:axId val="1264233648"/>
      </c:barChart>
      <c:catAx>
        <c:axId val="10930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4233648"/>
        <c:crosses val="autoZero"/>
        <c:auto val="1"/>
        <c:lblAlgn val="ctr"/>
        <c:lblOffset val="100"/>
        <c:noMultiLvlLbl val="0"/>
      </c:catAx>
      <c:valAx>
        <c:axId val="12642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0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매출액</a:t>
            </a:r>
            <a:r>
              <a:rPr lang="en-US" altLang="ko-KR"/>
              <a:t>, </a:t>
            </a:r>
            <a:r>
              <a:rPr lang="ko-KR" altLang="en-US"/>
              <a:t>매출총이익</a:t>
            </a:r>
            <a:r>
              <a:rPr lang="en-US" altLang="ko-KR"/>
              <a:t>, </a:t>
            </a:r>
            <a:r>
              <a:rPr lang="ko-KR" altLang="en-US"/>
              <a:t>영업이익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data'!$B$3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data'!$C$2:$O$2</c:f>
              <c:strCache>
                <c:ptCount val="13"/>
                <c:pt idx="0">
                  <c:v>2Q21</c:v>
                </c:pt>
                <c:pt idx="1">
                  <c:v>3Q21</c:v>
                </c:pt>
                <c:pt idx="2">
                  <c:v>4Q21</c:v>
                </c:pt>
                <c:pt idx="3">
                  <c:v>1Q22</c:v>
                </c:pt>
                <c:pt idx="4">
                  <c:v>2Q22</c:v>
                </c:pt>
                <c:pt idx="5">
                  <c:v>3Q22</c:v>
                </c:pt>
                <c:pt idx="6">
                  <c:v>4Q22</c:v>
                </c:pt>
                <c:pt idx="7">
                  <c:v>1Q23</c:v>
                </c:pt>
                <c:pt idx="8">
                  <c:v>2Q23</c:v>
                </c:pt>
                <c:pt idx="9">
                  <c:v>3Q23</c:v>
                </c:pt>
                <c:pt idx="10">
                  <c:v>4Q23</c:v>
                </c:pt>
                <c:pt idx="11">
                  <c:v>1Q24</c:v>
                </c:pt>
                <c:pt idx="12">
                  <c:v>2Q24</c:v>
                </c:pt>
              </c:strCache>
            </c:strRef>
          </c:cat>
          <c:val>
            <c:numRef>
              <c:f>'raw data'!$C$3:$O$3</c:f>
              <c:numCache>
                <c:formatCode>#,##0</c:formatCode>
                <c:ptCount val="13"/>
                <c:pt idx="0">
                  <c:v>149.64150000000001</c:v>
                </c:pt>
                <c:pt idx="1">
                  <c:v>153.20609999999999</c:v>
                </c:pt>
                <c:pt idx="2">
                  <c:v>177.477</c:v>
                </c:pt>
                <c:pt idx="3">
                  <c:v>173.6514</c:v>
                </c:pt>
                <c:pt idx="4">
                  <c:v>195.48650000000001</c:v>
                </c:pt>
                <c:pt idx="5">
                  <c:v>171.6465</c:v>
                </c:pt>
                <c:pt idx="6">
                  <c:v>192.38990000000001</c:v>
                </c:pt>
                <c:pt idx="7">
                  <c:v>182.1206</c:v>
                </c:pt>
                <c:pt idx="8">
                  <c:v>218.14930000000001</c:v>
                </c:pt>
                <c:pt idx="9">
                  <c:v>233.13069999999999</c:v>
                </c:pt>
                <c:pt idx="10">
                  <c:v>249.35849999999999</c:v>
                </c:pt>
                <c:pt idx="11">
                  <c:v>238.21100000000001</c:v>
                </c:pt>
                <c:pt idx="12">
                  <c:v>288.19670000000002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0-4F57-867D-D59AC64E1654}"/>
            </c:ext>
          </c:extLst>
        </c:ser>
        <c:ser>
          <c:idx val="1"/>
          <c:order val="1"/>
          <c:tx>
            <c:strRef>
              <c:f>'raw data'!$B$18</c:f>
              <c:strCache>
                <c:ptCount val="1"/>
                <c:pt idx="0">
                  <c:v>매출총이익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data'!$C$2:$O$2</c:f>
              <c:strCache>
                <c:ptCount val="13"/>
                <c:pt idx="0">
                  <c:v>2Q21</c:v>
                </c:pt>
                <c:pt idx="1">
                  <c:v>3Q21</c:v>
                </c:pt>
                <c:pt idx="2">
                  <c:v>4Q21</c:v>
                </c:pt>
                <c:pt idx="3">
                  <c:v>1Q22</c:v>
                </c:pt>
                <c:pt idx="4">
                  <c:v>2Q22</c:v>
                </c:pt>
                <c:pt idx="5">
                  <c:v>3Q22</c:v>
                </c:pt>
                <c:pt idx="6">
                  <c:v>4Q22</c:v>
                </c:pt>
                <c:pt idx="7">
                  <c:v>1Q23</c:v>
                </c:pt>
                <c:pt idx="8">
                  <c:v>2Q23</c:v>
                </c:pt>
                <c:pt idx="9">
                  <c:v>3Q23</c:v>
                </c:pt>
                <c:pt idx="10">
                  <c:v>4Q23</c:v>
                </c:pt>
                <c:pt idx="11">
                  <c:v>1Q24</c:v>
                </c:pt>
                <c:pt idx="12">
                  <c:v>2Q24</c:v>
                </c:pt>
              </c:strCache>
            </c:strRef>
          </c:cat>
          <c:val>
            <c:numRef>
              <c:f>'raw data'!$C$18:$O$18</c:f>
              <c:numCache>
                <c:formatCode>#,##0</c:formatCode>
                <c:ptCount val="13"/>
                <c:pt idx="0">
                  <c:v>40.8887</c:v>
                </c:pt>
                <c:pt idx="1">
                  <c:v>38.992600000000003</c:v>
                </c:pt>
                <c:pt idx="2">
                  <c:v>44.223500000000001</c:v>
                </c:pt>
                <c:pt idx="3">
                  <c:v>45.894500000000001</c:v>
                </c:pt>
                <c:pt idx="4">
                  <c:v>48.380899999999997</c:v>
                </c:pt>
                <c:pt idx="5">
                  <c:v>39.796799999999998</c:v>
                </c:pt>
                <c:pt idx="6">
                  <c:v>39.620899999999999</c:v>
                </c:pt>
                <c:pt idx="7">
                  <c:v>35.777500000000003</c:v>
                </c:pt>
                <c:pt idx="8">
                  <c:v>46.784799999999997</c:v>
                </c:pt>
                <c:pt idx="9">
                  <c:v>58.018799999999999</c:v>
                </c:pt>
                <c:pt idx="10">
                  <c:v>58.2194</c:v>
                </c:pt>
                <c:pt idx="11">
                  <c:v>57.235199999999999</c:v>
                </c:pt>
                <c:pt idx="12">
                  <c:v>69.2654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0-4F57-867D-D59AC64E1654}"/>
            </c:ext>
          </c:extLst>
        </c:ser>
        <c:ser>
          <c:idx val="2"/>
          <c:order val="2"/>
          <c:tx>
            <c:strRef>
              <c:f>'raw data'!$B$20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'raw data'!$C$2:$O$2</c:f>
              <c:strCache>
                <c:ptCount val="13"/>
                <c:pt idx="0">
                  <c:v>2Q21</c:v>
                </c:pt>
                <c:pt idx="1">
                  <c:v>3Q21</c:v>
                </c:pt>
                <c:pt idx="2">
                  <c:v>4Q21</c:v>
                </c:pt>
                <c:pt idx="3">
                  <c:v>1Q22</c:v>
                </c:pt>
                <c:pt idx="4">
                  <c:v>2Q22</c:v>
                </c:pt>
                <c:pt idx="5">
                  <c:v>3Q22</c:v>
                </c:pt>
                <c:pt idx="6">
                  <c:v>4Q22</c:v>
                </c:pt>
                <c:pt idx="7">
                  <c:v>1Q23</c:v>
                </c:pt>
                <c:pt idx="8">
                  <c:v>2Q23</c:v>
                </c:pt>
                <c:pt idx="9">
                  <c:v>3Q23</c:v>
                </c:pt>
                <c:pt idx="10">
                  <c:v>4Q23</c:v>
                </c:pt>
                <c:pt idx="11">
                  <c:v>1Q24</c:v>
                </c:pt>
                <c:pt idx="12">
                  <c:v>2Q24</c:v>
                </c:pt>
              </c:strCache>
            </c:strRef>
          </c:cat>
          <c:val>
            <c:numRef>
              <c:f>'raw data'!$C$20:$O$20</c:f>
              <c:numCache>
                <c:formatCode>#,##0</c:formatCode>
                <c:ptCount val="13"/>
                <c:pt idx="0">
                  <c:v>25.424399999999999</c:v>
                </c:pt>
                <c:pt idx="1">
                  <c:v>21.870699999999999</c:v>
                </c:pt>
                <c:pt idx="2">
                  <c:v>21.729500000000002</c:v>
                </c:pt>
                <c:pt idx="3">
                  <c:v>30.500900000000001</c:v>
                </c:pt>
                <c:pt idx="4">
                  <c:v>31.6173</c:v>
                </c:pt>
                <c:pt idx="5">
                  <c:v>24.5684</c:v>
                </c:pt>
                <c:pt idx="6">
                  <c:v>22.771899999999999</c:v>
                </c:pt>
                <c:pt idx="7">
                  <c:v>20.405100000000001</c:v>
                </c:pt>
                <c:pt idx="8">
                  <c:v>24.553899999999999</c:v>
                </c:pt>
                <c:pt idx="9">
                  <c:v>42.196599999999997</c:v>
                </c:pt>
                <c:pt idx="10">
                  <c:v>41.634599999999999</c:v>
                </c:pt>
                <c:pt idx="11">
                  <c:v>35.135899999999999</c:v>
                </c:pt>
                <c:pt idx="12">
                  <c:v>51.6113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0-4F57-867D-D59AC64E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91472"/>
        <c:axId val="1627713008"/>
      </c:barChart>
      <c:catAx>
        <c:axId val="10234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713008"/>
        <c:crosses val="autoZero"/>
        <c:auto val="1"/>
        <c:lblAlgn val="ctr"/>
        <c:lblOffset val="100"/>
        <c:noMultiLvlLbl val="0"/>
      </c:catAx>
      <c:valAx>
        <c:axId val="1627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34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</a:t>
            </a:r>
            <a:r>
              <a:rPr lang="en-US" altLang="ko-KR"/>
              <a:t>gpm,</a:t>
            </a:r>
            <a:r>
              <a:rPr lang="en-US" altLang="ko-KR" baseline="0"/>
              <a:t> 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data'!$B$19</c:f>
              <c:strCache>
                <c:ptCount val="1"/>
                <c:pt idx="0">
                  <c:v>%gpm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'raw data'!$C$2:$O$2</c:f>
              <c:strCache>
                <c:ptCount val="13"/>
                <c:pt idx="0">
                  <c:v>2Q21</c:v>
                </c:pt>
                <c:pt idx="1">
                  <c:v>3Q21</c:v>
                </c:pt>
                <c:pt idx="2">
                  <c:v>4Q21</c:v>
                </c:pt>
                <c:pt idx="3">
                  <c:v>1Q22</c:v>
                </c:pt>
                <c:pt idx="4">
                  <c:v>2Q22</c:v>
                </c:pt>
                <c:pt idx="5">
                  <c:v>3Q22</c:v>
                </c:pt>
                <c:pt idx="6">
                  <c:v>4Q22</c:v>
                </c:pt>
                <c:pt idx="7">
                  <c:v>1Q23</c:v>
                </c:pt>
                <c:pt idx="8">
                  <c:v>2Q23</c:v>
                </c:pt>
                <c:pt idx="9">
                  <c:v>3Q23</c:v>
                </c:pt>
                <c:pt idx="10">
                  <c:v>4Q23</c:v>
                </c:pt>
                <c:pt idx="11">
                  <c:v>1Q24</c:v>
                </c:pt>
                <c:pt idx="12">
                  <c:v>2Q24</c:v>
                </c:pt>
              </c:strCache>
            </c:strRef>
          </c:cat>
          <c:val>
            <c:numRef>
              <c:f>'raw data'!$C$19:$O$19</c:f>
              <c:numCache>
                <c:formatCode>0.00%</c:formatCode>
                <c:ptCount val="13"/>
                <c:pt idx="0">
                  <c:v>0.27324438741926538</c:v>
                </c:pt>
                <c:pt idx="1">
                  <c:v>0.25451075381463273</c:v>
                </c:pt>
                <c:pt idx="2">
                  <c:v>0.24917876682612394</c:v>
                </c:pt>
                <c:pt idx="3">
                  <c:v>0.26429098757625913</c:v>
                </c:pt>
                <c:pt idx="4">
                  <c:v>0.24748972435436717</c:v>
                </c:pt>
                <c:pt idx="5">
                  <c:v>0.23185325654761382</c:v>
                </c:pt>
                <c:pt idx="6">
                  <c:v>0.205940644493292</c:v>
                </c:pt>
                <c:pt idx="7">
                  <c:v>0.19644949555404498</c:v>
                </c:pt>
                <c:pt idx="8">
                  <c:v>0.21446229715153795</c:v>
                </c:pt>
                <c:pt idx="9">
                  <c:v>0.24886812418956406</c:v>
                </c:pt>
                <c:pt idx="10">
                  <c:v>0.23347670121531852</c:v>
                </c:pt>
                <c:pt idx="11">
                  <c:v>0.24027102022996416</c:v>
                </c:pt>
                <c:pt idx="12">
                  <c:v>0.24034071174305602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7-49B6-8B34-F1016D485DB4}"/>
            </c:ext>
          </c:extLst>
        </c:ser>
        <c:ser>
          <c:idx val="1"/>
          <c:order val="1"/>
          <c:tx>
            <c:strRef>
              <c:f>'raw data'!$B$21</c:f>
              <c:strCache>
                <c:ptCount val="1"/>
                <c:pt idx="0">
                  <c:v>%opm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'raw data'!$C$2:$O$2</c:f>
              <c:strCache>
                <c:ptCount val="13"/>
                <c:pt idx="0">
                  <c:v>2Q21</c:v>
                </c:pt>
                <c:pt idx="1">
                  <c:v>3Q21</c:v>
                </c:pt>
                <c:pt idx="2">
                  <c:v>4Q21</c:v>
                </c:pt>
                <c:pt idx="3">
                  <c:v>1Q22</c:v>
                </c:pt>
                <c:pt idx="4">
                  <c:v>2Q22</c:v>
                </c:pt>
                <c:pt idx="5">
                  <c:v>3Q22</c:v>
                </c:pt>
                <c:pt idx="6">
                  <c:v>4Q22</c:v>
                </c:pt>
                <c:pt idx="7">
                  <c:v>1Q23</c:v>
                </c:pt>
                <c:pt idx="8">
                  <c:v>2Q23</c:v>
                </c:pt>
                <c:pt idx="9">
                  <c:v>3Q23</c:v>
                </c:pt>
                <c:pt idx="10">
                  <c:v>4Q23</c:v>
                </c:pt>
                <c:pt idx="11">
                  <c:v>1Q24</c:v>
                </c:pt>
                <c:pt idx="12">
                  <c:v>2Q24</c:v>
                </c:pt>
              </c:strCache>
            </c:strRef>
          </c:cat>
          <c:val>
            <c:numRef>
              <c:f>'raw data'!$C$21:$O$21</c:f>
              <c:numCache>
                <c:formatCode>0.00%</c:formatCode>
                <c:ptCount val="13"/>
                <c:pt idx="0">
                  <c:v>0.16990206593759083</c:v>
                </c:pt>
                <c:pt idx="1">
                  <c:v>0.14275345433373737</c:v>
                </c:pt>
                <c:pt idx="2">
                  <c:v>0.12243558320233044</c:v>
                </c:pt>
                <c:pt idx="3">
                  <c:v>0.17564442325256233</c:v>
                </c:pt>
                <c:pt idx="4">
                  <c:v>0.1617364881973947</c:v>
                </c:pt>
                <c:pt idx="5">
                  <c:v>0.14313370794044739</c:v>
                </c:pt>
                <c:pt idx="6">
                  <c:v>0.11836328206418319</c:v>
                </c:pt>
                <c:pt idx="7">
                  <c:v>0.11204169105526778</c:v>
                </c:pt>
                <c:pt idx="8">
                  <c:v>0.11255548379022989</c:v>
                </c:pt>
                <c:pt idx="9">
                  <c:v>0.18099975678878844</c:v>
                </c:pt>
                <c:pt idx="10">
                  <c:v>0.16696683690349437</c:v>
                </c:pt>
                <c:pt idx="11">
                  <c:v>0.14749906595413309</c:v>
                </c:pt>
                <c:pt idx="12">
                  <c:v>0.17908359117227921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7-49B6-8B34-F1016D48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042336"/>
        <c:axId val="1628491264"/>
      </c:lineChart>
      <c:catAx>
        <c:axId val="13730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491264"/>
        <c:crosses val="autoZero"/>
        <c:auto val="1"/>
        <c:lblAlgn val="ctr"/>
        <c:lblOffset val="100"/>
        <c:noMultiLvlLbl val="0"/>
      </c:catAx>
      <c:valAx>
        <c:axId val="16284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0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생산능력 (톤)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'raw data'!$E$2:$O$2</c:f>
              <c:strCache>
                <c:ptCount val="11"/>
                <c:pt idx="0">
                  <c:v>4Q21</c:v>
                </c:pt>
                <c:pt idx="1">
                  <c:v>1Q22</c:v>
                </c:pt>
                <c:pt idx="2">
                  <c:v>2Q22</c:v>
                </c:pt>
                <c:pt idx="3">
                  <c:v>3Q22</c:v>
                </c:pt>
                <c:pt idx="4">
                  <c:v>4Q22</c:v>
                </c:pt>
                <c:pt idx="5">
                  <c:v>1Q23</c:v>
                </c:pt>
                <c:pt idx="6">
                  <c:v>2Q23</c:v>
                </c:pt>
                <c:pt idx="7">
                  <c:v>3Q23</c:v>
                </c:pt>
                <c:pt idx="8">
                  <c:v>4Q23</c:v>
                </c:pt>
                <c:pt idx="9">
                  <c:v>1Q24</c:v>
                </c:pt>
                <c:pt idx="10">
                  <c:v>2Q24</c:v>
                </c:pt>
              </c:strCache>
            </c:strRef>
          </c:cat>
          <c:val>
            <c:numRef>
              <c:f>'raw data'!$E$38:$O$38</c:f>
              <c:numCache>
                <c:formatCode>0_ </c:formatCode>
                <c:ptCount val="11"/>
                <c:pt idx="0">
                  <c:v>1680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2192.5</c:v>
                </c:pt>
                <c:pt idx="5">
                  <c:v>2193</c:v>
                </c:pt>
                <c:pt idx="6">
                  <c:v>2192.5</c:v>
                </c:pt>
                <c:pt idx="7">
                  <c:v>2956</c:v>
                </c:pt>
                <c:pt idx="8">
                  <c:v>2956</c:v>
                </c:pt>
                <c:pt idx="9">
                  <c:v>3932</c:v>
                </c:pt>
                <c:pt idx="10">
                  <c:v>3931.5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D2D-88F5-D353B45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31712"/>
        <c:axId val="1628494176"/>
      </c:lineChart>
      <c:lineChart>
        <c:grouping val="standard"/>
        <c:varyColors val="0"/>
        <c:ser>
          <c:idx val="1"/>
          <c:order val="1"/>
          <c:tx>
            <c:strRef>
              <c:f>'raw data'!$B$39</c:f>
              <c:strCache>
                <c:ptCount val="1"/>
                <c:pt idx="0">
                  <c:v>생산실적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'raw data'!$E$39:$O$39</c:f>
              <c:numCache>
                <c:formatCode>General</c:formatCode>
                <c:ptCount val="11"/>
                <c:pt idx="0">
                  <c:v>2233</c:v>
                </c:pt>
                <c:pt idx="1">
                  <c:v>2002</c:v>
                </c:pt>
                <c:pt idx="2">
                  <c:v>2199</c:v>
                </c:pt>
                <c:pt idx="3">
                  <c:v>1820</c:v>
                </c:pt>
                <c:pt idx="4">
                  <c:v>1631</c:v>
                </c:pt>
                <c:pt idx="5">
                  <c:v>1749</c:v>
                </c:pt>
                <c:pt idx="6">
                  <c:v>2365</c:v>
                </c:pt>
                <c:pt idx="7">
                  <c:v>3053</c:v>
                </c:pt>
                <c:pt idx="8">
                  <c:v>2989</c:v>
                </c:pt>
                <c:pt idx="9">
                  <c:v>3577</c:v>
                </c:pt>
                <c:pt idx="10">
                  <c:v>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8-4D2D-88F5-D353B45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525712"/>
        <c:axId val="1628483776"/>
      </c:lineChart>
      <c:catAx>
        <c:axId val="16245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8494176"/>
        <c:crosses val="autoZero"/>
        <c:auto val="1"/>
        <c:lblAlgn val="ctr"/>
        <c:lblOffset val="100"/>
        <c:noMultiLvlLbl val="0"/>
      </c:catAx>
      <c:valAx>
        <c:axId val="16284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531712"/>
        <c:crosses val="autoZero"/>
        <c:crossBetween val="between"/>
      </c:valAx>
      <c:valAx>
        <c:axId val="162848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525712"/>
        <c:crosses val="max"/>
        <c:crossBetween val="between"/>
      </c:valAx>
      <c:catAx>
        <c:axId val="162452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48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삼양식품 생산실적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report!$D$272:$M$272</c:f>
              <c:strCache>
                <c:ptCount val="10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  <c:pt idx="4">
                  <c:v>1Q23</c:v>
                </c:pt>
                <c:pt idx="5">
                  <c:v>2Q23</c:v>
                </c:pt>
                <c:pt idx="6">
                  <c:v>3Q23</c:v>
                </c:pt>
                <c:pt idx="7">
                  <c:v>4Q23</c:v>
                </c:pt>
                <c:pt idx="8">
                  <c:v>1Q24</c:v>
                </c:pt>
                <c:pt idx="9">
                  <c:v>2Q24</c:v>
                </c:pt>
              </c:strCache>
            </c:strRef>
          </c:cat>
          <c:val>
            <c:numRef>
              <c:f>report!$D$274:$M$274</c:f>
              <c:numCache>
                <c:formatCode>0_ </c:formatCode>
                <c:ptCount val="10"/>
                <c:pt idx="0">
                  <c:v>1151.52</c:v>
                </c:pt>
                <c:pt idx="1">
                  <c:v>1428.7500000000002</c:v>
                </c:pt>
                <c:pt idx="2">
                  <c:v>1751.49</c:v>
                </c:pt>
                <c:pt idx="3">
                  <c:v>1531.1399999999999</c:v>
                </c:pt>
                <c:pt idx="4">
                  <c:v>1789.07</c:v>
                </c:pt>
                <c:pt idx="5">
                  <c:v>2080.4499999999998</c:v>
                </c:pt>
                <c:pt idx="6">
                  <c:v>2226.1999999999998</c:v>
                </c:pt>
                <c:pt idx="7">
                  <c:v>2426.63</c:v>
                </c:pt>
                <c:pt idx="8">
                  <c:v>2319.69</c:v>
                </c:pt>
                <c:pt idx="9">
                  <c:v>2643.9000000000005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7-4895-96DD-15EC1B7D80FF}"/>
            </c:ext>
          </c:extLst>
        </c:ser>
        <c:ser>
          <c:idx val="1"/>
          <c:order val="1"/>
          <c:tx>
            <c:v>에스앤디 생산실적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data'!$F$39:$O$39</c:f>
              <c:numCache>
                <c:formatCode>General</c:formatCode>
                <c:ptCount val="10"/>
                <c:pt idx="0">
                  <c:v>2002</c:v>
                </c:pt>
                <c:pt idx="1">
                  <c:v>2199</c:v>
                </c:pt>
                <c:pt idx="2">
                  <c:v>1820</c:v>
                </c:pt>
                <c:pt idx="3">
                  <c:v>1631</c:v>
                </c:pt>
                <c:pt idx="4">
                  <c:v>1749</c:v>
                </c:pt>
                <c:pt idx="5">
                  <c:v>2365</c:v>
                </c:pt>
                <c:pt idx="6">
                  <c:v>3053</c:v>
                </c:pt>
                <c:pt idx="7">
                  <c:v>2989</c:v>
                </c:pt>
                <c:pt idx="8">
                  <c:v>3577</c:v>
                </c:pt>
                <c:pt idx="9">
                  <c:v>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7-4895-96DD-15EC1B7D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55408"/>
        <c:axId val="622827632"/>
      </c:lineChart>
      <c:catAx>
        <c:axId val="6791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827632"/>
        <c:crosses val="autoZero"/>
        <c:auto val="1"/>
        <c:lblAlgn val="ctr"/>
        <c:lblOffset val="100"/>
        <c:noMultiLvlLbl val="0"/>
      </c:catAx>
      <c:valAx>
        <c:axId val="6228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삼양식품 생산능력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report!$D$272:$M$272</c:f>
              <c:strCache>
                <c:ptCount val="10"/>
                <c:pt idx="0">
                  <c:v>1Q22</c:v>
                </c:pt>
                <c:pt idx="1">
                  <c:v>2Q22</c:v>
                </c:pt>
                <c:pt idx="2">
                  <c:v>3Q22</c:v>
                </c:pt>
                <c:pt idx="3">
                  <c:v>4Q22</c:v>
                </c:pt>
                <c:pt idx="4">
                  <c:v>1Q23</c:v>
                </c:pt>
                <c:pt idx="5">
                  <c:v>2Q23</c:v>
                </c:pt>
                <c:pt idx="6">
                  <c:v>3Q23</c:v>
                </c:pt>
                <c:pt idx="7">
                  <c:v>4Q23</c:v>
                </c:pt>
                <c:pt idx="8">
                  <c:v>1Q24</c:v>
                </c:pt>
                <c:pt idx="9">
                  <c:v>2Q24</c:v>
                </c:pt>
              </c:strCache>
            </c:strRef>
          </c:cat>
          <c:val>
            <c:numRef>
              <c:f>report!$D$273:$M$273</c:f>
              <c:numCache>
                <c:formatCode>0_ </c:formatCode>
                <c:ptCount val="10"/>
                <c:pt idx="0">
                  <c:v>1458</c:v>
                </c:pt>
                <c:pt idx="1">
                  <c:v>1897.7099999999998</c:v>
                </c:pt>
                <c:pt idx="2">
                  <c:v>2280.94</c:v>
                </c:pt>
                <c:pt idx="3">
                  <c:v>2493.38</c:v>
                </c:pt>
                <c:pt idx="4">
                  <c:v>3032.28</c:v>
                </c:pt>
                <c:pt idx="5">
                  <c:v>3001.42</c:v>
                </c:pt>
                <c:pt idx="6">
                  <c:v>3062.68</c:v>
                </c:pt>
                <c:pt idx="7">
                  <c:v>3175.8399999999992</c:v>
                </c:pt>
                <c:pt idx="8">
                  <c:v>3272.67</c:v>
                </c:pt>
                <c:pt idx="9">
                  <c:v>3442.73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A-4C43-9190-1C86522D1B30}"/>
            </c:ext>
          </c:extLst>
        </c:ser>
        <c:ser>
          <c:idx val="1"/>
          <c:order val="1"/>
          <c:tx>
            <c:v>에스앤디 생산능력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data'!$F$38:$O$38</c:f>
              <c:numCache>
                <c:formatCode>0_ </c:formatCode>
                <c:ptCount val="10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2192.5</c:v>
                </c:pt>
                <c:pt idx="4">
                  <c:v>2193</c:v>
                </c:pt>
                <c:pt idx="5">
                  <c:v>2192.5</c:v>
                </c:pt>
                <c:pt idx="6">
                  <c:v>2956</c:v>
                </c:pt>
                <c:pt idx="7">
                  <c:v>2956</c:v>
                </c:pt>
                <c:pt idx="8">
                  <c:v>3932</c:v>
                </c:pt>
                <c:pt idx="9">
                  <c:v>3931.5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A-4C43-9190-1C86522D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48272"/>
        <c:axId val="675143872"/>
      </c:lineChart>
      <c:catAx>
        <c:axId val="9005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5143872"/>
        <c:crosses val="autoZero"/>
        <c:auto val="1"/>
        <c:lblAlgn val="ctr"/>
        <c:lblOffset val="100"/>
        <c:noMultiLvlLbl val="0"/>
      </c:catAx>
      <c:valAx>
        <c:axId val="6751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05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chart" Target="../charts/chart4.xml"/><Relationship Id="rId39" Type="http://schemas.openxmlformats.org/officeDocument/2006/relationships/image" Target="../media/image32.png"/><Relationship Id="rId21" Type="http://schemas.openxmlformats.org/officeDocument/2006/relationships/image" Target="../media/image21.jpeg"/><Relationship Id="rId34" Type="http://schemas.openxmlformats.org/officeDocument/2006/relationships/image" Target="../media/image27.png"/><Relationship Id="rId42" Type="http://schemas.openxmlformats.org/officeDocument/2006/relationships/image" Target="../media/image35.png"/><Relationship Id="rId47" Type="http://schemas.openxmlformats.org/officeDocument/2006/relationships/image" Target="../media/image40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chart" Target="../charts/chart5.xml"/><Relationship Id="rId11" Type="http://schemas.openxmlformats.org/officeDocument/2006/relationships/image" Target="../media/image11.jpeg"/><Relationship Id="rId24" Type="http://schemas.openxmlformats.org/officeDocument/2006/relationships/chart" Target="../charts/chart2.xml"/><Relationship Id="rId32" Type="http://schemas.openxmlformats.org/officeDocument/2006/relationships/image" Target="../media/image25.png"/><Relationship Id="rId37" Type="http://schemas.openxmlformats.org/officeDocument/2006/relationships/image" Target="../media/image30.png"/><Relationship Id="rId40" Type="http://schemas.openxmlformats.org/officeDocument/2006/relationships/image" Target="../media/image33.png"/><Relationship Id="rId45" Type="http://schemas.openxmlformats.org/officeDocument/2006/relationships/image" Target="../media/image38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chart" Target="../charts/chart1.xml"/><Relationship Id="rId28" Type="http://schemas.openxmlformats.org/officeDocument/2006/relationships/image" Target="../media/image24.png"/><Relationship Id="rId36" Type="http://schemas.openxmlformats.org/officeDocument/2006/relationships/image" Target="../media/image29.png"/><Relationship Id="rId49" Type="http://schemas.openxmlformats.org/officeDocument/2006/relationships/image" Target="../media/image42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chart" Target="../charts/chart7.xml"/><Relationship Id="rId44" Type="http://schemas.openxmlformats.org/officeDocument/2006/relationships/image" Target="../media/image37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3.png"/><Relationship Id="rId30" Type="http://schemas.openxmlformats.org/officeDocument/2006/relationships/chart" Target="../charts/chart6.xml"/><Relationship Id="rId35" Type="http://schemas.openxmlformats.org/officeDocument/2006/relationships/image" Target="../media/image28.png"/><Relationship Id="rId43" Type="http://schemas.openxmlformats.org/officeDocument/2006/relationships/image" Target="../media/image36.png"/><Relationship Id="rId48" Type="http://schemas.openxmlformats.org/officeDocument/2006/relationships/image" Target="../media/image41.png"/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chart" Target="../charts/chart3.xml"/><Relationship Id="rId33" Type="http://schemas.openxmlformats.org/officeDocument/2006/relationships/image" Target="../media/image26.png"/><Relationship Id="rId38" Type="http://schemas.openxmlformats.org/officeDocument/2006/relationships/image" Target="../media/image31.png"/><Relationship Id="rId46" Type="http://schemas.openxmlformats.org/officeDocument/2006/relationships/image" Target="../media/image39.jpeg"/><Relationship Id="rId20" Type="http://schemas.openxmlformats.org/officeDocument/2006/relationships/image" Target="../media/image20.jpeg"/><Relationship Id="rId41" Type="http://schemas.openxmlformats.org/officeDocument/2006/relationships/image" Target="../media/image34.png"/><Relationship Id="rId1" Type="http://schemas.openxmlformats.org/officeDocument/2006/relationships/image" Target="../media/image1.pn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0</xdr:row>
      <xdr:rowOff>99060</xdr:rowOff>
    </xdr:from>
    <xdr:to>
      <xdr:col>6</xdr:col>
      <xdr:colOff>426720</xdr:colOff>
      <xdr:row>11</xdr:row>
      <xdr:rowOff>76200</xdr:rowOff>
    </xdr:to>
    <xdr:pic>
      <xdr:nvPicPr>
        <xdr:cNvPr id="3" name="그림 2" descr="에스앤디, 공개매수로 자사주 취득 및 소각 결정...지분 29% 규모 &lt; 뉴스위드AI &lt; 공시 &lt; 산업 &lt; 기사본문 - 디지털투데이  (DigitalToday)">
          <a:extLst>
            <a:ext uri="{FF2B5EF4-FFF2-40B4-BE49-F238E27FC236}">
              <a16:creationId xmlns:a16="http://schemas.microsoft.com/office/drawing/2014/main" id="{48C0E45F-CA41-4710-9B11-96727FF11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99060"/>
          <a:ext cx="4290060" cy="2407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455892</xdr:colOff>
      <xdr:row>0</xdr:row>
      <xdr:rowOff>175260</xdr:rowOff>
    </xdr:from>
    <xdr:to>
      <xdr:col>14</xdr:col>
      <xdr:colOff>640079</xdr:colOff>
      <xdr:row>11</xdr:row>
      <xdr:rowOff>0</xdr:rowOff>
    </xdr:to>
    <xdr:pic>
      <xdr:nvPicPr>
        <xdr:cNvPr id="4" name="그림 3" descr="삼양 불닭볶음면·팔도 비빔면도 내달부터 가격 올린다 - 경향신문">
          <a:extLst>
            <a:ext uri="{FF2B5EF4-FFF2-40B4-BE49-F238E27FC236}">
              <a16:creationId xmlns:a16="http://schemas.microsoft.com/office/drawing/2014/main" id="{D199F03F-110A-4839-B69B-C6901DBB5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452" y="175260"/>
          <a:ext cx="2866427" cy="225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6</xdr:col>
      <xdr:colOff>350882</xdr:colOff>
      <xdr:row>48</xdr:row>
      <xdr:rowOff>175697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AB4E749-4FA9-4961-88ED-6C109F8A5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5745480"/>
          <a:ext cx="4176122" cy="5037257"/>
        </a:xfrm>
        <a:prstGeom prst="rect">
          <a:avLst/>
        </a:prstGeom>
      </xdr:spPr>
    </xdr:pic>
    <xdr:clientData/>
  </xdr:twoCellAnchor>
  <xdr:twoCellAnchor editAs="oneCell">
    <xdr:from>
      <xdr:col>3</xdr:col>
      <xdr:colOff>312420</xdr:colOff>
      <xdr:row>58</xdr:row>
      <xdr:rowOff>32706</xdr:rowOff>
    </xdr:from>
    <xdr:to>
      <xdr:col>4</xdr:col>
      <xdr:colOff>662939</xdr:colOff>
      <xdr:row>61</xdr:row>
      <xdr:rowOff>45720</xdr:rowOff>
    </xdr:to>
    <xdr:pic>
      <xdr:nvPicPr>
        <xdr:cNvPr id="7" name="그림 6" descr="이미지: 적용 제품(1)">
          <a:extLst>
            <a:ext uri="{FF2B5EF4-FFF2-40B4-BE49-F238E27FC236}">
              <a16:creationId xmlns:a16="http://schemas.microsoft.com/office/drawing/2014/main" id="{29F039BF-03AE-4EB8-9CC0-4FC72DA6F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009566"/>
          <a:ext cx="1021079" cy="675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368770</xdr:colOff>
      <xdr:row>67</xdr:row>
      <xdr:rowOff>45720</xdr:rowOff>
    </xdr:from>
    <xdr:to>
      <xdr:col>4</xdr:col>
      <xdr:colOff>609600</xdr:colOff>
      <xdr:row>70</xdr:row>
      <xdr:rowOff>22860</xdr:rowOff>
    </xdr:to>
    <xdr:pic>
      <xdr:nvPicPr>
        <xdr:cNvPr id="8" name="그림 7" descr="이미지: 적용 제품(2)">
          <a:extLst>
            <a:ext uri="{FF2B5EF4-FFF2-40B4-BE49-F238E27FC236}">
              <a16:creationId xmlns:a16="http://schemas.microsoft.com/office/drawing/2014/main" id="{738035E1-2AD8-40AD-BB7C-BA861F5FA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790" y="14790420"/>
          <a:ext cx="91139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</xdr:colOff>
      <xdr:row>67</xdr:row>
      <xdr:rowOff>15240</xdr:rowOff>
    </xdr:from>
    <xdr:to>
      <xdr:col>6</xdr:col>
      <xdr:colOff>263515</xdr:colOff>
      <xdr:row>70</xdr:row>
      <xdr:rowOff>45720</xdr:rowOff>
    </xdr:to>
    <xdr:pic>
      <xdr:nvPicPr>
        <xdr:cNvPr id="9" name="그림 8" descr="이미지: 적용 제품(4)">
          <a:extLst>
            <a:ext uri="{FF2B5EF4-FFF2-40B4-BE49-F238E27FC236}">
              <a16:creationId xmlns:a16="http://schemas.microsoft.com/office/drawing/2014/main" id="{3B08C9D5-A74F-4AB3-B207-269829FD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1760" y="14759940"/>
          <a:ext cx="926455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73</xdr:row>
      <xdr:rowOff>53339</xdr:rowOff>
    </xdr:from>
    <xdr:to>
      <xdr:col>5</xdr:col>
      <xdr:colOff>411480</xdr:colOff>
      <xdr:row>76</xdr:row>
      <xdr:rowOff>66708</xdr:rowOff>
    </xdr:to>
    <xdr:pic>
      <xdr:nvPicPr>
        <xdr:cNvPr id="10" name="그림 9" descr="이미지: 적용 제품(3)">
          <a:extLst>
            <a:ext uri="{FF2B5EF4-FFF2-40B4-BE49-F238E27FC236}">
              <a16:creationId xmlns:a16="http://schemas.microsoft.com/office/drawing/2014/main" id="{EB162508-FBBB-445B-A024-78B5874F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902939"/>
          <a:ext cx="998220" cy="676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73</xdr:row>
      <xdr:rowOff>91440</xdr:rowOff>
    </xdr:from>
    <xdr:to>
      <xdr:col>7</xdr:col>
      <xdr:colOff>65570</xdr:colOff>
      <xdr:row>76</xdr:row>
      <xdr:rowOff>68580</xdr:rowOff>
    </xdr:to>
    <xdr:pic>
      <xdr:nvPicPr>
        <xdr:cNvPr id="11" name="그림 10" descr="이미지: 적용 제품(2)">
          <a:extLst>
            <a:ext uri="{FF2B5EF4-FFF2-40B4-BE49-F238E27FC236}">
              <a16:creationId xmlns:a16="http://schemas.microsoft.com/office/drawing/2014/main" id="{DCCFD288-0329-4CE6-9EBD-739232978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5941040"/>
          <a:ext cx="91139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251460</xdr:colOff>
      <xdr:row>73</xdr:row>
      <xdr:rowOff>76200</xdr:rowOff>
    </xdr:from>
    <xdr:to>
      <xdr:col>8</xdr:col>
      <xdr:colOff>507355</xdr:colOff>
      <xdr:row>76</xdr:row>
      <xdr:rowOff>106680</xdr:rowOff>
    </xdr:to>
    <xdr:pic>
      <xdr:nvPicPr>
        <xdr:cNvPr id="12" name="그림 11" descr="이미지: 적용 제품(4)">
          <a:extLst>
            <a:ext uri="{FF2B5EF4-FFF2-40B4-BE49-F238E27FC236}">
              <a16:creationId xmlns:a16="http://schemas.microsoft.com/office/drawing/2014/main" id="{2CE9C9CC-9F5F-40F9-99E6-66E0AC525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720" y="15925800"/>
          <a:ext cx="926455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640080</xdr:colOff>
      <xdr:row>80</xdr:row>
      <xdr:rowOff>83819</xdr:rowOff>
    </xdr:from>
    <xdr:ext cx="998220" cy="676309"/>
    <xdr:pic>
      <xdr:nvPicPr>
        <xdr:cNvPr id="13" name="그림 12" descr="이미지: 적용 제품(3)">
          <a:extLst>
            <a:ext uri="{FF2B5EF4-FFF2-40B4-BE49-F238E27FC236}">
              <a16:creationId xmlns:a16="http://schemas.microsoft.com/office/drawing/2014/main" id="{2F0C1ACA-B04D-49A9-86FB-F4A674A1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7259299"/>
          <a:ext cx="998220" cy="676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411480</xdr:colOff>
      <xdr:row>80</xdr:row>
      <xdr:rowOff>99060</xdr:rowOff>
    </xdr:from>
    <xdr:ext cx="911390" cy="640080"/>
    <xdr:pic>
      <xdr:nvPicPr>
        <xdr:cNvPr id="14" name="그림 13" descr="이미지: 적용 제품(2)">
          <a:extLst>
            <a:ext uri="{FF2B5EF4-FFF2-40B4-BE49-F238E27FC236}">
              <a16:creationId xmlns:a16="http://schemas.microsoft.com/office/drawing/2014/main" id="{4137C8A0-0C33-40AF-B47C-F4E5D09E3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" y="17274540"/>
          <a:ext cx="91139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106680</xdr:colOff>
      <xdr:row>80</xdr:row>
      <xdr:rowOff>91440</xdr:rowOff>
    </xdr:from>
    <xdr:ext cx="926455" cy="693420"/>
    <xdr:pic>
      <xdr:nvPicPr>
        <xdr:cNvPr id="15" name="그림 14" descr="이미지: 적용 제품(4)">
          <a:extLst>
            <a:ext uri="{FF2B5EF4-FFF2-40B4-BE49-F238E27FC236}">
              <a16:creationId xmlns:a16="http://schemas.microsoft.com/office/drawing/2014/main" id="{E4ABE7B6-D43F-430F-88F9-B86B1A22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1940" y="17266920"/>
          <a:ext cx="926455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251460</xdr:colOff>
      <xdr:row>85</xdr:row>
      <xdr:rowOff>198120</xdr:rowOff>
    </xdr:from>
    <xdr:to>
      <xdr:col>4</xdr:col>
      <xdr:colOff>514210</xdr:colOff>
      <xdr:row>88</xdr:row>
      <xdr:rowOff>205740</xdr:rowOff>
    </xdr:to>
    <xdr:pic>
      <xdr:nvPicPr>
        <xdr:cNvPr id="16" name="그림 15" descr="이미지: 적용 제품(5)">
          <a:extLst>
            <a:ext uri="{FF2B5EF4-FFF2-40B4-BE49-F238E27FC236}">
              <a16:creationId xmlns:a16="http://schemas.microsoft.com/office/drawing/2014/main" id="{AAA39E1D-179A-47D6-A1D4-FC9EA3F2E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" y="19141440"/>
          <a:ext cx="93331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304800</xdr:colOff>
      <xdr:row>87</xdr:row>
      <xdr:rowOff>83820</xdr:rowOff>
    </xdr:to>
    <xdr:sp macro="" textlink="">
      <xdr:nvSpPr>
        <xdr:cNvPr id="1030" name="AutoShape 6" descr="삼양식품 삼양라면 골드 120g (20개) : 다나와 가격비교">
          <a:extLst>
            <a:ext uri="{FF2B5EF4-FFF2-40B4-BE49-F238E27FC236}">
              <a16:creationId xmlns:a16="http://schemas.microsoft.com/office/drawing/2014/main" id="{44C6FC5C-5995-4AE1-BD13-FD1060227515}"/>
            </a:ext>
          </a:extLst>
        </xdr:cNvPr>
        <xdr:cNvSpPr>
          <a:spLocks noChangeAspect="1" noChangeArrowheads="1"/>
        </xdr:cNvSpPr>
      </xdr:nvSpPr>
      <xdr:spPr bwMode="auto">
        <a:xfrm>
          <a:off x="264414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601980</xdr:colOff>
      <xdr:row>85</xdr:row>
      <xdr:rowOff>83820</xdr:rowOff>
    </xdr:from>
    <xdr:to>
      <xdr:col>6</xdr:col>
      <xdr:colOff>144780</xdr:colOff>
      <xdr:row>89</xdr:row>
      <xdr:rowOff>83820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0621A2-FEDA-4ED4-BB79-D3665E464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5560" y="19027140"/>
          <a:ext cx="883920" cy="883920"/>
        </a:xfrm>
        <a:prstGeom prst="rect">
          <a:avLst/>
        </a:prstGeom>
      </xdr:spPr>
    </xdr:pic>
    <xdr:clientData/>
  </xdr:twoCellAnchor>
  <xdr:twoCellAnchor editAs="oneCell">
    <xdr:from>
      <xdr:col>4</xdr:col>
      <xdr:colOff>99222</xdr:colOff>
      <xdr:row>91</xdr:row>
      <xdr:rowOff>198120</xdr:rowOff>
    </xdr:from>
    <xdr:to>
      <xdr:col>5</xdr:col>
      <xdr:colOff>458238</xdr:colOff>
      <xdr:row>95</xdr:row>
      <xdr:rowOff>60960</xdr:rowOff>
    </xdr:to>
    <xdr:pic>
      <xdr:nvPicPr>
        <xdr:cNvPr id="18" name="그림 17" descr="이미지: 적용 제품(6)">
          <a:extLst>
            <a:ext uri="{FF2B5EF4-FFF2-40B4-BE49-F238E27FC236}">
              <a16:creationId xmlns:a16="http://schemas.microsoft.com/office/drawing/2014/main" id="{34C2FB56-EB7F-4D35-97E9-E71F1274B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802" y="20467320"/>
          <a:ext cx="1029576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137160</xdr:colOff>
      <xdr:row>97</xdr:row>
      <xdr:rowOff>207126</xdr:rowOff>
    </xdr:from>
    <xdr:to>
      <xdr:col>5</xdr:col>
      <xdr:colOff>457200</xdr:colOff>
      <xdr:row>101</xdr:row>
      <xdr:rowOff>13191</xdr:rowOff>
    </xdr:to>
    <xdr:pic>
      <xdr:nvPicPr>
        <xdr:cNvPr id="19" name="그림 18" descr="이미지: 적용 제품(7)">
          <a:extLst>
            <a:ext uri="{FF2B5EF4-FFF2-40B4-BE49-F238E27FC236}">
              <a16:creationId xmlns:a16="http://schemas.microsoft.com/office/drawing/2014/main" id="{11E0F5EA-FD1E-42DD-A445-71693AE8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" y="21802206"/>
          <a:ext cx="990600" cy="68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104</xdr:row>
      <xdr:rowOff>175260</xdr:rowOff>
    </xdr:from>
    <xdr:to>
      <xdr:col>5</xdr:col>
      <xdr:colOff>226695</xdr:colOff>
      <xdr:row>108</xdr:row>
      <xdr:rowOff>45720</xdr:rowOff>
    </xdr:to>
    <xdr:pic>
      <xdr:nvPicPr>
        <xdr:cNvPr id="20" name="그림 19" descr="이미지: 적용 제품(8)">
          <a:extLst>
            <a:ext uri="{FF2B5EF4-FFF2-40B4-BE49-F238E27FC236}">
              <a16:creationId xmlns:a16="http://schemas.microsoft.com/office/drawing/2014/main" id="{71D76E0A-36EC-491E-9BF6-D854CC417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23317200"/>
          <a:ext cx="1148715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236220</xdr:colOff>
      <xdr:row>111</xdr:row>
      <xdr:rowOff>60960</xdr:rowOff>
    </xdr:from>
    <xdr:to>
      <xdr:col>6</xdr:col>
      <xdr:colOff>231736</xdr:colOff>
      <xdr:row>115</xdr:row>
      <xdr:rowOff>129540</xdr:rowOff>
    </xdr:to>
    <xdr:pic>
      <xdr:nvPicPr>
        <xdr:cNvPr id="21" name="그림 20" descr="이미지: 적용 제품(9)">
          <a:extLst>
            <a:ext uri="{FF2B5EF4-FFF2-40B4-BE49-F238E27FC236}">
              <a16:creationId xmlns:a16="http://schemas.microsoft.com/office/drawing/2014/main" id="{50A9CD7E-3064-4059-AF59-5753B90C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4749760"/>
          <a:ext cx="1336636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</xdr:colOff>
      <xdr:row>118</xdr:row>
      <xdr:rowOff>106680</xdr:rowOff>
    </xdr:from>
    <xdr:to>
      <xdr:col>5</xdr:col>
      <xdr:colOff>599534</xdr:colOff>
      <xdr:row>122</xdr:row>
      <xdr:rowOff>68580</xdr:rowOff>
    </xdr:to>
    <xdr:pic>
      <xdr:nvPicPr>
        <xdr:cNvPr id="22" name="그림 21" descr="이미지: 적용 제품(10)">
          <a:extLst>
            <a:ext uri="{FF2B5EF4-FFF2-40B4-BE49-F238E27FC236}">
              <a16:creationId xmlns:a16="http://schemas.microsoft.com/office/drawing/2014/main" id="{FBBB8C1D-FDB3-48DB-9EF1-4F532BA2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6342340"/>
          <a:ext cx="1193894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441960</xdr:colOff>
      <xdr:row>128</xdr:row>
      <xdr:rowOff>91440</xdr:rowOff>
    </xdr:from>
    <xdr:to>
      <xdr:col>5</xdr:col>
      <xdr:colOff>121919</xdr:colOff>
      <xdr:row>131</xdr:row>
      <xdr:rowOff>104454</xdr:rowOff>
    </xdr:to>
    <xdr:pic>
      <xdr:nvPicPr>
        <xdr:cNvPr id="23" name="그림 22" descr="이미지: 적용 제품(1)">
          <a:extLst>
            <a:ext uri="{FF2B5EF4-FFF2-40B4-BE49-F238E27FC236}">
              <a16:creationId xmlns:a16="http://schemas.microsoft.com/office/drawing/2014/main" id="{4F04D4A2-A37B-4A25-B9EF-A2069B7B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28536900"/>
          <a:ext cx="1021079" cy="675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134</xdr:row>
      <xdr:rowOff>190500</xdr:rowOff>
    </xdr:from>
    <xdr:to>
      <xdr:col>5</xdr:col>
      <xdr:colOff>174561</xdr:colOff>
      <xdr:row>138</xdr:row>
      <xdr:rowOff>7620</xdr:rowOff>
    </xdr:to>
    <xdr:pic>
      <xdr:nvPicPr>
        <xdr:cNvPr id="25" name="그림 24" descr="이미지: 적용 제품(12)">
          <a:extLst>
            <a:ext uri="{FF2B5EF4-FFF2-40B4-BE49-F238E27FC236}">
              <a16:creationId xmlns:a16="http://schemas.microsoft.com/office/drawing/2014/main" id="{5B7A014D-31DB-4A99-95B1-05D4557E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29961840"/>
          <a:ext cx="1096581" cy="701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579121</xdr:colOff>
      <xdr:row>142</xdr:row>
      <xdr:rowOff>35310</xdr:rowOff>
    </xdr:from>
    <xdr:to>
      <xdr:col>5</xdr:col>
      <xdr:colOff>205741</xdr:colOff>
      <xdr:row>145</xdr:row>
      <xdr:rowOff>13014</xdr:rowOff>
    </xdr:to>
    <xdr:pic>
      <xdr:nvPicPr>
        <xdr:cNvPr id="26" name="그림 25" descr="이미지: 적용 제품(1)">
          <a:extLst>
            <a:ext uri="{FF2B5EF4-FFF2-40B4-BE49-F238E27FC236}">
              <a16:creationId xmlns:a16="http://schemas.microsoft.com/office/drawing/2014/main" id="{005C5CEF-7C15-4256-B491-D8AB5C07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1" y="31574490"/>
          <a:ext cx="967740" cy="640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289561</xdr:colOff>
      <xdr:row>141</xdr:row>
      <xdr:rowOff>213360</xdr:rowOff>
    </xdr:from>
    <xdr:to>
      <xdr:col>6</xdr:col>
      <xdr:colOff>410723</xdr:colOff>
      <xdr:row>145</xdr:row>
      <xdr:rowOff>7620</xdr:rowOff>
    </xdr:to>
    <xdr:pic>
      <xdr:nvPicPr>
        <xdr:cNvPr id="27" name="그림 26" descr="이미지: 적용 제품(13)">
          <a:extLst>
            <a:ext uri="{FF2B5EF4-FFF2-40B4-BE49-F238E27FC236}">
              <a16:creationId xmlns:a16="http://schemas.microsoft.com/office/drawing/2014/main" id="{6A4FC7F3-DADF-4EF6-930F-B808A6F09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1" y="31531560"/>
          <a:ext cx="791722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60960</xdr:colOff>
      <xdr:row>147</xdr:row>
      <xdr:rowOff>198120</xdr:rowOff>
    </xdr:from>
    <xdr:to>
      <xdr:col>5</xdr:col>
      <xdr:colOff>356339</xdr:colOff>
      <xdr:row>150</xdr:row>
      <xdr:rowOff>167640</xdr:rowOff>
    </xdr:to>
    <xdr:pic>
      <xdr:nvPicPr>
        <xdr:cNvPr id="28" name="그림 27" descr="이미지: 적용 제품(14)">
          <a:extLst>
            <a:ext uri="{FF2B5EF4-FFF2-40B4-BE49-F238E27FC236}">
              <a16:creationId xmlns:a16="http://schemas.microsoft.com/office/drawing/2014/main" id="{079FEB62-E3A4-444B-A665-30BF2613E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32842200"/>
          <a:ext cx="965939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154</xdr:row>
      <xdr:rowOff>0</xdr:rowOff>
    </xdr:from>
    <xdr:ext cx="998220" cy="676309"/>
    <xdr:pic>
      <xdr:nvPicPr>
        <xdr:cNvPr id="29" name="그림 28" descr="이미지: 적용 제품(3)">
          <a:extLst>
            <a:ext uri="{FF2B5EF4-FFF2-40B4-BE49-F238E27FC236}">
              <a16:creationId xmlns:a16="http://schemas.microsoft.com/office/drawing/2014/main" id="{01F0EE8D-A1E6-4B4B-AFB2-A19BDB5F1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" y="33748980"/>
          <a:ext cx="998220" cy="676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304800</xdr:colOff>
      <xdr:row>168</xdr:row>
      <xdr:rowOff>53340</xdr:rowOff>
    </xdr:from>
    <xdr:to>
      <xdr:col>4</xdr:col>
      <xdr:colOff>625717</xdr:colOff>
      <xdr:row>171</xdr:row>
      <xdr:rowOff>53340</xdr:rowOff>
    </xdr:to>
    <xdr:pic>
      <xdr:nvPicPr>
        <xdr:cNvPr id="30" name="그림 29" descr="이미지: 적용 제품(17)">
          <a:extLst>
            <a:ext uri="{FF2B5EF4-FFF2-40B4-BE49-F238E27FC236}">
              <a16:creationId xmlns:a16="http://schemas.microsoft.com/office/drawing/2014/main" id="{25E533B5-9F9A-4518-A202-57369AE3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" y="37338000"/>
          <a:ext cx="991477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312420</xdr:colOff>
      <xdr:row>160</xdr:row>
      <xdr:rowOff>182880</xdr:rowOff>
    </xdr:from>
    <xdr:to>
      <xdr:col>5</xdr:col>
      <xdr:colOff>153596</xdr:colOff>
      <xdr:row>164</xdr:row>
      <xdr:rowOff>60960</xdr:rowOff>
    </xdr:to>
    <xdr:pic>
      <xdr:nvPicPr>
        <xdr:cNvPr id="31" name="그림 30" descr="이미지: 적용 제품(16)">
          <a:extLst>
            <a:ext uri="{FF2B5EF4-FFF2-40B4-BE49-F238E27FC236}">
              <a16:creationId xmlns:a16="http://schemas.microsoft.com/office/drawing/2014/main" id="{E462B204-FD97-429D-8D27-BE825FB0C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5699700"/>
          <a:ext cx="1182296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586740</xdr:colOff>
      <xdr:row>174</xdr:row>
      <xdr:rowOff>205740</xdr:rowOff>
    </xdr:from>
    <xdr:to>
      <xdr:col>6</xdr:col>
      <xdr:colOff>336296</xdr:colOff>
      <xdr:row>178</xdr:row>
      <xdr:rowOff>45720</xdr:rowOff>
    </xdr:to>
    <xdr:pic>
      <xdr:nvPicPr>
        <xdr:cNvPr id="32" name="그림 31" descr="이미지: 적용 제품(18)">
          <a:extLst>
            <a:ext uri="{FF2B5EF4-FFF2-40B4-BE49-F238E27FC236}">
              <a16:creationId xmlns:a16="http://schemas.microsoft.com/office/drawing/2014/main" id="{2979183D-3A15-474A-9517-2C15899E1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38816280"/>
          <a:ext cx="1090676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175260</xdr:colOff>
      <xdr:row>180</xdr:row>
      <xdr:rowOff>109042</xdr:rowOff>
    </xdr:from>
    <xdr:to>
      <xdr:col>5</xdr:col>
      <xdr:colOff>327660</xdr:colOff>
      <xdr:row>184</xdr:row>
      <xdr:rowOff>190499</xdr:rowOff>
    </xdr:to>
    <xdr:pic>
      <xdr:nvPicPr>
        <xdr:cNvPr id="34" name="그림 33" descr="이미지: 적용 제품(20)">
          <a:extLst>
            <a:ext uri="{FF2B5EF4-FFF2-40B4-BE49-F238E27FC236}">
              <a16:creationId xmlns:a16="http://schemas.microsoft.com/office/drawing/2014/main" id="{277E4A4E-D339-4DDE-8122-703BF02E0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40045462"/>
          <a:ext cx="1493520" cy="965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8</xdr:col>
      <xdr:colOff>548640</xdr:colOff>
      <xdr:row>219</xdr:row>
      <xdr:rowOff>91440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50BC8B-F58B-401D-9E00-2BC62883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207</xdr:row>
      <xdr:rowOff>0</xdr:rowOff>
    </xdr:from>
    <xdr:to>
      <xdr:col>15</xdr:col>
      <xdr:colOff>548640</xdr:colOff>
      <xdr:row>219</xdr:row>
      <xdr:rowOff>91440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3BAE870F-50D5-4265-B575-444DB4B35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8</xdr:col>
      <xdr:colOff>548640</xdr:colOff>
      <xdr:row>232</xdr:row>
      <xdr:rowOff>91440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4F21EB6C-7005-4B47-930C-0893A3898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220</xdr:row>
      <xdr:rowOff>0</xdr:rowOff>
    </xdr:from>
    <xdr:to>
      <xdr:col>15</xdr:col>
      <xdr:colOff>548640</xdr:colOff>
      <xdr:row>232</xdr:row>
      <xdr:rowOff>91440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6618C9F7-7140-456D-A491-72ABEBD12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175261</xdr:colOff>
      <xdr:row>12</xdr:row>
      <xdr:rowOff>83820</xdr:rowOff>
    </xdr:from>
    <xdr:to>
      <xdr:col>8</xdr:col>
      <xdr:colOff>396241</xdr:colOff>
      <xdr:row>24</xdr:row>
      <xdr:rowOff>103299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218819E-7FC3-4158-9EDF-3987D59D1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25781" y="2735580"/>
          <a:ext cx="5669280" cy="2671239"/>
        </a:xfrm>
        <a:prstGeom prst="rect">
          <a:avLst/>
        </a:prstGeom>
      </xdr:spPr>
    </xdr:pic>
    <xdr:clientData/>
  </xdr:twoCellAnchor>
  <xdr:twoCellAnchor editAs="oneCell">
    <xdr:from>
      <xdr:col>8</xdr:col>
      <xdr:colOff>213360</xdr:colOff>
      <xdr:row>29</xdr:row>
      <xdr:rowOff>38100</xdr:rowOff>
    </xdr:from>
    <xdr:to>
      <xdr:col>14</xdr:col>
      <xdr:colOff>129881</xdr:colOff>
      <xdr:row>35</xdr:row>
      <xdr:rowOff>205869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A56517C7-0803-4984-AF18-23C05FFDF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69180" y="6446520"/>
          <a:ext cx="3939881" cy="149364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8</xdr:col>
      <xdr:colOff>548640</xdr:colOff>
      <xdr:row>245</xdr:row>
      <xdr:rowOff>91440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1E38982E-1FE6-42C5-AE7A-0ED42680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198120</xdr:colOff>
      <xdr:row>275</xdr:row>
      <xdr:rowOff>163830</xdr:rowOff>
    </xdr:from>
    <xdr:to>
      <xdr:col>7</xdr:col>
      <xdr:colOff>609600</xdr:colOff>
      <xdr:row>288</xdr:row>
      <xdr:rowOff>34290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95AD0F-23C0-4B94-A7CA-16B178424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125730</xdr:colOff>
      <xdr:row>275</xdr:row>
      <xdr:rowOff>186690</xdr:rowOff>
    </xdr:from>
    <xdr:to>
      <xdr:col>15</xdr:col>
      <xdr:colOff>3810</xdr:colOff>
      <xdr:row>288</xdr:row>
      <xdr:rowOff>57150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C8225219-BF06-429A-8142-204DFC8F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</xdr:col>
      <xdr:colOff>198120</xdr:colOff>
      <xdr:row>307</xdr:row>
      <xdr:rowOff>38100</xdr:rowOff>
    </xdr:from>
    <xdr:to>
      <xdr:col>9</xdr:col>
      <xdr:colOff>30996</xdr:colOff>
      <xdr:row>318</xdr:row>
      <xdr:rowOff>129759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D1D55B84-8577-4128-9C3F-1D84F915E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48640" y="68199000"/>
          <a:ext cx="5951736" cy="2522439"/>
        </a:xfrm>
        <a:prstGeom prst="rect">
          <a:avLst/>
        </a:prstGeom>
      </xdr:spPr>
    </xdr:pic>
    <xdr:clientData/>
  </xdr:twoCellAnchor>
  <xdr:twoCellAnchor editAs="oneCell">
    <xdr:from>
      <xdr:col>1</xdr:col>
      <xdr:colOff>259080</xdr:colOff>
      <xdr:row>318</xdr:row>
      <xdr:rowOff>144781</xdr:rowOff>
    </xdr:from>
    <xdr:to>
      <xdr:col>6</xdr:col>
      <xdr:colOff>670465</xdr:colOff>
      <xdr:row>330</xdr:row>
      <xdr:rowOff>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8A080E77-8D3B-4425-825E-F85F222C6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9600" y="70736461"/>
          <a:ext cx="4518565" cy="2506979"/>
        </a:xfrm>
        <a:prstGeom prst="rect">
          <a:avLst/>
        </a:prstGeom>
      </xdr:spPr>
    </xdr:pic>
    <xdr:clientData/>
  </xdr:twoCellAnchor>
  <xdr:twoCellAnchor editAs="oneCell">
    <xdr:from>
      <xdr:col>8</xdr:col>
      <xdr:colOff>170726</xdr:colOff>
      <xdr:row>318</xdr:row>
      <xdr:rowOff>114300</xdr:rowOff>
    </xdr:from>
    <xdr:to>
      <xdr:col>13</xdr:col>
      <xdr:colOff>540974</xdr:colOff>
      <xdr:row>330</xdr:row>
      <xdr:rowOff>106680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1D16B02F-1815-41D9-A90B-A73BC7D84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352326" y="70705980"/>
          <a:ext cx="3723048" cy="26441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9</xdr:col>
      <xdr:colOff>502920</xdr:colOff>
      <xdr:row>348</xdr:row>
      <xdr:rowOff>121920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D4EC83F5-D8B5-46A4-84B6-74BF9CE0D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32460" y="73685400"/>
          <a:ext cx="6339840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348</xdr:row>
      <xdr:rowOff>220979</xdr:rowOff>
    </xdr:from>
    <xdr:to>
      <xdr:col>9</xdr:col>
      <xdr:colOff>472440</xdr:colOff>
      <xdr:row>365</xdr:row>
      <xdr:rowOff>126244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E8938189-0BF7-477C-8750-EBA84EA6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32460" y="77442059"/>
          <a:ext cx="6309360" cy="3661925"/>
        </a:xfrm>
        <a:prstGeom prst="rect">
          <a:avLst/>
        </a:prstGeom>
      </xdr:spPr>
    </xdr:pic>
    <xdr:clientData/>
  </xdr:twoCellAnchor>
  <xdr:twoCellAnchor editAs="oneCell">
    <xdr:from>
      <xdr:col>1</xdr:col>
      <xdr:colOff>259080</xdr:colOff>
      <xdr:row>368</xdr:row>
      <xdr:rowOff>160020</xdr:rowOff>
    </xdr:from>
    <xdr:to>
      <xdr:col>5</xdr:col>
      <xdr:colOff>464820</xdr:colOff>
      <xdr:row>373</xdr:row>
      <xdr:rowOff>147174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6EA785FD-05AB-4CE0-A77A-05E827FA1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9600" y="81800700"/>
          <a:ext cx="3642360" cy="1092054"/>
        </a:xfrm>
        <a:prstGeom prst="rect">
          <a:avLst/>
        </a:prstGeom>
      </xdr:spPr>
    </xdr:pic>
    <xdr:clientData/>
  </xdr:twoCellAnchor>
  <xdr:twoCellAnchor editAs="oneCell">
    <xdr:from>
      <xdr:col>6</xdr:col>
      <xdr:colOff>632461</xdr:colOff>
      <xdr:row>368</xdr:row>
      <xdr:rowOff>137161</xdr:rowOff>
    </xdr:from>
    <xdr:to>
      <xdr:col>14</xdr:col>
      <xdr:colOff>403860</xdr:colOff>
      <xdr:row>372</xdr:row>
      <xdr:rowOff>187552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29388C70-11BF-43D9-AB05-EAE562218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472941" y="81777841"/>
          <a:ext cx="5135879" cy="9343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377</xdr:row>
      <xdr:rowOff>0</xdr:rowOff>
    </xdr:from>
    <xdr:to>
      <xdr:col>5</xdr:col>
      <xdr:colOff>633549</xdr:colOff>
      <xdr:row>397</xdr:row>
      <xdr:rowOff>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C66BE02-CF3D-4805-90B7-C53E4C23E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460" y="83629500"/>
          <a:ext cx="3788229" cy="4419600"/>
        </a:xfrm>
        <a:prstGeom prst="rect">
          <a:avLst/>
        </a:prstGeom>
      </xdr:spPr>
    </xdr:pic>
    <xdr:clientData/>
  </xdr:twoCellAnchor>
  <xdr:twoCellAnchor editAs="oneCell">
    <xdr:from>
      <xdr:col>6</xdr:col>
      <xdr:colOff>655320</xdr:colOff>
      <xdr:row>377</xdr:row>
      <xdr:rowOff>45720</xdr:rowOff>
    </xdr:from>
    <xdr:to>
      <xdr:col>14</xdr:col>
      <xdr:colOff>648310</xdr:colOff>
      <xdr:row>383</xdr:row>
      <xdr:rowOff>8419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EB01F16C-8384-4818-A294-BE9B9A8A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495800" y="83675220"/>
          <a:ext cx="5357470" cy="1288579"/>
        </a:xfrm>
        <a:prstGeom prst="rect">
          <a:avLst/>
        </a:prstGeom>
      </xdr:spPr>
    </xdr:pic>
    <xdr:clientData/>
  </xdr:twoCellAnchor>
  <xdr:twoCellAnchor editAs="oneCell">
    <xdr:from>
      <xdr:col>7</xdr:col>
      <xdr:colOff>60961</xdr:colOff>
      <xdr:row>383</xdr:row>
      <xdr:rowOff>190500</xdr:rowOff>
    </xdr:from>
    <xdr:to>
      <xdr:col>14</xdr:col>
      <xdr:colOff>38101</xdr:colOff>
      <xdr:row>388</xdr:row>
      <xdr:rowOff>143005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F4C5C34-34C1-4CDE-AC78-34352858F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572001" y="85145880"/>
          <a:ext cx="4671060" cy="1057405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389</xdr:row>
      <xdr:rowOff>47512</xdr:rowOff>
    </xdr:from>
    <xdr:to>
      <xdr:col>14</xdr:col>
      <xdr:colOff>168241</xdr:colOff>
      <xdr:row>395</xdr:row>
      <xdr:rowOff>76370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9B7E7513-7FB1-4AAC-8DF8-5A555410B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594860" y="86328772"/>
          <a:ext cx="4778341" cy="13547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396</xdr:row>
      <xdr:rowOff>15240</xdr:rowOff>
    </xdr:from>
    <xdr:to>
      <xdr:col>14</xdr:col>
      <xdr:colOff>501292</xdr:colOff>
      <xdr:row>401</xdr:row>
      <xdr:rowOff>83820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8DF83B3B-A44A-410B-8752-0785D99F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511040" y="87843360"/>
          <a:ext cx="5195212" cy="11734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160020</xdr:rowOff>
    </xdr:from>
    <xdr:to>
      <xdr:col>12</xdr:col>
      <xdr:colOff>457928</xdr:colOff>
      <xdr:row>413</xdr:row>
      <xdr:rowOff>15342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6FE80B1-8773-43E0-85AF-65AD67D6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41020" y="90418920"/>
          <a:ext cx="8397968" cy="1181202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414</xdr:row>
      <xdr:rowOff>0</xdr:rowOff>
    </xdr:from>
    <xdr:to>
      <xdr:col>12</xdr:col>
      <xdr:colOff>160021</xdr:colOff>
      <xdr:row>423</xdr:row>
      <xdr:rowOff>29438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4BF6677A-2C47-4DB3-B12E-D084C09ED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32461" y="91805760"/>
          <a:ext cx="8008620" cy="2018258"/>
        </a:xfrm>
        <a:prstGeom prst="rect">
          <a:avLst/>
        </a:prstGeom>
      </xdr:spPr>
    </xdr:pic>
    <xdr:clientData/>
  </xdr:twoCellAnchor>
  <xdr:twoCellAnchor editAs="oneCell">
    <xdr:from>
      <xdr:col>11</xdr:col>
      <xdr:colOff>563880</xdr:colOff>
      <xdr:row>420</xdr:row>
      <xdr:rowOff>205740</xdr:rowOff>
    </xdr:from>
    <xdr:to>
      <xdr:col>16</xdr:col>
      <xdr:colOff>259080</xdr:colOff>
      <xdr:row>432</xdr:row>
      <xdr:rowOff>167640</xdr:rowOff>
    </xdr:to>
    <xdr:pic>
      <xdr:nvPicPr>
        <xdr:cNvPr id="58" name="그림 57" descr="세계인 울린' 신라면,매출 10兆 돌파…식품시장 새 역사 열어 - 머니투데이">
          <a:extLst>
            <a:ext uri="{FF2B5EF4-FFF2-40B4-BE49-F238E27FC236}">
              <a16:creationId xmlns:a16="http://schemas.microsoft.com/office/drawing/2014/main" id="{FC2B1816-ED1C-4771-9401-7B88482D1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4380" y="93337380"/>
          <a:ext cx="3048000" cy="2613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</xdr:colOff>
      <xdr:row>455</xdr:row>
      <xdr:rowOff>15240</xdr:rowOff>
    </xdr:from>
    <xdr:to>
      <xdr:col>5</xdr:col>
      <xdr:colOff>541357</xdr:colOff>
      <xdr:row>482</xdr:row>
      <xdr:rowOff>114826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03ECE847-666E-4B05-9D72-BD5360790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4340" y="97947480"/>
          <a:ext cx="3894157" cy="6066046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497</xdr:row>
      <xdr:rowOff>95278</xdr:rowOff>
    </xdr:from>
    <xdr:to>
      <xdr:col>22</xdr:col>
      <xdr:colOff>442926</xdr:colOff>
      <xdr:row>517</xdr:row>
      <xdr:rowOff>190949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6A3CB512-3887-4A81-AEC9-9A90711DC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943600" y="107468698"/>
          <a:ext cx="9685986" cy="451527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435</xdr:row>
      <xdr:rowOff>0</xdr:rowOff>
    </xdr:from>
    <xdr:to>
      <xdr:col>18</xdr:col>
      <xdr:colOff>526141</xdr:colOff>
      <xdr:row>452</xdr:row>
      <xdr:rowOff>107015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6076A457-E557-4D2C-A5BA-AD7830D9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62060" y="96446340"/>
          <a:ext cx="4168501" cy="386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815-C153-4379-A752-F86DE71E267D}">
  <dimension ref="A1:P556"/>
  <sheetViews>
    <sheetView showGridLines="0" tabSelected="1" topLeftCell="E454" workbookViewId="0">
      <selection activeCell="N469" sqref="N469"/>
    </sheetView>
  </sheetViews>
  <sheetFormatPr defaultRowHeight="17.399999999999999"/>
  <cols>
    <col min="1" max="1" width="4.59765625" style="4" customWidth="1"/>
    <col min="2" max="2" width="3.69921875" style="2" customWidth="1"/>
    <col min="3" max="3" width="23.796875" customWidth="1"/>
    <col min="16" max="16" width="8.796875" style="3"/>
    <col min="17" max="16384" width="8.796875" style="5"/>
  </cols>
  <sheetData>
    <row r="1" spans="2:16" s="4" customFormat="1"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</row>
    <row r="14" spans="2:16">
      <c r="L14" t="s">
        <v>174</v>
      </c>
    </row>
    <row r="16" spans="2:16">
      <c r="L16" t="s">
        <v>175</v>
      </c>
    </row>
    <row r="17" spans="12:12">
      <c r="L17" t="s">
        <v>176</v>
      </c>
    </row>
    <row r="19" spans="12:12">
      <c r="L19" t="s">
        <v>177</v>
      </c>
    </row>
    <row r="21" spans="12:12">
      <c r="L21" t="s">
        <v>178</v>
      </c>
    </row>
    <row r="52" spans="2:16" ht="30">
      <c r="B52" s="28"/>
      <c r="C52" s="29" t="s">
        <v>56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0"/>
    </row>
    <row r="54" spans="2:16">
      <c r="C54" t="s">
        <v>57</v>
      </c>
    </row>
    <row r="55" spans="2:16">
      <c r="C55" t="s">
        <v>58</v>
      </c>
    </row>
    <row r="56" spans="2:16">
      <c r="C56" t="s">
        <v>77</v>
      </c>
    </row>
    <row r="58" spans="2:16">
      <c r="C58" s="23" t="s">
        <v>59</v>
      </c>
      <c r="D58" s="23"/>
      <c r="E58" s="23"/>
      <c r="F58" s="23"/>
      <c r="G58" s="23"/>
      <c r="H58" s="23"/>
      <c r="I58" s="23"/>
    </row>
    <row r="60" spans="2:16">
      <c r="C60" s="31" t="s">
        <v>60</v>
      </c>
    </row>
    <row r="63" spans="2:16">
      <c r="C63" t="s">
        <v>61</v>
      </c>
    </row>
    <row r="64" spans="2:16">
      <c r="C64" t="s">
        <v>62</v>
      </c>
    </row>
    <row r="65" spans="3:3">
      <c r="C65" t="s">
        <v>65</v>
      </c>
    </row>
    <row r="66" spans="3:3">
      <c r="C66" t="s">
        <v>93</v>
      </c>
    </row>
    <row r="69" spans="3:3">
      <c r="C69" s="31" t="s">
        <v>66</v>
      </c>
    </row>
    <row r="72" spans="3:3">
      <c r="C72" t="s">
        <v>67</v>
      </c>
    </row>
    <row r="75" spans="3:3">
      <c r="C75" s="31" t="s">
        <v>68</v>
      </c>
    </row>
    <row r="78" spans="3:3">
      <c r="C78" t="s">
        <v>70</v>
      </c>
    </row>
    <row r="79" spans="3:3">
      <c r="C79" t="s">
        <v>71</v>
      </c>
    </row>
    <row r="82" spans="3:3">
      <c r="C82" t="s">
        <v>72</v>
      </c>
    </row>
    <row r="85" spans="3:3">
      <c r="C85" t="s">
        <v>73</v>
      </c>
    </row>
    <row r="88" spans="3:3">
      <c r="C88" t="s">
        <v>74</v>
      </c>
    </row>
    <row r="91" spans="3:3">
      <c r="C91" t="s">
        <v>75</v>
      </c>
    </row>
    <row r="94" spans="3:3">
      <c r="C94" t="s">
        <v>76</v>
      </c>
    </row>
    <row r="97" spans="3:3">
      <c r="C97" t="s">
        <v>79</v>
      </c>
    </row>
    <row r="100" spans="3:3">
      <c r="C100" s="31" t="s">
        <v>80</v>
      </c>
    </row>
    <row r="103" spans="3:3">
      <c r="C103" t="s">
        <v>81</v>
      </c>
    </row>
    <row r="104" spans="3:3">
      <c r="C104" t="s">
        <v>82</v>
      </c>
    </row>
    <row r="107" spans="3:3">
      <c r="C107" t="s">
        <v>83</v>
      </c>
    </row>
    <row r="110" spans="3:3">
      <c r="C110" t="s">
        <v>84</v>
      </c>
    </row>
    <row r="111" spans="3:3">
      <c r="C111" t="s">
        <v>85</v>
      </c>
    </row>
    <row r="114" spans="3:9">
      <c r="C114" t="s">
        <v>86</v>
      </c>
    </row>
    <row r="117" spans="3:9">
      <c r="C117" t="s">
        <v>87</v>
      </c>
    </row>
    <row r="118" spans="3:9">
      <c r="C118" t="s">
        <v>88</v>
      </c>
    </row>
    <row r="121" spans="3:9">
      <c r="C121" t="s">
        <v>89</v>
      </c>
    </row>
    <row r="124" spans="3:9">
      <c r="C124" t="s">
        <v>90</v>
      </c>
    </row>
    <row r="128" spans="3:9">
      <c r="C128" s="23" t="s">
        <v>91</v>
      </c>
      <c r="D128" s="23"/>
      <c r="E128" s="23"/>
      <c r="F128" s="23"/>
      <c r="G128" s="23"/>
      <c r="H128" s="23"/>
      <c r="I128" s="23"/>
    </row>
    <row r="130" spans="3:3">
      <c r="C130" s="31" t="s">
        <v>92</v>
      </c>
    </row>
    <row r="133" spans="3:3">
      <c r="C133" t="s">
        <v>94</v>
      </c>
    </row>
    <row r="134" spans="3:3">
      <c r="C134" t="s">
        <v>96</v>
      </c>
    </row>
    <row r="137" spans="3:3">
      <c r="C137" s="31" t="s">
        <v>97</v>
      </c>
    </row>
    <row r="140" spans="3:3">
      <c r="C140" t="s">
        <v>98</v>
      </c>
    </row>
    <row r="141" spans="3:3">
      <c r="C141" t="s">
        <v>99</v>
      </c>
    </row>
    <row r="144" spans="3:3">
      <c r="C144" t="s">
        <v>100</v>
      </c>
    </row>
    <row r="146" spans="3:3">
      <c r="C146" t="s">
        <v>101</v>
      </c>
    </row>
    <row r="147" spans="3:3">
      <c r="C147" t="s">
        <v>102</v>
      </c>
    </row>
    <row r="150" spans="3:3">
      <c r="C150" t="s">
        <v>103</v>
      </c>
    </row>
    <row r="152" spans="3:3">
      <c r="C152" t="s">
        <v>104</v>
      </c>
    </row>
    <row r="153" spans="3:3">
      <c r="C153" t="s">
        <v>105</v>
      </c>
    </row>
    <row r="156" spans="3:3">
      <c r="C156" s="31" t="s">
        <v>106</v>
      </c>
    </row>
    <row r="159" spans="3:3">
      <c r="C159" t="s">
        <v>107</v>
      </c>
    </row>
    <row r="160" spans="3:3">
      <c r="C160" t="s">
        <v>108</v>
      </c>
    </row>
    <row r="163" spans="3:3">
      <c r="C163" t="s">
        <v>109</v>
      </c>
    </row>
    <row r="166" spans="3:3">
      <c r="C166" t="s">
        <v>110</v>
      </c>
    </row>
    <row r="167" spans="3:3">
      <c r="C167" t="s">
        <v>111</v>
      </c>
    </row>
    <row r="170" spans="3:3">
      <c r="C170" t="s">
        <v>112</v>
      </c>
    </row>
    <row r="173" spans="3:3">
      <c r="C173" t="s">
        <v>113</v>
      </c>
    </row>
    <row r="174" spans="3:3">
      <c r="C174" t="s">
        <v>114</v>
      </c>
    </row>
    <row r="177" spans="3:16">
      <c r="C177" t="s">
        <v>116</v>
      </c>
    </row>
    <row r="180" spans="3:16">
      <c r="C180" t="s">
        <v>115</v>
      </c>
    </row>
    <row r="183" spans="3:16">
      <c r="C183" t="s">
        <v>117</v>
      </c>
    </row>
    <row r="186" spans="3:16">
      <c r="C186" t="s">
        <v>110</v>
      </c>
    </row>
    <row r="189" spans="3:16">
      <c r="C189" s="23" t="s">
        <v>118</v>
      </c>
      <c r="D189" s="23"/>
      <c r="E189" s="23"/>
      <c r="F189" s="23"/>
      <c r="G189" s="23"/>
      <c r="H189" s="23"/>
      <c r="I189" s="23"/>
    </row>
    <row r="191" spans="3:16">
      <c r="C191" s="34" t="s">
        <v>130</v>
      </c>
      <c r="D191" s="34"/>
      <c r="E191" s="34"/>
      <c r="F191" s="34" t="s">
        <v>131</v>
      </c>
      <c r="G191" s="34"/>
      <c r="H191" s="34"/>
      <c r="I191" s="34"/>
      <c r="J191" s="34"/>
      <c r="K191" s="34"/>
      <c r="L191" s="34" t="s">
        <v>135</v>
      </c>
      <c r="M191" s="34"/>
      <c r="N191" s="34"/>
      <c r="O191" s="34" t="s">
        <v>152</v>
      </c>
      <c r="P191" s="34"/>
    </row>
    <row r="192" spans="3:16">
      <c r="C192" s="33" t="s">
        <v>119</v>
      </c>
      <c r="D192" s="33"/>
      <c r="E192" s="33"/>
      <c r="F192" s="33" t="s">
        <v>133</v>
      </c>
      <c r="G192" s="33"/>
      <c r="H192" s="33"/>
      <c r="I192" s="33"/>
      <c r="J192" s="33"/>
      <c r="K192" s="33"/>
      <c r="L192" s="33" t="s">
        <v>141</v>
      </c>
      <c r="M192" s="33"/>
      <c r="N192" s="33"/>
      <c r="O192" s="33" t="s">
        <v>153</v>
      </c>
      <c r="P192" s="33"/>
    </row>
    <row r="193" spans="2:16">
      <c r="C193" s="33" t="s">
        <v>120</v>
      </c>
      <c r="D193" s="33"/>
      <c r="E193" s="33"/>
      <c r="F193" s="33" t="s">
        <v>132</v>
      </c>
      <c r="G193" s="33"/>
      <c r="H193" s="33"/>
      <c r="I193" s="33"/>
      <c r="J193" s="33"/>
      <c r="K193" s="33"/>
      <c r="L193" s="33" t="s">
        <v>142</v>
      </c>
      <c r="M193" s="33"/>
      <c r="N193" s="33"/>
      <c r="O193" s="33" t="s">
        <v>153</v>
      </c>
      <c r="P193" s="33"/>
    </row>
    <row r="194" spans="2:16">
      <c r="C194" s="33" t="s">
        <v>121</v>
      </c>
      <c r="D194" s="33"/>
      <c r="E194" s="33"/>
      <c r="F194" s="33" t="s">
        <v>145</v>
      </c>
      <c r="G194" s="33"/>
      <c r="H194" s="33"/>
      <c r="I194" s="33"/>
      <c r="J194" s="33"/>
      <c r="K194" s="33"/>
      <c r="L194" s="33" t="s">
        <v>137</v>
      </c>
      <c r="M194" s="33"/>
      <c r="N194" s="33"/>
      <c r="O194" s="33" t="s">
        <v>154</v>
      </c>
      <c r="P194" s="33"/>
    </row>
    <row r="195" spans="2:16">
      <c r="C195" s="33" t="s">
        <v>122</v>
      </c>
      <c r="D195" s="33"/>
      <c r="E195" s="33"/>
      <c r="F195" s="33" t="s">
        <v>146</v>
      </c>
      <c r="G195" s="33"/>
      <c r="H195" s="33"/>
      <c r="I195" s="33"/>
      <c r="J195" s="33"/>
      <c r="K195" s="33"/>
      <c r="L195" s="33" t="s">
        <v>136</v>
      </c>
      <c r="M195" s="33"/>
      <c r="N195" s="33"/>
      <c r="O195" s="33" t="s">
        <v>154</v>
      </c>
      <c r="P195" s="33"/>
    </row>
    <row r="196" spans="2:16">
      <c r="C196" s="33" t="s">
        <v>123</v>
      </c>
      <c r="D196" s="33"/>
      <c r="E196" s="33"/>
      <c r="F196" s="33" t="s">
        <v>147</v>
      </c>
      <c r="G196" s="33"/>
      <c r="H196" s="33"/>
      <c r="I196" s="33"/>
      <c r="J196" s="33"/>
      <c r="K196" s="33"/>
      <c r="L196" s="33" t="s">
        <v>138</v>
      </c>
      <c r="M196" s="33"/>
      <c r="N196" s="33"/>
      <c r="O196" s="33" t="s">
        <v>154</v>
      </c>
      <c r="P196" s="33"/>
    </row>
    <row r="197" spans="2:16">
      <c r="C197" s="33" t="s">
        <v>124</v>
      </c>
      <c r="D197" s="33"/>
      <c r="E197" s="33"/>
      <c r="F197" s="33" t="s">
        <v>146</v>
      </c>
      <c r="G197" s="33"/>
      <c r="H197" s="33"/>
      <c r="I197" s="33"/>
      <c r="J197" s="33"/>
      <c r="K197" s="33"/>
      <c r="L197" s="33" t="s">
        <v>136</v>
      </c>
      <c r="M197" s="33"/>
      <c r="N197" s="33"/>
      <c r="O197" s="33" t="s">
        <v>154</v>
      </c>
      <c r="P197" s="33"/>
    </row>
    <row r="198" spans="2:16">
      <c r="C198" s="33" t="s">
        <v>125</v>
      </c>
      <c r="D198" s="33"/>
      <c r="E198" s="33"/>
      <c r="F198" s="33" t="s">
        <v>148</v>
      </c>
      <c r="G198" s="33"/>
      <c r="H198" s="33"/>
      <c r="I198" s="33"/>
      <c r="J198" s="33"/>
      <c r="K198" s="33"/>
      <c r="L198" s="33" t="s">
        <v>139</v>
      </c>
      <c r="M198" s="33"/>
      <c r="N198" s="33"/>
      <c r="O198" s="33" t="s">
        <v>154</v>
      </c>
      <c r="P198" s="33"/>
    </row>
    <row r="199" spans="2:16">
      <c r="C199" s="33" t="s">
        <v>126</v>
      </c>
      <c r="D199" s="33"/>
      <c r="E199" s="33"/>
      <c r="F199" s="33" t="s">
        <v>149</v>
      </c>
      <c r="G199" s="33"/>
      <c r="H199" s="33"/>
      <c r="I199" s="33"/>
      <c r="J199" s="33"/>
      <c r="K199" s="33"/>
      <c r="L199" s="33" t="s">
        <v>140</v>
      </c>
      <c r="M199" s="33"/>
      <c r="N199" s="33"/>
      <c r="O199" s="33" t="s">
        <v>154</v>
      </c>
      <c r="P199" s="33"/>
    </row>
    <row r="200" spans="2:16">
      <c r="C200" s="33" t="s">
        <v>127</v>
      </c>
      <c r="D200" s="33"/>
      <c r="E200" s="33"/>
      <c r="F200" s="33" t="s">
        <v>134</v>
      </c>
      <c r="G200" s="33"/>
      <c r="H200" s="33"/>
      <c r="I200" s="33"/>
      <c r="J200" s="33"/>
      <c r="K200" s="33"/>
      <c r="L200" s="33" t="s">
        <v>143</v>
      </c>
      <c r="M200" s="33"/>
      <c r="N200" s="33"/>
      <c r="O200" s="33" t="s">
        <v>154</v>
      </c>
      <c r="P200" s="33"/>
    </row>
    <row r="201" spans="2:16">
      <c r="C201" s="33" t="s">
        <v>128</v>
      </c>
      <c r="D201" s="33"/>
      <c r="E201" s="33"/>
      <c r="F201" s="33" t="s">
        <v>150</v>
      </c>
      <c r="G201" s="33"/>
      <c r="H201" s="33"/>
      <c r="I201" s="33"/>
      <c r="J201" s="33"/>
      <c r="K201" s="33"/>
      <c r="L201" s="33" t="s">
        <v>144</v>
      </c>
      <c r="M201" s="33"/>
      <c r="N201" s="33"/>
      <c r="O201" s="33" t="s">
        <v>154</v>
      </c>
      <c r="P201" s="33"/>
    </row>
    <row r="202" spans="2:16">
      <c r="C202" s="33" t="s">
        <v>129</v>
      </c>
      <c r="D202" s="33"/>
      <c r="E202" s="33"/>
      <c r="F202" s="33" t="s">
        <v>151</v>
      </c>
      <c r="G202" s="33"/>
      <c r="H202" s="33"/>
      <c r="I202" s="33"/>
      <c r="J202" s="33"/>
      <c r="K202" s="33"/>
      <c r="L202" s="33" t="s">
        <v>144</v>
      </c>
      <c r="M202" s="33"/>
      <c r="N202" s="33"/>
      <c r="O202" s="33" t="s">
        <v>154</v>
      </c>
      <c r="P202" s="33"/>
    </row>
    <row r="206" spans="2:16" ht="30">
      <c r="B206" s="28"/>
      <c r="C206" s="29" t="s">
        <v>206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30"/>
    </row>
    <row r="237" spans="10:10">
      <c r="J237" t="s">
        <v>202</v>
      </c>
    </row>
    <row r="238" spans="10:10">
      <c r="J238" t="s">
        <v>193</v>
      </c>
    </row>
    <row r="239" spans="10:10">
      <c r="J239" t="s">
        <v>192</v>
      </c>
    </row>
    <row r="240" spans="10:10">
      <c r="J240" t="s">
        <v>191</v>
      </c>
    </row>
    <row r="248" spans="3:9">
      <c r="C248" t="s">
        <v>203</v>
      </c>
    </row>
    <row r="249" spans="3:9">
      <c r="C249" t="s">
        <v>204</v>
      </c>
    </row>
    <row r="250" spans="3:9">
      <c r="C250" t="s">
        <v>205</v>
      </c>
    </row>
    <row r="252" spans="3:9">
      <c r="C252" t="s">
        <v>207</v>
      </c>
    </row>
    <row r="253" spans="3:9">
      <c r="C253" t="s">
        <v>208</v>
      </c>
    </row>
    <row r="256" spans="3:9">
      <c r="C256" s="39" t="s">
        <v>209</v>
      </c>
      <c r="D256" s="38"/>
      <c r="E256" s="38"/>
      <c r="F256" s="38"/>
      <c r="G256" s="38"/>
      <c r="H256" s="38"/>
      <c r="I256" s="38"/>
    </row>
    <row r="258" spans="3:13">
      <c r="C258" t="s">
        <v>210</v>
      </c>
    </row>
    <row r="260" spans="3:13">
      <c r="C260" s="40" t="s">
        <v>216</v>
      </c>
      <c r="D260" s="41" t="s">
        <v>158</v>
      </c>
      <c r="E260" s="41" t="s">
        <v>159</v>
      </c>
      <c r="F260" s="41" t="s">
        <v>160</v>
      </c>
      <c r="G260" s="41" t="s">
        <v>161</v>
      </c>
      <c r="H260" s="41" t="s">
        <v>162</v>
      </c>
      <c r="I260" s="41" t="s">
        <v>163</v>
      </c>
      <c r="J260" s="41" t="s">
        <v>164</v>
      </c>
      <c r="K260" s="41" t="s">
        <v>165</v>
      </c>
      <c r="L260" s="41" t="s">
        <v>173</v>
      </c>
      <c r="M260" s="41" t="s">
        <v>166</v>
      </c>
    </row>
    <row r="261" spans="3:13">
      <c r="C261" s="40" t="s">
        <v>212</v>
      </c>
      <c r="D261" s="43">
        <v>1121.73</v>
      </c>
      <c r="E261" s="43">
        <f>2368.87-D261</f>
        <v>1247.1399999999999</v>
      </c>
      <c r="F261" s="43">
        <f>3694.19-E261-D261</f>
        <v>1325.3200000000002</v>
      </c>
      <c r="G261" s="43">
        <f>4925.26-F261-E261-D261</f>
        <v>1231.0700000000002</v>
      </c>
      <c r="H261" s="43">
        <v>1250.6300000000001</v>
      </c>
      <c r="I261" s="43">
        <f>2390.9-H261</f>
        <v>1140.27</v>
      </c>
      <c r="J261" s="43">
        <f>3567.67-I261-H261</f>
        <v>1176.77</v>
      </c>
      <c r="K261" s="43">
        <f>4873.17-J261-I261-H261</f>
        <v>1305.5</v>
      </c>
      <c r="L261" s="43">
        <v>1386.34</v>
      </c>
      <c r="M261" s="43">
        <f>2899.39-L261</f>
        <v>1513.05</v>
      </c>
    </row>
    <row r="262" spans="3:13">
      <c r="C262" s="40" t="s">
        <v>213</v>
      </c>
      <c r="D262" s="43">
        <v>336.27</v>
      </c>
      <c r="E262" s="43">
        <f>696.79-D262</f>
        <v>360.52</v>
      </c>
      <c r="F262" s="43">
        <f>1075.1-E262-D262</f>
        <v>378.30999999999995</v>
      </c>
      <c r="G262" s="43">
        <f>1454.43-F262-E262-D262</f>
        <v>379.33000000000015</v>
      </c>
      <c r="H262" s="43">
        <v>363.61</v>
      </c>
      <c r="I262" s="43">
        <f>742.69-H262</f>
        <v>379.08000000000004</v>
      </c>
      <c r="J262" s="43">
        <f>1129.67-I262-H262</f>
        <v>386.98</v>
      </c>
      <c r="K262" s="43">
        <f>1514.15-J262-I262-H262</f>
        <v>384.48</v>
      </c>
      <c r="L262" s="43">
        <v>382.55</v>
      </c>
      <c r="M262" s="43">
        <f>773.47-L262</f>
        <v>390.92</v>
      </c>
    </row>
    <row r="263" spans="3:13">
      <c r="C263" s="40" t="s">
        <v>214</v>
      </c>
      <c r="D263" s="43">
        <v>0</v>
      </c>
      <c r="E263" s="43">
        <f>290.05-D263</f>
        <v>290.05</v>
      </c>
      <c r="F263" s="43">
        <f>867.36-E263-D263</f>
        <v>577.30999999999995</v>
      </c>
      <c r="G263" s="43">
        <f>1750.34-F263-E263-D263</f>
        <v>882.98</v>
      </c>
      <c r="H263" s="43">
        <v>1418.04</v>
      </c>
      <c r="I263" s="43">
        <f>2900.11-H263</f>
        <v>1482.0700000000002</v>
      </c>
      <c r="J263" s="43">
        <f>4399.04-I263-H263</f>
        <v>1498.9299999999998</v>
      </c>
      <c r="K263" s="43">
        <f>5884.9-J263-I263-H263</f>
        <v>1485.8599999999992</v>
      </c>
      <c r="L263" s="43">
        <v>1503.78</v>
      </c>
      <c r="M263" s="43">
        <f>3042.54-L263</f>
        <v>1538.76</v>
      </c>
    </row>
    <row r="266" spans="3:13">
      <c r="C266" s="40" t="s">
        <v>217</v>
      </c>
      <c r="D266" s="41" t="s">
        <v>158</v>
      </c>
      <c r="E266" s="41" t="s">
        <v>159</v>
      </c>
      <c r="F266" s="41" t="s">
        <v>160</v>
      </c>
      <c r="G266" s="41" t="s">
        <v>161</v>
      </c>
      <c r="H266" s="41" t="s">
        <v>162</v>
      </c>
      <c r="I266" s="41" t="s">
        <v>163</v>
      </c>
      <c r="J266" s="41" t="s">
        <v>164</v>
      </c>
      <c r="K266" s="41" t="s">
        <v>165</v>
      </c>
      <c r="L266" s="41" t="s">
        <v>173</v>
      </c>
      <c r="M266" s="41" t="s">
        <v>166</v>
      </c>
    </row>
    <row r="267" spans="3:13">
      <c r="C267" s="40" t="s">
        <v>212</v>
      </c>
      <c r="D267" s="43">
        <v>831.37</v>
      </c>
      <c r="E267" s="43">
        <f>1789.41-D267</f>
        <v>958.04000000000008</v>
      </c>
      <c r="F267" s="43">
        <f>2636.15-E267-D267</f>
        <v>846.74000000000012</v>
      </c>
      <c r="G267" s="43">
        <f>3572.04-F267-E267-D267</f>
        <v>935.88999999999976</v>
      </c>
      <c r="H267" s="43">
        <v>846.87</v>
      </c>
      <c r="I267" s="43">
        <f>1778.46-H267</f>
        <v>931.59</v>
      </c>
      <c r="J267" s="43">
        <f>2709.89-I267-H267</f>
        <v>931.42999999999972</v>
      </c>
      <c r="K267" s="43">
        <f>3704.94-J267-I267-H267</f>
        <v>995.05000000000007</v>
      </c>
      <c r="L267" s="43">
        <v>914.61</v>
      </c>
      <c r="M267" s="43">
        <f>1916.4-L267</f>
        <v>1001.7900000000001</v>
      </c>
    </row>
    <row r="268" spans="3:13">
      <c r="C268" s="40" t="s">
        <v>213</v>
      </c>
      <c r="D268" s="43">
        <v>320.14999999999998</v>
      </c>
      <c r="E268" s="43">
        <f>686.2-D268</f>
        <v>366.05000000000007</v>
      </c>
      <c r="F268" s="43">
        <f>1019.19-E268</f>
        <v>653.14</v>
      </c>
      <c r="G268" s="43">
        <f>1364.73-E268-F268-D268</f>
        <v>25.389999999999986</v>
      </c>
      <c r="H268" s="43">
        <v>249.68</v>
      </c>
      <c r="I268" s="43">
        <f>557.48-H268</f>
        <v>307.8</v>
      </c>
      <c r="J268" s="43">
        <f>883.58-I268-H268</f>
        <v>326.09999999999997</v>
      </c>
      <c r="K268" s="43">
        <f>1229.79-J268-I268-H268</f>
        <v>346.21000000000009</v>
      </c>
      <c r="L268" s="43">
        <v>330.02</v>
      </c>
      <c r="M268" s="43">
        <f>705.6-L268</f>
        <v>375.58000000000004</v>
      </c>
    </row>
    <row r="269" spans="3:13">
      <c r="C269" s="40" t="s">
        <v>214</v>
      </c>
      <c r="D269" s="43">
        <v>0</v>
      </c>
      <c r="E269" s="43">
        <f>104.66-D269</f>
        <v>104.66</v>
      </c>
      <c r="F269" s="43">
        <f>356.27-E269-D269</f>
        <v>251.60999999999999</v>
      </c>
      <c r="G269" s="43">
        <f>926.13-F269-E269-D269</f>
        <v>569.86</v>
      </c>
      <c r="H269" s="43">
        <v>692.52</v>
      </c>
      <c r="I269" s="43">
        <f>1533.58-H269</f>
        <v>841.06</v>
      </c>
      <c r="J269" s="43">
        <f>2502.25-I269-H269</f>
        <v>968.67000000000007</v>
      </c>
      <c r="K269" s="43">
        <f>3587.62-J269-I269-H269</f>
        <v>1085.3699999999999</v>
      </c>
      <c r="L269" s="43">
        <v>1075.06</v>
      </c>
      <c r="M269" s="43">
        <f>2341.59-L269</f>
        <v>1266.5300000000002</v>
      </c>
    </row>
    <row r="272" spans="3:13">
      <c r="C272" s="40" t="s">
        <v>218</v>
      </c>
      <c r="D272" s="41" t="s">
        <v>158</v>
      </c>
      <c r="E272" s="41" t="s">
        <v>159</v>
      </c>
      <c r="F272" s="41" t="s">
        <v>160</v>
      </c>
      <c r="G272" s="41" t="s">
        <v>161</v>
      </c>
      <c r="H272" s="41" t="s">
        <v>162</v>
      </c>
      <c r="I272" s="41" t="s">
        <v>163</v>
      </c>
      <c r="J272" s="41" t="s">
        <v>164</v>
      </c>
      <c r="K272" s="41" t="s">
        <v>165</v>
      </c>
      <c r="L272" s="41" t="s">
        <v>173</v>
      </c>
      <c r="M272" s="41" t="s">
        <v>166</v>
      </c>
    </row>
    <row r="273" spans="3:13">
      <c r="C273" s="40" t="s">
        <v>211</v>
      </c>
      <c r="D273" s="43">
        <f t="shared" ref="D273:M273" si="0">SUM(D261:D263)</f>
        <v>1458</v>
      </c>
      <c r="E273" s="43">
        <f t="shared" si="0"/>
        <v>1897.7099999999998</v>
      </c>
      <c r="F273" s="43">
        <f t="shared" si="0"/>
        <v>2280.94</v>
      </c>
      <c r="G273" s="43">
        <f t="shared" si="0"/>
        <v>2493.38</v>
      </c>
      <c r="H273" s="43">
        <f t="shared" si="0"/>
        <v>3032.28</v>
      </c>
      <c r="I273" s="43">
        <f t="shared" si="0"/>
        <v>3001.42</v>
      </c>
      <c r="J273" s="43">
        <f t="shared" si="0"/>
        <v>3062.68</v>
      </c>
      <c r="K273" s="43">
        <f t="shared" si="0"/>
        <v>3175.8399999999992</v>
      </c>
      <c r="L273" s="43">
        <f t="shared" si="0"/>
        <v>3272.67</v>
      </c>
      <c r="M273" s="43">
        <f t="shared" si="0"/>
        <v>3442.73</v>
      </c>
    </row>
    <row r="274" spans="3:13">
      <c r="C274" s="40" t="s">
        <v>215</v>
      </c>
      <c r="D274" s="43">
        <f t="shared" ref="D274:M274" si="1">SUM(D267:D269)</f>
        <v>1151.52</v>
      </c>
      <c r="E274" s="43">
        <f t="shared" si="1"/>
        <v>1428.7500000000002</v>
      </c>
      <c r="F274" s="43">
        <f t="shared" si="1"/>
        <v>1751.49</v>
      </c>
      <c r="G274" s="43">
        <f t="shared" si="1"/>
        <v>1531.1399999999999</v>
      </c>
      <c r="H274" s="43">
        <f t="shared" si="1"/>
        <v>1789.07</v>
      </c>
      <c r="I274" s="43">
        <f t="shared" si="1"/>
        <v>2080.4499999999998</v>
      </c>
      <c r="J274" s="43">
        <f t="shared" si="1"/>
        <v>2226.1999999999998</v>
      </c>
      <c r="K274" s="43">
        <f t="shared" si="1"/>
        <v>2426.63</v>
      </c>
      <c r="L274" s="43">
        <f t="shared" si="1"/>
        <v>2319.69</v>
      </c>
      <c r="M274" s="43">
        <f t="shared" si="1"/>
        <v>2643.9000000000005</v>
      </c>
    </row>
    <row r="275" spans="3:13">
      <c r="C275" s="42" t="s">
        <v>219</v>
      </c>
      <c r="D275" s="44">
        <f t="shared" ref="D275:M275" si="2">D274/D273</f>
        <v>0.78979423868312759</v>
      </c>
      <c r="E275" s="44">
        <f t="shared" si="2"/>
        <v>0.75288110406753417</v>
      </c>
      <c r="F275" s="44">
        <f t="shared" si="2"/>
        <v>0.76788078599174026</v>
      </c>
      <c r="G275" s="44">
        <f t="shared" si="2"/>
        <v>0.61408208937265873</v>
      </c>
      <c r="H275" s="44">
        <f t="shared" si="2"/>
        <v>0.59000817866423938</v>
      </c>
      <c r="I275" s="44">
        <f t="shared" si="2"/>
        <v>0.6931552398531361</v>
      </c>
      <c r="J275" s="44">
        <f t="shared" si="2"/>
        <v>0.72687972625282427</v>
      </c>
      <c r="K275" s="44">
        <f t="shared" si="2"/>
        <v>0.76409076023981082</v>
      </c>
      <c r="L275" s="44">
        <f t="shared" si="2"/>
        <v>0.70880657078165532</v>
      </c>
      <c r="M275" s="44">
        <f t="shared" si="2"/>
        <v>0.76796611991065244</v>
      </c>
    </row>
    <row r="290" spans="3:11">
      <c r="C290" t="s">
        <v>220</v>
      </c>
      <c r="D290">
        <f>CORREL(D274:M274,'raw data'!F39:O39)</f>
        <v>0.81714271459553622</v>
      </c>
      <c r="I290" t="s">
        <v>220</v>
      </c>
      <c r="K290">
        <f>CORREL(D273:M273,'raw data'!F38:O38)</f>
        <v>0.69687315203803746</v>
      </c>
    </row>
    <row r="293" spans="3:11">
      <c r="C293" t="s">
        <v>221</v>
      </c>
    </row>
    <row r="294" spans="3:11">
      <c r="C294" t="s">
        <v>222</v>
      </c>
    </row>
    <row r="296" spans="3:11">
      <c r="C296" t="s">
        <v>223</v>
      </c>
    </row>
    <row r="297" spans="3:11">
      <c r="C297" t="s">
        <v>224</v>
      </c>
    </row>
    <row r="299" spans="3:11">
      <c r="C299" t="s">
        <v>225</v>
      </c>
    </row>
    <row r="300" spans="3:11">
      <c r="C300" t="s">
        <v>226</v>
      </c>
    </row>
    <row r="301" spans="3:11">
      <c r="C301" t="s">
        <v>227</v>
      </c>
    </row>
    <row r="304" spans="3:11">
      <c r="C304" s="23" t="s">
        <v>228</v>
      </c>
      <c r="D304" s="23"/>
      <c r="E304" s="23"/>
      <c r="F304" s="23"/>
      <c r="G304" s="23"/>
      <c r="H304" s="23"/>
      <c r="I304" s="23"/>
    </row>
    <row r="306" spans="3:11">
      <c r="C306" t="s">
        <v>229</v>
      </c>
    </row>
    <row r="316" spans="3:11">
      <c r="K316" t="s">
        <v>230</v>
      </c>
    </row>
    <row r="320" spans="3:11">
      <c r="C320" s="31"/>
    </row>
    <row r="339" spans="12:12">
      <c r="L339" t="s">
        <v>231</v>
      </c>
    </row>
    <row r="340" spans="12:12">
      <c r="L340" t="s">
        <v>232</v>
      </c>
    </row>
    <row r="341" spans="12:12">
      <c r="L341" t="s">
        <v>233</v>
      </c>
    </row>
    <row r="342" spans="12:12">
      <c r="L342" t="s">
        <v>234</v>
      </c>
    </row>
    <row r="358" spans="3:12">
      <c r="L358" t="s">
        <v>235</v>
      </c>
    </row>
    <row r="368" spans="3:12">
      <c r="C368" t="s">
        <v>236</v>
      </c>
    </row>
    <row r="376" spans="3:3">
      <c r="C376" t="s">
        <v>237</v>
      </c>
    </row>
    <row r="404" spans="3:3">
      <c r="C404" t="s">
        <v>238</v>
      </c>
    </row>
    <row r="405" spans="3:3">
      <c r="C405" t="s">
        <v>239</v>
      </c>
    </row>
    <row r="407" spans="3:3">
      <c r="C407" t="s">
        <v>240</v>
      </c>
    </row>
    <row r="425" spans="3:3">
      <c r="C425" t="s">
        <v>241</v>
      </c>
    </row>
    <row r="426" spans="3:3">
      <c r="C426" t="s">
        <v>242</v>
      </c>
    </row>
    <row r="427" spans="3:3">
      <c r="C427" t="s">
        <v>243</v>
      </c>
    </row>
    <row r="429" spans="3:3">
      <c r="C429" t="s">
        <v>244</v>
      </c>
    </row>
    <row r="430" spans="3:3">
      <c r="C430" t="s">
        <v>245</v>
      </c>
    </row>
    <row r="431" spans="3:3">
      <c r="C431" t="s">
        <v>246</v>
      </c>
    </row>
    <row r="433" spans="3:3">
      <c r="C433" t="s">
        <v>247</v>
      </c>
    </row>
    <row r="434" spans="3:3">
      <c r="C434" t="s">
        <v>248</v>
      </c>
    </row>
    <row r="435" spans="3:3">
      <c r="C435" t="s">
        <v>249</v>
      </c>
    </row>
    <row r="437" spans="3:3">
      <c r="C437" t="s">
        <v>278</v>
      </c>
    </row>
    <row r="438" spans="3:3">
      <c r="C438" t="s">
        <v>279</v>
      </c>
    </row>
    <row r="439" spans="3:3">
      <c r="C439" t="s">
        <v>280</v>
      </c>
    </row>
    <row r="440" spans="3:3">
      <c r="C440" t="s">
        <v>281</v>
      </c>
    </row>
    <row r="442" spans="3:3">
      <c r="C442" t="s">
        <v>282</v>
      </c>
    </row>
    <row r="443" spans="3:3">
      <c r="C443" t="s">
        <v>283</v>
      </c>
    </row>
    <row r="455" spans="2:16" ht="30">
      <c r="B455" s="28"/>
      <c r="C455" s="29" t="s">
        <v>277</v>
      </c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30"/>
    </row>
    <row r="458" spans="2:16">
      <c r="H458" t="s">
        <v>250</v>
      </c>
    </row>
    <row r="459" spans="2:16">
      <c r="H459" t="s">
        <v>251</v>
      </c>
    </row>
    <row r="460" spans="2:16">
      <c r="H460" t="s">
        <v>252</v>
      </c>
    </row>
    <row r="461" spans="2:16">
      <c r="H461" t="s">
        <v>253</v>
      </c>
    </row>
    <row r="463" spans="2:16">
      <c r="H463" t="s">
        <v>254</v>
      </c>
    </row>
    <row r="464" spans="2:16">
      <c r="H464" t="s">
        <v>255</v>
      </c>
    </row>
    <row r="465" spans="8:8">
      <c r="H465" t="s">
        <v>256</v>
      </c>
    </row>
    <row r="467" spans="8:8">
      <c r="H467" t="s">
        <v>257</v>
      </c>
    </row>
    <row r="486" spans="2:16" ht="30">
      <c r="B486" s="28"/>
      <c r="C486" s="29" t="s">
        <v>258</v>
      </c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30"/>
    </row>
    <row r="488" spans="2:16">
      <c r="C488" s="1" t="s">
        <v>259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6">
      <c r="C489" s="1" t="s">
        <v>260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6">
      <c r="C490" s="45" t="s">
        <v>261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6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6">
      <c r="C492" s="45" t="s">
        <v>262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6">
      <c r="C493" s="45" t="s">
        <v>263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6">
      <c r="C494" s="45" t="s">
        <v>264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6">
      <c r="C495" s="45" t="s">
        <v>265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6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3:15">
      <c r="C497" s="45" t="s">
        <v>266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3:1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3:15">
      <c r="C499" s="42" t="s">
        <v>270</v>
      </c>
      <c r="D499" s="40" t="s">
        <v>271</v>
      </c>
      <c r="E499" s="40" t="s">
        <v>272</v>
      </c>
      <c r="F499" s="42" t="s">
        <v>274</v>
      </c>
      <c r="G499" s="42" t="s">
        <v>275</v>
      </c>
      <c r="H499" s="1"/>
      <c r="I499" s="1"/>
      <c r="J499" s="1"/>
      <c r="K499" s="1"/>
      <c r="L499" s="1"/>
      <c r="M499" s="1"/>
      <c r="N499" s="1"/>
      <c r="O499" s="1"/>
    </row>
    <row r="500" spans="3:15">
      <c r="C500" s="40" t="s">
        <v>267</v>
      </c>
      <c r="D500" s="40">
        <v>1490</v>
      </c>
      <c r="E500" s="43">
        <f>D500*0.18</f>
        <v>268.2</v>
      </c>
      <c r="F500" s="43">
        <f>E500*10*100000000/2892754*0.8</f>
        <v>74171.533424549765</v>
      </c>
      <c r="G500" s="46">
        <f>F500/37150</f>
        <v>1.9965419495168173</v>
      </c>
      <c r="H500" s="1"/>
      <c r="I500" s="1"/>
      <c r="J500" s="1"/>
      <c r="K500" s="1"/>
      <c r="L500" s="1"/>
      <c r="M500" s="1"/>
      <c r="N500" s="1"/>
      <c r="O500" s="1"/>
    </row>
    <row r="501" spans="3:15">
      <c r="C501" s="40" t="s">
        <v>268</v>
      </c>
      <c r="D501" s="40">
        <f>AVERAGE(D502,D500)</f>
        <v>1366</v>
      </c>
      <c r="E501" s="43">
        <f>D501*0.15</f>
        <v>204.9</v>
      </c>
      <c r="F501" s="43">
        <f t="shared" ref="F501:F502" si="3">E501*10*100000000/2892754*0.8</f>
        <v>56665.724081619112</v>
      </c>
      <c r="G501" s="46">
        <f t="shared" ref="G501:G502" si="4">F501/37150</f>
        <v>1.5253223171364498</v>
      </c>
      <c r="H501" s="1"/>
      <c r="I501" s="1"/>
      <c r="J501" s="1"/>
      <c r="K501" s="1"/>
      <c r="L501" s="1"/>
      <c r="M501" s="1"/>
      <c r="N501" s="1"/>
      <c r="O501" s="1"/>
    </row>
    <row r="502" spans="3:15">
      <c r="C502" s="42" t="s">
        <v>269</v>
      </c>
      <c r="D502" s="40">
        <v>1242</v>
      </c>
      <c r="E502" s="43">
        <f>D502*0.12</f>
        <v>149.04</v>
      </c>
      <c r="F502" s="43">
        <f t="shared" si="3"/>
        <v>41217.469580890735</v>
      </c>
      <c r="G502" s="46">
        <f t="shared" si="4"/>
        <v>1.1094877410737749</v>
      </c>
      <c r="H502" s="1"/>
      <c r="I502" s="1"/>
      <c r="J502" s="1"/>
      <c r="K502" s="1"/>
      <c r="L502" s="1"/>
      <c r="M502" s="1"/>
      <c r="N502" s="1"/>
      <c r="O502" s="1"/>
    </row>
    <row r="503" spans="3:1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3:1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3:15">
      <c r="C505" s="45" t="s">
        <v>273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3:15">
      <c r="C506" s="45" t="s">
        <v>276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3:15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3:1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3:1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3:1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3:1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3:1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3:1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3:1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3:1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3:1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3:1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3:1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3:1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3:1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3:1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3:1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3:1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3:1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3:1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3:1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3:1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3:1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3:1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3:1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3:1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3:1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3:1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3:1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3:1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3:1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3:1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3:1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3:1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3:1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3:1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3:1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3:1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3:1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3:1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3:1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3:1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3:1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3:1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3:1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3:1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3:1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3:1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3:1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3:1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3:1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45A-9A7C-426D-A142-C7CC1614AC45}">
  <dimension ref="B2:V78"/>
  <sheetViews>
    <sheetView showGridLines="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7.399999999999999"/>
  <cols>
    <col min="1" max="1" width="8.796875" style="6"/>
    <col min="2" max="2" width="27.19921875" style="6" customWidth="1"/>
    <col min="3" max="16384" width="8.796875" style="6"/>
  </cols>
  <sheetData>
    <row r="2" spans="2:16">
      <c r="B2" s="8" t="s">
        <v>5</v>
      </c>
      <c r="C2" s="9" t="s">
        <v>155</v>
      </c>
      <c r="D2" s="9" t="s">
        <v>156</v>
      </c>
      <c r="E2" s="9" t="s">
        <v>157</v>
      </c>
      <c r="F2" s="9" t="s">
        <v>158</v>
      </c>
      <c r="G2" s="9" t="s">
        <v>159</v>
      </c>
      <c r="H2" s="9" t="s">
        <v>160</v>
      </c>
      <c r="I2" s="9" t="s">
        <v>161</v>
      </c>
      <c r="J2" s="9" t="s">
        <v>162</v>
      </c>
      <c r="K2" s="9" t="s">
        <v>163</v>
      </c>
      <c r="L2" s="9" t="s">
        <v>164</v>
      </c>
      <c r="M2" s="9" t="s">
        <v>165</v>
      </c>
      <c r="N2" s="9" t="s">
        <v>173</v>
      </c>
      <c r="O2" s="9" t="s">
        <v>166</v>
      </c>
    </row>
    <row r="3" spans="2:16">
      <c r="B3" s="10" t="s">
        <v>0</v>
      </c>
      <c r="C3" s="11">
        <v>149.64150000000001</v>
      </c>
      <c r="D3" s="11">
        <v>153.20609999999999</v>
      </c>
      <c r="E3" s="11">
        <v>177.477</v>
      </c>
      <c r="F3" s="11">
        <v>173.6514</v>
      </c>
      <c r="G3" s="11">
        <v>195.48650000000001</v>
      </c>
      <c r="H3" s="11">
        <v>171.6465</v>
      </c>
      <c r="I3" s="11">
        <v>192.38990000000001</v>
      </c>
      <c r="J3" s="11">
        <v>182.1206</v>
      </c>
      <c r="K3" s="11">
        <v>218.14930000000001</v>
      </c>
      <c r="L3" s="11">
        <v>233.13069999999999</v>
      </c>
      <c r="M3" s="11">
        <v>249.35849999999999</v>
      </c>
      <c r="N3" s="11">
        <v>238.21100000000001</v>
      </c>
      <c r="O3" s="11">
        <v>288.19670000000002</v>
      </c>
    </row>
    <row r="4" spans="2:16">
      <c r="B4" s="12" t="s">
        <v>12</v>
      </c>
      <c r="C4" s="13"/>
      <c r="D4" s="13">
        <f>D3/C3-1</f>
        <v>2.382093202754576E-2</v>
      </c>
      <c r="E4" s="13">
        <f t="shared" ref="E4:O4" si="0">E3/D3-1</f>
        <v>0.15841993236561747</v>
      </c>
      <c r="F4" s="13">
        <f t="shared" si="0"/>
        <v>-2.1555469159384111E-2</v>
      </c>
      <c r="G4" s="13">
        <f t="shared" si="0"/>
        <v>0.1257409960414948</v>
      </c>
      <c r="H4" s="13">
        <f t="shared" si="0"/>
        <v>-0.12195215526391845</v>
      </c>
      <c r="I4" s="13">
        <f t="shared" si="0"/>
        <v>0.12084953669314547</v>
      </c>
      <c r="J4" s="13">
        <f t="shared" si="0"/>
        <v>-5.337754216827395E-2</v>
      </c>
      <c r="K4" s="13">
        <f t="shared" si="0"/>
        <v>0.19782880135470671</v>
      </c>
      <c r="L4" s="13">
        <f t="shared" si="0"/>
        <v>6.8674985434287406E-2</v>
      </c>
      <c r="M4" s="13">
        <f t="shared" si="0"/>
        <v>6.9608164004140161E-2</v>
      </c>
      <c r="N4" s="13">
        <f t="shared" si="0"/>
        <v>-4.4704712291740556E-2</v>
      </c>
      <c r="O4" s="13">
        <f t="shared" si="0"/>
        <v>0.20983791680484942</v>
      </c>
    </row>
    <row r="5" spans="2:16">
      <c r="B5" s="14" t="s">
        <v>13</v>
      </c>
      <c r="C5" s="14"/>
      <c r="D5" s="14"/>
      <c r="E5" s="14"/>
      <c r="F5" s="14"/>
      <c r="G5" s="14">
        <f>G3/C3-1</f>
        <v>0.306365546990641</v>
      </c>
      <c r="H5" s="14">
        <f t="shared" ref="H5:O5" si="1">H3/D3-1</f>
        <v>0.12036335367847628</v>
      </c>
      <c r="I5" s="14">
        <f t="shared" si="1"/>
        <v>8.402722606309565E-2</v>
      </c>
      <c r="J5" s="14">
        <f t="shared" si="1"/>
        <v>4.8771273943083671E-2</v>
      </c>
      <c r="K5" s="14">
        <f t="shared" si="1"/>
        <v>0.11593025605348717</v>
      </c>
      <c r="L5" s="14">
        <f t="shared" si="1"/>
        <v>0.35820246844532222</v>
      </c>
      <c r="M5" s="14">
        <f t="shared" si="1"/>
        <v>0.29611013883784953</v>
      </c>
      <c r="N5" s="14">
        <f t="shared" si="1"/>
        <v>0.30798492866814642</v>
      </c>
      <c r="O5" s="14">
        <f t="shared" si="1"/>
        <v>0.32109844038005164</v>
      </c>
    </row>
    <row r="6" spans="2:16">
      <c r="B6" s="15" t="s">
        <v>9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2:16">
      <c r="B7" s="17" t="s">
        <v>10</v>
      </c>
      <c r="C7" s="32"/>
      <c r="D7" s="32"/>
      <c r="E7" s="32">
        <f>303.16-211.26</f>
        <v>91.900000000000034</v>
      </c>
      <c r="F7" s="32">
        <v>85.9</v>
      </c>
      <c r="G7" s="32">
        <f>180.52-F7</f>
        <v>94.62</v>
      </c>
      <c r="H7" s="32">
        <f>264.17-G7-F7</f>
        <v>83.65</v>
      </c>
      <c r="I7" s="32">
        <f>365.89-H7-G7-F7</f>
        <v>101.72</v>
      </c>
      <c r="J7" s="32">
        <v>91.66</v>
      </c>
      <c r="K7" s="32">
        <f>204.38-J7</f>
        <v>112.72</v>
      </c>
      <c r="L7" s="32">
        <f>322.55-K7-J7</f>
        <v>118.17000000000002</v>
      </c>
      <c r="M7" s="32">
        <f>451.98-L7-K7-J7</f>
        <v>129.43</v>
      </c>
      <c r="N7" s="32">
        <v>137.99</v>
      </c>
      <c r="O7" s="32">
        <f>297-N7</f>
        <v>159.01</v>
      </c>
    </row>
    <row r="8" spans="2:16">
      <c r="B8" s="17" t="s">
        <v>11</v>
      </c>
      <c r="C8" s="32"/>
      <c r="D8" s="32"/>
      <c r="E8" s="32">
        <f>199.48-140.42</f>
        <v>59.06</v>
      </c>
      <c r="F8" s="32">
        <v>51.93</v>
      </c>
      <c r="G8" s="32">
        <f>118.48-F8</f>
        <v>66.550000000000011</v>
      </c>
      <c r="H8" s="32">
        <f>172.51-G8-F8</f>
        <v>54.02999999999998</v>
      </c>
      <c r="I8" s="32">
        <f>235.57-H8-G8-F8</f>
        <v>63.060000000000009</v>
      </c>
      <c r="J8" s="32">
        <v>56.34</v>
      </c>
      <c r="K8" s="32">
        <f>128.59-J8</f>
        <v>72.25</v>
      </c>
      <c r="L8" s="32">
        <f>199.12-J8-K8</f>
        <v>70.53</v>
      </c>
      <c r="M8" s="32">
        <f>277.38-L8-K8-J8</f>
        <v>78.259999999999991</v>
      </c>
      <c r="N8" s="32">
        <v>73.17</v>
      </c>
      <c r="O8" s="32">
        <f>162.16-N8</f>
        <v>88.99</v>
      </c>
    </row>
    <row r="9" spans="2:16">
      <c r="B9" s="17" t="s">
        <v>6</v>
      </c>
      <c r="C9" s="32"/>
      <c r="D9" s="32"/>
      <c r="E9" s="32">
        <f>97.82-76.08</f>
        <v>21.739999999999995</v>
      </c>
      <c r="F9" s="32">
        <v>33.21</v>
      </c>
      <c r="G9" s="32">
        <f>64.89-F9</f>
        <v>31.68</v>
      </c>
      <c r="H9" s="32">
        <f>95.15-G9-F9</f>
        <v>30.260000000000005</v>
      </c>
      <c r="I9" s="32">
        <f>119.7-H9-G9-F9</f>
        <v>24.549999999999997</v>
      </c>
      <c r="J9" s="32">
        <v>30.27</v>
      </c>
      <c r="K9" s="32">
        <f>59.08-J9</f>
        <v>28.81</v>
      </c>
      <c r="L9" s="32">
        <f>96.81-K9-J9</f>
        <v>37.730000000000004</v>
      </c>
      <c r="M9" s="32">
        <f>133.9-L9-K9-J9</f>
        <v>37.090000000000003</v>
      </c>
      <c r="N9" s="32">
        <v>23.89</v>
      </c>
      <c r="O9" s="32">
        <f>59.6-N9</f>
        <v>35.71</v>
      </c>
    </row>
    <row r="10" spans="2:16">
      <c r="B10" s="17" t="s">
        <v>7</v>
      </c>
      <c r="C10" s="32"/>
      <c r="D10" s="32"/>
      <c r="E10" s="32">
        <f>8.42-6.75</f>
        <v>1.67</v>
      </c>
      <c r="F10" s="32">
        <v>1.91</v>
      </c>
      <c r="G10" s="32">
        <f>3.82-F10</f>
        <v>1.91</v>
      </c>
      <c r="H10" s="32">
        <f>6.5-G10-F10</f>
        <v>2.6799999999999997</v>
      </c>
      <c r="I10" s="32">
        <f>8.14-H10-G10-F10</f>
        <v>1.6400000000000008</v>
      </c>
      <c r="J10" s="32">
        <v>2.4700000000000002</v>
      </c>
      <c r="K10" s="32">
        <f>5.67-J10</f>
        <v>3.1999999999999997</v>
      </c>
      <c r="L10" s="32">
        <f>11.61-K10-J10</f>
        <v>5.9399999999999995</v>
      </c>
      <c r="M10" s="32">
        <f>15.03-L10-K10-J10</f>
        <v>3.4200000000000004</v>
      </c>
      <c r="N10" s="32">
        <v>2.76</v>
      </c>
      <c r="O10" s="32">
        <f>6.41-N10</f>
        <v>3.6500000000000004</v>
      </c>
    </row>
    <row r="11" spans="2:16">
      <c r="B11" s="17" t="s">
        <v>8</v>
      </c>
      <c r="C11" s="32"/>
      <c r="D11" s="32"/>
      <c r="E11" s="32">
        <f>5.14-2.03</f>
        <v>3.11</v>
      </c>
      <c r="F11" s="32">
        <v>0.7</v>
      </c>
      <c r="G11" s="32">
        <f>1.43-F11</f>
        <v>0.73</v>
      </c>
      <c r="H11" s="32">
        <f>2.45-G11-F11</f>
        <v>1.0200000000000002</v>
      </c>
      <c r="I11" s="32">
        <f>3.87-H11-G11-F11</f>
        <v>1.4199999999999997</v>
      </c>
      <c r="J11" s="32">
        <v>1.38</v>
      </c>
      <c r="K11" s="32">
        <f>2.56-J11</f>
        <v>1.1800000000000002</v>
      </c>
      <c r="L11" s="32">
        <f>3.31-K11-J11</f>
        <v>0.75</v>
      </c>
      <c r="M11" s="32">
        <f>4.47-L11-K11-J11</f>
        <v>1.1599999999999997</v>
      </c>
      <c r="N11" s="32">
        <v>0.41</v>
      </c>
      <c r="O11" s="32">
        <f>1.23-N11</f>
        <v>0.82000000000000006</v>
      </c>
    </row>
    <row r="12" spans="2:16">
      <c r="B12" s="15" t="s">
        <v>167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2:16">
      <c r="B13" s="17" t="s">
        <v>10</v>
      </c>
      <c r="C13" s="16"/>
      <c r="D13" s="16"/>
      <c r="E13" s="24">
        <f>E7/E$3</f>
        <v>0.51781357584363064</v>
      </c>
      <c r="F13" s="24">
        <f t="shared" ref="F13:O13" si="2">F7/F$3</f>
        <v>0.49466920508559109</v>
      </c>
      <c r="G13" s="24">
        <f t="shared" si="2"/>
        <v>0.48402319341744826</v>
      </c>
      <c r="H13" s="24">
        <f t="shared" si="2"/>
        <v>0.48733880387890233</v>
      </c>
      <c r="I13" s="24">
        <f t="shared" si="2"/>
        <v>0.52871798363635514</v>
      </c>
      <c r="J13" s="24">
        <f t="shared" si="2"/>
        <v>0.50329287296439829</v>
      </c>
      <c r="K13" s="24">
        <f t="shared" si="2"/>
        <v>0.51671034470429189</v>
      </c>
      <c r="L13" s="24">
        <f t="shared" si="2"/>
        <v>0.50688304886486435</v>
      </c>
      <c r="M13" s="24">
        <f t="shared" si="2"/>
        <v>0.51905188714240746</v>
      </c>
      <c r="N13" s="24">
        <f t="shared" si="2"/>
        <v>0.57927635583579262</v>
      </c>
      <c r="O13" s="24">
        <f t="shared" si="2"/>
        <v>0.55174122396266156</v>
      </c>
      <c r="P13" s="7"/>
    </row>
    <row r="14" spans="2:16">
      <c r="B14" s="17" t="s">
        <v>11</v>
      </c>
      <c r="C14" s="16"/>
      <c r="D14" s="16"/>
      <c r="E14" s="24">
        <f t="shared" ref="E14:O14" si="3">E8/E$3</f>
        <v>0.3327755145737194</v>
      </c>
      <c r="F14" s="24">
        <f t="shared" si="3"/>
        <v>0.29904740186373391</v>
      </c>
      <c r="G14" s="24">
        <f t="shared" si="3"/>
        <v>0.34043271530259128</v>
      </c>
      <c r="H14" s="24">
        <f t="shared" si="3"/>
        <v>0.31477484248149529</v>
      </c>
      <c r="I14" s="24">
        <f t="shared" si="3"/>
        <v>0.32777188407499563</v>
      </c>
      <c r="J14" s="24">
        <f t="shared" si="3"/>
        <v>0.30935544908154272</v>
      </c>
      <c r="K14" s="24">
        <f t="shared" si="3"/>
        <v>0.33119519521722046</v>
      </c>
      <c r="L14" s="24">
        <f t="shared" si="3"/>
        <v>0.30253415787796289</v>
      </c>
      <c r="M14" s="24">
        <f t="shared" si="3"/>
        <v>0.31384532710936258</v>
      </c>
      <c r="N14" s="24">
        <f t="shared" si="3"/>
        <v>0.30716465654398828</v>
      </c>
      <c r="O14" s="24">
        <f t="shared" si="3"/>
        <v>0.30878216162780486</v>
      </c>
    </row>
    <row r="15" spans="2:16">
      <c r="B15" s="17" t="s">
        <v>6</v>
      </c>
      <c r="C15" s="16"/>
      <c r="D15" s="16"/>
      <c r="E15" s="24">
        <f t="shared" ref="E15:O15" si="4">E9/E$3</f>
        <v>0.12249474579804703</v>
      </c>
      <c r="F15" s="24">
        <f t="shared" si="4"/>
        <v>0.19124521886952828</v>
      </c>
      <c r="G15" s="24">
        <f t="shared" si="4"/>
        <v>0.16205722645809301</v>
      </c>
      <c r="H15" s="24">
        <f t="shared" si="4"/>
        <v>0.17629255475643257</v>
      </c>
      <c r="I15" s="24">
        <f t="shared" si="4"/>
        <v>0.12760545122171171</v>
      </c>
      <c r="J15" s="24">
        <f t="shared" si="4"/>
        <v>0.16620854532655835</v>
      </c>
      <c r="K15" s="24">
        <f t="shared" si="4"/>
        <v>0.13206551659803628</v>
      </c>
      <c r="L15" s="24">
        <f t="shared" si="4"/>
        <v>0.16184054695499137</v>
      </c>
      <c r="M15" s="24">
        <f t="shared" si="4"/>
        <v>0.14874167112811476</v>
      </c>
      <c r="N15" s="24">
        <f t="shared" si="4"/>
        <v>0.10028923937181743</v>
      </c>
      <c r="O15" s="24">
        <f t="shared" si="4"/>
        <v>0.12390842782030467</v>
      </c>
    </row>
    <row r="16" spans="2:16">
      <c r="B16" s="17" t="s">
        <v>7</v>
      </c>
      <c r="C16" s="16"/>
      <c r="D16" s="16"/>
      <c r="E16" s="24">
        <f t="shared" ref="E16:O16" si="5">E10/E$3</f>
        <v>9.4096699854065591E-3</v>
      </c>
      <c r="F16" s="24">
        <f t="shared" si="5"/>
        <v>1.0999047517037007E-2</v>
      </c>
      <c r="G16" s="24">
        <f t="shared" si="5"/>
        <v>9.7704956608256829E-3</v>
      </c>
      <c r="H16" s="24">
        <f t="shared" si="5"/>
        <v>1.5613484690919999E-2</v>
      </c>
      <c r="I16" s="24">
        <f t="shared" si="5"/>
        <v>8.5243560082935779E-3</v>
      </c>
      <c r="J16" s="24">
        <f t="shared" si="5"/>
        <v>1.3562441590901855E-2</v>
      </c>
      <c r="K16" s="24">
        <f t="shared" si="5"/>
        <v>1.4668852936956477E-2</v>
      </c>
      <c r="L16" s="24">
        <f t="shared" si="5"/>
        <v>2.5479269783001551E-2</v>
      </c>
      <c r="M16" s="24">
        <f t="shared" si="5"/>
        <v>1.3715193185714545E-2</v>
      </c>
      <c r="N16" s="24">
        <f t="shared" si="5"/>
        <v>1.1586366708506322E-2</v>
      </c>
      <c r="O16" s="24">
        <f t="shared" si="5"/>
        <v>1.2664961118569367E-2</v>
      </c>
    </row>
    <row r="17" spans="2:16">
      <c r="B17" s="17" t="s">
        <v>8</v>
      </c>
      <c r="C17" s="16"/>
      <c r="D17" s="16"/>
      <c r="E17" s="24">
        <f t="shared" ref="E17:O17" si="6">E11/E$3</f>
        <v>1.7523397397972693E-2</v>
      </c>
      <c r="F17" s="24">
        <f t="shared" si="6"/>
        <v>4.0310645350397408E-3</v>
      </c>
      <c r="G17" s="24">
        <f t="shared" si="6"/>
        <v>3.7342732106820675E-3</v>
      </c>
      <c r="H17" s="24">
        <f t="shared" si="6"/>
        <v>5.9424456659471657E-3</v>
      </c>
      <c r="I17" s="24">
        <f t="shared" si="6"/>
        <v>7.3808448364493127E-3</v>
      </c>
      <c r="J17" s="24">
        <f t="shared" si="6"/>
        <v>7.5773965163743141E-3</v>
      </c>
      <c r="K17" s="24">
        <f t="shared" si="6"/>
        <v>5.409139520502702E-3</v>
      </c>
      <c r="L17" s="24">
        <f t="shared" si="6"/>
        <v>3.2170795180557518E-3</v>
      </c>
      <c r="M17" s="24">
        <f t="shared" si="6"/>
        <v>4.6519368700084409E-3</v>
      </c>
      <c r="N17" s="24">
        <f t="shared" si="6"/>
        <v>1.7211631704665189E-3</v>
      </c>
      <c r="O17" s="24">
        <f t="shared" si="6"/>
        <v>2.8452789362265426E-3</v>
      </c>
    </row>
    <row r="18" spans="2:16">
      <c r="B18" s="18" t="s">
        <v>2</v>
      </c>
      <c r="C18" s="19">
        <v>40.8887</v>
      </c>
      <c r="D18" s="19">
        <v>38.992600000000003</v>
      </c>
      <c r="E18" s="19">
        <v>44.223500000000001</v>
      </c>
      <c r="F18" s="19">
        <v>45.894500000000001</v>
      </c>
      <c r="G18" s="19">
        <v>48.380899999999997</v>
      </c>
      <c r="H18" s="19">
        <v>39.796799999999998</v>
      </c>
      <c r="I18" s="19">
        <v>39.620899999999999</v>
      </c>
      <c r="J18" s="19">
        <v>35.777500000000003</v>
      </c>
      <c r="K18" s="19">
        <v>46.784799999999997</v>
      </c>
      <c r="L18" s="19">
        <v>58.018799999999999</v>
      </c>
      <c r="M18" s="19">
        <v>58.2194</v>
      </c>
      <c r="N18" s="19">
        <v>57.235199999999999</v>
      </c>
      <c r="O18" s="19">
        <v>69.2654</v>
      </c>
    </row>
    <row r="19" spans="2:16">
      <c r="B19" s="12" t="s">
        <v>14</v>
      </c>
      <c r="C19" s="13">
        <f t="shared" ref="C19:O19" si="7">C18/C3</f>
        <v>0.27324438741926538</v>
      </c>
      <c r="D19" s="13">
        <f t="shared" si="7"/>
        <v>0.25451075381463273</v>
      </c>
      <c r="E19" s="13">
        <f t="shared" si="7"/>
        <v>0.24917876682612394</v>
      </c>
      <c r="F19" s="13">
        <f t="shared" si="7"/>
        <v>0.26429098757625913</v>
      </c>
      <c r="G19" s="13">
        <f t="shared" si="7"/>
        <v>0.24748972435436717</v>
      </c>
      <c r="H19" s="13">
        <f t="shared" si="7"/>
        <v>0.23185325654761382</v>
      </c>
      <c r="I19" s="13">
        <f t="shared" si="7"/>
        <v>0.205940644493292</v>
      </c>
      <c r="J19" s="13">
        <f t="shared" si="7"/>
        <v>0.19644949555404498</v>
      </c>
      <c r="K19" s="13">
        <f t="shared" si="7"/>
        <v>0.21446229715153795</v>
      </c>
      <c r="L19" s="13">
        <f t="shared" si="7"/>
        <v>0.24886812418956406</v>
      </c>
      <c r="M19" s="13">
        <f t="shared" si="7"/>
        <v>0.23347670121531852</v>
      </c>
      <c r="N19" s="13">
        <f t="shared" si="7"/>
        <v>0.24027102022996416</v>
      </c>
      <c r="O19" s="13">
        <f t="shared" si="7"/>
        <v>0.24034071174305602</v>
      </c>
    </row>
    <row r="20" spans="2:16">
      <c r="B20" s="10" t="s">
        <v>3</v>
      </c>
      <c r="C20" s="11">
        <v>25.424399999999999</v>
      </c>
      <c r="D20" s="11">
        <v>21.870699999999999</v>
      </c>
      <c r="E20" s="11">
        <v>21.729500000000002</v>
      </c>
      <c r="F20" s="11">
        <v>30.500900000000001</v>
      </c>
      <c r="G20" s="11">
        <v>31.6173</v>
      </c>
      <c r="H20" s="11">
        <v>24.5684</v>
      </c>
      <c r="I20" s="11">
        <v>22.771899999999999</v>
      </c>
      <c r="J20" s="11">
        <v>20.405100000000001</v>
      </c>
      <c r="K20" s="11">
        <v>24.553899999999999</v>
      </c>
      <c r="L20" s="11">
        <v>42.196599999999997</v>
      </c>
      <c r="M20" s="11">
        <v>41.634599999999999</v>
      </c>
      <c r="N20" s="11">
        <v>35.135899999999999</v>
      </c>
      <c r="O20" s="11">
        <v>51.6113</v>
      </c>
    </row>
    <row r="21" spans="2:16">
      <c r="B21" s="12" t="s">
        <v>15</v>
      </c>
      <c r="C21" s="13">
        <f t="shared" ref="C21:O21" si="8">C20/C3</f>
        <v>0.16990206593759083</v>
      </c>
      <c r="D21" s="13">
        <f t="shared" si="8"/>
        <v>0.14275345433373737</v>
      </c>
      <c r="E21" s="13">
        <f t="shared" si="8"/>
        <v>0.12243558320233044</v>
      </c>
      <c r="F21" s="13">
        <f t="shared" si="8"/>
        <v>0.17564442325256233</v>
      </c>
      <c r="G21" s="13">
        <f t="shared" si="8"/>
        <v>0.1617364881973947</v>
      </c>
      <c r="H21" s="13">
        <f t="shared" si="8"/>
        <v>0.14313370794044739</v>
      </c>
      <c r="I21" s="13">
        <f t="shared" si="8"/>
        <v>0.11836328206418319</v>
      </c>
      <c r="J21" s="13">
        <f t="shared" si="8"/>
        <v>0.11204169105526778</v>
      </c>
      <c r="K21" s="13">
        <f t="shared" si="8"/>
        <v>0.11255548379022989</v>
      </c>
      <c r="L21" s="13">
        <f t="shared" si="8"/>
        <v>0.18099975678878844</v>
      </c>
      <c r="M21" s="13">
        <f t="shared" si="8"/>
        <v>0.16696683690349437</v>
      </c>
      <c r="N21" s="13">
        <f t="shared" si="8"/>
        <v>0.14749906595413309</v>
      </c>
      <c r="O21" s="13">
        <f t="shared" si="8"/>
        <v>0.17908359117227921</v>
      </c>
    </row>
    <row r="22" spans="2:16">
      <c r="B22" s="12" t="s">
        <v>12</v>
      </c>
      <c r="C22" s="13"/>
      <c r="D22" s="13">
        <f>D20/C20-1</f>
        <v>-0.13977517660200434</v>
      </c>
      <c r="E22" s="13">
        <f t="shared" ref="E22:O22" si="9">E20/D20-1</f>
        <v>-6.4561262328136637E-3</v>
      </c>
      <c r="F22" s="13">
        <f t="shared" si="9"/>
        <v>0.40366322280770373</v>
      </c>
      <c r="G22" s="13">
        <f t="shared" si="9"/>
        <v>3.6602198623647109E-2</v>
      </c>
      <c r="H22" s="13">
        <f t="shared" si="9"/>
        <v>-0.22294440069202615</v>
      </c>
      <c r="I22" s="13">
        <f t="shared" si="9"/>
        <v>-7.3122384852086442E-2</v>
      </c>
      <c r="J22" s="13">
        <f t="shared" si="9"/>
        <v>-0.10393511301208935</v>
      </c>
      <c r="K22" s="13">
        <f t="shared" si="9"/>
        <v>0.20332171858996029</v>
      </c>
      <c r="L22" s="13">
        <f t="shared" si="9"/>
        <v>0.71852943931513935</v>
      </c>
      <c r="M22" s="13">
        <f t="shared" si="9"/>
        <v>-1.3318608608276494E-2</v>
      </c>
      <c r="N22" s="13">
        <f t="shared" si="9"/>
        <v>-0.15608892603747848</v>
      </c>
      <c r="O22" s="13">
        <f t="shared" si="9"/>
        <v>0.46890502306757487</v>
      </c>
    </row>
    <row r="23" spans="2:16">
      <c r="B23" s="12" t="s">
        <v>13</v>
      </c>
      <c r="C23" s="13"/>
      <c r="D23" s="13"/>
      <c r="E23" s="13"/>
      <c r="F23" s="13"/>
      <c r="G23" s="13">
        <f>G20/C20-1</f>
        <v>0.24358096946240626</v>
      </c>
      <c r="H23" s="13">
        <f t="shared" ref="H23:N23" si="10">H20/D20-1</f>
        <v>0.12334767520015366</v>
      </c>
      <c r="I23" s="13">
        <f t="shared" si="10"/>
        <v>4.7971651441588437E-2</v>
      </c>
      <c r="J23" s="13">
        <f t="shared" si="10"/>
        <v>-0.33100006885042732</v>
      </c>
      <c r="K23" s="13">
        <f t="shared" si="10"/>
        <v>-0.2234030103772302</v>
      </c>
      <c r="L23" s="13">
        <f t="shared" si="10"/>
        <v>0.71751518210384058</v>
      </c>
      <c r="M23" s="13">
        <f t="shared" si="10"/>
        <v>0.82833228672179304</v>
      </c>
      <c r="N23" s="13">
        <f t="shared" si="10"/>
        <v>0.72191755982572969</v>
      </c>
      <c r="O23" s="13">
        <f>O20/K20-1</f>
        <v>1.1019593628710713</v>
      </c>
    </row>
    <row r="24" spans="2:16">
      <c r="B24" s="10" t="s">
        <v>4</v>
      </c>
      <c r="C24" s="11">
        <v>20.2441</v>
      </c>
      <c r="D24" s="11">
        <v>17.230399999999999</v>
      </c>
      <c r="E24" s="11">
        <v>21.382899999999999</v>
      </c>
      <c r="F24" s="11">
        <v>24.829499999999999</v>
      </c>
      <c r="G24" s="11">
        <v>25.9636</v>
      </c>
      <c r="H24" s="11">
        <v>20.485600000000002</v>
      </c>
      <c r="I24" s="11">
        <v>27.1815</v>
      </c>
      <c r="J24" s="11">
        <v>20.487100000000002</v>
      </c>
      <c r="K24" s="11">
        <v>15.992100000000001</v>
      </c>
      <c r="L24" s="11">
        <v>36.9358</v>
      </c>
      <c r="M24" s="11">
        <v>45.310400000000001</v>
      </c>
      <c r="N24" s="11">
        <v>28.354399999999998</v>
      </c>
      <c r="O24" s="11">
        <v>42.280299999999997</v>
      </c>
    </row>
    <row r="25" spans="2:16">
      <c r="B25" s="12" t="s">
        <v>16</v>
      </c>
      <c r="C25" s="13">
        <v>0.1353</v>
      </c>
      <c r="D25" s="13">
        <v>0.1125</v>
      </c>
      <c r="E25" s="13">
        <v>0.1205</v>
      </c>
      <c r="F25" s="13">
        <v>0.14299999999999999</v>
      </c>
      <c r="G25" s="13">
        <v>0.1328</v>
      </c>
      <c r="H25" s="13">
        <v>0.1193</v>
      </c>
      <c r="I25" s="13">
        <v>0.14130000000000001</v>
      </c>
      <c r="J25" s="13">
        <v>0.1125</v>
      </c>
      <c r="K25" s="13">
        <v>7.3300000000000004E-2</v>
      </c>
      <c r="L25" s="13">
        <v>0.15840000000000001</v>
      </c>
      <c r="M25" s="13">
        <v>0.1817</v>
      </c>
      <c r="N25" s="13">
        <v>0.11899999999999999</v>
      </c>
      <c r="O25" s="13">
        <v>0.1467</v>
      </c>
    </row>
    <row r="26" spans="2:16">
      <c r="B26" s="12" t="s">
        <v>12</v>
      </c>
      <c r="C26" s="13"/>
      <c r="D26" s="13">
        <f>D24/C24-1</f>
        <v>-0.14886806526345953</v>
      </c>
      <c r="E26" s="13">
        <f t="shared" ref="E26:O26" si="11">E24/D24-1</f>
        <v>0.24099846782431045</v>
      </c>
      <c r="F26" s="13">
        <f t="shared" si="11"/>
        <v>0.16118487202390686</v>
      </c>
      <c r="G26" s="13">
        <f t="shared" si="11"/>
        <v>4.5675506957449707E-2</v>
      </c>
      <c r="H26" s="13">
        <f t="shared" si="11"/>
        <v>-0.21098769045895016</v>
      </c>
      <c r="I26" s="13">
        <f t="shared" si="11"/>
        <v>0.32685886671613229</v>
      </c>
      <c r="J26" s="13">
        <f t="shared" si="11"/>
        <v>-0.24628515718411415</v>
      </c>
      <c r="K26" s="13">
        <f t="shared" si="11"/>
        <v>-0.21940635814732201</v>
      </c>
      <c r="L26" s="13">
        <f t="shared" si="11"/>
        <v>1.3096278787651401</v>
      </c>
      <c r="M26" s="13">
        <f t="shared" si="11"/>
        <v>0.22673395459148038</v>
      </c>
      <c r="N26" s="13">
        <f t="shared" si="11"/>
        <v>-0.37421872241251464</v>
      </c>
      <c r="O26" s="13">
        <f t="shared" si="11"/>
        <v>0.49113717800411938</v>
      </c>
    </row>
    <row r="27" spans="2:16">
      <c r="B27" s="12" t="s">
        <v>1</v>
      </c>
      <c r="C27" s="13"/>
      <c r="D27" s="13"/>
      <c r="E27" s="13"/>
      <c r="F27" s="13"/>
      <c r="G27" s="13">
        <f>G24/C24-1</f>
        <v>0.28252676088341788</v>
      </c>
      <c r="H27" s="13">
        <f t="shared" ref="H27:O27" si="12">H24/D24-1</f>
        <v>0.18892190546940313</v>
      </c>
      <c r="I27" s="13">
        <f t="shared" si="12"/>
        <v>0.27117930682928892</v>
      </c>
      <c r="J27" s="13">
        <f t="shared" si="12"/>
        <v>-0.1748887412150868</v>
      </c>
      <c r="K27" s="13">
        <f t="shared" si="12"/>
        <v>-0.38405691044385215</v>
      </c>
      <c r="L27" s="13">
        <f t="shared" si="12"/>
        <v>0.80301284804936146</v>
      </c>
      <c r="M27" s="13">
        <f t="shared" si="12"/>
        <v>0.66695730552029886</v>
      </c>
      <c r="N27" s="13">
        <f t="shared" si="12"/>
        <v>0.38401237852111803</v>
      </c>
      <c r="O27" s="13">
        <f t="shared" si="12"/>
        <v>1.6438241381682204</v>
      </c>
    </row>
    <row r="28" spans="2:16">
      <c r="B28" s="21" t="s">
        <v>23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6">
      <c r="B29" s="20" t="s">
        <v>24</v>
      </c>
      <c r="C29" s="16"/>
      <c r="D29" s="16"/>
      <c r="E29" s="16">
        <v>7850</v>
      </c>
      <c r="F29" s="16"/>
      <c r="G29" s="16"/>
      <c r="H29" s="16"/>
      <c r="I29" s="16">
        <v>7961</v>
      </c>
      <c r="J29" s="16"/>
      <c r="K29" s="16"/>
      <c r="L29" s="16"/>
      <c r="M29" s="16">
        <v>8300</v>
      </c>
      <c r="N29" s="16">
        <v>8300</v>
      </c>
      <c r="O29" s="16">
        <v>8300</v>
      </c>
    </row>
    <row r="30" spans="2:16">
      <c r="B30" s="20" t="s">
        <v>17</v>
      </c>
      <c r="C30" s="16"/>
      <c r="D30" s="16"/>
      <c r="E30" s="16">
        <v>6450</v>
      </c>
      <c r="F30" s="16"/>
      <c r="G30" s="16"/>
      <c r="H30" s="16"/>
      <c r="I30" s="16">
        <v>7092</v>
      </c>
      <c r="J30" s="16"/>
      <c r="K30" s="16"/>
      <c r="L30" s="16"/>
      <c r="M30" s="16">
        <v>7300</v>
      </c>
      <c r="N30" s="16">
        <v>9500</v>
      </c>
      <c r="O30" s="16">
        <v>9500</v>
      </c>
    </row>
    <row r="31" spans="2:16">
      <c r="B31" s="35" t="s">
        <v>18</v>
      </c>
      <c r="C31" s="16">
        <v>8290</v>
      </c>
      <c r="D31" s="16"/>
      <c r="E31" s="16">
        <v>8300</v>
      </c>
      <c r="F31" s="16">
        <v>8300</v>
      </c>
      <c r="G31" s="16">
        <v>8300</v>
      </c>
      <c r="H31" s="16">
        <v>8300</v>
      </c>
      <c r="I31" s="16">
        <v>8300</v>
      </c>
      <c r="J31" s="16">
        <v>8300</v>
      </c>
      <c r="K31" s="16">
        <v>8300</v>
      </c>
      <c r="L31" s="16">
        <v>8300</v>
      </c>
      <c r="M31" s="16">
        <v>8300</v>
      </c>
      <c r="N31" s="16">
        <v>8300</v>
      </c>
      <c r="O31" s="16">
        <v>8300</v>
      </c>
      <c r="P31" s="6" t="s">
        <v>168</v>
      </c>
    </row>
    <row r="32" spans="2:16">
      <c r="B32" s="35" t="s">
        <v>19</v>
      </c>
      <c r="C32" s="16"/>
      <c r="D32" s="16"/>
      <c r="E32" s="16"/>
      <c r="F32" s="16"/>
      <c r="G32" s="16"/>
      <c r="H32" s="16"/>
      <c r="I32" s="16">
        <v>7800</v>
      </c>
      <c r="J32" s="16"/>
      <c r="K32" s="16"/>
      <c r="L32" s="16"/>
      <c r="M32" s="16"/>
      <c r="N32" s="16">
        <v>7800</v>
      </c>
      <c r="O32" s="16">
        <v>7800</v>
      </c>
      <c r="P32" s="6" t="s">
        <v>168</v>
      </c>
    </row>
    <row r="33" spans="2:22">
      <c r="B33" s="35" t="s">
        <v>20</v>
      </c>
      <c r="C33" s="16"/>
      <c r="D33" s="16"/>
      <c r="E33" s="16"/>
      <c r="F33" s="16"/>
      <c r="G33" s="16"/>
      <c r="H33" s="16"/>
      <c r="I33" s="16">
        <v>7910</v>
      </c>
      <c r="J33" s="16"/>
      <c r="K33" s="16"/>
      <c r="L33" s="16"/>
      <c r="M33" s="16"/>
      <c r="N33" s="16">
        <v>7800</v>
      </c>
      <c r="O33" s="16">
        <v>7800</v>
      </c>
      <c r="P33" s="47" t="s">
        <v>189</v>
      </c>
      <c r="Q33" s="47"/>
      <c r="R33" s="47"/>
      <c r="S33" s="47"/>
      <c r="T33" s="47"/>
      <c r="U33" s="47"/>
      <c r="V33" s="47"/>
    </row>
    <row r="34" spans="2:22">
      <c r="B34" s="35" t="s">
        <v>43</v>
      </c>
      <c r="C34" s="16">
        <v>7910</v>
      </c>
      <c r="D34" s="16">
        <v>7910</v>
      </c>
      <c r="E34" s="16">
        <v>7910</v>
      </c>
      <c r="F34" s="16">
        <v>7910</v>
      </c>
      <c r="G34" s="16">
        <v>7910</v>
      </c>
      <c r="H34" s="16">
        <v>7910</v>
      </c>
      <c r="I34" s="16">
        <v>7910</v>
      </c>
      <c r="J34" s="16">
        <v>7910</v>
      </c>
      <c r="K34" s="16">
        <v>7863</v>
      </c>
      <c r="L34" s="16">
        <v>7851</v>
      </c>
      <c r="M34" s="16">
        <v>7843</v>
      </c>
      <c r="N34" s="16"/>
      <c r="O34" s="16"/>
      <c r="P34" s="47"/>
      <c r="Q34" s="47"/>
      <c r="R34" s="47"/>
      <c r="S34" s="47"/>
      <c r="T34" s="47"/>
      <c r="U34" s="47"/>
      <c r="V34" s="47"/>
    </row>
    <row r="35" spans="2:22">
      <c r="B35" s="35" t="s">
        <v>44</v>
      </c>
      <c r="C35" s="16">
        <v>7250</v>
      </c>
      <c r="D35" s="16">
        <v>7250</v>
      </c>
      <c r="E35" s="16">
        <v>7250</v>
      </c>
      <c r="F35" s="16">
        <v>7250</v>
      </c>
      <c r="G35" s="16">
        <v>7250</v>
      </c>
      <c r="H35" s="16">
        <v>7250</v>
      </c>
      <c r="I35" s="16">
        <v>7250</v>
      </c>
      <c r="J35" s="16">
        <v>7250</v>
      </c>
      <c r="K35" s="16">
        <v>7205</v>
      </c>
      <c r="L35" s="16">
        <v>7194</v>
      </c>
      <c r="M35" s="16"/>
      <c r="N35" s="16"/>
      <c r="O35" s="16"/>
      <c r="P35" s="47"/>
      <c r="Q35" s="47"/>
      <c r="R35" s="47"/>
      <c r="S35" s="47"/>
      <c r="T35" s="47"/>
      <c r="U35" s="47"/>
      <c r="V35" s="47"/>
    </row>
    <row r="36" spans="2:22">
      <c r="B36" s="16" t="s">
        <v>45</v>
      </c>
      <c r="C36" s="16">
        <v>11000</v>
      </c>
      <c r="D36" s="16">
        <v>11000</v>
      </c>
      <c r="E36" s="16">
        <v>11000</v>
      </c>
      <c r="F36" s="16">
        <v>11000</v>
      </c>
      <c r="G36" s="16">
        <v>11000</v>
      </c>
      <c r="H36" s="16">
        <v>11000</v>
      </c>
      <c r="I36" s="16">
        <v>11000</v>
      </c>
      <c r="J36" s="16">
        <v>11000</v>
      </c>
      <c r="K36" s="16">
        <v>11000</v>
      </c>
      <c r="L36" s="16">
        <v>11000</v>
      </c>
      <c r="M36" s="16"/>
      <c r="N36" s="16"/>
      <c r="O36" s="16"/>
      <c r="P36" s="6" t="s">
        <v>168</v>
      </c>
    </row>
    <row r="37" spans="2:22">
      <c r="B37" s="35" t="s">
        <v>46</v>
      </c>
      <c r="C37" s="16">
        <v>7800</v>
      </c>
      <c r="D37" s="16">
        <v>7800</v>
      </c>
      <c r="E37" s="16">
        <v>7800</v>
      </c>
      <c r="F37" s="16">
        <v>7800</v>
      </c>
      <c r="G37" s="16">
        <v>7800</v>
      </c>
      <c r="H37" s="16">
        <v>7800</v>
      </c>
      <c r="I37" s="16">
        <v>7800</v>
      </c>
      <c r="J37" s="16">
        <v>7800</v>
      </c>
      <c r="K37" s="16">
        <v>7800</v>
      </c>
      <c r="L37" s="16">
        <v>7800</v>
      </c>
      <c r="M37" s="16">
        <v>7800</v>
      </c>
      <c r="N37" s="16"/>
      <c r="O37" s="16"/>
      <c r="P37" s="6" t="s">
        <v>168</v>
      </c>
    </row>
    <row r="38" spans="2:22">
      <c r="B38" s="23" t="s">
        <v>55</v>
      </c>
      <c r="C38" s="27"/>
      <c r="D38" s="27"/>
      <c r="E38" s="27">
        <f>6720/4</f>
        <v>1680</v>
      </c>
      <c r="F38" s="27">
        <v>2130</v>
      </c>
      <c r="G38" s="27">
        <f>4260/2</f>
        <v>2130</v>
      </c>
      <c r="H38" s="27">
        <f>6390/3</f>
        <v>2130</v>
      </c>
      <c r="I38" s="27">
        <f>8770/4</f>
        <v>2192.5</v>
      </c>
      <c r="J38" s="27">
        <v>2193</v>
      </c>
      <c r="K38" s="27">
        <f>4385/2</f>
        <v>2192.5</v>
      </c>
      <c r="L38" s="27">
        <f>8868/3</f>
        <v>2956</v>
      </c>
      <c r="M38" s="27">
        <f>11824/4</f>
        <v>2956</v>
      </c>
      <c r="N38" s="27">
        <v>3932</v>
      </c>
      <c r="O38" s="27">
        <f>7863/2</f>
        <v>3931.5</v>
      </c>
    </row>
    <row r="39" spans="2:22">
      <c r="B39" s="16" t="s">
        <v>21</v>
      </c>
      <c r="C39" s="16"/>
      <c r="D39" s="16"/>
      <c r="E39" s="16">
        <f>7075-4842</f>
        <v>2233</v>
      </c>
      <c r="F39" s="16">
        <v>2002</v>
      </c>
      <c r="G39" s="16">
        <f>4201-F39</f>
        <v>2199</v>
      </c>
      <c r="H39" s="16">
        <f>6021-G39-F39</f>
        <v>1820</v>
      </c>
      <c r="I39" s="16">
        <f>7652-H39-G39-F39</f>
        <v>1631</v>
      </c>
      <c r="J39" s="16">
        <v>1749</v>
      </c>
      <c r="K39" s="16">
        <f>4114-J39</f>
        <v>2365</v>
      </c>
      <c r="L39" s="16">
        <f>7167-K39-J39</f>
        <v>3053</v>
      </c>
      <c r="M39" s="16">
        <f>10156-L39-K39-J39</f>
        <v>2989</v>
      </c>
      <c r="N39" s="16">
        <v>3577</v>
      </c>
      <c r="O39" s="16">
        <f>6899-N39</f>
        <v>3322</v>
      </c>
    </row>
    <row r="40" spans="2:22">
      <c r="B40" s="16" t="s">
        <v>22</v>
      </c>
      <c r="C40" s="24" t="e">
        <f>C39/C38</f>
        <v>#DIV/0!</v>
      </c>
      <c r="D40" s="24" t="e">
        <f t="shared" ref="D40:O40" si="13">D39/D38</f>
        <v>#DIV/0!</v>
      </c>
      <c r="E40" s="24">
        <f t="shared" si="13"/>
        <v>1.3291666666666666</v>
      </c>
      <c r="F40" s="24">
        <f t="shared" si="13"/>
        <v>0.93990610328638502</v>
      </c>
      <c r="G40" s="24">
        <f t="shared" si="13"/>
        <v>1.0323943661971831</v>
      </c>
      <c r="H40" s="24">
        <f t="shared" si="13"/>
        <v>0.85446009389671362</v>
      </c>
      <c r="I40" s="24">
        <f t="shared" si="13"/>
        <v>0.74389965792474344</v>
      </c>
      <c r="J40" s="24">
        <f t="shared" si="13"/>
        <v>0.79753761969904235</v>
      </c>
      <c r="K40" s="24">
        <f t="shared" si="13"/>
        <v>1.0786773090079818</v>
      </c>
      <c r="L40" s="24">
        <f t="shared" si="13"/>
        <v>1.0328146143437078</v>
      </c>
      <c r="M40" s="24">
        <f t="shared" si="13"/>
        <v>1.0111637347767253</v>
      </c>
      <c r="N40" s="24">
        <f t="shared" si="13"/>
        <v>0.90971515768056965</v>
      </c>
      <c r="O40" s="24">
        <f t="shared" si="13"/>
        <v>0.84497011318835047</v>
      </c>
    </row>
    <row r="41" spans="2:22">
      <c r="B41" s="23" t="s">
        <v>25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2:22">
      <c r="B42" s="16" t="s">
        <v>26</v>
      </c>
      <c r="C42" s="26">
        <v>3.69</v>
      </c>
      <c r="D42" s="26">
        <v>1.35</v>
      </c>
      <c r="E42" s="26">
        <f>4.87-6.31</f>
        <v>-1.4399999999999995</v>
      </c>
      <c r="F42" s="26">
        <v>-22.32</v>
      </c>
      <c r="G42" s="26">
        <v>-0.03</v>
      </c>
      <c r="H42" s="26">
        <v>7.43</v>
      </c>
      <c r="I42" s="26">
        <f>-22.85-H42-G42-F42</f>
        <v>-7.93</v>
      </c>
      <c r="J42" s="26">
        <v>-13.83</v>
      </c>
      <c r="K42" s="26">
        <v>-2.11</v>
      </c>
      <c r="L42" s="26">
        <v>5.86</v>
      </c>
      <c r="M42" s="26">
        <f>-6.9-L42-K42-J42</f>
        <v>3.1799999999999979</v>
      </c>
      <c r="N42" s="26">
        <v>-67.45</v>
      </c>
      <c r="O42" s="26">
        <v>15.9</v>
      </c>
    </row>
    <row r="43" spans="2:22">
      <c r="B43" s="16" t="s">
        <v>27</v>
      </c>
      <c r="C43" s="26">
        <v>85.76</v>
      </c>
      <c r="D43" s="26">
        <v>92.26</v>
      </c>
      <c r="E43" s="26">
        <f>365.99-254.62</f>
        <v>111.37</v>
      </c>
      <c r="F43" s="26">
        <v>126.89</v>
      </c>
      <c r="G43" s="26">
        <v>124.17</v>
      </c>
      <c r="H43" s="26">
        <v>102.46</v>
      </c>
      <c r="I43" s="26">
        <f>486.95-H43-G43-F43</f>
        <v>133.43</v>
      </c>
      <c r="J43" s="26">
        <v>132.41999999999999</v>
      </c>
      <c r="K43" s="26">
        <v>144.13</v>
      </c>
      <c r="L43" s="26">
        <v>141.24</v>
      </c>
      <c r="M43" s="26">
        <f>570.41-L43-K43-J43</f>
        <v>152.61999999999998</v>
      </c>
      <c r="N43" s="26">
        <v>212.15</v>
      </c>
      <c r="O43" s="26">
        <v>161.24</v>
      </c>
    </row>
    <row r="44" spans="2:22">
      <c r="B44" s="16" t="s">
        <v>28</v>
      </c>
      <c r="C44" s="26">
        <v>9.19</v>
      </c>
      <c r="D44" s="26">
        <v>12.92</v>
      </c>
      <c r="E44" s="26">
        <f>45.45-31.56</f>
        <v>13.890000000000004</v>
      </c>
      <c r="F44" s="26">
        <v>11.63</v>
      </c>
      <c r="G44" s="26">
        <v>13.31</v>
      </c>
      <c r="H44" s="26">
        <v>10.35</v>
      </c>
      <c r="I44" s="26">
        <f>49.09-H44-G44-F44</f>
        <v>13.799999999999999</v>
      </c>
      <c r="J44" s="26">
        <v>12.15</v>
      </c>
      <c r="K44" s="26">
        <v>15.29</v>
      </c>
      <c r="L44" s="26">
        <v>12.15</v>
      </c>
      <c r="M44" s="26">
        <f>59.88-L44-K44-J44</f>
        <v>20.290000000000006</v>
      </c>
      <c r="N44" s="26">
        <v>17.829999999999998</v>
      </c>
      <c r="O44" s="26">
        <v>19.3</v>
      </c>
    </row>
    <row r="45" spans="2:22">
      <c r="B45" s="16" t="s">
        <v>29</v>
      </c>
      <c r="C45" s="26">
        <v>0.85</v>
      </c>
      <c r="D45" s="26">
        <v>0.92</v>
      </c>
      <c r="E45" s="26">
        <f>3.9-2.66</f>
        <v>1.2399999999999998</v>
      </c>
      <c r="F45" s="26">
        <v>1</v>
      </c>
      <c r="G45" s="26">
        <v>0.84</v>
      </c>
      <c r="H45" s="26">
        <v>0.94</v>
      </c>
      <c r="I45" s="26">
        <f>3.71-H45-G45-F45</f>
        <v>0.93000000000000016</v>
      </c>
      <c r="J45" s="26">
        <v>1.06</v>
      </c>
      <c r="K45" s="26">
        <v>1.1399999999999999</v>
      </c>
      <c r="L45" s="26">
        <v>1.1399999999999999</v>
      </c>
      <c r="M45" s="26">
        <f>4.46-L45-K45-J45</f>
        <v>1.1200000000000006</v>
      </c>
      <c r="N45" s="26">
        <v>1.1399999999999999</v>
      </c>
      <c r="O45" s="26">
        <v>1.1599999999999999</v>
      </c>
    </row>
    <row r="46" spans="2:22">
      <c r="B46" s="16" t="s">
        <v>30</v>
      </c>
      <c r="C46" s="26">
        <v>2.15</v>
      </c>
      <c r="D46" s="26">
        <v>2.0299999999999998</v>
      </c>
      <c r="E46" s="26">
        <f>8.62-5.95</f>
        <v>2.669999999999999</v>
      </c>
      <c r="F46" s="26">
        <v>1.66</v>
      </c>
      <c r="G46" s="26">
        <v>2.34</v>
      </c>
      <c r="H46" s="26">
        <v>2.2999999999999998</v>
      </c>
      <c r="I46" s="26">
        <f>9.14-H46-G46-F46</f>
        <v>2.8400000000000007</v>
      </c>
      <c r="J46" s="26">
        <v>2.2599999999999998</v>
      </c>
      <c r="K46" s="26">
        <v>2.99</v>
      </c>
      <c r="L46" s="26">
        <v>3.25</v>
      </c>
      <c r="M46" s="26">
        <f>11.28-L46-K46-J46</f>
        <v>2.7799999999999994</v>
      </c>
      <c r="N46" s="26">
        <v>2.54</v>
      </c>
      <c r="O46" s="26">
        <v>4.1500000000000004</v>
      </c>
    </row>
    <row r="47" spans="2:22">
      <c r="B47" s="16" t="s">
        <v>31</v>
      </c>
      <c r="C47" s="26">
        <v>2.99</v>
      </c>
      <c r="D47" s="26">
        <v>2.99</v>
      </c>
      <c r="E47" s="26">
        <f>11.73-8.77</f>
        <v>2.9600000000000009</v>
      </c>
      <c r="F47" s="26">
        <v>2.94</v>
      </c>
      <c r="G47" s="26">
        <v>2.93</v>
      </c>
      <c r="H47" s="26">
        <v>2.91</v>
      </c>
      <c r="I47" s="26">
        <f>12.16-H47-G47-F47</f>
        <v>3.3800000000000003</v>
      </c>
      <c r="J47" s="26">
        <v>3.49</v>
      </c>
      <c r="K47" s="26">
        <v>3.42</v>
      </c>
      <c r="L47" s="26">
        <v>3.48</v>
      </c>
      <c r="M47" s="26">
        <f>13.36-L47-K47-J47</f>
        <v>2.9699999999999989</v>
      </c>
      <c r="N47" s="26">
        <v>3.43</v>
      </c>
      <c r="O47" s="26">
        <v>3.45</v>
      </c>
    </row>
    <row r="48" spans="2:22">
      <c r="B48" s="16" t="s">
        <v>32</v>
      </c>
      <c r="C48" s="26">
        <v>0.22</v>
      </c>
      <c r="D48" s="26">
        <v>0.18</v>
      </c>
      <c r="E48" s="26">
        <f>0.82-0.64</f>
        <v>0.17999999999999994</v>
      </c>
      <c r="F48" s="26">
        <v>0.17</v>
      </c>
      <c r="G48" s="26">
        <v>0.25</v>
      </c>
      <c r="H48" s="26">
        <v>0.36</v>
      </c>
      <c r="I48" s="26">
        <f>1.14-H48-G48-F48</f>
        <v>0.35999999999999988</v>
      </c>
      <c r="J48" s="26">
        <v>0.35</v>
      </c>
      <c r="K48" s="26">
        <v>0.36</v>
      </c>
      <c r="L48" s="26">
        <v>0.37</v>
      </c>
      <c r="M48" s="26">
        <f>1.43-L48-K48-J48</f>
        <v>0.35000000000000009</v>
      </c>
      <c r="N48" s="26">
        <v>0.46</v>
      </c>
      <c r="O48" s="26">
        <v>0.57999999999999996</v>
      </c>
    </row>
    <row r="49" spans="2:16">
      <c r="B49" s="16" t="s">
        <v>33</v>
      </c>
      <c r="C49" s="26">
        <v>0.6</v>
      </c>
      <c r="D49" s="26">
        <v>0.59</v>
      </c>
      <c r="E49" s="26">
        <f>2.46-1.87</f>
        <v>0.58999999999999986</v>
      </c>
      <c r="F49" s="26">
        <v>0.57999999999999996</v>
      </c>
      <c r="G49" s="26">
        <v>0.57999999999999996</v>
      </c>
      <c r="H49" s="26">
        <v>0.57999999999999996</v>
      </c>
      <c r="I49" s="26">
        <f>2.33-H49-G49-F49</f>
        <v>0.59</v>
      </c>
      <c r="J49" s="26">
        <v>0.57999999999999996</v>
      </c>
      <c r="K49" s="26">
        <v>0.57999999999999996</v>
      </c>
      <c r="L49" s="26">
        <v>0.57999999999999996</v>
      </c>
      <c r="M49" s="26">
        <f>2.32-L49-K49-J49</f>
        <v>0.57999999999999974</v>
      </c>
      <c r="N49" s="26">
        <v>0.59</v>
      </c>
      <c r="O49" s="26">
        <v>0.61</v>
      </c>
    </row>
    <row r="50" spans="2:16">
      <c r="B50" s="16" t="s">
        <v>34</v>
      </c>
      <c r="C50" s="26">
        <v>0.96</v>
      </c>
      <c r="D50" s="26">
        <v>1.02</v>
      </c>
      <c r="E50" s="26">
        <f>4.07-2.85</f>
        <v>1.2200000000000002</v>
      </c>
      <c r="F50" s="26">
        <v>1.26</v>
      </c>
      <c r="G50" s="26">
        <v>1.41</v>
      </c>
      <c r="H50" s="26">
        <v>1.46</v>
      </c>
      <c r="I50" s="26">
        <f>5.48-H50-G50-F50</f>
        <v>1.3500000000000003</v>
      </c>
      <c r="J50" s="26">
        <v>1.21</v>
      </c>
      <c r="K50" s="26">
        <v>1.45</v>
      </c>
      <c r="L50" s="26">
        <v>1.66</v>
      </c>
      <c r="M50" s="26">
        <f>6.1-L50-K50-J50</f>
        <v>1.7799999999999994</v>
      </c>
      <c r="N50" s="26">
        <v>1.92</v>
      </c>
      <c r="O50" s="26">
        <v>2.21</v>
      </c>
    </row>
    <row r="51" spans="2:16">
      <c r="B51" s="16" t="s">
        <v>35</v>
      </c>
      <c r="C51" s="26">
        <v>8.52</v>
      </c>
      <c r="D51" s="26">
        <v>8.17</v>
      </c>
      <c r="E51" s="26">
        <f>38.04-24.57</f>
        <v>13.469999999999999</v>
      </c>
      <c r="F51" s="26">
        <v>8.24</v>
      </c>
      <c r="G51" s="26">
        <v>8.66</v>
      </c>
      <c r="H51" s="26">
        <v>7.82</v>
      </c>
      <c r="I51" s="26">
        <f>32.96-H51-G51-F51</f>
        <v>8.24</v>
      </c>
      <c r="J51" s="26">
        <v>8.1300000000000008</v>
      </c>
      <c r="K51" s="26">
        <v>11.26</v>
      </c>
      <c r="L51" s="26">
        <v>7.48</v>
      </c>
      <c r="M51" s="26">
        <f>34.73-L51-K51-J51</f>
        <v>7.8599999999999959</v>
      </c>
      <c r="N51" s="26">
        <v>11.14</v>
      </c>
      <c r="O51" s="26">
        <v>6.55</v>
      </c>
      <c r="P51" s="6" t="s">
        <v>188</v>
      </c>
    </row>
    <row r="52" spans="2:16">
      <c r="B52" s="16" t="s">
        <v>36</v>
      </c>
      <c r="C52" s="26">
        <v>4.04</v>
      </c>
      <c r="D52" s="26">
        <v>3.88</v>
      </c>
      <c r="E52" s="16">
        <f>16.12-11.62</f>
        <v>4.5000000000000018</v>
      </c>
      <c r="F52" s="26">
        <v>5.23</v>
      </c>
      <c r="G52" s="26">
        <v>4</v>
      </c>
      <c r="H52" s="26">
        <v>3.41</v>
      </c>
      <c r="I52" s="26">
        <f>17.06-H52-G52-F52</f>
        <v>4.4199999999999982</v>
      </c>
      <c r="J52" s="26">
        <v>4.3899999999999997</v>
      </c>
      <c r="K52" s="26">
        <v>5.56</v>
      </c>
      <c r="L52" s="26">
        <v>4.78</v>
      </c>
      <c r="M52" s="26">
        <f>21.64-L52-K52-J52</f>
        <v>6.910000000000001</v>
      </c>
      <c r="N52" s="26">
        <v>8.44</v>
      </c>
      <c r="O52" s="26">
        <v>6.77</v>
      </c>
    </row>
    <row r="53" spans="2:16">
      <c r="B53" s="16" t="s">
        <v>37</v>
      </c>
      <c r="C53" s="26">
        <v>1.36</v>
      </c>
      <c r="D53" s="26">
        <v>1.22</v>
      </c>
      <c r="E53" s="26">
        <f>6.04-4.03</f>
        <v>2.0099999999999998</v>
      </c>
      <c r="F53" s="26">
        <v>2.34</v>
      </c>
      <c r="G53" s="26">
        <v>2.2000000000000002</v>
      </c>
      <c r="H53" s="26">
        <v>2.4700000000000002</v>
      </c>
      <c r="I53" s="26">
        <f>10.48-H53-G53-F53</f>
        <v>3.4699999999999998</v>
      </c>
      <c r="J53" s="26">
        <v>4.74</v>
      </c>
      <c r="K53" s="26">
        <v>2.97</v>
      </c>
      <c r="L53" s="26">
        <v>2.5</v>
      </c>
      <c r="M53" s="26">
        <f>13.33-L53-K53-J53</f>
        <v>3.1199999999999992</v>
      </c>
      <c r="N53" s="26">
        <v>3.19</v>
      </c>
      <c r="O53" s="26">
        <v>2.86</v>
      </c>
    </row>
    <row r="54" spans="2:16">
      <c r="B54" s="16" t="s">
        <v>38</v>
      </c>
      <c r="C54" s="26">
        <v>0.85</v>
      </c>
      <c r="D54" s="26">
        <v>0.87</v>
      </c>
      <c r="E54" s="26">
        <f>3.6-2.66</f>
        <v>0.94</v>
      </c>
      <c r="F54" s="26">
        <v>0.93</v>
      </c>
      <c r="G54" s="26">
        <v>0.9</v>
      </c>
      <c r="H54" s="26">
        <v>1.1200000000000001</v>
      </c>
      <c r="I54" s="26">
        <f>4.25-H54-G54-F54</f>
        <v>1.2999999999999998</v>
      </c>
      <c r="J54" s="26">
        <v>1.7</v>
      </c>
      <c r="K54" s="26">
        <v>1.53</v>
      </c>
      <c r="L54" s="26">
        <v>1.78</v>
      </c>
      <c r="M54" s="26">
        <f>6.8-L54-K54-J54</f>
        <v>1.7899999999999994</v>
      </c>
      <c r="N54" s="26">
        <v>1.82</v>
      </c>
      <c r="O54" s="26">
        <v>1.67</v>
      </c>
    </row>
    <row r="55" spans="2:16">
      <c r="B55" s="16" t="s">
        <v>39</v>
      </c>
      <c r="C55" s="26">
        <v>7.0000000000000007E-2</v>
      </c>
      <c r="D55" s="26">
        <v>0.33</v>
      </c>
      <c r="E55" s="26">
        <f>0.65-0.44</f>
        <v>0.21000000000000002</v>
      </c>
      <c r="F55" s="26">
        <v>0.11</v>
      </c>
      <c r="G55" s="26">
        <v>0.12</v>
      </c>
      <c r="H55" s="26">
        <v>0.38</v>
      </c>
      <c r="I55" s="26">
        <f>0.79-H55-G55-F55</f>
        <v>0.18000000000000005</v>
      </c>
      <c r="J55" s="26">
        <v>7.0000000000000007E-2</v>
      </c>
      <c r="K55" s="26">
        <v>1.75</v>
      </c>
      <c r="L55" s="26">
        <v>0.31</v>
      </c>
      <c r="M55" s="26">
        <f>0.39-L55-K55-J55</f>
        <v>-1.74</v>
      </c>
      <c r="N55" s="26">
        <v>0.08</v>
      </c>
      <c r="O55" s="26">
        <v>0.09</v>
      </c>
      <c r="P55" s="6" t="s">
        <v>187</v>
      </c>
    </row>
    <row r="56" spans="2:16">
      <c r="B56" s="16" t="s">
        <v>40</v>
      </c>
      <c r="C56" s="26">
        <v>0.71</v>
      </c>
      <c r="D56" s="26">
        <v>0.56999999999999995</v>
      </c>
      <c r="E56" s="26">
        <f>2.71-1.9</f>
        <v>0.81</v>
      </c>
      <c r="F56" s="26">
        <v>0.81</v>
      </c>
      <c r="G56" s="26">
        <v>0.65</v>
      </c>
      <c r="H56" s="26">
        <v>1.08</v>
      </c>
      <c r="I56" s="26">
        <f>3.98-H56-G56-F56</f>
        <v>1.44</v>
      </c>
      <c r="J56" s="26">
        <v>0.96</v>
      </c>
      <c r="K56" s="26">
        <v>1.19</v>
      </c>
      <c r="L56" s="26">
        <v>0.97</v>
      </c>
      <c r="M56" s="26">
        <f>4.16-L56-K56-J56</f>
        <v>1.0400000000000005</v>
      </c>
      <c r="N56" s="26">
        <v>0.95</v>
      </c>
      <c r="O56" s="26">
        <v>1.0900000000000001</v>
      </c>
    </row>
    <row r="57" spans="2:16">
      <c r="B57" s="16" t="s">
        <v>41</v>
      </c>
      <c r="C57" s="26">
        <v>2.2599999999999998</v>
      </c>
      <c r="D57" s="26">
        <v>2.02</v>
      </c>
      <c r="E57" s="26">
        <f>7.15-6.01</f>
        <v>1.1400000000000006</v>
      </c>
      <c r="F57" s="26">
        <v>1.67</v>
      </c>
      <c r="G57" s="26">
        <v>1.52</v>
      </c>
      <c r="H57" s="26">
        <v>2.02</v>
      </c>
      <c r="I57" s="26">
        <f>7.05-H57-G57-F57</f>
        <v>1.8399999999999994</v>
      </c>
      <c r="J57" s="26">
        <v>2.04</v>
      </c>
      <c r="K57" s="26">
        <v>2.09</v>
      </c>
      <c r="L57" s="26">
        <v>3.41</v>
      </c>
      <c r="M57" s="26">
        <f>10.63-L57-K57-J57</f>
        <v>3.0900000000000007</v>
      </c>
      <c r="N57" s="26">
        <v>4.87</v>
      </c>
      <c r="O57" s="26">
        <v>8.94</v>
      </c>
    </row>
    <row r="58" spans="2:16">
      <c r="B58" s="15" t="s">
        <v>42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26"/>
      <c r="O58" s="16"/>
    </row>
    <row r="59" spans="2:16">
      <c r="B59" s="16" t="s">
        <v>26</v>
      </c>
      <c r="C59" s="25">
        <f t="shared" ref="C59:O59" si="14">C42/C$3</f>
        <v>2.4658934854301779E-2</v>
      </c>
      <c r="D59" s="25">
        <f t="shared" si="14"/>
        <v>8.811659587966798E-3</v>
      </c>
      <c r="E59" s="25">
        <f t="shared" si="14"/>
        <v>-8.1137274125661317E-3</v>
      </c>
      <c r="F59" s="25">
        <f t="shared" si="14"/>
        <v>-0.12853337203155288</v>
      </c>
      <c r="G59" s="25">
        <f t="shared" si="14"/>
        <v>-1.5346328263076989E-4</v>
      </c>
      <c r="H59" s="25">
        <f t="shared" si="14"/>
        <v>4.3286638527438658E-2</v>
      </c>
      <c r="I59" s="25">
        <f t="shared" si="14"/>
        <v>-4.1218379966931736E-2</v>
      </c>
      <c r="J59" s="25">
        <f t="shared" si="14"/>
        <v>-7.5938691174968681E-2</v>
      </c>
      <c r="K59" s="25">
        <f t="shared" si="14"/>
        <v>-9.6722749053056774E-3</v>
      </c>
      <c r="L59" s="25">
        <f t="shared" si="14"/>
        <v>2.513611463440894E-2</v>
      </c>
      <c r="M59" s="25">
        <f t="shared" si="14"/>
        <v>1.275272348847141E-2</v>
      </c>
      <c r="N59" s="25">
        <f t="shared" si="14"/>
        <v>-0.28315233133650419</v>
      </c>
      <c r="O59" s="25">
        <f t="shared" si="14"/>
        <v>5.5170652543904908E-2</v>
      </c>
    </row>
    <row r="60" spans="2:16">
      <c r="B60" s="16" t="s">
        <v>27</v>
      </c>
      <c r="C60" s="25">
        <f t="shared" ref="C60:O60" si="15">C43/C$3</f>
        <v>0.57310304962192971</v>
      </c>
      <c r="D60" s="25">
        <f t="shared" si="15"/>
        <v>0.60219534339690139</v>
      </c>
      <c r="E60" s="25">
        <f t="shared" si="15"/>
        <v>0.62751793190103511</v>
      </c>
      <c r="F60" s="25">
        <f t="shared" si="15"/>
        <v>0.73071682693027529</v>
      </c>
      <c r="G60" s="25">
        <f t="shared" si="15"/>
        <v>0.63518452680875659</v>
      </c>
      <c r="H60" s="25">
        <f t="shared" si="15"/>
        <v>0.59692449307151607</v>
      </c>
      <c r="I60" s="25">
        <f t="shared" si="15"/>
        <v>0.69353952572354371</v>
      </c>
      <c r="J60" s="25">
        <f t="shared" si="15"/>
        <v>0.72710061354948308</v>
      </c>
      <c r="K60" s="25">
        <f t="shared" si="15"/>
        <v>0.66069430431360532</v>
      </c>
      <c r="L60" s="25">
        <f t="shared" si="15"/>
        <v>0.60584041484025919</v>
      </c>
      <c r="M60" s="25">
        <f t="shared" si="15"/>
        <v>0.61205052163852436</v>
      </c>
      <c r="N60" s="25">
        <f t="shared" si="15"/>
        <v>0.89059699174261475</v>
      </c>
      <c r="O60" s="25">
        <f t="shared" si="15"/>
        <v>0.55947899472825324</v>
      </c>
    </row>
    <row r="61" spans="2:16">
      <c r="B61" s="16" t="s">
        <v>28</v>
      </c>
      <c r="C61" s="25">
        <f t="shared" ref="C61:O61" si="16">C44/C$3</f>
        <v>6.1413444799738037E-2</v>
      </c>
      <c r="D61" s="25">
        <f t="shared" si="16"/>
        <v>8.4330845834467427E-2</v>
      </c>
      <c r="E61" s="25">
        <f t="shared" si="16"/>
        <v>7.8263662333710862E-2</v>
      </c>
      <c r="F61" s="25">
        <f t="shared" si="16"/>
        <v>6.6973257917874549E-2</v>
      </c>
      <c r="G61" s="25">
        <f t="shared" si="16"/>
        <v>6.8086543060518243E-2</v>
      </c>
      <c r="H61" s="25">
        <f t="shared" si="16"/>
        <v>6.0298345727993287E-2</v>
      </c>
      <c r="I61" s="25">
        <f t="shared" si="16"/>
        <v>7.1729337142958122E-2</v>
      </c>
      <c r="J61" s="25">
        <f t="shared" si="16"/>
        <v>6.6714034546339077E-2</v>
      </c>
      <c r="K61" s="25">
        <f t="shared" si="16"/>
        <v>7.0089612939395168E-2</v>
      </c>
      <c r="L61" s="25">
        <f t="shared" si="16"/>
        <v>5.2116688192503181E-2</v>
      </c>
      <c r="M61" s="25">
        <f t="shared" si="16"/>
        <v>8.1368792321095965E-2</v>
      </c>
      <c r="N61" s="25">
        <f t="shared" si="16"/>
        <v>7.4849608120531791E-2</v>
      </c>
      <c r="O61" s="25">
        <f t="shared" si="16"/>
        <v>6.6968150572161309E-2</v>
      </c>
    </row>
    <row r="62" spans="2:16">
      <c r="B62" s="16" t="s">
        <v>29</v>
      </c>
      <c r="C62" s="25">
        <f t="shared" ref="C62:O62" si="17">C45/C$3</f>
        <v>5.6802424461128761E-3</v>
      </c>
      <c r="D62" s="25">
        <f t="shared" si="17"/>
        <v>6.0049828303181145E-3</v>
      </c>
      <c r="E62" s="25">
        <f t="shared" si="17"/>
        <v>6.9868208274875042E-3</v>
      </c>
      <c r="F62" s="25">
        <f t="shared" si="17"/>
        <v>5.7586636214853439E-3</v>
      </c>
      <c r="G62" s="25">
        <f t="shared" si="17"/>
        <v>4.2969719136615571E-3</v>
      </c>
      <c r="H62" s="25">
        <f t="shared" si="17"/>
        <v>5.4763714960689549E-3</v>
      </c>
      <c r="I62" s="25">
        <f t="shared" si="17"/>
        <v>4.8339335900689177E-3</v>
      </c>
      <c r="J62" s="25">
        <f t="shared" si="17"/>
        <v>5.8203190633020103E-3</v>
      </c>
      <c r="K62" s="25">
        <f t="shared" si="17"/>
        <v>5.2257788587907446E-3</v>
      </c>
      <c r="L62" s="25">
        <f t="shared" si="17"/>
        <v>4.8899608674447424E-3</v>
      </c>
      <c r="M62" s="25">
        <f t="shared" si="17"/>
        <v>4.4915252538012566E-3</v>
      </c>
      <c r="N62" s="25">
        <f t="shared" si="17"/>
        <v>4.785673205687394E-3</v>
      </c>
      <c r="O62" s="25">
        <f t="shared" si="17"/>
        <v>4.0250287390521814E-3</v>
      </c>
    </row>
    <row r="63" spans="2:16">
      <c r="B63" s="16" t="s">
        <v>30</v>
      </c>
      <c r="C63" s="25">
        <f t="shared" ref="C63:O63" si="18">C46/C$3</f>
        <v>1.4367672069579627E-2</v>
      </c>
      <c r="D63" s="25">
        <f t="shared" si="18"/>
        <v>1.3250125158201925E-2</v>
      </c>
      <c r="E63" s="25">
        <f t="shared" si="18"/>
        <v>1.5044202910799704E-2</v>
      </c>
      <c r="F63" s="25">
        <f t="shared" si="18"/>
        <v>9.55938161166567E-3</v>
      </c>
      <c r="G63" s="25">
        <f t="shared" si="18"/>
        <v>1.1970136045200051E-2</v>
      </c>
      <c r="H63" s="25">
        <f t="shared" si="18"/>
        <v>1.3399632383998506E-2</v>
      </c>
      <c r="I63" s="25">
        <f t="shared" si="18"/>
        <v>1.4761689672898632E-2</v>
      </c>
      <c r="J63" s="25">
        <f t="shared" si="18"/>
        <v>1.2409359512323153E-2</v>
      </c>
      <c r="K63" s="25">
        <f t="shared" si="18"/>
        <v>1.3706209462968711E-2</v>
      </c>
      <c r="L63" s="25">
        <f t="shared" si="18"/>
        <v>1.3940677911574923E-2</v>
      </c>
      <c r="M63" s="25">
        <f t="shared" si="18"/>
        <v>1.1148607326399539E-2</v>
      </c>
      <c r="N63" s="25">
        <f t="shared" si="18"/>
        <v>1.0662815738987703E-2</v>
      </c>
      <c r="O63" s="25">
        <f t="shared" si="18"/>
        <v>1.4399887299195308E-2</v>
      </c>
    </row>
    <row r="64" spans="2:16">
      <c r="B64" s="16" t="s">
        <v>31</v>
      </c>
      <c r="C64" s="25">
        <f t="shared" ref="C64:O64" si="19">C47/C$3</f>
        <v>1.9981088133973531E-2</v>
      </c>
      <c r="D64" s="25">
        <f t="shared" si="19"/>
        <v>1.9516194198533874E-2</v>
      </c>
      <c r="E64" s="25">
        <f t="shared" si="19"/>
        <v>1.6678217459163727E-2</v>
      </c>
      <c r="F64" s="25">
        <f t="shared" si="19"/>
        <v>1.6930471047166912E-2</v>
      </c>
      <c r="G64" s="25">
        <f t="shared" si="19"/>
        <v>1.498824727027186E-2</v>
      </c>
      <c r="H64" s="25">
        <f t="shared" si="19"/>
        <v>1.6953447929319854E-2</v>
      </c>
      <c r="I64" s="25">
        <f t="shared" si="19"/>
        <v>1.7568489821970904E-2</v>
      </c>
      <c r="J64" s="25">
        <f t="shared" si="19"/>
        <v>1.9163125972569826E-2</v>
      </c>
      <c r="K64" s="25">
        <f t="shared" si="19"/>
        <v>1.5677336576372235E-2</v>
      </c>
      <c r="L64" s="25">
        <f t="shared" si="19"/>
        <v>1.4927248963778688E-2</v>
      </c>
      <c r="M64" s="25">
        <f t="shared" si="19"/>
        <v>1.1910562503383678E-2</v>
      </c>
      <c r="N64" s="25">
        <f t="shared" si="19"/>
        <v>1.4398999206585758E-2</v>
      </c>
      <c r="O64" s="25">
        <f t="shared" si="19"/>
        <v>1.1970990646318989E-2</v>
      </c>
    </row>
    <row r="65" spans="2:15">
      <c r="B65" s="16" t="s">
        <v>32</v>
      </c>
      <c r="C65" s="25">
        <f t="shared" ref="C65:O65" si="20">C48/C$3</f>
        <v>1.4701803978174504E-3</v>
      </c>
      <c r="D65" s="25">
        <f t="shared" si="20"/>
        <v>1.1748879450622397E-3</v>
      </c>
      <c r="E65" s="25">
        <f t="shared" si="20"/>
        <v>1.0142159265707665E-3</v>
      </c>
      <c r="F65" s="25">
        <f t="shared" si="20"/>
        <v>9.7897281565250847E-4</v>
      </c>
      <c r="G65" s="25">
        <f t="shared" si="20"/>
        <v>1.2788606885897492E-3</v>
      </c>
      <c r="H65" s="25">
        <f t="shared" si="20"/>
        <v>2.0973337644519404E-3</v>
      </c>
      <c r="I65" s="25">
        <f t="shared" si="20"/>
        <v>1.8712000993815156E-3</v>
      </c>
      <c r="J65" s="25">
        <f t="shared" si="20"/>
        <v>1.9218034642978334E-3</v>
      </c>
      <c r="K65" s="25">
        <f t="shared" si="20"/>
        <v>1.6502459554076038E-3</v>
      </c>
      <c r="L65" s="25">
        <f t="shared" si="20"/>
        <v>1.5870925622408375E-3</v>
      </c>
      <c r="M65" s="25">
        <f t="shared" si="20"/>
        <v>1.4036016418128923E-3</v>
      </c>
      <c r="N65" s="25">
        <f t="shared" si="20"/>
        <v>1.9310611180843873E-3</v>
      </c>
      <c r="O65" s="25">
        <f t="shared" si="20"/>
        <v>2.0125143695260907E-3</v>
      </c>
    </row>
    <row r="66" spans="2:15">
      <c r="B66" s="16" t="s">
        <v>33</v>
      </c>
      <c r="C66" s="25">
        <f t="shared" ref="C66:O66" si="21">C49/C$3</f>
        <v>4.0095829031385009E-3</v>
      </c>
      <c r="D66" s="25">
        <f t="shared" si="21"/>
        <v>3.8510215977040079E-3</v>
      </c>
      <c r="E66" s="25">
        <f t="shared" si="21"/>
        <v>3.3243744259819573E-3</v>
      </c>
      <c r="F66" s="25">
        <f t="shared" si="21"/>
        <v>3.3400249004614992E-3</v>
      </c>
      <c r="G66" s="25">
        <f t="shared" si="21"/>
        <v>2.9669567975282177E-3</v>
      </c>
      <c r="H66" s="25">
        <f t="shared" si="21"/>
        <v>3.3790377316170149E-3</v>
      </c>
      <c r="I66" s="25">
        <f t="shared" si="21"/>
        <v>3.0666890517641516E-3</v>
      </c>
      <c r="J66" s="25">
        <f t="shared" si="21"/>
        <v>3.1847028836935526E-3</v>
      </c>
      <c r="K66" s="25">
        <f t="shared" si="21"/>
        <v>2.6587295948233614E-3</v>
      </c>
      <c r="L66" s="25">
        <f t="shared" si="21"/>
        <v>2.4878748272964477E-3</v>
      </c>
      <c r="M66" s="25">
        <f t="shared" si="21"/>
        <v>2.32596843500422E-3</v>
      </c>
      <c r="N66" s="25">
        <f t="shared" si="21"/>
        <v>2.4767957818908446E-3</v>
      </c>
      <c r="O66" s="25">
        <f t="shared" si="21"/>
        <v>2.1166099403636474E-3</v>
      </c>
    </row>
    <row r="67" spans="2:15">
      <c r="B67" s="16" t="s">
        <v>34</v>
      </c>
      <c r="C67" s="25">
        <f t="shared" ref="C67:O67" si="22">C50/C$3</f>
        <v>6.4153326450216014E-3</v>
      </c>
      <c r="D67" s="25">
        <f t="shared" si="22"/>
        <v>6.6576983553526918E-3</v>
      </c>
      <c r="E67" s="25">
        <f t="shared" si="22"/>
        <v>6.8741301689796436E-3</v>
      </c>
      <c r="F67" s="25">
        <f t="shared" si="22"/>
        <v>7.2559161630715331E-3</v>
      </c>
      <c r="G67" s="25">
        <f t="shared" si="22"/>
        <v>7.2127742836461846E-3</v>
      </c>
      <c r="H67" s="25">
        <f t="shared" si="22"/>
        <v>8.505853600277313E-3</v>
      </c>
      <c r="I67" s="25">
        <f t="shared" si="22"/>
        <v>7.0170003726806873E-3</v>
      </c>
      <c r="J67" s="25">
        <f t="shared" si="22"/>
        <v>6.6439491194296525E-3</v>
      </c>
      <c r="K67" s="25">
        <f t="shared" si="22"/>
        <v>6.6468239870584042E-3</v>
      </c>
      <c r="L67" s="25">
        <f t="shared" si="22"/>
        <v>7.1204693332967304E-3</v>
      </c>
      <c r="M67" s="25">
        <f t="shared" si="22"/>
        <v>7.1383169212198474E-3</v>
      </c>
      <c r="N67" s="25">
        <f t="shared" si="22"/>
        <v>8.0600811885261376E-3</v>
      </c>
      <c r="O67" s="25">
        <f t="shared" si="22"/>
        <v>7.6683737183666561E-3</v>
      </c>
    </row>
    <row r="68" spans="2:15">
      <c r="B68" s="16" t="s">
        <v>35</v>
      </c>
      <c r="C68" s="25">
        <f t="shared" ref="C68:O68" si="23">C51/C$3</f>
        <v>5.6936077224566707E-2</v>
      </c>
      <c r="D68" s="25">
        <f t="shared" si="23"/>
        <v>5.3326858395324993E-2</v>
      </c>
      <c r="E68" s="25">
        <f t="shared" si="23"/>
        <v>7.589715850504572E-2</v>
      </c>
      <c r="F68" s="25">
        <f t="shared" si="23"/>
        <v>4.7451388241039234E-2</v>
      </c>
      <c r="G68" s="25">
        <f t="shared" si="23"/>
        <v>4.4299734252748912E-2</v>
      </c>
      <c r="H68" s="25">
        <f t="shared" si="23"/>
        <v>4.5558750105594931E-2</v>
      </c>
      <c r="I68" s="25">
        <f t="shared" si="23"/>
        <v>4.2829691163621376E-2</v>
      </c>
      <c r="J68" s="25">
        <f t="shared" si="23"/>
        <v>4.4640749042118247E-2</v>
      </c>
      <c r="K68" s="25">
        <f t="shared" si="23"/>
        <v>5.1616026271915603E-2</v>
      </c>
      <c r="L68" s="25">
        <f t="shared" si="23"/>
        <v>3.2085006393409367E-2</v>
      </c>
      <c r="M68" s="25">
        <f t="shared" si="23"/>
        <v>3.1520882584712355E-2</v>
      </c>
      <c r="N68" s="25">
        <f t="shared" si="23"/>
        <v>4.6765262729261035E-2</v>
      </c>
      <c r="O68" s="25">
        <f t="shared" si="23"/>
        <v>2.272753296619982E-2</v>
      </c>
    </row>
    <row r="69" spans="2:15">
      <c r="B69" s="16" t="s">
        <v>36</v>
      </c>
      <c r="C69" s="25">
        <f t="shared" ref="C69:D74" si="24">C52/C$3</f>
        <v>2.6997858214465906E-2</v>
      </c>
      <c r="D69" s="25">
        <f t="shared" si="24"/>
        <v>2.5325362371341611E-2</v>
      </c>
      <c r="E69" s="25">
        <f>E53/E$3</f>
        <v>1.132541118004023E-2</v>
      </c>
      <c r="F69" s="25">
        <f t="shared" ref="F69:O69" si="25">F52/F$3</f>
        <v>3.0117810740368352E-2</v>
      </c>
      <c r="G69" s="25">
        <f t="shared" si="25"/>
        <v>2.0461771017435987E-2</v>
      </c>
      <c r="H69" s="25">
        <f t="shared" si="25"/>
        <v>1.9866411491058659E-2</v>
      </c>
      <c r="I69" s="25">
        <f t="shared" si="25"/>
        <v>2.297417899796194E-2</v>
      </c>
      <c r="J69" s="25">
        <f t="shared" si="25"/>
        <v>2.4104906309335681E-2</v>
      </c>
      <c r="K69" s="25">
        <f t="shared" si="25"/>
        <v>2.5487131977961878E-2</v>
      </c>
      <c r="L69" s="25">
        <f t="shared" si="25"/>
        <v>2.0503520128408659E-2</v>
      </c>
      <c r="M69" s="25">
        <f t="shared" si="25"/>
        <v>2.7711106699791672E-2</v>
      </c>
      <c r="N69" s="25">
        <f t="shared" si="25"/>
        <v>3.5430773557896145E-2</v>
      </c>
      <c r="O69" s="25">
        <f t="shared" si="25"/>
        <v>2.3490900485675231E-2</v>
      </c>
    </row>
    <row r="70" spans="2:15">
      <c r="B70" s="16" t="s">
        <v>37</v>
      </c>
      <c r="C70" s="25">
        <f t="shared" si="24"/>
        <v>9.0883879137806031E-3</v>
      </c>
      <c r="D70" s="25">
        <f t="shared" si="24"/>
        <v>7.9631294054218465E-3</v>
      </c>
      <c r="E70" s="25">
        <f>E54/E$3</f>
        <v>5.29646094986956E-3</v>
      </c>
      <c r="F70" s="25">
        <f t="shared" ref="F70:O70" si="26">F53/F$3</f>
        <v>1.3475272874275704E-2</v>
      </c>
      <c r="G70" s="25">
        <f t="shared" si="26"/>
        <v>1.1253974059589793E-2</v>
      </c>
      <c r="H70" s="25">
        <f t="shared" si="26"/>
        <v>1.4390039994989704E-2</v>
      </c>
      <c r="I70" s="25">
        <f t="shared" si="26"/>
        <v>1.8036289846816281E-2</v>
      </c>
      <c r="J70" s="25">
        <f t="shared" si="26"/>
        <v>2.6026709773633517E-2</v>
      </c>
      <c r="K70" s="25">
        <f t="shared" si="26"/>
        <v>1.3614529132112732E-2</v>
      </c>
      <c r="L70" s="25">
        <f t="shared" si="26"/>
        <v>1.0723598393519173E-2</v>
      </c>
      <c r="M70" s="25">
        <f t="shared" si="26"/>
        <v>1.2512106064160634E-2</v>
      </c>
      <c r="N70" s="25">
        <f t="shared" si="26"/>
        <v>1.3391489058019989E-2</v>
      </c>
      <c r="O70" s="25">
        <f t="shared" si="26"/>
        <v>9.9237777531803791E-3</v>
      </c>
    </row>
    <row r="71" spans="2:15">
      <c r="B71" s="16" t="s">
        <v>38</v>
      </c>
      <c r="C71" s="25">
        <f t="shared" si="24"/>
        <v>5.6802424461128761E-3</v>
      </c>
      <c r="D71" s="25">
        <f t="shared" si="24"/>
        <v>5.6786250678008254E-3</v>
      </c>
      <c r="E71" s="25">
        <f>E55/E$3</f>
        <v>1.1832519143325615E-3</v>
      </c>
      <c r="F71" s="25">
        <f t="shared" ref="F71:O71" si="27">F54/F$3</f>
        <v>5.3555571679813696E-3</v>
      </c>
      <c r="G71" s="25">
        <f t="shared" si="27"/>
        <v>4.6038984789230969E-3</v>
      </c>
      <c r="H71" s="25">
        <f t="shared" si="27"/>
        <v>6.5250383782949261E-3</v>
      </c>
      <c r="I71" s="25">
        <f t="shared" si="27"/>
        <v>6.757111469988808E-3</v>
      </c>
      <c r="J71" s="25">
        <f t="shared" si="27"/>
        <v>9.3344739694466196E-3</v>
      </c>
      <c r="K71" s="25">
        <f t="shared" si="27"/>
        <v>7.0135453104823164E-3</v>
      </c>
      <c r="L71" s="25">
        <f t="shared" si="27"/>
        <v>7.6352020561856505E-3</v>
      </c>
      <c r="M71" s="25">
        <f t="shared" si="27"/>
        <v>7.1784198252716445E-3</v>
      </c>
      <c r="N71" s="25">
        <f t="shared" si="27"/>
        <v>7.6402852932904016E-3</v>
      </c>
      <c r="O71" s="25">
        <f t="shared" si="27"/>
        <v>5.7946534432906406E-3</v>
      </c>
    </row>
    <row r="72" spans="2:15">
      <c r="B72" s="16" t="s">
        <v>39</v>
      </c>
      <c r="C72" s="25">
        <f t="shared" si="24"/>
        <v>4.6778467203282512E-4</v>
      </c>
      <c r="D72" s="25">
        <f t="shared" si="24"/>
        <v>2.1539612326141062E-3</v>
      </c>
      <c r="E72" s="25">
        <f>E56/E$3</f>
        <v>4.563971669568451E-3</v>
      </c>
      <c r="F72" s="25">
        <f t="shared" ref="F72:O72" si="28">F55/F$3</f>
        <v>6.3345299836338779E-4</v>
      </c>
      <c r="G72" s="25">
        <f t="shared" si="28"/>
        <v>6.1385313052307957E-4</v>
      </c>
      <c r="H72" s="25">
        <f t="shared" si="28"/>
        <v>2.2138523069214927E-3</v>
      </c>
      <c r="I72" s="25">
        <f t="shared" si="28"/>
        <v>9.3560004969075843E-4</v>
      </c>
      <c r="J72" s="25">
        <f t="shared" si="28"/>
        <v>3.8436069285956674E-4</v>
      </c>
      <c r="K72" s="25">
        <f t="shared" si="28"/>
        <v>8.0220289498980739E-3</v>
      </c>
      <c r="L72" s="25">
        <f t="shared" si="28"/>
        <v>1.3297262007963774E-3</v>
      </c>
      <c r="M72" s="25">
        <f t="shared" si="28"/>
        <v>-6.9779053050126631E-3</v>
      </c>
      <c r="N72" s="25">
        <f t="shared" si="28"/>
        <v>3.3583671618858912E-4</v>
      </c>
      <c r="O72" s="25">
        <f t="shared" si="28"/>
        <v>3.1228671251266925E-4</v>
      </c>
    </row>
    <row r="73" spans="2:15">
      <c r="B73" s="16" t="s">
        <v>40</v>
      </c>
      <c r="C73" s="25">
        <f t="shared" si="24"/>
        <v>4.7446731020472253E-3</v>
      </c>
      <c r="D73" s="25">
        <f t="shared" si="24"/>
        <v>3.720478492697092E-3</v>
      </c>
      <c r="E73" s="25">
        <f>E57/E$3</f>
        <v>6.4233675349481935E-3</v>
      </c>
      <c r="F73" s="25">
        <f t="shared" ref="F73:O73" si="29">F56/F$3</f>
        <v>4.6645175334031289E-3</v>
      </c>
      <c r="G73" s="25">
        <f t="shared" si="29"/>
        <v>3.3250377903333477E-3</v>
      </c>
      <c r="H73" s="25">
        <f t="shared" si="29"/>
        <v>6.2920012933558216E-3</v>
      </c>
      <c r="I73" s="25">
        <f t="shared" si="29"/>
        <v>7.4848003975260648E-3</v>
      </c>
      <c r="J73" s="25">
        <f t="shared" si="29"/>
        <v>5.2712323592169147E-3</v>
      </c>
      <c r="K73" s="25">
        <f t="shared" si="29"/>
        <v>5.4549796859306903E-3</v>
      </c>
      <c r="L73" s="25">
        <f t="shared" si="29"/>
        <v>4.1607561766854387E-3</v>
      </c>
      <c r="M73" s="25">
        <f t="shared" si="29"/>
        <v>4.1707020213868811E-3</v>
      </c>
      <c r="N73" s="25">
        <f t="shared" si="29"/>
        <v>3.9880610047394955E-3</v>
      </c>
      <c r="O73" s="25">
        <f t="shared" si="29"/>
        <v>3.7821390737645504E-3</v>
      </c>
    </row>
    <row r="74" spans="2:15">
      <c r="B74" s="16" t="s">
        <v>41</v>
      </c>
      <c r="C74" s="25">
        <f t="shared" si="24"/>
        <v>1.5102762268488352E-2</v>
      </c>
      <c r="D74" s="25">
        <f t="shared" si="24"/>
        <v>1.3184853605698469E-2</v>
      </c>
      <c r="E74" s="25">
        <f>E57/E$3</f>
        <v>6.4233675349481935E-3</v>
      </c>
      <c r="F74" s="25">
        <f t="shared" ref="F74:O74" si="30">F57/F$3</f>
        <v>9.6169682478805234E-3</v>
      </c>
      <c r="G74" s="25">
        <f t="shared" si="30"/>
        <v>7.7754729866256747E-3</v>
      </c>
      <c r="H74" s="25">
        <f t="shared" si="30"/>
        <v>1.1768372789424776E-2</v>
      </c>
      <c r="I74" s="25">
        <f t="shared" si="30"/>
        <v>9.5639116190610798E-3</v>
      </c>
      <c r="J74" s="25">
        <f t="shared" si="30"/>
        <v>1.1201368763335945E-2</v>
      </c>
      <c r="K74" s="25">
        <f t="shared" si="30"/>
        <v>9.5805945744496992E-3</v>
      </c>
      <c r="L74" s="25">
        <f t="shared" si="30"/>
        <v>1.4626988208760152E-2</v>
      </c>
      <c r="M74" s="25">
        <f t="shared" si="30"/>
        <v>1.2391797352005249E-2</v>
      </c>
      <c r="N74" s="25">
        <f t="shared" si="30"/>
        <v>2.044406009798036E-2</v>
      </c>
      <c r="O74" s="25">
        <f t="shared" si="30"/>
        <v>3.1020480109591814E-2</v>
      </c>
    </row>
    <row r="75" spans="2:15">
      <c r="B75" s="23" t="s">
        <v>169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2:15">
      <c r="B76" s="36" t="s">
        <v>170</v>
      </c>
      <c r="C76" s="37"/>
      <c r="D76" s="37">
        <v>24.416399999999999</v>
      </c>
      <c r="E76" s="37">
        <v>30.657699999999998</v>
      </c>
      <c r="F76" s="37">
        <v>-4.1059999999999999</v>
      </c>
      <c r="G76" s="37">
        <v>28.820900000000002</v>
      </c>
      <c r="H76" s="37">
        <v>27.357900000000001</v>
      </c>
      <c r="I76" s="37">
        <v>30.775099999999998</v>
      </c>
      <c r="J76" s="37">
        <v>-12.1951</v>
      </c>
      <c r="K76" s="37">
        <v>27.0212</v>
      </c>
      <c r="L76" s="37">
        <v>-10.227399999999999</v>
      </c>
      <c r="M76" s="37">
        <v>115.14700000000001</v>
      </c>
      <c r="N76" s="37">
        <v>-12.356</v>
      </c>
      <c r="O76" s="37">
        <v>4.9543999999999997</v>
      </c>
    </row>
    <row r="77" spans="2:15">
      <c r="B77" s="36" t="s">
        <v>171</v>
      </c>
      <c r="C77" s="37"/>
      <c r="D77" s="37">
        <v>-252.21</v>
      </c>
      <c r="E77" s="37">
        <v>-156.63939999999999</v>
      </c>
      <c r="F77" s="37">
        <v>-17.098099999999999</v>
      </c>
      <c r="G77" s="37">
        <v>-16.003599999999999</v>
      </c>
      <c r="H77" s="37">
        <v>-14.552199999999999</v>
      </c>
      <c r="I77" s="37">
        <v>-61.5032</v>
      </c>
      <c r="J77" s="37">
        <v>-2.8696000000000002</v>
      </c>
      <c r="K77" s="37">
        <v>-4.0278</v>
      </c>
      <c r="L77" s="37">
        <v>-7.5227000000000004</v>
      </c>
      <c r="M77" s="37">
        <v>-0.61099999999999999</v>
      </c>
      <c r="N77" s="37">
        <v>295.51179999999999</v>
      </c>
      <c r="O77" s="37">
        <v>-2.2711999999999999</v>
      </c>
    </row>
    <row r="78" spans="2:15">
      <c r="B78" s="36" t="s">
        <v>172</v>
      </c>
      <c r="C78" s="37"/>
      <c r="D78" s="37">
        <v>276.29910000000001</v>
      </c>
      <c r="E78" s="37">
        <v>-8.4099999999999994E-2</v>
      </c>
      <c r="F78" s="37">
        <v>-0.1605</v>
      </c>
      <c r="G78" s="37">
        <v>-6.3213999999999997</v>
      </c>
      <c r="H78" s="37">
        <v>0.37059999999999998</v>
      </c>
      <c r="I78" s="37">
        <v>-0.24679999999999999</v>
      </c>
      <c r="J78" s="37">
        <v>-0.31919999999999998</v>
      </c>
      <c r="K78" s="37">
        <v>-12.3611</v>
      </c>
      <c r="L78" s="37">
        <v>-0.31919999999999998</v>
      </c>
      <c r="M78" s="37">
        <v>-7.4000000000000003E-3</v>
      </c>
      <c r="N78" s="37">
        <v>-0.38129999999999997</v>
      </c>
      <c r="O78" s="37">
        <v>-373.98660000000001</v>
      </c>
    </row>
  </sheetData>
  <mergeCells count="1">
    <mergeCell ref="P33:V3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00C-1DB3-4193-B9B0-0F816BD0AA03}">
  <dimension ref="A2:A53"/>
  <sheetViews>
    <sheetView showGridLines="0" topLeftCell="A13" zoomScaleNormal="100" workbookViewId="0">
      <selection activeCell="A32" sqref="A32"/>
    </sheetView>
  </sheetViews>
  <sheetFormatPr defaultRowHeight="17.399999999999999"/>
  <sheetData>
    <row r="2" spans="1:1">
      <c r="A2" t="s">
        <v>181</v>
      </c>
    </row>
    <row r="4" spans="1:1">
      <c r="A4" t="s">
        <v>50</v>
      </c>
    </row>
    <row r="5" spans="1:1">
      <c r="A5" t="s">
        <v>51</v>
      </c>
    </row>
    <row r="7" spans="1:1">
      <c r="A7" t="s">
        <v>47</v>
      </c>
    </row>
    <row r="8" spans="1:1">
      <c r="A8" t="s">
        <v>52</v>
      </c>
    </row>
    <row r="10" spans="1:1">
      <c r="A10" t="s">
        <v>48</v>
      </c>
    </row>
    <row r="11" spans="1:1">
      <c r="A11" t="s">
        <v>53</v>
      </c>
    </row>
    <row r="13" spans="1:1">
      <c r="A13" t="s">
        <v>49</v>
      </c>
    </row>
    <row r="14" spans="1:1">
      <c r="A14" t="s">
        <v>54</v>
      </c>
    </row>
    <row r="16" spans="1:1">
      <c r="A16" t="s">
        <v>69</v>
      </c>
    </row>
    <row r="17" spans="1:1">
      <c r="A17" t="s">
        <v>196</v>
      </c>
    </row>
    <row r="19" spans="1:1">
      <c r="A19" t="s">
        <v>78</v>
      </c>
    </row>
    <row r="20" spans="1:1">
      <c r="A20" t="s">
        <v>197</v>
      </c>
    </row>
    <row r="22" spans="1:1">
      <c r="A22" t="s">
        <v>95</v>
      </c>
    </row>
    <row r="23" spans="1:1">
      <c r="A23" t="s">
        <v>198</v>
      </c>
    </row>
    <row r="25" spans="1:1">
      <c r="A25" t="s">
        <v>190</v>
      </c>
    </row>
    <row r="26" spans="1:1">
      <c r="A26" t="s">
        <v>199</v>
      </c>
    </row>
    <row r="28" spans="1:1">
      <c r="A28" t="s">
        <v>179</v>
      </c>
    </row>
    <row r="29" spans="1:1">
      <c r="A29" t="s">
        <v>200</v>
      </c>
    </row>
    <row r="31" spans="1:1">
      <c r="A31" t="s">
        <v>180</v>
      </c>
    </row>
    <row r="32" spans="1:1">
      <c r="A32" t="s">
        <v>201</v>
      </c>
    </row>
    <row r="34" spans="1:1">
      <c r="A34" t="s">
        <v>194</v>
      </c>
    </row>
    <row r="35" spans="1:1">
      <c r="A35" t="s">
        <v>195</v>
      </c>
    </row>
    <row r="47" spans="1:1">
      <c r="A47" t="s">
        <v>182</v>
      </c>
    </row>
    <row r="49" spans="1:1">
      <c r="A49" t="s">
        <v>183</v>
      </c>
    </row>
    <row r="50" spans="1:1">
      <c r="A50" t="s">
        <v>184</v>
      </c>
    </row>
    <row r="52" spans="1:1">
      <c r="A52" t="s">
        <v>185</v>
      </c>
    </row>
    <row r="53" spans="1:1">
      <c r="A53" t="s">
        <v>186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935-16F7-4399-9676-DF440A6E3EA9}">
  <dimension ref="A2:N4"/>
  <sheetViews>
    <sheetView topLeftCell="A13" zoomScale="70" workbookViewId="0">
      <selection activeCell="D29" sqref="D29"/>
    </sheetView>
  </sheetViews>
  <sheetFormatPr defaultRowHeight="17.399999999999999"/>
  <sheetData>
    <row r="2" spans="1:14">
      <c r="A2" t="s">
        <v>63</v>
      </c>
    </row>
    <row r="3" spans="1:14">
      <c r="A3" s="48" t="s">
        <v>64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</sheetData>
  <mergeCells count="1">
    <mergeCell ref="A3:N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report</vt:lpstr>
      <vt:lpstr>raw data</vt:lpstr>
      <vt:lpstr>IR</vt:lpstr>
      <vt:lpstr>용어설명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서민석</dc:creator>
  <cp:lastModifiedBy>서민석</cp:lastModifiedBy>
  <dcterms:created xsi:type="dcterms:W3CDTF">2024-04-27T04:47:52Z</dcterms:created>
  <dcterms:modified xsi:type="dcterms:W3CDTF">2024-08-29T02:34:56Z</dcterms:modified>
</cp:coreProperties>
</file>