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mch\OneDrive\바탕 화면\snuvalue\my 보고서\"/>
    </mc:Choice>
  </mc:AlternateContent>
  <xr:revisionPtr revIDLastSave="0" documentId="13_ncr:1_{3D515319-B84E-4AB3-AAEB-6A8555024E6E}" xr6:coauthVersionLast="36" xr6:coauthVersionMax="36" xr10:uidLastSave="{00000000-0000-0000-0000-000000000000}"/>
  <bookViews>
    <workbookView xWindow="0" yWindow="0" windowWidth="23040" windowHeight="7644" xr2:uid="{AE6EC69D-C14C-40CD-989D-AB93522E316D}"/>
  </bookViews>
  <sheets>
    <sheet name="report" sheetId="4" r:id="rId1"/>
    <sheet name="붉은사막" sheetId="7" r:id="rId2"/>
    <sheet name="raw data" sheetId="3" r:id="rId3"/>
    <sheet name="IR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2" i="4" l="1"/>
  <c r="E221" i="4"/>
  <c r="D222" i="4"/>
  <c r="D221" i="4"/>
  <c r="N221" i="4" l="1"/>
  <c r="N26" i="3" l="1"/>
  <c r="F28" i="3"/>
  <c r="F27" i="3"/>
  <c r="J28" i="3"/>
  <c r="J27" i="3"/>
  <c r="N28" i="3"/>
  <c r="N27" i="3"/>
  <c r="R28" i="3"/>
  <c r="R27" i="3"/>
  <c r="V27" i="3"/>
  <c r="Z27" i="3"/>
  <c r="V28" i="3"/>
  <c r="Z28" i="3"/>
  <c r="F34" i="3"/>
  <c r="F32" i="3"/>
  <c r="F40" i="3" s="1"/>
  <c r="F31" i="3"/>
  <c r="F30" i="3"/>
  <c r="F29" i="3"/>
  <c r="F37" i="3" s="1"/>
  <c r="F26" i="3"/>
  <c r="F36" i="3" s="1"/>
  <c r="J34" i="3"/>
  <c r="J32" i="3"/>
  <c r="J40" i="3" s="1"/>
  <c r="J31" i="3"/>
  <c r="J39" i="3" s="1"/>
  <c r="J30" i="3"/>
  <c r="J38" i="3" s="1"/>
  <c r="J29" i="3"/>
  <c r="J26" i="3"/>
  <c r="J36" i="3" s="1"/>
  <c r="N34" i="3"/>
  <c r="N32" i="3"/>
  <c r="N40" i="3" s="1"/>
  <c r="N31" i="3"/>
  <c r="N39" i="3" s="1"/>
  <c r="N30" i="3"/>
  <c r="N29" i="3"/>
  <c r="N37" i="3" s="1"/>
  <c r="N36" i="3"/>
  <c r="R34" i="3"/>
  <c r="R31" i="3"/>
  <c r="R39" i="3" s="1"/>
  <c r="R30" i="3"/>
  <c r="R38" i="3" s="1"/>
  <c r="R29" i="3"/>
  <c r="R37" i="3" s="1"/>
  <c r="R26" i="3"/>
  <c r="R36" i="3" s="1"/>
  <c r="V32" i="3"/>
  <c r="V40" i="3" s="1"/>
  <c r="V31" i="3"/>
  <c r="V34" i="3"/>
  <c r="Z34" i="3"/>
  <c r="D36" i="3"/>
  <c r="E36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D37" i="3"/>
  <c r="E37" i="3"/>
  <c r="G37" i="3"/>
  <c r="H37" i="3"/>
  <c r="I37" i="3"/>
  <c r="J37" i="3"/>
  <c r="K37" i="3"/>
  <c r="L37" i="3"/>
  <c r="M37" i="3"/>
  <c r="O37" i="3"/>
  <c r="P37" i="3"/>
  <c r="Q37" i="3"/>
  <c r="S37" i="3"/>
  <c r="T37" i="3"/>
  <c r="U37" i="3"/>
  <c r="W37" i="3"/>
  <c r="X37" i="3"/>
  <c r="Y37" i="3"/>
  <c r="AA37" i="3"/>
  <c r="AB37" i="3"/>
  <c r="D38" i="3"/>
  <c r="E38" i="3"/>
  <c r="F38" i="3"/>
  <c r="G38" i="3"/>
  <c r="H38" i="3"/>
  <c r="I38" i="3"/>
  <c r="K38" i="3"/>
  <c r="L38" i="3"/>
  <c r="M38" i="3"/>
  <c r="N38" i="3"/>
  <c r="O38" i="3"/>
  <c r="P38" i="3"/>
  <c r="Q38" i="3"/>
  <c r="S38" i="3"/>
  <c r="T38" i="3"/>
  <c r="U38" i="3"/>
  <c r="W38" i="3"/>
  <c r="X38" i="3"/>
  <c r="Y38" i="3"/>
  <c r="AA38" i="3"/>
  <c r="AB38" i="3"/>
  <c r="D39" i="3"/>
  <c r="E39" i="3"/>
  <c r="G39" i="3"/>
  <c r="H39" i="3"/>
  <c r="I39" i="3"/>
  <c r="K39" i="3"/>
  <c r="L39" i="3"/>
  <c r="M39" i="3"/>
  <c r="O39" i="3"/>
  <c r="P39" i="3"/>
  <c r="Q39" i="3"/>
  <c r="S39" i="3"/>
  <c r="T39" i="3"/>
  <c r="U39" i="3"/>
  <c r="V39" i="3"/>
  <c r="W39" i="3"/>
  <c r="X39" i="3"/>
  <c r="Y39" i="3"/>
  <c r="AA39" i="3"/>
  <c r="AB39" i="3"/>
  <c r="D40" i="3"/>
  <c r="E40" i="3"/>
  <c r="G40" i="3"/>
  <c r="H40" i="3"/>
  <c r="I40" i="3"/>
  <c r="K40" i="3"/>
  <c r="L40" i="3"/>
  <c r="M40" i="3"/>
  <c r="O40" i="3"/>
  <c r="P40" i="3"/>
  <c r="S40" i="3"/>
  <c r="T40" i="3"/>
  <c r="U40" i="3"/>
  <c r="W40" i="3"/>
  <c r="X40" i="3"/>
  <c r="Y40" i="3"/>
  <c r="AA40" i="3"/>
  <c r="AB40" i="3"/>
  <c r="C37" i="3"/>
  <c r="C38" i="3"/>
  <c r="C39" i="3"/>
  <c r="C40" i="3"/>
  <c r="D33" i="3"/>
  <c r="D41" i="3" s="1"/>
  <c r="E33" i="3"/>
  <c r="E41" i="3" s="1"/>
  <c r="G33" i="3"/>
  <c r="G41" i="3" s="1"/>
  <c r="H33" i="3"/>
  <c r="H41" i="3" s="1"/>
  <c r="I33" i="3"/>
  <c r="I41" i="3" s="1"/>
  <c r="K33" i="3"/>
  <c r="K41" i="3" s="1"/>
  <c r="L33" i="3"/>
  <c r="L41" i="3" s="1"/>
  <c r="M33" i="3"/>
  <c r="M41" i="3" s="1"/>
  <c r="O33" i="3"/>
  <c r="O41" i="3" s="1"/>
  <c r="P33" i="3"/>
  <c r="P41" i="3" s="1"/>
  <c r="S33" i="3"/>
  <c r="S41" i="3" s="1"/>
  <c r="T33" i="3"/>
  <c r="T41" i="3" s="1"/>
  <c r="U33" i="3"/>
  <c r="U41" i="3" s="1"/>
  <c r="W33" i="3"/>
  <c r="W41" i="3" s="1"/>
  <c r="X33" i="3"/>
  <c r="X41" i="3" s="1"/>
  <c r="AA33" i="3"/>
  <c r="AA41" i="3" s="1"/>
  <c r="AB33" i="3"/>
  <c r="AB41" i="3" s="1"/>
  <c r="C33" i="3"/>
  <c r="C41" i="3" s="1"/>
  <c r="V30" i="3"/>
  <c r="V38" i="3" s="1"/>
  <c r="V29" i="3"/>
  <c r="V37" i="3" s="1"/>
  <c r="V26" i="3"/>
  <c r="V36" i="3" s="1"/>
  <c r="Z32" i="3"/>
  <c r="Z40" i="3" s="1"/>
  <c r="Z31" i="3"/>
  <c r="Z39" i="3" s="1"/>
  <c r="Z30" i="3"/>
  <c r="Z38" i="3" s="1"/>
  <c r="Z29" i="3"/>
  <c r="Z37" i="3" s="1"/>
  <c r="Z26" i="3"/>
  <c r="Z36" i="3" s="1"/>
  <c r="C36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G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D20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D6" i="3"/>
  <c r="F33" i="3" l="1"/>
  <c r="F41" i="3" s="1"/>
  <c r="F39" i="3"/>
  <c r="J33" i="3"/>
  <c r="J41" i="3" s="1"/>
  <c r="N33" i="3"/>
  <c r="N41" i="3" s="1"/>
  <c r="V33" i="3"/>
  <c r="V41" i="3" s="1"/>
  <c r="Z33" i="3"/>
  <c r="Z41" i="3" s="1"/>
  <c r="Q40" i="3" l="1"/>
  <c r="R32" i="3"/>
  <c r="R40" i="3" s="1"/>
  <c r="Q33" i="3"/>
  <c r="Q41" i="3" s="1"/>
  <c r="R33" i="3" l="1"/>
  <c r="R41" i="3" s="1"/>
  <c r="Y33" i="3"/>
  <c r="Y41" i="3" s="1"/>
</calcChain>
</file>

<file path=xl/sharedStrings.xml><?xml version="1.0" encoding="utf-8"?>
<sst xmlns="http://schemas.openxmlformats.org/spreadsheetml/2006/main" count="428" uniqueCount="418">
  <si>
    <t>분기별 손익계산서 (단위: 일억원)</t>
    <phoneticPr fontId="5" type="noConversion"/>
  </si>
  <si>
    <t>사업부별 매출액</t>
  </si>
  <si>
    <t>(사업부문별)</t>
  </si>
  <si>
    <t>PC</t>
  </si>
  <si>
    <t>Mobile</t>
  </si>
  <si>
    <t>콘솔</t>
  </si>
  <si>
    <t>기타수익</t>
  </si>
  <si>
    <t>(지역별)</t>
  </si>
  <si>
    <t>국내</t>
  </si>
  <si>
    <t>북미/유럽 외</t>
  </si>
  <si>
    <t>아시아</t>
  </si>
  <si>
    <t>영업이익</t>
  </si>
  <si>
    <t>당기순이익</t>
  </si>
  <si>
    <t>%yoy</t>
    <phoneticPr fontId="2" type="noConversion"/>
  </si>
  <si>
    <t>%qoq</t>
    <phoneticPr fontId="2" type="noConversion"/>
  </si>
  <si>
    <t>%opm</t>
    <phoneticPr fontId="2" type="noConversion"/>
  </si>
  <si>
    <t>%npm</t>
    <phoneticPr fontId="2" type="noConversion"/>
  </si>
  <si>
    <t>영업수익</t>
    <phoneticPr fontId="2" type="noConversion"/>
  </si>
  <si>
    <t>비용의 성격별 분류</t>
    <phoneticPr fontId="2" type="noConversion"/>
  </si>
  <si>
    <t>급여</t>
    <phoneticPr fontId="2" type="noConversion"/>
  </si>
  <si>
    <t>복리후생비</t>
    <phoneticPr fontId="2" type="noConversion"/>
  </si>
  <si>
    <t>감가상각비</t>
    <phoneticPr fontId="2" type="noConversion"/>
  </si>
  <si>
    <t>광고선전비</t>
    <phoneticPr fontId="2" type="noConversion"/>
  </si>
  <si>
    <t>지급수수료</t>
    <phoneticPr fontId="2" type="noConversion"/>
  </si>
  <si>
    <t>외주용역비</t>
    <phoneticPr fontId="2" type="noConversion"/>
  </si>
  <si>
    <t>주식보상비용</t>
    <phoneticPr fontId="2" type="noConversion"/>
  </si>
  <si>
    <t>1Q23</t>
    <phoneticPr fontId="2" type="noConversion"/>
  </si>
  <si>
    <t>2Q23</t>
    <phoneticPr fontId="2" type="noConversion"/>
  </si>
  <si>
    <t>1Q18</t>
    <phoneticPr fontId="2" type="noConversion"/>
  </si>
  <si>
    <t>2Q18</t>
    <phoneticPr fontId="2" type="noConversion"/>
  </si>
  <si>
    <t>3Q18</t>
    <phoneticPr fontId="2" type="noConversion"/>
  </si>
  <si>
    <t>4Q18</t>
    <phoneticPr fontId="2" type="noConversion"/>
  </si>
  <si>
    <t>1Q19</t>
    <phoneticPr fontId="2" type="noConversion"/>
  </si>
  <si>
    <t>2Q19</t>
    <phoneticPr fontId="2" type="noConversion"/>
  </si>
  <si>
    <t>3Q19</t>
    <phoneticPr fontId="2" type="noConversion"/>
  </si>
  <si>
    <t>4Q19</t>
    <phoneticPr fontId="2" type="noConversion"/>
  </si>
  <si>
    <t>1Q20</t>
    <phoneticPr fontId="2" type="noConversion"/>
  </si>
  <si>
    <t>2Q20</t>
    <phoneticPr fontId="2" type="noConversion"/>
  </si>
  <si>
    <t>3Q20</t>
    <phoneticPr fontId="2" type="noConversion"/>
  </si>
  <si>
    <t>4Q20</t>
    <phoneticPr fontId="2" type="noConversion"/>
  </si>
  <si>
    <t>1Q21</t>
    <phoneticPr fontId="2" type="noConversion"/>
  </si>
  <si>
    <t>2Q21</t>
    <phoneticPr fontId="2" type="noConversion"/>
  </si>
  <si>
    <t>3Q21</t>
    <phoneticPr fontId="2" type="noConversion"/>
  </si>
  <si>
    <t>4Q21</t>
    <phoneticPr fontId="2" type="noConversion"/>
  </si>
  <si>
    <t>1Q22</t>
    <phoneticPr fontId="2" type="noConversion"/>
  </si>
  <si>
    <t>2Q22</t>
    <phoneticPr fontId="2" type="noConversion"/>
  </si>
  <si>
    <t>3Q22</t>
    <phoneticPr fontId="2" type="noConversion"/>
  </si>
  <si>
    <t>4Q22</t>
    <phoneticPr fontId="2" type="noConversion"/>
  </si>
  <si>
    <t>3Q23</t>
    <phoneticPr fontId="2" type="noConversion"/>
  </si>
  <si>
    <t>4Q23</t>
    <phoneticPr fontId="2" type="noConversion"/>
  </si>
  <si>
    <t>1Q24</t>
    <phoneticPr fontId="2" type="noConversion"/>
  </si>
  <si>
    <t>2Q24</t>
    <phoneticPr fontId="2" type="noConversion"/>
  </si>
  <si>
    <t>% of sales</t>
    <phoneticPr fontId="2" type="noConversion"/>
  </si>
  <si>
    <t>나머지</t>
    <phoneticPr fontId="2" type="noConversion"/>
  </si>
  <si>
    <t>합계</t>
    <phoneticPr fontId="2" type="noConversion"/>
  </si>
  <si>
    <t>현금흐름</t>
    <phoneticPr fontId="2" type="noConversion"/>
  </si>
  <si>
    <t>영업활동으로 인한 현금흐름</t>
  </si>
  <si>
    <t>투자활동으로 인한 현금흐름</t>
  </si>
  <si>
    <t>재무활동으로 인한 현금흐름</t>
  </si>
  <si>
    <t>기존 파이프라인</t>
    <phoneticPr fontId="2" type="noConversion"/>
  </si>
  <si>
    <t>검은사막</t>
    <phoneticPr fontId="2" type="noConversion"/>
  </si>
  <si>
    <t>동사는 2010년 설립된 회사로 보유 IP가 검은사막, EVE로 2개 밖에 없다.</t>
    <phoneticPr fontId="2" type="noConversion"/>
  </si>
  <si>
    <t>검은사막 IP는 동사가 직접 개발했고 EVE IP는 2018년 9월 동사가 인수한 CCP games가 개발했다.</t>
    <phoneticPr fontId="2" type="noConversion"/>
  </si>
  <si>
    <t>올해 상반기 기준 검은사막 IP의 영업수익은 1266억(매출 비중 76.2%), EVE IP의 영업수익은 396억(매출 비중 23.8%)였다.</t>
    <phoneticPr fontId="2" type="noConversion"/>
  </si>
  <si>
    <t>검은사막 모바일 대만 출시</t>
    <phoneticPr fontId="2" type="noConversion"/>
  </si>
  <si>
    <t>검은사막 모바일 한국 출시</t>
    <phoneticPr fontId="2" type="noConversion"/>
  </si>
  <si>
    <t>검은사막 모바일 글로벌 출시</t>
    <phoneticPr fontId="2" type="noConversion"/>
  </si>
  <si>
    <t>검은사막 모바일 중국 출시</t>
    <phoneticPr fontId="2" type="noConversion"/>
  </si>
  <si>
    <t>검은사막 콘솔 아시아 출시</t>
    <phoneticPr fontId="2" type="noConversion"/>
  </si>
  <si>
    <t>검은사막 모바일 일본 출시, 검은사막 콘솔 북미/유럽 출시</t>
    <phoneticPr fontId="2" type="noConversion"/>
  </si>
  <si>
    <t>EVE 온라인 중국 출시</t>
    <phoneticPr fontId="2" type="noConversion"/>
  </si>
  <si>
    <t>EVE Echoes 글로벌 출시</t>
    <phoneticPr fontId="2" type="noConversion"/>
  </si>
  <si>
    <t>EVE Echoes 중국 출시</t>
    <phoneticPr fontId="2" type="noConversion"/>
  </si>
  <si>
    <t>한국 지역 검은사막 직접 서비스로 전환</t>
    <phoneticPr fontId="2" type="noConversion"/>
  </si>
  <si>
    <t>2015년 7월 14일 출시된 MMORPG 게임이다.</t>
    <phoneticPr fontId="2" type="noConversion"/>
  </si>
  <si>
    <t>초기 국내 퍼블리싱은 카카오 게임즈가 담당했고 출시까지 개발비는 120억이 들었다.</t>
    <phoneticPr fontId="2" type="noConversion"/>
  </si>
  <si>
    <t>원래 유니티나 언리얼 등 기존의 게임 엔진을 이용해 게임 개발을 하지만 동사는 자체 개발 엔진을 사용하기 때문에 개발비가 적은 편이다.</t>
    <phoneticPr fontId="2" type="noConversion"/>
  </si>
  <si>
    <t>국가별 출시일은 오른쪽 표에 정리되어 있다.</t>
    <phoneticPr fontId="2" type="noConversion"/>
  </si>
  <si>
    <t>초기 펄어비스는 소규모 회사라 자금력이 부족해 퍼블리싱을 따로 맡겼지만 시간이 지나며 직접 퍼블리싱으로 전화했다.</t>
    <phoneticPr fontId="2" type="noConversion"/>
  </si>
  <si>
    <t>2018년 11월 러시아 직접 서비스</t>
    <phoneticPr fontId="2" type="noConversion"/>
  </si>
  <si>
    <t>2019년 5월 한국 직접 서비스</t>
    <phoneticPr fontId="2" type="noConversion"/>
  </si>
  <si>
    <t>2020년 4월 일본 직접 서비스</t>
    <phoneticPr fontId="2" type="noConversion"/>
  </si>
  <si>
    <t>2021년 2월 북미/유럽 직접 서비스</t>
    <phoneticPr fontId="2" type="noConversion"/>
  </si>
  <si>
    <t>2022년 6월 남미 지역 직접 서비스</t>
    <phoneticPr fontId="2" type="noConversion"/>
  </si>
  <si>
    <t>이렇게 중국을 제외한 검은사막을 서비스 중인 모든 권역을 동사가 직접 서비스하게 되었다.</t>
    <phoneticPr fontId="2" type="noConversion"/>
  </si>
  <si>
    <t>국내의 경우 카카오의 악명이 높았는데 동사가 직접 서비스한 당일 신규, 복귀 유저가 각각 10배, 15배 증가하였다.</t>
    <phoneticPr fontId="2" type="noConversion"/>
  </si>
  <si>
    <t>해외에서도 직접 서비스하는 것에 대해 유저들에게 호평을 받았었다.</t>
    <phoneticPr fontId="2" type="noConversion"/>
  </si>
  <si>
    <t>국내 퍼블리싱을 할 때는 유저 소통에 대해 많은 호평을 받았었다.</t>
    <phoneticPr fontId="2" type="noConversion"/>
  </si>
  <si>
    <t>문제 발생 시 구체적인 소통을 해주었고 패치 내역에는 '직접 쓴' 코멘트를 넣으며 소통을 하였다.</t>
    <phoneticPr fontId="2" type="noConversion"/>
  </si>
  <si>
    <t>유저 간담회에서도 진심을 담은 소통을 하며 유저들에게 운영 능력을 인정 받았다.</t>
    <phoneticPr fontId="2" type="noConversion"/>
  </si>
  <si>
    <t>2024년 6월 5일 중국에서 검은사막에 대해 판호가 발급되며 텐센트가 퍼블리싱을 맡기로 하였다.</t>
    <phoneticPr fontId="2" type="noConversion"/>
  </si>
  <si>
    <t>동사는 2분기 컨콜에서 마지막 최적화 작업과 경쟁작 출시 일정을 고려해 중국 중추절(9월 15~17일) 이후에 가능한 빠르게 출시한다고 하였다.</t>
    <phoneticPr fontId="2" type="noConversion"/>
  </si>
  <si>
    <t>검은사막 모바일</t>
    <phoneticPr fontId="2" type="noConversion"/>
  </si>
  <si>
    <t>기존의 검은사막을 모바일로 이식한 게임으로 중국을 제외한 모든 국가에서 동사가 직접 퍼블리싱한다.</t>
    <phoneticPr fontId="2" type="noConversion"/>
  </si>
  <si>
    <t>초창기에는 확률형 상품을 배제하고 확정형 상품 중심으로 과금 모델을 구성하여 호평을 받았다.</t>
    <phoneticPr fontId="2" type="noConversion"/>
  </si>
  <si>
    <t>하지만 어느 순간을 기점으로 전투력 인플레가 미친듯이 발생하며 통수 과금 상품들이 출시되었다.</t>
    <phoneticPr fontId="2" type="noConversion"/>
  </si>
  <si>
    <t>인벤 기사의 분석에 따르면 18년 3월 극초기 과금 상품에 비해 18년 11월 과금 상품이 100배의 효율 가졌다고 한다.</t>
    <phoneticPr fontId="2" type="noConversion"/>
  </si>
  <si>
    <t>그래도 타 게임에 비해 과금 유도는 덜 한 편이지만 모바일 BM의 특성을 가지고 있었다.</t>
    <phoneticPr fontId="2" type="noConversion"/>
  </si>
  <si>
    <t>검은사막 콘솔</t>
    <phoneticPr fontId="2" type="noConversion"/>
  </si>
  <si>
    <t>기존의 콘솔 시장은 솔로플레이 위주였으나 최근 멀티플레이 게임들도 주목을 받고 있다.</t>
    <phoneticPr fontId="2" type="noConversion"/>
  </si>
  <si>
    <t>2022년 최고의 게임을 평가 받는 프롬 소프트웨어의 '엘든 링'도 멀티 플레이를 지원한다. (원래 솔플만 지원하던 게임사)</t>
    <phoneticPr fontId="2" type="noConversion"/>
  </si>
  <si>
    <t>검은사막 출시 초기부터 패드 유저를 위한 단축키 배정 기능을 지원했고 국산 온라인 게임치고는 드물게 패드 전용 UI를 지원했다.</t>
    <phoneticPr fontId="2" type="noConversion"/>
  </si>
  <si>
    <t>이러한 기능 덕분에 처음부터 콘솔화 개발을 염두에 두고 있는게 아니냐는 분석이 있었고 그런 기대도 많았다.</t>
    <phoneticPr fontId="2" type="noConversion"/>
  </si>
  <si>
    <t>2019년 3월 4일 북미/유럽 지역에 XboX One 버전을 시작으로 2019년 8월 23일에는 북미/유럽, 한국, 일본 등 아시아 지역에 Playstation 4 버전을 출시했다.</t>
    <phoneticPr fontId="2" type="noConversion"/>
  </si>
  <si>
    <t>그리고 2020년 3월 4일부터는 플스와 엑스박스 간의 크로스 플레이도 지원했다.</t>
    <phoneticPr fontId="2" type="noConversion"/>
  </si>
  <si>
    <t>EVE Online</t>
    <phoneticPr fontId="2" type="noConversion"/>
  </si>
  <si>
    <t>EVE Echoes</t>
    <phoneticPr fontId="2" type="noConversion"/>
  </si>
  <si>
    <t>아이슬란드의 게임 제작사인 CCP에서 2002년 발표한 우주 SF MMORPG 게임이다.</t>
    <phoneticPr fontId="2" type="noConversion"/>
  </si>
  <si>
    <t>이용권이 없으면 게임 진행에 엄청난 차질이 생기므로 정액제 BM을 가지고 있다고 본다. (스팀 기준 월 23000월)</t>
    <phoneticPr fontId="2" type="noConversion"/>
  </si>
  <si>
    <t>자유도가 굉장히 높아 세력간 다툼이 있을 때 실제 전쟁처럼 배신과 사기가 일어나기도 하고 유저들의 반응도 좋다.</t>
    <phoneticPr fontId="2" type="noConversion"/>
  </si>
  <si>
    <t>단일 서버라 큰 규모의 게임이고 경제도 매우 탄탄하다.</t>
    <phoneticPr fontId="2" type="noConversion"/>
  </si>
  <si>
    <t>2003년부터 안정적으로 큰 탈 없이 운영해온 게임이라 동사에게는 소중한 파이프 라인이다.</t>
    <phoneticPr fontId="2" type="noConversion"/>
  </si>
  <si>
    <t>EVE 온라인의 모바일 버전으로 넷이즈가 개발 및 퍼블리셔로 참여하여 2020년 8월 13일 7개 언어를 지원하는 글로벌 서비스를 개시하였다.</t>
    <phoneticPr fontId="2" type="noConversion"/>
  </si>
  <si>
    <t>EVE 온라인의 높은 자유도를 계승함과 동시에 진입장벽이 높던 기존 게임의 특징을 깨기 위해 모발일 버전에 특화된 튜토리얼 및 콘텐츠를 제공했다.</t>
    <phoneticPr fontId="2" type="noConversion"/>
  </si>
  <si>
    <t>업사이드와 다운사이드</t>
    <phoneticPr fontId="2" type="noConversion"/>
  </si>
  <si>
    <t>https://bbs.ruliweb.com/hobby/board/300063/read/22956515</t>
    <phoneticPr fontId="2" type="noConversion"/>
  </si>
  <si>
    <t>우리나라 게임에 불만이 많은 사람들에게: 한국 게임업계 종사자의 현질 유도 과금에 대한 생각</t>
    <phoneticPr fontId="2" type="noConversion"/>
  </si>
  <si>
    <t>펄어비스가 AAA게임 만들고 싶어하는 건 이상한 일이 전혀 아닏.</t>
    <phoneticPr fontId="2" type="noConversion"/>
  </si>
  <si>
    <t>원래 개발자들은 독창적이고 특이한 게임 만들고 싶어하고 명작 게임들을 보면 가슴이 뛴다.</t>
    <phoneticPr fontId="2" type="noConversion"/>
  </si>
  <si>
    <t>하지만 그런 게임들은 돈이 안되고 자본력이 있는 대기업이나 해외 게임사들의 전유물이었다.</t>
    <phoneticPr fontId="2" type="noConversion"/>
  </si>
  <si>
    <t>네오위즈의 'P의 거짓'을 시작으로 시프트업의 '스텔라 블레이드', '산나비' 등 최근 3년간 국내 게임사들의 AAA 게임 시도가 늘어났다.</t>
    <phoneticPr fontId="2" type="noConversion"/>
  </si>
  <si>
    <t>국내 게임 산업이 어느 정도 자본력을 갖추고 나니 하고 싶었던 것 + 콘솔로의 확장을 시도하는 것이라고 생각한다.</t>
    <phoneticPr fontId="2" type="noConversion"/>
  </si>
  <si>
    <t>AAA 게임은 자본력과 노력이 많이 들어가는 만큼 북미/유럽 시장에서의 업사이드도 매우 크다.</t>
    <phoneticPr fontId="2" type="noConversion"/>
  </si>
  <si>
    <t>그렇다면 붉은 사막의 출시는 동사의 펀더멘탈을 뒤흔들 수 있는 매우 중요한 이슈라고 생각한다.</t>
    <phoneticPr fontId="2" type="noConversion"/>
  </si>
  <si>
    <t>검은사막도 충분히 잘 만든 게임이고 호평을 받았지만 AAA게임이라고 부르기는 어렵다.</t>
    <phoneticPr fontId="2" type="noConversion"/>
  </si>
  <si>
    <t>국내 게임사의 AAA 게임에 대한 불확실성이 깔려 있는 지금 붉은 사막이 글로벌에서 인정받게 된다면 동사는 믿고 플레이할 수 있는 AAA 게임사로 거듭나게 될 것이다.</t>
    <phoneticPr fontId="2" type="noConversion"/>
  </si>
  <si>
    <t>AAA 게임을 플레이하는 게이머들은 생각보다 충성도가 높아서 레퍼런스를 굉장히 중요시한다.</t>
    <phoneticPr fontId="2" type="noConversion"/>
  </si>
  <si>
    <t>젤다 신작이 나오면 일단 믿고 해보고, 프롬 소프트웨어가 신작 냈다고 하면 일단 믿고 해본다.</t>
    <phoneticPr fontId="2" type="noConversion"/>
  </si>
  <si>
    <t>이 게임사들은 퀄리티에 대해서 절대 타협하지 않기에 레퍼런스가 형성되었고 매출로 증명이 된다고 생각한다.</t>
    <phoneticPr fontId="2" type="noConversion"/>
  </si>
  <si>
    <t>붉은사막이 손익분기점을 넘을 수 있는지도 중요하지만 게임성을 인정 받을 수 있냐가 동사의 펀더멘탈에 있어 핵심요소라고 생각한다.</t>
    <phoneticPr fontId="2" type="noConversion"/>
  </si>
  <si>
    <t>검은사막 온라인 중국 진출</t>
    <phoneticPr fontId="2" type="noConversion"/>
  </si>
  <si>
    <t>붉은사막의 게임성에 대한 예측은 sheet.붉은사막에서 다루는 걸로 하고 그 외의 업사이드와 다운사이드 요소들을 점검하여 보자.</t>
    <phoneticPr fontId="2" type="noConversion"/>
  </si>
  <si>
    <t>중국 중추절(9/15~17) 이후 가능한 빠르게 출시한다고 하니 아마 4Q24 중에 출시 하지 않을까 싶다.</t>
    <phoneticPr fontId="2" type="noConversion"/>
  </si>
  <si>
    <t>7월 22일 검은사막은 중국에서 WeGame 내 기대 신작 2위에 오르기도 했다.</t>
    <phoneticPr fontId="2" type="noConversion"/>
  </si>
  <si>
    <t>퍼블리셔가 텐센트라는 점에서 어느 정도 메츨은 찍힐 것 같기는 하다.</t>
    <phoneticPr fontId="2" type="noConversion"/>
  </si>
  <si>
    <t>하지만 검은사막 모바일이 22년 4월 출시되고 2분기 매출은 yoy 6% 밖에 못했고, 3Q22는 +0.90%, 4Q22는 -12.73%였다.</t>
    <phoneticPr fontId="2" type="noConversion"/>
  </si>
  <si>
    <t>아시아 지역의 매출로 봐도 1Q22에 245억이었는데 2Q에 282억, 3Q에 249억, 4Q에 220억으로 중국 진출이 매출에 기여를 했다는 느낌이 없다.</t>
    <phoneticPr fontId="2" type="noConversion"/>
  </si>
  <si>
    <t>키움 매출 컨센</t>
    <phoneticPr fontId="2" type="noConversion"/>
  </si>
  <si>
    <t>SK 매출 컨센</t>
    <phoneticPr fontId="2" type="noConversion"/>
  </si>
  <si>
    <t>삼성 매출 컨센</t>
    <phoneticPr fontId="2" type="noConversion"/>
  </si>
  <si>
    <t>대신 매출 컨센</t>
    <phoneticPr fontId="2" type="noConversion"/>
  </si>
  <si>
    <t>상상인 매출 컨센</t>
    <phoneticPr fontId="2" type="noConversion"/>
  </si>
  <si>
    <t>상상인증권만 억 단위, 나머지는 십억 단위</t>
    <phoneticPr fontId="2" type="noConversion"/>
  </si>
  <si>
    <t>증권사 컨센에서도 검은사막 중국 전혀 기대 안하고 붉은사막만 이야기 하고 있기는 하다.</t>
    <phoneticPr fontId="2" type="noConversion"/>
  </si>
  <si>
    <t>운영 방식의 문제점</t>
    <phoneticPr fontId="2" type="noConversion"/>
  </si>
  <si>
    <t>발매 전 정보</t>
    <phoneticPr fontId="2" type="noConversion"/>
  </si>
  <si>
    <t>지스타 2019에서 첫 공개. 초기에는 검은사막의 머나먼 과거에 대한 이야기로 기획되었지만 점점 붉은사막만의 세계관과 설정이 추가되며 새로운 IP를 제작하기로 함</t>
    <phoneticPr fontId="2" type="noConversion"/>
  </si>
  <si>
    <t>2021년 2월 대표 정경인의 인터뷰. AAA 게임 시장이 타깃임을 공개</t>
    <phoneticPr fontId="2" type="noConversion"/>
  </si>
  <si>
    <t>2023년 2월 14일 컨콜. PC/콘솔 동시 진출 목표. BM은 기본적으로 패키지 판매+향후 멀티 플레이 콘텐츠 추가</t>
    <phoneticPr fontId="2" type="noConversion"/>
  </si>
  <si>
    <t xml:space="preserve">2023년 8월 23일 게임스컴 오프닝 나이트 라이브에서 게임플레이 트레일러 공개. </t>
    <phoneticPr fontId="2" type="noConversion"/>
  </si>
  <si>
    <t>2023년 11월 17일 지스타 2023에서 B2B부스에서 비공개 실기 시연. 실제 시연자들의 평가는 대체로 긍정적.</t>
    <phoneticPr fontId="2" type="noConversion"/>
  </si>
  <si>
    <t>2024년 8월 19일,20일 보스전 플레이 영상 4개 공개.</t>
    <phoneticPr fontId="2" type="noConversion"/>
  </si>
  <si>
    <t>2024년 8월 20일 게임스컴 2024에서 B2C 플레이 시연.</t>
    <phoneticPr fontId="2" type="noConversion"/>
  </si>
  <si>
    <t>2024년 8월 23일 게임스컴 3일차 시상식에서 베스트 비주얼 상과 베스트 에픽 상 후보에 이름을 올렸으나 수상은 실패.</t>
    <phoneticPr fontId="2" type="noConversion"/>
  </si>
  <si>
    <t>https://www.youtube.com/watch?v=ZdmoGYg8tB0</t>
    <phoneticPr fontId="2" type="noConversion"/>
  </si>
  <si>
    <t>공식 게임 플레이 트레일러</t>
    <phoneticPr fontId="2" type="noConversion"/>
  </si>
  <si>
    <t>보스전: 하얀뿔</t>
    <phoneticPr fontId="2" type="noConversion"/>
  </si>
  <si>
    <t>https://youtu.be/C2OCmtmwpVA?si=ovxVLBsnnjJClY_T</t>
    <phoneticPr fontId="2" type="noConversion"/>
  </si>
  <si>
    <t>보스전: 리드데빌</t>
    <phoneticPr fontId="2" type="noConversion"/>
  </si>
  <si>
    <t>https://youtu.be/uz2m_k6L1q4?si=rVwi96ZgGc6AO9yA</t>
    <phoneticPr fontId="2" type="noConversion"/>
  </si>
  <si>
    <t>보스전: 사슴왕</t>
    <phoneticPr fontId="2" type="noConversion"/>
  </si>
  <si>
    <t>https://youtu.be/B2fccBA64Ds?si=LkXCZFm5Dlyh4uvQ</t>
    <phoneticPr fontId="2" type="noConversion"/>
  </si>
  <si>
    <t>보스전: 여왕 돌멘게</t>
    <phoneticPr fontId="2" type="noConversion"/>
  </si>
  <si>
    <t>https://youtu.be/ZIsYk5MtjmY?si=pGtFrV2RYeM4nMwV</t>
    <phoneticPr fontId="2" type="noConversion"/>
  </si>
  <si>
    <t>트레일러 영상+게임스컴 B2C 시연을 통해 알 수 있는 사실들</t>
    <phoneticPr fontId="2" type="noConversion"/>
  </si>
  <si>
    <r>
      <t xml:space="preserve">더 게임 어워드 2020에서 실제 게임플레이 트레일러 공개. MMORPG가 아닌 </t>
    </r>
    <r>
      <rPr>
        <u/>
        <sz val="11"/>
        <color theme="1"/>
        <rFont val="맑은 고딕"/>
        <family val="3"/>
        <charset val="129"/>
        <scheme val="minor"/>
      </rPr>
      <t>오픈월드 액션 어드벤쳐</t>
    </r>
    <r>
      <rPr>
        <sz val="11"/>
        <color theme="1"/>
        <rFont val="맑은 고딕"/>
        <family val="2"/>
        <charset val="129"/>
        <scheme val="minor"/>
      </rPr>
      <t>임이 밝혀짐. 컨텐츠가 다양하고 멋지게 구현. 하지만 프레임이 끊기는 모습.</t>
    </r>
    <phoneticPr fontId="2" type="noConversion"/>
  </si>
  <si>
    <t>오픈월드를 하나의 장르라고 부르기는 어렵지만 광활한 맵과 높은 자유도를 가지는 게임 특징의 한 종류이다.</t>
    <phoneticPr fontId="2" type="noConversion"/>
  </si>
  <si>
    <t>1. 밀도 높은 상호작용</t>
    <phoneticPr fontId="2" type="noConversion"/>
  </si>
  <si>
    <t>단순히 자유도만 주어지면 게임은 지루해질 수 밖에 없고 POI, 미니게임, NPC의 상호작용 등 컨텐츠가 충분해야 한다.</t>
    <phoneticPr fontId="2" type="noConversion"/>
  </si>
  <si>
    <t>POI란 point of interest의 약자로 던전이나 마을 등 이벤트가 발생하는 랜드마크를 뜻한다.</t>
    <phoneticPr fontId="2" type="noConversion"/>
  </si>
  <si>
    <t>이외에도 로딩이 없는 심리스 월드, 고품질 그래픽 등 유저들이 기대하는 오픈월드의 특징이 몇 있지만 재미를 결정하는데 가장 중요한 요소는 컨텐츠의 밀도라고 생각한다.</t>
    <phoneticPr fontId="2" type="noConversion"/>
  </si>
  <si>
    <t>그렇다면 트레일러에서 공개된 붉은사막의 상호작용의 종류는 무엇이 있을까?</t>
    <phoneticPr fontId="2" type="noConversion"/>
  </si>
  <si>
    <t>낚시, 분수대에서 물 마시기 -&gt; 어드벤쳐 게임에서는 파밍과 성장이 중요한데 이를 지루하지 않게 풀어내는 것이 어렵다.</t>
    <phoneticPr fontId="2" type="noConversion"/>
  </si>
  <si>
    <t>승마, 파쿠르, 열기구 -&gt; 오픈월드 게임은 이동 방법이 매우 중요하다. 레데리2에서도 넓은 맵 이동을 위해 승마 시스템을 이용했다.</t>
    <phoneticPr fontId="2" type="noConversion"/>
  </si>
  <si>
    <t>마차에 올라타 마부를 걷어찬 뒤 마차를 뺏음 -&gt; GTA가 생각남. 상당히 재밌는 요소.</t>
    <phoneticPr fontId="2" type="noConversion"/>
  </si>
  <si>
    <t>팔씨름, 결투 -&gt; NPC와의 상호작용. NPC가 다채로울수록 호평을 받음. GTA가 좋은 예시.</t>
    <phoneticPr fontId="2" type="noConversion"/>
  </si>
  <si>
    <t>2. 강조된 전투 시스템</t>
    <phoneticPr fontId="2" type="noConversion"/>
  </si>
  <si>
    <t>보스전 영상과 실제 시연 영상들을 보면 전투가 굉장히 강조되어 있고 구현이 잘 되어 있다.</t>
    <phoneticPr fontId="2" type="noConversion"/>
  </si>
  <si>
    <t>눈보라 -&gt; 기상 시스템은 더욱 다채로운 플레이 경험 제공</t>
    <phoneticPr fontId="2" type="noConversion"/>
  </si>
  <si>
    <t>보스에게 줄을 걸어 공중에서 크게 한바퀴 빙빙 돌아야 하는 기믹 보스도 존재 -&gt; 다양한 종류의 보스전</t>
    <phoneticPr fontId="2" type="noConversion"/>
  </si>
  <si>
    <t>칼을 이용한 빛 반사로 스턴 -&gt; 다채로운 게임 플레이</t>
    <phoneticPr fontId="2" type="noConversion"/>
  </si>
  <si>
    <t>몬스터 AI가 높아 협공을 하기도 함</t>
    <phoneticPr fontId="2" type="noConversion"/>
  </si>
  <si>
    <t>스테미나가 있어 강공격이나 가드, 회피에 사용된다. -&gt; 소울라이크 게임과 유사한 요소. 후술.</t>
    <phoneticPr fontId="2" type="noConversion"/>
  </si>
  <si>
    <t>패링 시스템의 존재</t>
    <phoneticPr fontId="2" type="noConversion"/>
  </si>
  <si>
    <t>레슬링 기술의 존재</t>
    <phoneticPr fontId="2" type="noConversion"/>
  </si>
  <si>
    <t>다양한 콤보 기술의 존재</t>
    <phoneticPr fontId="2" type="noConversion"/>
  </si>
  <si>
    <t>비슷한 장르의 다른 게임들은 왜 재미가 있는가?</t>
    <phoneticPr fontId="2" type="noConversion"/>
  </si>
  <si>
    <t>검은사막의 운영 이슈, 늦어지는 게임 발매, 답답한 소통… 이 많은 것을 해소하고 펄어비스의 주가가 오르려면 결국 붉은사막이 재밌어야 한다.</t>
    <phoneticPr fontId="2" type="noConversion"/>
  </si>
  <si>
    <t>많은 유저들에게 재미를 인정받아야 하고 다음 게임에 대한 기대로까지 이어지지 않으면 답이 없는 상황이다.</t>
    <phoneticPr fontId="2" type="noConversion"/>
  </si>
  <si>
    <t>지금까지 공개된 정보들을 바탕으로 비슷한 게임들을 몇가지 살펴 보며 이 게임들이 왜 재밌다고 평가되는지, 그리고 붉은사막이 어떻게 나와야 재밌을지를 생각하여 보자.</t>
    <phoneticPr fontId="2" type="noConversion"/>
  </si>
  <si>
    <t>오픈월드 어드벤쳐를 잘 구현한 게임으로 '젤다의 전설: 브레스 오브 더 와일드'를 살펴 보며 붉은사막의 상호작용 요소들을 평가해 볼 것이다.</t>
    <phoneticPr fontId="2" type="noConversion"/>
  </si>
  <si>
    <t>강조된 전투를 평가하기 위해서는 게임사 프롬 소프트웨어의 시리즈들을 살펴볼 것이다.</t>
    <phoneticPr fontId="2" type="noConversion"/>
  </si>
  <si>
    <t>상대적으로 콘솔 게임 불모지인 국가에서 성공하려면 어떻게 해야하는지 고찰하기 위해 국내 게임 'P의 거짓'과 중국 게임 '검은신화: 오공'을 살펴볼 것이다.</t>
    <phoneticPr fontId="2" type="noConversion"/>
  </si>
  <si>
    <t>젤다의 전설: 브레스 오브 더 와일드</t>
    <phoneticPr fontId="2" type="noConversion"/>
  </si>
  <si>
    <t>젤다의 전설: 브레스 오브 더 와일드(이하 야숨) 이전에도 오픈월드형 게임은 정말 많았지만 오픈월드의 대명사로 꼽히는 게임은 단연 이 게임이다.</t>
    <phoneticPr fontId="2" type="noConversion"/>
  </si>
  <si>
    <t>모호했던 오픈월드 개념을 정립하고 게이머들에게 오픈월드는 이래야 한다는 기대감을 심어준 게임으로 이후 야숨의 요소를 차용한 '야숨라이크' 게임들도 많이 생겨났다.</t>
    <phoneticPr fontId="2" type="noConversion"/>
  </si>
  <si>
    <t>야숨을 플레이한 사람들이 가장 재밌다고 여기는 요소는 '상상하는 모든 것이 이루어지는 게임'이다.</t>
    <phoneticPr fontId="2" type="noConversion"/>
  </si>
  <si>
    <t>눈 앞에 보이는 모든 산을 올라가 볼 수 있고 지도에서 수상하게 여겨지는 곳을 찾아가면 무조건 이벤트가 있다.</t>
    <phoneticPr fontId="2" type="noConversion"/>
  </si>
  <si>
    <t>마을, 던전만 잘 구현해 높으면 이동하는 과정은 굉장히 지루해질 수 밖에 없는데 지루한 구간이 전혀 없다는 것이 야숨의 큰 장점이다.</t>
    <phoneticPr fontId="2" type="noConversion"/>
  </si>
  <si>
    <t>그래서 어디를 가든 게이머는 기대감을 가지고 게임을 진행할 수 있고 항상 그 기대감은 충족이 된다.</t>
    <phoneticPr fontId="2" type="noConversion"/>
  </si>
  <si>
    <t>그리고 절대 무시할 수 없는 것이 이동의 편리성이다.</t>
    <phoneticPr fontId="2" type="noConversion"/>
  </si>
  <si>
    <t>야숨에서는 '사당' 시스템이 존재해서 한 번 갔던 사당으로 워프할 수 있다. (오른쪽 지도 그림에서 파란 오브젝트)</t>
    <phoneticPr fontId="2" type="noConversion"/>
  </si>
  <si>
    <t>한 번 갔떤 지역은 다시 갈 유인이 적으므로 스킵하여 재밌는 부분만 골라서 플레이할 수 있게 된다.</t>
    <phoneticPr fontId="2" type="noConversion"/>
  </si>
  <si>
    <t>또 승마 기능이 존재해서 워프 없이 그냥 조금 더 빠르게 이동하는 것도 가능하다.</t>
    <phoneticPr fontId="2" type="noConversion"/>
  </si>
  <si>
    <t>요즘 오픈월드 게임들 보면 이동의 편리성은 다 갖추고 나오고 사실 구현하는 것도 어렵지 않다.</t>
    <phoneticPr fontId="2" type="noConversion"/>
  </si>
  <si>
    <t>트레일러에서도 말 타는거 나오고 워프는 당연히 나올것이다. (안 나오는게 이상. 안 나오면 불매 해야됨 ㅇㅇ)</t>
    <phoneticPr fontId="2" type="noConversion"/>
  </si>
  <si>
    <t>그럼 결국 오픈월드 어드벤쳐라는 장르에서 우리가 눈여겨 봐야 할 요소는 오픈월드 특유의 탐험의 재미를 살릴 수 있는가이다.</t>
    <phoneticPr fontId="2" type="noConversion"/>
  </si>
  <si>
    <t>트레일러만을 보면 특정 재밌는 파트만 짜깁기해서 편집한 것일수도 있기에 가장 예측하기 힘든 포인트다.</t>
    <phoneticPr fontId="2" type="noConversion"/>
  </si>
  <si>
    <t>발매 전까지 상호작용의 밀도가 어떨지는 알기 어려우며 발매 직후의 반응을 통해 비중 조절을 위한 판단 정도만 할 수 있을 것 같다.</t>
    <phoneticPr fontId="2" type="noConversion"/>
  </si>
  <si>
    <t>"맵이 텅텅 비었는데?", "탐험하는게 지루한데?", "상호작용 요소가 적은데?"와 같은 반응들이 나오면 실패한 게임이니 비중을 줄여야 한다.</t>
    <phoneticPr fontId="2" type="noConversion"/>
  </si>
  <si>
    <t>만약에 붉은사막이 의도적으로 탐험 요소가 아니라 전투 요소를 강조한 게임이면 상호작용 밀도가 적어도 용서가 가능하다.</t>
    <phoneticPr fontId="2" type="noConversion"/>
  </si>
  <si>
    <t>후술할 게임 '엘든 링'이 그러한 방식으로 대성공을 거두었기 때문이다.</t>
    <phoneticPr fontId="2" type="noConversion"/>
  </si>
  <si>
    <t>이번 게임스컴에서도 전투 요소만 시연했으므로 오픈월드는 구색만 갖추고 전투가 강조된 게임일 가능성도 있다.</t>
    <phoneticPr fontId="2" type="noConversion"/>
  </si>
  <si>
    <t>그럼 전투 요소를 잘 만들기로 유명한 프롬 소프트웨어가 어떤 식으로 유저들에게 재미를 선사하는지 살펴보자.</t>
    <phoneticPr fontId="2" type="noConversion"/>
  </si>
  <si>
    <t>프롬 소프트웨어는 일본의 게임사로 매우 어려운 게임을 발매하기로 유명한 게임사이다.</t>
    <phoneticPr fontId="2" type="noConversion"/>
  </si>
  <si>
    <t>전투 시스템이 굉장히 강조되며 이에 매료된 게이머들이 상당히 많다.</t>
    <phoneticPr fontId="2" type="noConversion"/>
  </si>
  <si>
    <t>본 보고서에서는 프롬 소프트웨어의 '소울 시리즈', '블러드본', '세키로', '엘든 링'에서 어떻게 전투를 재밌게 풀어나가는지를 살펴볼 것이다.</t>
    <phoneticPr fontId="2" type="noConversion"/>
  </si>
  <si>
    <t>다크소울 시리즈는 정말 어렵기로 악명이 높은 게임으로 도전 욕구를 불러일으켜 매니아 층에게 인기가 많았다.</t>
    <phoneticPr fontId="2" type="noConversion"/>
  </si>
  <si>
    <t>다크소울의 어려움은 크게 1.함정 2.전투 로 나눌 수 있다.</t>
    <phoneticPr fontId="2" type="noConversion"/>
  </si>
  <si>
    <t>다크소울 시리즈에서는 함정을 많이 배치하면서 뜬금없이 죽게 하여 유저들을 죽게 만든다.</t>
    <phoneticPr fontId="2" type="noConversion"/>
  </si>
  <si>
    <t>하지만 랜덤 요소는 없어 한 번 당하면 학습이 되어 피할 수 있다.</t>
    <phoneticPr fontId="2" type="noConversion"/>
  </si>
  <si>
    <t>고양이 마리오를 생각하면 될거 같은데 함정을 한 번 당하면 짜증은 나지만 죽고 나서 다음부터는 피하면 된다.</t>
    <phoneticPr fontId="2" type="noConversion"/>
  </si>
  <si>
    <t>물론 이러한 요소가 분노를 유발하여 사람들이 안 좋아한다는 것을 알아 후속작들에서는 함정이 많이 줄었다.</t>
    <phoneticPr fontId="2" type="noConversion"/>
  </si>
  <si>
    <t>함정은 붉은사막 트레일러에 나온게 없고 요즘 트렌드가 게임에 함정을 잘 안 넣는 것이라서 핵심인 전투 시스템이 중요하다.</t>
    <phoneticPr fontId="2" type="noConversion"/>
  </si>
  <si>
    <t>스태미나가 적어지면 거리를 벌려 회복을 해야 하니 한정된 스태미나 안에서 어떤 행동을 할지를 생각하면 정말 다채로운 전투가 가능하다.</t>
    <phoneticPr fontId="2" type="noConversion"/>
  </si>
  <si>
    <t>프롬의 게임들은 죽었을 때 페널티가 전혀 없기에 여러 번 죽으면서 유저들은 학습을 할 수 있다.</t>
    <phoneticPr fontId="2" type="noConversion"/>
  </si>
  <si>
    <t>거기에 더해 다양한 무기의 존재는 더욱 전투를 다채롭게 만들었고 도전 욕구를 불러 일으켰다.</t>
    <phoneticPr fontId="2" type="noConversion"/>
  </si>
  <si>
    <t>하지만 너무 어려운 게임들은 매니아 층만 즐길 수 있는 특권이 되어 버렸고 명성에 비해서 적은 판매량을 기록할 수 밖에 없는 이유가 되었다.</t>
    <phoneticPr fontId="2" type="noConversion"/>
  </si>
  <si>
    <t>다크소울3, 블러드본, 세키로, 엘든 링으로 오면서 점점 불합리한 함정은 줄어 들고 전투의 난이도는 합리적으로 설정되면서 대중성도 갖추게 되었고 판매량도 증가하게 되었다.</t>
    <phoneticPr fontId="2" type="noConversion"/>
  </si>
  <si>
    <t>프롬 소프트웨어의 게임들: 다크소울 시리즈</t>
    <phoneticPr fontId="2" type="noConversion"/>
  </si>
  <si>
    <t>프롬 소프트웨어의 게임들: 후속작에서의 전투</t>
    <phoneticPr fontId="2" type="noConversion"/>
  </si>
  <si>
    <t>프롬은 다크소울 1,2,3를 출시하며 고민에 빠졌다.</t>
    <phoneticPr fontId="2" type="noConversion"/>
  </si>
  <si>
    <t>기존 게임들로 인해 유저들은 전투에 익숙해져 갔고 이에 맞춰 계속 어렵게 내자니 신규 유저의 유입은 거의 불가능에 가까워졌을 것이다.</t>
    <phoneticPr fontId="2" type="noConversion"/>
  </si>
  <si>
    <t>*패링: 상대의 공격 타이밍을 잘 맞춰 반격 하는것. 실패 시 데미지가 들어오지만 성공 시 큰 데미지를 그대로 돌려주거나 스턴이 걸리는 하이리스크 하이리턴 행위</t>
    <phoneticPr fontId="2" type="noConversion"/>
  </si>
  <si>
    <r>
      <t xml:space="preserve">다크소울 시리즈엔 스태미나 시스템이 있어 </t>
    </r>
    <r>
      <rPr>
        <u/>
        <sz val="11"/>
        <color theme="1"/>
        <rFont val="맑은 고딕"/>
        <family val="3"/>
        <charset val="129"/>
        <scheme val="minor"/>
      </rPr>
      <t>스태미나를 사용하여 가드, 패링, 공격, 회피, 달리기 등 행동을 선택</t>
    </r>
    <r>
      <rPr>
        <sz val="11"/>
        <color theme="1"/>
        <rFont val="맑은 고딕"/>
        <family val="2"/>
        <charset val="129"/>
        <scheme val="minor"/>
      </rPr>
      <t>하게 된다.</t>
    </r>
    <phoneticPr fontId="2" type="noConversion"/>
  </si>
  <si>
    <r>
      <rPr>
        <u/>
        <sz val="11"/>
        <color theme="1"/>
        <rFont val="맑은 고딕"/>
        <family val="3"/>
        <charset val="129"/>
        <scheme val="minor"/>
      </rPr>
      <t>스태미나가 한정되어 있으니 당연히 보스의 패턴을 익혀야 할 것이고 상황에 알맞은 행동들이 숙지</t>
    </r>
    <r>
      <rPr>
        <sz val="11"/>
        <color theme="1"/>
        <rFont val="맑은 고딕"/>
        <family val="2"/>
        <charset val="129"/>
        <scheme val="minor"/>
      </rPr>
      <t>가 되어 있어야 한다</t>
    </r>
    <phoneticPr fontId="2" type="noConversion"/>
  </si>
  <si>
    <t>그리고 블러드본 만의 고유한 시스템으로 공격을 받아 체력이 깎여도 근거리 무기로 피해를 입히면 일정량 회복인 가능한 리게인 시스템이 있다.</t>
    <phoneticPr fontId="2" type="noConversion"/>
  </si>
  <si>
    <t>소모 아이템 중 수은 비약은 공격을 받을 때 오는 경직을 무시할 수 있어 리게인 시스템이 더욱 적극적으로 권장된다.</t>
    <phoneticPr fontId="2" type="noConversion"/>
  </si>
  <si>
    <t>블러드본에서는 가드의 효율이 안 좋아서 회피와 패링 위주의 스피디한 플레이가 강제된다.</t>
    <phoneticPr fontId="2" type="noConversion"/>
  </si>
  <si>
    <t>그래서 기존의 전투 시스템을 버리고 새로운 전투 시스템이 후속작들에서 도입되며 이미 적응한 유저들도 새로움을 받을 수 있게 했다.</t>
    <phoneticPr fontId="2" type="noConversion"/>
  </si>
  <si>
    <t>세키로는 아예 스태미나를 삭제하고 체간 시스템을 도입하였다.</t>
    <phoneticPr fontId="2" type="noConversion"/>
  </si>
  <si>
    <t>적과 플레이어 모두 체력과 별도로 체간을 가지고 있어 공격을 맞거나 방어하면 체간이 깎이고, 튕겨내면 조금 덜 깎인다.</t>
    <phoneticPr fontId="2" type="noConversion"/>
  </si>
  <si>
    <t>공격이나 달리기를 하고 있지 않을 때 회복되어 전투를 하다가 거리를 두게 되면 적과 플레이어 모두 체간이 회복되게 된다.</t>
    <phoneticPr fontId="2" type="noConversion"/>
  </si>
  <si>
    <t>적의 체간이 바닥나면 즉시 자세가 무너지고 행동 불가 및 인살(강공격)이 가능한 상태가 되고 플레이어의 자세가 무너지며 잠시동안 조작 불가가 된다.</t>
    <phoneticPr fontId="2" type="noConversion"/>
  </si>
  <si>
    <t>체간의 회복속도는 체력이 적을수록 느려져 적의 체력을 어느 정도 깎고 나서 체간을 깎아 인살로 마무리하는 과정을 거쳐야 한다.</t>
    <phoneticPr fontId="2" type="noConversion"/>
  </si>
  <si>
    <t>블러드본처럼 스피디한 플레이는 아니지만 체간이라는 요소 덕분에 또다른 전투 경험을 체험할 수 있게 된다.</t>
    <phoneticPr fontId="2" type="noConversion"/>
  </si>
  <si>
    <t>또한 세키로에서는 은신 후 공격하는 것이 가능하다.</t>
    <phoneticPr fontId="2" type="noConversion"/>
  </si>
  <si>
    <r>
      <t xml:space="preserve">그리고 플레이어 또한 </t>
    </r>
    <r>
      <rPr>
        <u/>
        <sz val="11"/>
        <color theme="1"/>
        <rFont val="맑은 고딕"/>
        <family val="3"/>
        <charset val="129"/>
        <scheme val="minor"/>
      </rPr>
      <t>체간 관리를 위해 패링이나 회피를 잘 활용해 본인의 체간이 쌓이지 않도록</t>
    </r>
    <r>
      <rPr>
        <sz val="11"/>
        <color theme="1"/>
        <rFont val="맑은 고딕"/>
        <family val="2"/>
        <charset val="129"/>
        <scheme val="minor"/>
      </rPr>
      <t xml:space="preserve"> 해야 한다.</t>
    </r>
    <phoneticPr fontId="2" type="noConversion"/>
  </si>
  <si>
    <r>
      <t xml:space="preserve">기존의 다크소울이 보스의 패턴을 천천히 보며 뒤로 스텝을 밟고 막고 한 대 때리는 식의 둔탁하고 느린 플레이였다면 블러드본의 더욱 </t>
    </r>
    <r>
      <rPr>
        <u/>
        <sz val="11"/>
        <color theme="1"/>
        <rFont val="맑은 고딕"/>
        <family val="3"/>
        <charset val="129"/>
        <scheme val="minor"/>
      </rPr>
      <t>템포가 빨라진 것</t>
    </r>
    <r>
      <rPr>
        <sz val="11"/>
        <color theme="1"/>
        <rFont val="맑은 고딕"/>
        <family val="2"/>
        <charset val="129"/>
        <scheme val="minor"/>
      </rPr>
      <t>이다.</t>
    </r>
    <phoneticPr fontId="2" type="noConversion"/>
  </si>
  <si>
    <r>
      <t xml:space="preserve">기존의 게임들은 적을 대면하면 그냥 싸우거나 도망치는 경우만 가능했지만 세키로에서는 </t>
    </r>
    <r>
      <rPr>
        <u/>
        <sz val="11"/>
        <color theme="1"/>
        <rFont val="맑은 고딕"/>
        <family val="3"/>
        <charset val="129"/>
        <scheme val="minor"/>
      </rPr>
      <t>잠입이 가능해 선택지가 늘어난 것</t>
    </r>
    <r>
      <rPr>
        <sz val="11"/>
        <color theme="1"/>
        <rFont val="맑은 고딕"/>
        <family val="2"/>
        <charset val="129"/>
        <scheme val="minor"/>
      </rPr>
      <t>이다.</t>
    </r>
    <phoneticPr fontId="2" type="noConversion"/>
  </si>
  <si>
    <t>엘든 링은 기존작들의 선형적인 플레이와는 다르게 오픈월드의 특성을 가지고 있다.</t>
    <phoneticPr fontId="2" type="noConversion"/>
  </si>
  <si>
    <t>야숨같은 직관적인 환경 상호작용은 없지만 소울 시리즈의 고유의 분위기를 살리면서 마커를 통해 따라가는 플레이가 아닌 단편적인 정보를 통해 월드를 추론하고 탐험하는 방식의 플레이를 하게 된다.</t>
    <phoneticPr fontId="2" type="noConversion"/>
  </si>
  <si>
    <t>프롬 특유의 은유적 정보 제공을 통해 유저의 주체성이 강조된 오픈월드의 특징을 살리면서 기존작들의 전투 시스템이 잘 어울린 게임인 것이다</t>
    <phoneticPr fontId="2" type="noConversion"/>
  </si>
  <si>
    <t>프롬의 노하우들까지 더해져 다양하고 밸런스 잡힌 무기들, 스킬들이 존재해 RPG의 재미도 살린 것이 특징이다.</t>
    <phoneticPr fontId="2" type="noConversion"/>
  </si>
  <si>
    <t>후속작들 게임이 독창적이고 재미가 있다는 것은 나름의 설명이 됐다고 생각한다.</t>
    <phoneticPr fontId="2" type="noConversion"/>
  </si>
  <si>
    <t>붉은사막에서도 다양한 콤보가 존재하고 독창적인 기믹이 존재하기에 전투 자체에서 크게 아쉬운 부분은 트레일러 상 보이지 않는다.</t>
    <phoneticPr fontId="2" type="noConversion"/>
  </si>
  <si>
    <t>중요한 점은 유저들에게 이러한 게임 진행을 설득하고 학습시킬 수 있는가이다.</t>
    <phoneticPr fontId="2" type="noConversion"/>
  </si>
  <si>
    <t>붉은사막에서 여러 콤보와 레슬링 기술, 기믹들이 재밌어 보이기는 하지만 넘쳐나는 정보와 어려운 조작으로 인해 유저들이 피로를 느낀다면?</t>
    <phoneticPr fontId="2" type="noConversion"/>
  </si>
  <si>
    <t>진짜 재밌는 부분을 플레이하기도 전에 환불을 하거나 안 좋은 리뷰를 다는 유저들이 많아지고 매출에도 부정적이며 차기작들에 대한 관심도 떨어질 것이다.</t>
    <phoneticPr fontId="2" type="noConversion"/>
  </si>
  <si>
    <t>프롬의 게임들은 새로운 전투 요소들을 어떻게 유저들에게 학습시키고 설득시켰는지를 사례를 통해 알아보며 붉은사막이 가져야 할 방향성에 대해 알아보자.</t>
    <phoneticPr fontId="2" type="noConversion"/>
  </si>
  <si>
    <t>프롬 소프트웨어의 게임들: 후속작들에서의 튜토리얼</t>
    <phoneticPr fontId="2" type="noConversion"/>
  </si>
  <si>
    <t>세키로에서는 은신 기능이 등장한다.</t>
    <phoneticPr fontId="2" type="noConversion"/>
  </si>
  <si>
    <t>은신 기능을 적극적으로 활용해야 보스 옆의 쫄몹들을 잘 처리할 수 있어 중요한 기능이다.</t>
    <phoneticPr fontId="2" type="noConversion"/>
  </si>
  <si>
    <t>그런데 은신을 배울 때 무기를 지급하지 않아 몬스터를 피하는 은신이 강제된다.</t>
    <phoneticPr fontId="2" type="noConversion"/>
  </si>
  <si>
    <t>기존의 프롬 작들에 없던 은신을 가르치기 위한 의도적인 설계인 것이다.</t>
    <phoneticPr fontId="2" type="noConversion"/>
  </si>
  <si>
    <t>초기에는 약한 적이 한마리씩 나오다가 두 마리의 적이 나오는 지점이 존재한다.</t>
    <phoneticPr fontId="2" type="noConversion"/>
  </si>
  <si>
    <t>숙련도가 적은 유저들은 다구리를 맞아 어려움을 겪는다.</t>
    <phoneticPr fontId="2" type="noConversion"/>
  </si>
  <si>
    <t>이때 수풀과 지붕을 배치해 은신 후 잠입의 중요성을 느끼게 하는 것이다.</t>
    <phoneticPr fontId="2" type="noConversion"/>
  </si>
  <si>
    <t>단순히 신기한 조작을 넣어놓고 읽어보세요~ 하지 않고 레벨 설계 자체를 특정 조작을 강조하는 식의 튜토리얼이 이루어 진다.</t>
    <phoneticPr fontId="2" type="noConversion"/>
  </si>
  <si>
    <t>이후 조금 진행하면 사무라이 대장이 나오는데 얘가 만만치 않다.</t>
    <phoneticPr fontId="2" type="noConversion"/>
  </si>
  <si>
    <t>세키로의 강공격, 인살은 몬스터를 처리하는데 핵심인데 적마다 필요 횟수가 다르다.</t>
    <phoneticPr fontId="2" type="noConversion"/>
  </si>
  <si>
    <t>기본몹은 인살 한 번이면 죽지만 중간보스나 보스는 2번 이상의 인살이 요구된다.</t>
    <phoneticPr fontId="2" type="noConversion"/>
  </si>
  <si>
    <t>사무라이 대장은 인살이 2번 필요한 첫번째 적이다.</t>
    <phoneticPr fontId="2" type="noConversion"/>
  </si>
  <si>
    <t>난이도 자체가 어렵게 디자인 되어 있고 유저들은 이짓 저짓 시도해보게 될 것이다.</t>
    <phoneticPr fontId="2" type="noConversion"/>
  </si>
  <si>
    <t>그러다가 은밀 인살로 피통 한 번 까고 시작하는 것의 중요성을 이해하게 된다.</t>
    <phoneticPr fontId="2" type="noConversion"/>
  </si>
  <si>
    <t>그리고 사무라이 대장은 거리를 두면 우어어 하면서 기를 모으고 체간을 회복한다.</t>
    <phoneticPr fontId="2" type="noConversion"/>
  </si>
  <si>
    <t>체간을 깎아야 인살을 넣는데 그럼 전투가 더 길어지게 되는 것이다.</t>
    <phoneticPr fontId="2" type="noConversion"/>
  </si>
  <si>
    <t>세키로에서의 전투 의도는 붙으면서 적의 체간을 깎아라라는 것인데 이를 글로 가르치는 것이 아니라 자연스레 체화 시키는 것이다.</t>
    <phoneticPr fontId="2" type="noConversion"/>
  </si>
  <si>
    <t>말이 길어졌지만 핵심은 자연스러운 학습 과정이다.</t>
    <phoneticPr fontId="2" type="noConversion"/>
  </si>
  <si>
    <t>붉은사막을 플레이 해본 후기들에서는 다양한 콤보가 인상적이었다고 한다.</t>
    <phoneticPr fontId="2" type="noConversion"/>
  </si>
  <si>
    <t>게임을 많이 해본 사람들이나 이런게 쉽게 적응되지 라이트한 유저층들까지 잡으려면 이러한 콤보와 전투 양상을 학습 시키는 과정이 필요하다.</t>
    <phoneticPr fontId="2" type="noConversion"/>
  </si>
  <si>
    <t>'중년게이머 김실장'의 게임 시연 영상을 보면 직원이 옆에서 도와주면서 어려운 부분은 대신 해준다.</t>
    <phoneticPr fontId="2" type="noConversion"/>
  </si>
  <si>
    <t>물론 게임사에서 이러한 부분은 여러 테스트를 거치며 알아서 하겠지만 코어 게이머만 노리는게 아니고 글로벌하게 판매량을 늘리기 위해서는 이후 지스타에서의 시연이나 발매 직후 반응을 체크해야 한다고 생각한다.</t>
    <phoneticPr fontId="2" type="noConversion"/>
  </si>
  <si>
    <r>
      <t xml:space="preserve">트레일러에서는 스킬도 있는 것 같고 와이어로 이동하는 것도 있는 것 같은데 이 </t>
    </r>
    <r>
      <rPr>
        <u/>
        <sz val="11"/>
        <color theme="1"/>
        <rFont val="맑은 고딕"/>
        <family val="3"/>
        <charset val="129"/>
        <scheme val="minor"/>
      </rPr>
      <t>모든 것을 자연스럽게 녹여내는 것이 과제</t>
    </r>
    <r>
      <rPr>
        <sz val="11"/>
        <color theme="1"/>
        <rFont val="맑은 고딕"/>
        <family val="2"/>
        <charset val="129"/>
        <scheme val="minor"/>
      </rPr>
      <t>라고 생각한다.</t>
    </r>
    <phoneticPr fontId="2" type="noConversion"/>
  </si>
  <si>
    <t>P의 거짓</t>
    <phoneticPr fontId="2" type="noConversion"/>
  </si>
  <si>
    <t>앞의 내용들은 게임사도 충분히 인지하고 있는 부분일테고 개발 기간이 길었던 만큼 큰 문제가 될거라고 생각하지 않는다.</t>
    <phoneticPr fontId="2" type="noConversion"/>
  </si>
  <si>
    <t>오히려 앞의 내용들은 너무 기본적인 것이고 당연히 지켜져야 하는 부분들이라 개발사를 믿을 수 밖에 없다. (안 지켜지면 아예 관심 종목에서 삭제 해야됨…)</t>
    <phoneticPr fontId="2" type="noConversion"/>
  </si>
  <si>
    <t>현재 AAA 게임을 만드려는 많은 게임사들도 이러한 것을 고려하고 있고 이에 관하여 가장 중요하게 레퍼런스 삼을 수 있는 게임으로 'P의 거짓'과 '검은신화: 오공'이 있다.</t>
    <phoneticPr fontId="2" type="noConversion"/>
  </si>
  <si>
    <t>출시 전 게임스컴 2022에서 '가장 기대되는 플레이스테션 게임'도 수상할만큼 많은 기대를 받았었다.</t>
    <phoneticPr fontId="2" type="noConversion"/>
  </si>
  <si>
    <t>하지만 P의 거짓 출시 이후 모멘텀 소멸과 예상보다 적은 판매량으로 주가는 절반 가까이 떨어졌다.</t>
    <phoneticPr fontId="2" type="noConversion"/>
  </si>
  <si>
    <t>1Q23</t>
    <phoneticPr fontId="2" type="noConversion"/>
  </si>
  <si>
    <t>2Q23</t>
    <phoneticPr fontId="2" type="noConversion"/>
  </si>
  <si>
    <t>3Q23</t>
    <phoneticPr fontId="2" type="noConversion"/>
  </si>
  <si>
    <t>4Q23</t>
    <phoneticPr fontId="2" type="noConversion"/>
  </si>
  <si>
    <t>1Q24</t>
    <phoneticPr fontId="2" type="noConversion"/>
  </si>
  <si>
    <t>2Q24</t>
    <phoneticPr fontId="2" type="noConversion"/>
  </si>
  <si>
    <t>yoy</t>
    <phoneticPr fontId="2" type="noConversion"/>
  </si>
  <si>
    <t>qoq</t>
    <phoneticPr fontId="2" type="noConversion"/>
  </si>
  <si>
    <t>PC/콘솔 매출액</t>
    <phoneticPr fontId="2" type="noConversion"/>
  </si>
  <si>
    <t>영업이익</t>
    <phoneticPr fontId="2" type="noConversion"/>
  </si>
  <si>
    <t>P의 거짓 판매량으로 인해 영업이익은 크게 증가</t>
    <phoneticPr fontId="2" type="noConversion"/>
  </si>
  <si>
    <t>하지만 게임스컴 기대작을 수상한 것에 비해서는 아쉬운 판매량으로 주가 하락</t>
    <phoneticPr fontId="2" type="noConversion"/>
  </si>
  <si>
    <t>발매 이후의 동접자 추이</t>
    <phoneticPr fontId="2" type="noConversion"/>
  </si>
  <si>
    <t>target per</t>
    <phoneticPr fontId="2" type="noConversion"/>
  </si>
  <si>
    <t>대신</t>
    <phoneticPr fontId="2" type="noConversion"/>
  </si>
  <si>
    <t>매출액 (억 원)</t>
    <phoneticPr fontId="2" type="noConversion"/>
  </si>
  <si>
    <t>영업이익 (억 원)</t>
    <phoneticPr fontId="2" type="noConversion"/>
  </si>
  <si>
    <t>EPS (원)</t>
    <phoneticPr fontId="2" type="noConversion"/>
  </si>
  <si>
    <t>목표 주가</t>
    <phoneticPr fontId="2" type="noConversion"/>
  </si>
  <si>
    <t>&lt;2023년 1분기에 나온 2023년 네오위즈 컨센&gt;</t>
    <phoneticPr fontId="2" type="noConversion"/>
  </si>
  <si>
    <t>P의 거짓은 프롬 소프트웨어의 게임들인 소울라이크를 표방하며 네오위즈에서 2023년 9월 19일 발매한 AAA 게임이다.</t>
    <phoneticPr fontId="2" type="noConversion"/>
  </si>
  <si>
    <t>신한투자</t>
    <phoneticPr fontId="2" type="noConversion"/>
  </si>
  <si>
    <t>다올투자</t>
    <phoneticPr fontId="2" type="noConversion"/>
  </si>
  <si>
    <t>삼성</t>
    <phoneticPr fontId="2" type="noConversion"/>
  </si>
  <si>
    <t>대충 봐도 2023년 실제 영업이익 316억보다 훨씬 많다.</t>
    <phoneticPr fontId="2" type="noConversion"/>
  </si>
  <si>
    <t>증권사 컨센에 비해 많이 부진했던 판매량이었다고 볼 수 있다.</t>
    <phoneticPr fontId="2" type="noConversion"/>
  </si>
  <si>
    <t>사실상 모멘텀 소멸보다는 부진한 판매량에 따라 target per는 그대로 적용되면서 EPS 감소분만큼만 주가가 떨어진 것이다.</t>
    <phoneticPr fontId="2" type="noConversion"/>
  </si>
  <si>
    <t>(참고로 2023년 네오위즈 실제 매출액은 3656억)</t>
    <phoneticPr fontId="2" type="noConversion"/>
  </si>
  <si>
    <t>컨센보다 실적이 잘 안나온 이유는 크게 3가지를 들 수 있다.</t>
    <phoneticPr fontId="2" type="noConversion"/>
  </si>
  <si>
    <t>1. 소울라이크 장르 특성상 어려운 전투로 인해 코어 게이머 이외의 유입이 적음</t>
    <phoneticPr fontId="2" type="noConversion"/>
  </si>
  <si>
    <t>2. 출시하자마자 엑스박스 게임패스에 편입되어 카니발</t>
    <phoneticPr fontId="2" type="noConversion"/>
  </si>
  <si>
    <t>3. 마케팅 비용을 많이 지출</t>
    <phoneticPr fontId="2" type="noConversion"/>
  </si>
  <si>
    <t>3번은 동사 매출 추정할 때 비용 분석에서 따로 보는 걸로 하고 여기서는 재미와 흥행과 관련한 요소인 판매량만 살펴보자.</t>
    <phoneticPr fontId="2" type="noConversion"/>
  </si>
  <si>
    <t>6월 9일 데모 버전이 3일만에 100만 다운로드 돌파(플스, 엑스박스, 스팀 합산)</t>
    <phoneticPr fontId="2" type="noConversion"/>
  </si>
  <si>
    <t>정식 버전 발매 첫 주 게임 판매 순위 한국 1위, 이탈리아 3위, 일본 8위</t>
    <phoneticPr fontId="2" type="noConversion"/>
  </si>
  <si>
    <t>게임센서 분석에 따르면 발매 첫주 스팀에서 20만장 판매(135억 매출, 1000만 달러)</t>
    <phoneticPr fontId="2" type="noConversion"/>
  </si>
  <si>
    <t>2023년 10월 17일 (발매 1달 후) 누적 판매량 100만장 돌파 (이미 손익분기점은 돌파)</t>
    <phoneticPr fontId="2" type="noConversion"/>
  </si>
  <si>
    <t>스팀에서는 P의 거짓이 69.98$이고 플스에서는 64800원이다.</t>
    <phoneticPr fontId="2" type="noConversion"/>
  </si>
  <si>
    <t>대충 1장당 7만원 잡으면 1달 만에 700억 달성한 것이다.</t>
    <phoneticPr fontId="2" type="noConversion"/>
  </si>
  <si>
    <t>당시 증권사 컨센이 3Q기준 150만 정도이니 10월 17일이나 되어서 100만 장 돌파한건 확실히 쇼크이다.</t>
    <phoneticPr fontId="2" type="noConversion"/>
  </si>
  <si>
    <t>1Q와 2Q에 270억씩 PC/콘솔로 벌었던 거 대충 flat 잡으면 얼추 숫자가 맞는 것 같다.</t>
    <phoneticPr fontId="2" type="noConversion"/>
  </si>
  <si>
    <t>판매 실적은 누가 뭐라해도 어닝 쇼크다.</t>
    <phoneticPr fontId="2" type="noConversion"/>
  </si>
  <si>
    <t>몇가지 예시를 보며 P의 거짓 판매량이 어느 정도로 안 나왔는지 감을 잡아보자.</t>
    <phoneticPr fontId="2" type="noConversion"/>
  </si>
  <si>
    <t>초기 동접자 피크는 약 2만명이고 출시 1달 후엔 1만5천, 2달 후엔 7천명까지 줄었다.</t>
    <phoneticPr fontId="2" type="noConversion"/>
  </si>
  <si>
    <t>엘든링: 발매 3주 만에 1200만장, 스팀 동접자 피크 95만명 (스팀 59.99 달러, 플스 59800원)</t>
    <phoneticPr fontId="2" type="noConversion"/>
  </si>
  <si>
    <t>검은신화 오공: 발매 당일 450만장, 발매 4일차 1000만장, 스팀 동접자 피크 222만명 (스팀 59.99달러, 플스 64800원)</t>
    <phoneticPr fontId="2" type="noConversion"/>
  </si>
  <si>
    <t>엘든 링은 붉은사막과 동일한 오픈월드형 액션 어드벤쳐 게임이고, 오공은 액션 RPG 게임이다.</t>
    <phoneticPr fontId="2" type="noConversion"/>
  </si>
  <si>
    <t>엘든 링은 탐험 요소와 파밍, 보스전이 조화롭게 어우러져 있고 오공은 보스전이 매우 강조된 게임이다.</t>
    <phoneticPr fontId="2" type="noConversion"/>
  </si>
  <si>
    <t>이들 게임과 비교했을 때 P의 거짓의 판매량이 부진한 것은 대체재의 존재라고 생각한다.</t>
    <phoneticPr fontId="2" type="noConversion"/>
  </si>
  <si>
    <t>엘든 링은 프롬의 게임 중 가장 재밌는 게임으로 꼽힐 정도로 대체재가 없다.</t>
    <phoneticPr fontId="2" type="noConversion"/>
  </si>
  <si>
    <t>레퍼런스가 탄탄한 회사의 야심작, 뭐가 대체할까?</t>
    <phoneticPr fontId="2" type="noConversion"/>
  </si>
  <si>
    <t>오공 같은 경우 서유기를 배경으로 하여 손오공이 주인공인 게임으로 여의봉을 이용한 긴 리치의 공격과 손오공의 도술을 활용한 전투가 인상적이다.</t>
    <phoneticPr fontId="2" type="noConversion"/>
  </si>
  <si>
    <t>이런 류의 전투 게임 중 이정도의 완성도를 가진 게임은 기존에 없었다.</t>
    <phoneticPr fontId="2" type="noConversion"/>
  </si>
  <si>
    <t>반면 P의 거짓은 대체재가 있다.</t>
    <phoneticPr fontId="2" type="noConversion"/>
  </si>
  <si>
    <t>잘 만든 소울라이크 게임은 차고 넘쳤고 P의 거짓은 꽤 잘 만든 한국의 게임 정도로 여겨졌기에 굳이 플레이할 필요가 없었다고 생각한다.</t>
    <phoneticPr fontId="2" type="noConversion"/>
  </si>
  <si>
    <t>기존의 소울라이크와 차별점이 있어야 하는데 P의 거짓은 무기 조합 시스템을 제외하면 없다.</t>
    <phoneticPr fontId="2" type="noConversion"/>
  </si>
  <si>
    <t>그마저도 좋은 무기 조합들만 쓰는 실상이라 명색만 갖춘 기능이다.</t>
    <phoneticPr fontId="2" type="noConversion"/>
  </si>
  <si>
    <t>오공이 첫 중국 AAA 게임이라는 점과 비교했을 때 확실히 전투적인 측면에서 유저들을 사로잡을 독창성이 부재했다고 생각한다.</t>
    <phoneticPr fontId="2" type="noConversion"/>
  </si>
  <si>
    <t>그럼 붉은사막은 대체재가 있을까?</t>
    <phoneticPr fontId="2" type="noConversion"/>
  </si>
  <si>
    <t>오픈월드 어드벤쳐를 즐기고 싶다? -&gt; 레드 데드 리뎀션, 엘든 링, 엘더스크롤:스카이림…</t>
    <phoneticPr fontId="2" type="noConversion"/>
  </si>
  <si>
    <t>보스전 같은 전투를 즐기고 싶다? -&gt; 수 많은 소울라이크 게임들</t>
    <phoneticPr fontId="2" type="noConversion"/>
  </si>
  <si>
    <t>붉은사막의 트레일러에서도 특별히 새로운게 보이지 않고 사람들의 반응도 재밌어 보인다 정도지 이거 새롭다, 신기하다는 반응은 못 본거 같다.</t>
    <phoneticPr fontId="2" type="noConversion"/>
  </si>
  <si>
    <t>그리고 오공은 서유기 배경이라 중국풍 몬스터들을 기존의 게임에서 찾아볼 수도 없었기에 더욱 새롭게 느껴지게 만들었을 것이다.</t>
    <phoneticPr fontId="2" type="noConversion"/>
  </si>
  <si>
    <t>물론오공은 자국민 빨도 어느 정도 있는 것 같다. 스팀 기준 중국 비중이 80%다.</t>
    <phoneticPr fontId="2" type="noConversion"/>
  </si>
  <si>
    <t>초기에 중국 사람들이 가서 하니까 스팀 인기 순위도 오르고 관심도 더 생기고? 그런 느낌도 있을 수 있다고 생각한다.</t>
    <phoneticPr fontId="2" type="noConversion"/>
  </si>
  <si>
    <t>자국민들이 대거 플레이 해준다는 것도 절대 무시 못하긴하다.</t>
    <phoneticPr fontId="2" type="noConversion"/>
  </si>
  <si>
    <t>게임스컴 시연 후기도 너무 재밌는 전투 경험이었다 정도지 이런거 특이해요라는 반응도 없었다.</t>
    <phoneticPr fontId="2" type="noConversion"/>
  </si>
  <si>
    <t>더욱이 펄어비스는 검은사막의 운영에서와 계속 미뤄지는 개발 일정으로 인해 신뢰를 많이 잃은 회사이므로 base case가 P의 거짓이라고 생각한다.</t>
    <phoneticPr fontId="2" type="noConversion"/>
  </si>
  <si>
    <t>난이도 측면도 대중성을 고려 했을 때 절대 무시할 수 없다.</t>
    <phoneticPr fontId="2" type="noConversion"/>
  </si>
  <si>
    <t>게임 후기들을 보면 엘든 링은 확실히 대중성을 고려해 기존 작들보다 난이도를 낮췄다는 평가가 많고 오공은 도술의 존재와 긴 리치가 보스전을 수월하게 만들어준다고 한다.</t>
    <phoneticPr fontId="2" type="noConversion"/>
  </si>
  <si>
    <t>그에 비해 P의 거짓은 어렵다는 반응이 많았고 붉은사막 게임스컴 시연에서도 어려워 하는 기자들이 많았다.</t>
    <phoneticPr fontId="2" type="noConversion"/>
  </si>
  <si>
    <t>직접 통화한 것은 아니고 주담통 긁어왔습니다.</t>
    <phoneticPr fontId="2" type="noConversion"/>
  </si>
  <si>
    <t>게임 가격은 8만원. 스페셜 에디션 10만원</t>
    <phoneticPr fontId="2" type="noConversion"/>
  </si>
  <si>
    <t>1년 500만 장 타겟.</t>
    <phoneticPr fontId="2" type="noConversion"/>
  </si>
  <si>
    <t>위쳐나 레데리, 젤다 같은 대작에서 볼 수 있는 요소 다수 포함. 메인스토리 50시간, 추가 콘텐츠 100시간 정도</t>
    <phoneticPr fontId="2" type="noConversion"/>
  </si>
  <si>
    <t>사이버 펑크 등의 사례로 인해 최적화에 신경 쓰는 중</t>
    <phoneticPr fontId="2" type="noConversion"/>
  </si>
  <si>
    <t>base case 자체가 별로 안 좋은 상황이니까 bear는 굳이 예측하지 않고 bull case로 뭔가 공개되지 않은 재미 요소가 있어 동사 목표인 1년 500만 장</t>
    <phoneticPr fontId="2" type="noConversion"/>
  </si>
  <si>
    <t>검은사막에서는 여러 운영 문제로 인해 유저들의 원성을 정말 많이 샀다.</t>
    <phoneticPr fontId="2" type="noConversion"/>
  </si>
  <si>
    <t>그래서 펄어비스는 개발을 정말 잘하지만 운영은 개판인 회사로 여겨졌다.</t>
    <phoneticPr fontId="2" type="noConversion"/>
  </si>
  <si>
    <t>카카오가 퍼블리싱하던 시절을 논외로 치면 가장 큰 이슈는 스트리머에 대한 사이버불링 사태이다.</t>
    <phoneticPr fontId="2" type="noConversion"/>
  </si>
  <si>
    <t>사건을 간단히 요약하자면 스트리머들에 대해 반감을 가진 유저들이 무작정 pk를 걸고 채팅으로 괴롭히는 사태였다.</t>
    <phoneticPr fontId="2" type="noConversion"/>
  </si>
  <si>
    <t>기존의 PVP 게임들은 철저히 괴롭힘에 대해 처벌하고 사전에 막으려고 노력했다.</t>
    <phoneticPr fontId="2" type="noConversion"/>
  </si>
  <si>
    <t>대표적으로 리니지는 서버를 여러 개 두고 서버 이전과 닉네임 변경을 통해 추적이 불가능하도록 하는 기능을 제공해준다.</t>
    <phoneticPr fontId="2" type="noConversion"/>
  </si>
  <si>
    <t>하지만 검은 사막은 단일서버에 추적 기능도 존재하여 괴롭힘 당하는 것을 피할 수 없다.</t>
    <phoneticPr fontId="2" type="noConversion"/>
  </si>
  <si>
    <t>펄어비스는 사태의 심각성을 인지하며 개선 방향을 내놓았지만 이미 많이 내놓았던 요구사항임에도 사건이 터지고 나서야 고치는 운영에 많은 유저가 이미 실망했었다.</t>
    <phoneticPr fontId="2" type="noConversion"/>
  </si>
  <si>
    <t>이는 대표적인 예시고 펄어비스의 패치는 소 잃고 외양간 고치는 식이라는 평가가 많아 상당수의 유저가 게임을 접는 경우가 많았다.</t>
    <phoneticPr fontId="2" type="noConversion"/>
  </si>
  <si>
    <t>아직도 검은사막의 잘못된 운영으로 펄어비스에 반감을 가진 게이머들이 많다는 점은 붉은사막에 대한 기대를 가지는 게이머의 수가 적어진다는 점으로 이어진다.</t>
    <phoneticPr fontId="2" type="noConversion"/>
  </si>
  <si>
    <t>밸류에이션</t>
    <phoneticPr fontId="2" type="noConversion"/>
  </si>
  <si>
    <t>검은사막 중국 출시는 누구도 기대를 안하고 있으니 붉은사막 흥행에 따른 2025년 매출 추정을 해보겠다.</t>
    <phoneticPr fontId="2" type="noConversion"/>
  </si>
  <si>
    <t>가정4. 나머지 비용은 4분기 평균치로 잡음</t>
    <phoneticPr fontId="2" type="noConversion"/>
  </si>
  <si>
    <t>가정5. 동사 ir을 토대로 붉은사막 asp는 8.5만원 정도 잡고 Q는 sheet.붉은사막 제일 하단 참고.</t>
    <phoneticPr fontId="2" type="noConversion"/>
  </si>
  <si>
    <t>매출액</t>
    <phoneticPr fontId="2" type="noConversion"/>
  </si>
  <si>
    <t>bull case</t>
    <phoneticPr fontId="2" type="noConversion"/>
  </si>
  <si>
    <t>base case</t>
    <phoneticPr fontId="2" type="noConversion"/>
  </si>
  <si>
    <t>영업이익</t>
    <phoneticPr fontId="2" type="noConversion"/>
  </si>
  <si>
    <t>펄어비스는 워낙 순이익이 들쑥날쑥 하니 POR을 적용하도록 하겠다.</t>
    <phoneticPr fontId="2" type="noConversion"/>
  </si>
  <si>
    <t>키움: 2025년 예상 영업이익 1525억, 목표 주가 57000</t>
    <phoneticPr fontId="2" type="noConversion"/>
  </si>
  <si>
    <t>SK: 2025년 예상 영업이익 1160억, 목표 주가 60000</t>
    <phoneticPr fontId="2" type="noConversion"/>
  </si>
  <si>
    <t>NH: 2025년 예상 영업이익 1579억, 목표 주가 55000</t>
    <phoneticPr fontId="2" type="noConversion"/>
  </si>
  <si>
    <t>대신: 2025년 예상 영업이익 1180억, 목표 주가 53000</t>
    <phoneticPr fontId="2" type="noConversion"/>
  </si>
  <si>
    <t>상상인: 2025년 예상 영업이익 1937억, 목표 주가 55000</t>
    <phoneticPr fontId="2" type="noConversion"/>
  </si>
  <si>
    <t>가정1. 검은사막 온라인의 중국 진출을 포함해 기존의 게임들은 매출 하향 안정화를 거쳐 붉은 사막을 제외한 분기별 매출액은 850억 flat</t>
    <phoneticPr fontId="2" type="noConversion"/>
  </si>
  <si>
    <t>스팀, 플스 등 플랫폼 수수료</t>
    <phoneticPr fontId="2" type="noConversion"/>
  </si>
  <si>
    <t>가정 1에 대한 근거</t>
    <phoneticPr fontId="2" type="noConversion"/>
  </si>
  <si>
    <t>검은사막 IP와 EVE IP 모두 출시된지 오래된 게임으로 가장 늦게 출시한 국가에서도 2021년에 나왔다.</t>
    <phoneticPr fontId="2" type="noConversion"/>
  </si>
  <si>
    <t>대다수의 게임들은 특정 이벤트가 있는 경우를 제외하고 라이트하게 즐기는 유저들이 빠져나가고 코어층만 남으면서 매출 하향 안정화를 겪게 된다.</t>
    <phoneticPr fontId="2" type="noConversion"/>
  </si>
  <si>
    <t>남게된 코어층들은 이미 게임에 시간, 비용 등 많은 것을 매몰 시켰고 특히 EVE와 검은사막처럼 상호작용이 중요한 게임들은 관계의 매몰까지 겪는다. (게임 산업 보고서 참고)</t>
    <phoneticPr fontId="2" type="noConversion"/>
  </si>
  <si>
    <t>이러한 유저들은 떠나기 어려워 매출이 '안정화'되는 것이다.</t>
    <phoneticPr fontId="2" type="noConversion"/>
  </si>
  <si>
    <t>안정화가 깨지는 경우는 크게 1)업데이트나 이벤트를 통한 입소문 or 2) 운영 방만에 따른 유저 대거 이탈 로 2가지가 있다.</t>
    <phoneticPr fontId="2" type="noConversion"/>
  </si>
  <si>
    <t>1)의 경우는 게임의 업데이트나 이벤트가 너무 혜택이 커서 유저들이 몰리는 것으로 투자자 입장에서 업데이트 내용을 미리 예측하는 것은 불가능하다.</t>
    <phoneticPr fontId="2" type="noConversion"/>
  </si>
  <si>
    <t>2)의 경우는 이미 검은 사막이 많은 운영 실수를 보여줬고 이미 빠져 나갈 유저들은 다 빠져나갔다고 판단되어 더 이상의 다운사이드는 그려지 않는다.</t>
    <phoneticPr fontId="2" type="noConversion"/>
  </si>
  <si>
    <t>따라서 검은사막과 EVE IP의 매출이 안정화됐을 것이고 중국의 경우도 1년이면 안정화를 겪는데 충분한 시간이라 flat을 잡았다.</t>
    <phoneticPr fontId="2" type="noConversion"/>
  </si>
  <si>
    <t>가정 2에 대한 근거</t>
    <phoneticPr fontId="2" type="noConversion"/>
  </si>
  <si>
    <t>네오위즈가 P의 거짓이 나왔던 2023년에 2022년 대비 34% 정도 광고 선전비가 늘었다.</t>
    <phoneticPr fontId="2" type="noConversion"/>
  </si>
  <si>
    <t>분기별 비용은 공시하지 않지만 P의 거짓이 9월 출시였고 붉은사막도 2025년 하반기 출시로 예상되기에 비슷한 수준으로 예상된다.</t>
    <phoneticPr fontId="2" type="noConversion"/>
  </si>
  <si>
    <t>가정2. 광고선전비는 2024년의 34% 증가 가정</t>
    <phoneticPr fontId="2" type="noConversion"/>
  </si>
  <si>
    <t>가정 3에 대한 근거</t>
    <phoneticPr fontId="2" type="noConversion"/>
  </si>
  <si>
    <t>지급수수료 항목에는 스팀, 콘솔 플랫폼 수수료가 포함된다. (동사는 게임 개발에 자체 엔진을 사용하기에 이쪽 수수료는 없다.)</t>
    <phoneticPr fontId="2" type="noConversion"/>
  </si>
  <si>
    <t>콘솔 수수료는 매출액의 30%고 스팀은 1천만 달러 미만은 30%, 1천만~5천만은 25%, 5천만 달러 이상은 20%이다.</t>
    <phoneticPr fontId="2" type="noConversion"/>
  </si>
  <si>
    <t>5천만 달러는 넘을거 같긴 하지만 콘솔 수수료와 mix가 있을 것이고 중간 정도 값인 25%로 잡았다.</t>
    <phoneticPr fontId="2" type="noConversion"/>
  </si>
  <si>
    <t>나머지 비용(가정 4)</t>
    <phoneticPr fontId="2" type="noConversion"/>
  </si>
  <si>
    <t>그리고 분기별 매출액 850억 flat 잡은거에서 대부분이 모바일과 PC 수수료일것인데 구글의 경우 게임 매출의 20%, 애플의 경우 30%를 잡는다.</t>
    <phoneticPr fontId="2" type="noConversion"/>
  </si>
  <si>
    <t>이것도 중간값인 25% 정도로 수수료를 잡으면 전체 매출의 25% 정도를 지급 수수료로 잡는것이다.</t>
    <phoneticPr fontId="2" type="noConversion"/>
  </si>
  <si>
    <t>가정3. 지급수수료는 전체 매출액의 25% 가정</t>
    <phoneticPr fontId="2" type="noConversion"/>
  </si>
  <si>
    <t>각각 POR은 23.0, 31.8, 21,4, 27.6, 17.5이다.</t>
    <phoneticPr fontId="2" type="noConversion"/>
  </si>
  <si>
    <t>base case에 대해서는 5개 값의 평균인 24.3을 적용하고 bull case는 대흥행한 경우를 상정했으니 30배를 잡겠다.</t>
    <phoneticPr fontId="2" type="noConversion"/>
  </si>
  <si>
    <t>base case: 39960원, bull case: 142800원</t>
    <phoneticPr fontId="2" type="noConversion"/>
  </si>
  <si>
    <t>bull case에서 por을 더 후하게 준 이유는 동사의 AAA 게임 제작 능력이 글로벌로 입증된 케이스로 향후 도깨비, PLAN 8에 대한 기대감이 반영되어 리레이팅 될 것이기 때문이다.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</si>
</sst>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mm/yy"/>
    <numFmt numFmtId="177" formatCode="0.0%"/>
    <numFmt numFmtId="178" formatCode="0_ "/>
  </numFmts>
  <fonts count="19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name val="맑은 고딕"/>
      <family val="3"/>
      <charset val="129"/>
    </font>
    <font>
      <b/>
      <sz val="20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499984740745262"/>
        <bgColor rgb="FF000000"/>
      </patternFill>
    </fill>
    <fill>
      <patternFill patternType="solid">
        <fgColor theme="5" tint="0.39997558519241921"/>
        <bgColor rgb="FFEEEEE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rgb="FFEEEEEE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3" borderId="0" xfId="1" applyFill="1">
      <alignment vertical="center"/>
    </xf>
    <xf numFmtId="0" fontId="3" fillId="5" borderId="0" xfId="2" applyFill="1">
      <alignment vertical="center"/>
    </xf>
    <xf numFmtId="0" fontId="6" fillId="6" borderId="0" xfId="0" applyFont="1" applyFill="1" applyBorder="1" applyAlignment="1">
      <alignment horizontal="left" vertical="center"/>
    </xf>
    <xf numFmtId="176" fontId="6" fillId="6" borderId="0" xfId="0" applyNumberFormat="1" applyFont="1" applyFill="1" applyBorder="1" applyAlignment="1">
      <alignment horizontal="right" vertical="center"/>
    </xf>
    <xf numFmtId="0" fontId="7" fillId="7" borderId="0" xfId="0" applyFont="1" applyFill="1" applyBorder="1" applyAlignment="1">
      <alignment horizontal="left" vertical="center"/>
    </xf>
    <xf numFmtId="3" fontId="7" fillId="7" borderId="0" xfId="0" applyNumberFormat="1" applyFont="1" applyFill="1" applyBorder="1" applyAlignment="1">
      <alignment horizontal="right" vertical="center"/>
    </xf>
    <xf numFmtId="10" fontId="10" fillId="8" borderId="0" xfId="0" applyNumberFormat="1" applyFont="1" applyFill="1" applyBorder="1" applyAlignment="1">
      <alignment horizontal="right" vertical="center"/>
    </xf>
    <xf numFmtId="10" fontId="10" fillId="8" borderId="0" xfId="0" applyNumberFormat="1" applyFont="1" applyFill="1" applyBorder="1" applyAlignment="1">
      <alignment horizontal="left" vertical="center" indent="1"/>
    </xf>
    <xf numFmtId="0" fontId="9" fillId="8" borderId="0" xfId="0" applyFont="1" applyFill="1" applyBorder="1" applyAlignment="1">
      <alignment horizontal="left" vertical="center"/>
    </xf>
    <xf numFmtId="3" fontId="9" fillId="8" borderId="0" xfId="0" applyNumberFormat="1" applyFont="1" applyFill="1" applyBorder="1" applyAlignment="1">
      <alignment horizontal="right" vertical="center"/>
    </xf>
    <xf numFmtId="0" fontId="8" fillId="8" borderId="0" xfId="0" applyFont="1" applyFill="1" applyBorder="1" applyAlignment="1">
      <alignment horizontal="left" vertical="center" indent="1"/>
    </xf>
    <xf numFmtId="3" fontId="8" fillId="8" borderId="0" xfId="0" applyNumberFormat="1" applyFont="1" applyFill="1" applyBorder="1" applyAlignment="1">
      <alignment horizontal="right" vertical="center"/>
    </xf>
    <xf numFmtId="0" fontId="8" fillId="8" borderId="0" xfId="0" applyFont="1" applyFill="1" applyBorder="1" applyAlignment="1">
      <alignment horizontal="left" vertical="center"/>
    </xf>
    <xf numFmtId="0" fontId="10" fillId="8" borderId="0" xfId="0" applyFont="1" applyFill="1" applyBorder="1" applyAlignment="1">
      <alignment horizontal="left" vertical="center" indent="1"/>
    </xf>
    <xf numFmtId="177" fontId="10" fillId="8" borderId="0" xfId="0" applyNumberFormat="1" applyFont="1" applyFill="1" applyBorder="1" applyAlignment="1">
      <alignment horizontal="right" vertical="center"/>
    </xf>
    <xf numFmtId="177" fontId="8" fillId="8" borderId="0" xfId="0" applyNumberFormat="1" applyFont="1" applyFill="1" applyBorder="1" applyAlignment="1">
      <alignment horizontal="right" vertical="center"/>
    </xf>
    <xf numFmtId="177" fontId="0" fillId="8" borderId="0" xfId="0" applyNumberFormat="1" applyFill="1">
      <alignment vertical="center"/>
    </xf>
    <xf numFmtId="0" fontId="11" fillId="10" borderId="1" xfId="0" applyFont="1" applyFill="1" applyBorder="1">
      <alignment vertical="center"/>
    </xf>
    <xf numFmtId="0" fontId="11" fillId="10" borderId="0" xfId="0" applyFont="1" applyFill="1">
      <alignment vertical="center"/>
    </xf>
    <xf numFmtId="0" fontId="11" fillId="10" borderId="2" xfId="0" applyFont="1" applyFill="1" applyBorder="1">
      <alignment vertical="center"/>
    </xf>
    <xf numFmtId="0" fontId="12" fillId="9" borderId="0" xfId="0" applyFont="1" applyFill="1">
      <alignment vertical="center"/>
    </xf>
    <xf numFmtId="10" fontId="7" fillId="9" borderId="0" xfId="0" applyNumberFormat="1" applyFont="1" applyFill="1" applyBorder="1" applyAlignment="1">
      <alignment horizontal="left" vertical="center"/>
    </xf>
    <xf numFmtId="0" fontId="0" fillId="8" borderId="0" xfId="0" applyFill="1">
      <alignment vertical="center"/>
    </xf>
    <xf numFmtId="178" fontId="0" fillId="8" borderId="0" xfId="0" applyNumberFormat="1" applyFill="1">
      <alignment vertical="center"/>
    </xf>
    <xf numFmtId="178" fontId="4" fillId="8" borderId="0" xfId="0" applyNumberFormat="1" applyFont="1" applyFill="1">
      <alignment vertical="center"/>
    </xf>
    <xf numFmtId="178" fontId="12" fillId="9" borderId="0" xfId="0" applyNumberFormat="1" applyFont="1" applyFill="1">
      <alignment vertical="center"/>
    </xf>
    <xf numFmtId="0" fontId="13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  <xf numFmtId="0" fontId="12" fillId="0" borderId="0" xfId="0" applyFont="1">
      <alignment vertical="center"/>
    </xf>
    <xf numFmtId="0" fontId="0" fillId="9" borderId="0" xfId="0" applyFill="1">
      <alignment vertical="center"/>
    </xf>
    <xf numFmtId="0" fontId="15" fillId="0" borderId="0" xfId="3">
      <alignment vertical="center"/>
    </xf>
    <xf numFmtId="42" fontId="0" fillId="0" borderId="0" xfId="0" applyNumberFormat="1" applyAlignment="1">
      <alignment horizontal="left" vertical="center" indent="2"/>
    </xf>
    <xf numFmtId="0" fontId="0" fillId="0" borderId="0" xfId="0" applyAlignment="1">
      <alignment vertical="center"/>
    </xf>
    <xf numFmtId="0" fontId="12" fillId="9" borderId="0" xfId="0" applyFont="1" applyFill="1" applyAlignme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quotePrefix="1">
      <alignment vertical="center"/>
    </xf>
    <xf numFmtId="0" fontId="0" fillId="0" borderId="3" xfId="0" applyBorder="1">
      <alignment vertical="center"/>
    </xf>
    <xf numFmtId="177" fontId="0" fillId="0" borderId="3" xfId="0" applyNumberFormat="1" applyBorder="1">
      <alignment vertical="center"/>
    </xf>
    <xf numFmtId="0" fontId="0" fillId="0" borderId="3" xfId="0" applyBorder="1" applyAlignment="1">
      <alignment horizontal="right" vertical="center"/>
    </xf>
    <xf numFmtId="3" fontId="7" fillId="11" borderId="3" xfId="0" applyNumberFormat="1" applyFont="1" applyFill="1" applyBorder="1" applyAlignment="1">
      <alignment horizontal="right" vertical="center"/>
    </xf>
    <xf numFmtId="0" fontId="12" fillId="0" borderId="3" xfId="0" applyFont="1" applyBorder="1">
      <alignment vertical="center"/>
    </xf>
    <xf numFmtId="3" fontId="12" fillId="9" borderId="0" xfId="0" applyNumberFormat="1" applyFont="1" applyFill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indent="1"/>
    </xf>
  </cellXfs>
  <cellStyles count="4">
    <cellStyle name="60% - 강조색3" xfId="2" builtinId="40"/>
    <cellStyle name="좋음" xfId="1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10" Type="http://schemas.openxmlformats.org/officeDocument/2006/relationships/image" Target="../media/image25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278644</xdr:colOff>
      <xdr:row>0</xdr:row>
      <xdr:rowOff>167640</xdr:rowOff>
    </xdr:from>
    <xdr:to>
      <xdr:col>6</xdr:col>
      <xdr:colOff>121920</xdr:colOff>
      <xdr:row>8</xdr:row>
      <xdr:rowOff>15431</xdr:rowOff>
    </xdr:to>
    <xdr:pic>
      <xdr:nvPicPr>
        <xdr:cNvPr id="2" name="그림 1" descr="펄어비스 &quot;2022년, 신작 출시로 라인업 다변화&quot; &lt; 취재 &lt; 기사본문 - 게임인사이트">
          <a:extLst>
            <a:ext uri="{FF2B5EF4-FFF2-40B4-BE49-F238E27FC236}">
              <a16:creationId xmlns:a16="http://schemas.microsoft.com/office/drawing/2014/main" id="{F4F8070B-6BE7-4036-9B93-A581A484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164" y="167640"/>
          <a:ext cx="3493256" cy="1615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452270</xdr:colOff>
      <xdr:row>0</xdr:row>
      <xdr:rowOff>152400</xdr:rowOff>
    </xdr:from>
    <xdr:to>
      <xdr:col>14</xdr:col>
      <xdr:colOff>350520</xdr:colOff>
      <xdr:row>10</xdr:row>
      <xdr:rowOff>164846</xdr:rowOff>
    </xdr:to>
    <xdr:pic>
      <xdr:nvPicPr>
        <xdr:cNvPr id="3" name="그림 2" descr="붉은사막 | 오픈월드 액션 어드벤처 - Pearl Abyss">
          <a:extLst>
            <a:ext uri="{FF2B5EF4-FFF2-40B4-BE49-F238E27FC236}">
              <a16:creationId xmlns:a16="http://schemas.microsoft.com/office/drawing/2014/main" id="{76D8A0BD-7F77-4E1C-942B-0F1F9E4C0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6710" y="152400"/>
          <a:ext cx="3921610" cy="2222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205740</xdr:colOff>
      <xdr:row>11</xdr:row>
      <xdr:rowOff>175260</xdr:rowOff>
    </xdr:from>
    <xdr:to>
      <xdr:col>10</xdr:col>
      <xdr:colOff>366316</xdr:colOff>
      <xdr:row>25</xdr:row>
      <xdr:rowOff>76460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E7CFDB2-81F9-4C6A-9F39-16421B866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6260" y="2606040"/>
          <a:ext cx="6416596" cy="2994920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304800</xdr:colOff>
      <xdr:row>27</xdr:row>
      <xdr:rowOff>0</xdr:rowOff>
    </xdr:from>
    <xdr:to>
      <xdr:col>7</xdr:col>
      <xdr:colOff>91798</xdr:colOff>
      <xdr:row>33</xdr:row>
      <xdr:rowOff>198252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53EA592-A009-4823-AA67-B7C7305027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0" y="5966460"/>
          <a:ext cx="4130398" cy="1524132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487680</xdr:colOff>
      <xdr:row>28</xdr:row>
      <xdr:rowOff>38100</xdr:rowOff>
    </xdr:from>
    <xdr:to>
      <xdr:col>13</xdr:col>
      <xdr:colOff>465167</xdr:colOff>
      <xdr:row>33</xdr:row>
      <xdr:rowOff>91540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3CC640D-0D25-4EE2-A398-A87371A76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61560" y="6225540"/>
          <a:ext cx="4000847" cy="1158340"/>
        </a:xfrm>
        <a:prstGeom prst="rect">
          <a:avLst/>
        </a:prstGeom>
      </xdr:spPr>
    </xdr:pic>
    <xdr:clientData/>
  </xdr:twoCellAnchor>
  <xdr:twoCellAnchor editAs="oneCell">
    <xdr:from>
      <xdr:col>14</xdr:col>
      <xdr:colOff>121920</xdr:colOff>
      <xdr:row>36</xdr:row>
      <xdr:rowOff>350520</xdr:rowOff>
    </xdr:from>
    <xdr:to>
      <xdr:col>20</xdr:col>
      <xdr:colOff>617612</xdr:colOff>
      <xdr:row>57</xdr:row>
      <xdr:rowOff>198523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7E09E6B-2279-41DB-A410-A5CEA5C66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95460" y="8305800"/>
          <a:ext cx="4519052" cy="4648603"/>
        </a:xfrm>
        <a:prstGeom prst="rect">
          <a:avLst/>
        </a:prstGeom>
      </xdr:spPr>
    </xdr:pic>
    <xdr:clientData/>
  </xdr:twoCellAnchor>
  <xdr:twoCellAnchor editAs="oneCell">
    <xdr:from>
      <xdr:col>14</xdr:col>
      <xdr:colOff>60648</xdr:colOff>
      <xdr:row>58</xdr:row>
      <xdr:rowOff>182880</xdr:rowOff>
    </xdr:from>
    <xdr:to>
      <xdr:col>23</xdr:col>
      <xdr:colOff>662940</xdr:colOff>
      <xdr:row>74</xdr:row>
      <xdr:rowOff>53340</xdr:rowOff>
    </xdr:to>
    <xdr:pic>
      <xdr:nvPicPr>
        <xdr:cNvPr id="8" name="그림 7" descr="펄어비스 IR자료(2021년 8월)">
          <a:extLst>
            <a:ext uri="{FF2B5EF4-FFF2-40B4-BE49-F238E27FC236}">
              <a16:creationId xmlns:a16="http://schemas.microsoft.com/office/drawing/2014/main" id="{516CA392-62FE-4A05-87A1-FE3D5A34A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188" y="13159740"/>
          <a:ext cx="6637332" cy="340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708660</xdr:colOff>
      <xdr:row>101</xdr:row>
      <xdr:rowOff>38100</xdr:rowOff>
    </xdr:from>
    <xdr:to>
      <xdr:col>10</xdr:col>
      <xdr:colOff>526288</xdr:colOff>
      <xdr:row>107</xdr:row>
      <xdr:rowOff>106801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7F60A241-555D-4ADA-BD62-7F46E96F5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49680" y="22517100"/>
          <a:ext cx="5867908" cy="1394581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113</xdr:row>
      <xdr:rowOff>106680</xdr:rowOff>
    </xdr:from>
    <xdr:to>
      <xdr:col>8</xdr:col>
      <xdr:colOff>68974</xdr:colOff>
      <xdr:row>120</xdr:row>
      <xdr:rowOff>68711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E657681-3AC9-4124-BF2B-E5D5F224F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9620" y="25397460"/>
          <a:ext cx="4549534" cy="1508891"/>
        </a:xfrm>
        <a:prstGeom prst="rect">
          <a:avLst/>
        </a:prstGeom>
      </xdr:spPr>
    </xdr:pic>
    <xdr:clientData/>
  </xdr:twoCellAnchor>
  <xdr:twoCellAnchor editAs="oneCell">
    <xdr:from>
      <xdr:col>8</xdr:col>
      <xdr:colOff>403860</xdr:colOff>
      <xdr:row>111</xdr:row>
      <xdr:rowOff>97556</xdr:rowOff>
    </xdr:from>
    <xdr:to>
      <xdr:col>18</xdr:col>
      <xdr:colOff>122532</xdr:colOff>
      <xdr:row>122</xdr:row>
      <xdr:rowOff>175499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4077E9C-EADF-4AB7-B516-F07A842EA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54040" y="24946376"/>
          <a:ext cx="6424272" cy="2508723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</xdr:colOff>
      <xdr:row>155</xdr:row>
      <xdr:rowOff>53340</xdr:rowOff>
    </xdr:from>
    <xdr:to>
      <xdr:col>5</xdr:col>
      <xdr:colOff>189413</xdr:colOff>
      <xdr:row>158</xdr:row>
      <xdr:rowOff>7620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F92BAAB1-C56E-4CF6-AC15-4F8815179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8160" y="34625280"/>
          <a:ext cx="2909753" cy="617220"/>
        </a:xfrm>
        <a:prstGeom prst="rect">
          <a:avLst/>
        </a:prstGeom>
      </xdr:spPr>
    </xdr:pic>
    <xdr:clientData/>
  </xdr:twoCellAnchor>
  <xdr:twoCellAnchor editAs="oneCell">
    <xdr:from>
      <xdr:col>5</xdr:col>
      <xdr:colOff>396239</xdr:colOff>
      <xdr:row>155</xdr:row>
      <xdr:rowOff>38100</xdr:rowOff>
    </xdr:from>
    <xdr:to>
      <xdr:col>10</xdr:col>
      <xdr:colOff>247224</xdr:colOff>
      <xdr:row>157</xdr:row>
      <xdr:rowOff>99060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F9A4080C-674A-433B-ACFA-EBCD8515F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34739" y="34610040"/>
          <a:ext cx="3203785" cy="502920"/>
        </a:xfrm>
        <a:prstGeom prst="rect">
          <a:avLst/>
        </a:prstGeom>
      </xdr:spPr>
    </xdr:pic>
    <xdr:clientData/>
  </xdr:twoCellAnchor>
  <xdr:twoCellAnchor editAs="oneCell">
    <xdr:from>
      <xdr:col>10</xdr:col>
      <xdr:colOff>525779</xdr:colOff>
      <xdr:row>154</xdr:row>
      <xdr:rowOff>152400</xdr:rowOff>
    </xdr:from>
    <xdr:to>
      <xdr:col>15</xdr:col>
      <xdr:colOff>137791</xdr:colOff>
      <xdr:row>157</xdr:row>
      <xdr:rowOff>152400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2FC04553-45C7-4A92-BE13-CD52F9A09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17079" y="34503360"/>
          <a:ext cx="2964812" cy="66294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162</xdr:row>
      <xdr:rowOff>0</xdr:rowOff>
    </xdr:from>
    <xdr:to>
      <xdr:col>5</xdr:col>
      <xdr:colOff>607220</xdr:colOff>
      <xdr:row>163</xdr:row>
      <xdr:rowOff>190500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D8E391D7-3F3F-4A74-B064-65481D6DA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41019" y="36118800"/>
          <a:ext cx="3304701" cy="41148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161</xdr:row>
      <xdr:rowOff>160020</xdr:rowOff>
    </xdr:from>
    <xdr:to>
      <xdr:col>10</xdr:col>
      <xdr:colOff>119453</xdr:colOff>
      <xdr:row>164</xdr:row>
      <xdr:rowOff>7620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EC210FB5-AA3C-4490-9711-23ECA6976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061460" y="36057840"/>
          <a:ext cx="2649293" cy="5105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617220</xdr:colOff>
      <xdr:row>6</xdr:row>
      <xdr:rowOff>22860</xdr:rowOff>
    </xdr:from>
    <xdr:to>
      <xdr:col>20</xdr:col>
      <xdr:colOff>411927</xdr:colOff>
      <xdr:row>12</xdr:row>
      <xdr:rowOff>183009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1D289E8-78FC-43F0-96D7-243804C2E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4360" y="1348740"/>
          <a:ext cx="5159187" cy="1486029"/>
        </a:xfrm>
        <a:prstGeom prst="rect">
          <a:avLst/>
        </a:prstGeom>
      </xdr:spPr>
    </xdr:pic>
    <xdr:clientData/>
  </xdr:twoCellAnchor>
  <xdr:twoCellAnchor editAs="oneCell">
    <xdr:from>
      <xdr:col>14</xdr:col>
      <xdr:colOff>282140</xdr:colOff>
      <xdr:row>69</xdr:row>
      <xdr:rowOff>205739</xdr:rowOff>
    </xdr:from>
    <xdr:to>
      <xdr:col>20</xdr:col>
      <xdr:colOff>45719</xdr:colOff>
      <xdr:row>82</xdr:row>
      <xdr:rowOff>184564</xdr:rowOff>
    </xdr:to>
    <xdr:pic>
      <xdr:nvPicPr>
        <xdr:cNvPr id="3" name="그림 2" descr="젤다의전설 야생의 숨결 :: 사당 위치/코로그 위치 지도 : 네이버 블로그">
          <a:extLst>
            <a:ext uri="{FF2B5EF4-FFF2-40B4-BE49-F238E27FC236}">
              <a16:creationId xmlns:a16="http://schemas.microsoft.com/office/drawing/2014/main" id="{445E06F9-E45A-45AC-AE71-C7CACF9FD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0400" y="16337279"/>
          <a:ext cx="3786939" cy="2851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632461</xdr:colOff>
      <xdr:row>153</xdr:row>
      <xdr:rowOff>181470</xdr:rowOff>
    </xdr:from>
    <xdr:to>
      <xdr:col>16</xdr:col>
      <xdr:colOff>76200</xdr:colOff>
      <xdr:row>164</xdr:row>
      <xdr:rowOff>25259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5E1AD3E-8E66-4308-B617-44E2CC4A4E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7921" y="33991410"/>
          <a:ext cx="4137659" cy="2274569"/>
        </a:xfrm>
        <a:prstGeom prst="rect">
          <a:avLst/>
        </a:prstGeom>
      </xdr:spPr>
    </xdr:pic>
    <xdr:clientData/>
  </xdr:twoCellAnchor>
  <xdr:twoCellAnchor editAs="oneCell">
    <xdr:from>
      <xdr:col>16</xdr:col>
      <xdr:colOff>309060</xdr:colOff>
      <xdr:row>154</xdr:row>
      <xdr:rowOff>91440</xdr:rowOff>
    </xdr:from>
    <xdr:to>
      <xdr:col>21</xdr:col>
      <xdr:colOff>290258</xdr:colOff>
      <xdr:row>162</xdr:row>
      <xdr:rowOff>190891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3DDF5D3-B14E-4E25-8DD6-F532DDD91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88440" y="34122360"/>
          <a:ext cx="3333998" cy="1867291"/>
        </a:xfrm>
        <a:prstGeom prst="rect">
          <a:avLst/>
        </a:prstGeom>
      </xdr:spPr>
    </xdr:pic>
    <xdr:clientData/>
  </xdr:twoCellAnchor>
  <xdr:twoCellAnchor editAs="oneCell">
    <xdr:from>
      <xdr:col>10</xdr:col>
      <xdr:colOff>23212</xdr:colOff>
      <xdr:row>165</xdr:row>
      <xdr:rowOff>53340</xdr:rowOff>
    </xdr:from>
    <xdr:to>
      <xdr:col>15</xdr:col>
      <xdr:colOff>373380</xdr:colOff>
      <xdr:row>174</xdr:row>
      <xdr:rowOff>125510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4429611-1E37-481A-8650-601AE5481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79232" y="36515040"/>
          <a:ext cx="3702968" cy="2060990"/>
        </a:xfrm>
        <a:prstGeom prst="rect">
          <a:avLst/>
        </a:prstGeom>
      </xdr:spPr>
    </xdr:pic>
    <xdr:clientData/>
  </xdr:twoCellAnchor>
  <xdr:twoCellAnchor editAs="oneCell">
    <xdr:from>
      <xdr:col>15</xdr:col>
      <xdr:colOff>502229</xdr:colOff>
      <xdr:row>166</xdr:row>
      <xdr:rowOff>68580</xdr:rowOff>
    </xdr:from>
    <xdr:to>
      <xdr:col>20</xdr:col>
      <xdr:colOff>38563</xdr:colOff>
      <xdr:row>172</xdr:row>
      <xdr:rowOff>106899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2E07676-361C-4AB7-A0DD-D47C6C8A4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1049" y="36751260"/>
          <a:ext cx="2889134" cy="1364199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192</xdr:row>
      <xdr:rowOff>175260</xdr:rowOff>
    </xdr:from>
    <xdr:to>
      <xdr:col>8</xdr:col>
      <xdr:colOff>94415</xdr:colOff>
      <xdr:row>203</xdr:row>
      <xdr:rowOff>20516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5704ABE6-D21E-410C-B4A6-7F8A5CB48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73380" y="42603420"/>
          <a:ext cx="5032175" cy="227603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193</xdr:row>
      <xdr:rowOff>0</xdr:rowOff>
    </xdr:from>
    <xdr:to>
      <xdr:col>16</xdr:col>
      <xdr:colOff>284910</xdr:colOff>
      <xdr:row>203</xdr:row>
      <xdr:rowOff>142443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D48DEE7-654C-4DB5-9EBE-0EEE076975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585460" y="42649140"/>
          <a:ext cx="4978830" cy="235224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190501</xdr:colOff>
      <xdr:row>216</xdr:row>
      <xdr:rowOff>152400</xdr:rowOff>
    </xdr:from>
    <xdr:to>
      <xdr:col>10</xdr:col>
      <xdr:colOff>106681</xdr:colOff>
      <xdr:row>225</xdr:row>
      <xdr:rowOff>90803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D47272F-E18D-478A-B2A6-57851FEDB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0501" y="47884080"/>
          <a:ext cx="6568440" cy="192722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275</xdr:row>
      <xdr:rowOff>76200</xdr:rowOff>
    </xdr:from>
    <xdr:to>
      <xdr:col>11</xdr:col>
      <xdr:colOff>84439</xdr:colOff>
      <xdr:row>279</xdr:row>
      <xdr:rowOff>167725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11F51A5-9B5D-45F6-93E7-3FC48BCC8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9080" y="60845700"/>
          <a:ext cx="7148179" cy="975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bs.ruliweb.com/hobby/board/300063/read/229565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uz2m_k6L1q4?si=rVwi96ZgGc6AO9yA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youtu.be/C2OCmtmwpVA?si=ovxVLBsnnjJClY_T" TargetMode="External"/><Relationship Id="rId1" Type="http://schemas.openxmlformats.org/officeDocument/2006/relationships/hyperlink" Target="https://www.youtube.com/watch?v=ZdmoGYg8tB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youtu.be/ZIsYk5MtjmY?si=pGtFrV2RYeM4nMwV" TargetMode="External"/><Relationship Id="rId4" Type="http://schemas.openxmlformats.org/officeDocument/2006/relationships/hyperlink" Target="https://youtu.be/B2fccBA64Ds?si=LkXCZFm5Dlyh4uv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DE815-C153-4379-A752-F86DE71E267D}">
  <dimension ref="A1:P237"/>
  <sheetViews>
    <sheetView showGridLines="0" tabSelected="1" topLeftCell="A223" workbookViewId="0">
      <selection activeCell="C237" sqref="C237"/>
    </sheetView>
  </sheetViews>
  <sheetFormatPr defaultRowHeight="17.399999999999999"/>
  <cols>
    <col min="1" max="1" width="4.59765625" style="4" customWidth="1"/>
    <col min="2" max="2" width="2.5" style="2" customWidth="1"/>
    <col min="3" max="3" width="17.796875" customWidth="1"/>
    <col min="16" max="16" width="8.796875" style="3"/>
    <col min="17" max="16384" width="8.796875" style="5"/>
  </cols>
  <sheetData>
    <row r="1" spans="2:16" s="4" customFormat="1">
      <c r="B1" s="2"/>
      <c r="C1" s="1"/>
      <c r="D1" s="1"/>
      <c r="E1" s="1"/>
      <c r="F1" s="1"/>
      <c r="G1" s="1"/>
      <c r="H1"/>
      <c r="I1" s="1"/>
      <c r="J1" s="1"/>
      <c r="K1" s="1"/>
      <c r="L1" s="1"/>
      <c r="M1" s="1"/>
      <c r="N1" s="1"/>
      <c r="O1" s="1"/>
      <c r="P1" s="3"/>
    </row>
    <row r="37" spans="2:16" ht="30">
      <c r="B37" s="21"/>
      <c r="C37" s="22" t="s">
        <v>59</v>
      </c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3"/>
    </row>
    <row r="39" spans="2:16">
      <c r="C39" t="s">
        <v>61</v>
      </c>
    </row>
    <row r="40" spans="2:16">
      <c r="C40" t="s">
        <v>62</v>
      </c>
    </row>
    <row r="41" spans="2:16">
      <c r="C41" t="s">
        <v>63</v>
      </c>
    </row>
    <row r="43" spans="2:16">
      <c r="C43" s="24" t="s">
        <v>60</v>
      </c>
      <c r="D43" s="24"/>
      <c r="E43" s="24"/>
      <c r="F43" s="24"/>
      <c r="G43" s="24"/>
      <c r="H43" s="24"/>
      <c r="I43" s="24"/>
    </row>
    <row r="45" spans="2:16">
      <c r="C45" t="s">
        <v>74</v>
      </c>
    </row>
    <row r="46" spans="2:16">
      <c r="C46" t="s">
        <v>75</v>
      </c>
    </row>
    <row r="47" spans="2:16">
      <c r="C47" t="s">
        <v>76</v>
      </c>
    </row>
    <row r="49" spans="3:3">
      <c r="C49" t="s">
        <v>77</v>
      </c>
    </row>
    <row r="50" spans="3:3">
      <c r="C50" t="s">
        <v>78</v>
      </c>
    </row>
    <row r="51" spans="3:3">
      <c r="C51" s="32" t="s">
        <v>79</v>
      </c>
    </row>
    <row r="52" spans="3:3">
      <c r="C52" s="32" t="s">
        <v>80</v>
      </c>
    </row>
    <row r="53" spans="3:3">
      <c r="C53" s="32" t="s">
        <v>81</v>
      </c>
    </row>
    <row r="54" spans="3:3">
      <c r="C54" s="32" t="s">
        <v>82</v>
      </c>
    </row>
    <row r="55" spans="3:3">
      <c r="C55" s="32" t="s">
        <v>83</v>
      </c>
    </row>
    <row r="56" spans="3:3">
      <c r="C56" s="33" t="s">
        <v>84</v>
      </c>
    </row>
    <row r="57" spans="3:3">
      <c r="C57" s="33" t="s">
        <v>85</v>
      </c>
    </row>
    <row r="58" spans="3:3">
      <c r="C58" s="33" t="s">
        <v>86</v>
      </c>
    </row>
    <row r="60" spans="3:3">
      <c r="C60" s="33" t="s">
        <v>87</v>
      </c>
    </row>
    <row r="61" spans="3:3">
      <c r="C61" s="33" t="s">
        <v>88</v>
      </c>
    </row>
    <row r="62" spans="3:3">
      <c r="C62" s="33" t="s">
        <v>89</v>
      </c>
    </row>
    <row r="64" spans="3:3">
      <c r="C64" s="33" t="s">
        <v>90</v>
      </c>
    </row>
    <row r="65" spans="3:9">
      <c r="C65" s="33" t="s">
        <v>91</v>
      </c>
    </row>
    <row r="68" spans="3:9">
      <c r="C68" s="24" t="s">
        <v>92</v>
      </c>
      <c r="D68" s="24"/>
      <c r="E68" s="24"/>
      <c r="F68" s="24"/>
      <c r="G68" s="24"/>
      <c r="H68" s="24"/>
      <c r="I68" s="24"/>
    </row>
    <row r="70" spans="3:9">
      <c r="C70" t="s">
        <v>93</v>
      </c>
    </row>
    <row r="71" spans="3:9">
      <c r="C71" t="s">
        <v>94</v>
      </c>
    </row>
    <row r="72" spans="3:9">
      <c r="C72" t="s">
        <v>95</v>
      </c>
    </row>
    <row r="73" spans="3:9">
      <c r="C73" t="s">
        <v>96</v>
      </c>
    </row>
    <row r="74" spans="3:9">
      <c r="C74" t="s">
        <v>97</v>
      </c>
    </row>
    <row r="76" spans="3:9">
      <c r="C76" s="24" t="s">
        <v>98</v>
      </c>
      <c r="D76" s="24"/>
      <c r="E76" s="24"/>
      <c r="F76" s="24"/>
      <c r="G76" s="24"/>
      <c r="H76" s="24"/>
      <c r="I76" s="24"/>
    </row>
    <row r="78" spans="3:9">
      <c r="C78" t="s">
        <v>99</v>
      </c>
    </row>
    <row r="79" spans="3:9">
      <c r="C79" t="s">
        <v>100</v>
      </c>
    </row>
    <row r="81" spans="3:9">
      <c r="C81" t="s">
        <v>101</v>
      </c>
    </row>
    <row r="82" spans="3:9">
      <c r="C82" t="s">
        <v>102</v>
      </c>
    </row>
    <row r="84" spans="3:9">
      <c r="C84" t="s">
        <v>103</v>
      </c>
    </row>
    <row r="85" spans="3:9">
      <c r="C85" t="s">
        <v>104</v>
      </c>
    </row>
    <row r="87" spans="3:9">
      <c r="C87" s="24" t="s">
        <v>105</v>
      </c>
      <c r="D87" s="24"/>
      <c r="E87" s="24"/>
      <c r="F87" s="24"/>
      <c r="G87" s="24"/>
      <c r="H87" s="24"/>
      <c r="I87" s="24"/>
    </row>
    <row r="89" spans="3:9">
      <c r="C89" t="s">
        <v>107</v>
      </c>
    </row>
    <row r="90" spans="3:9">
      <c r="C90" t="s">
        <v>108</v>
      </c>
    </row>
    <row r="92" spans="3:9">
      <c r="C92" t="s">
        <v>110</v>
      </c>
    </row>
    <row r="93" spans="3:9">
      <c r="C93" t="s">
        <v>109</v>
      </c>
    </row>
    <row r="94" spans="3:9">
      <c r="C94" t="s">
        <v>111</v>
      </c>
    </row>
    <row r="96" spans="3:9">
      <c r="C96" s="24" t="s">
        <v>106</v>
      </c>
      <c r="D96" s="24"/>
      <c r="E96" s="24"/>
      <c r="F96" s="24"/>
      <c r="G96" s="24"/>
      <c r="H96" s="24"/>
      <c r="I96" s="24"/>
    </row>
    <row r="98" spans="2:16">
      <c r="C98" t="s">
        <v>112</v>
      </c>
    </row>
    <row r="99" spans="2:16">
      <c r="C99" t="s">
        <v>113</v>
      </c>
    </row>
    <row r="111" spans="2:16" ht="30">
      <c r="B111" s="21"/>
      <c r="C111" s="22" t="s">
        <v>114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3"/>
    </row>
    <row r="124" spans="3:3">
      <c r="C124" s="36" t="s">
        <v>115</v>
      </c>
    </row>
    <row r="125" spans="3:3">
      <c r="C125" t="s">
        <v>116</v>
      </c>
    </row>
    <row r="127" spans="3:3">
      <c r="C127" t="s">
        <v>117</v>
      </c>
    </row>
    <row r="128" spans="3:3">
      <c r="C128" t="s">
        <v>118</v>
      </c>
    </row>
    <row r="129" spans="3:3">
      <c r="C129" t="s">
        <v>119</v>
      </c>
    </row>
    <row r="131" spans="3:3">
      <c r="C131" t="s">
        <v>120</v>
      </c>
    </row>
    <row r="132" spans="3:3">
      <c r="C132" t="s">
        <v>121</v>
      </c>
    </row>
    <row r="133" spans="3:3">
      <c r="C133" t="s">
        <v>122</v>
      </c>
    </row>
    <row r="135" spans="3:3">
      <c r="C135" t="s">
        <v>123</v>
      </c>
    </row>
    <row r="136" spans="3:3">
      <c r="C136" t="s">
        <v>124</v>
      </c>
    </row>
    <row r="137" spans="3:3">
      <c r="C137" t="s">
        <v>125</v>
      </c>
    </row>
    <row r="138" spans="3:3">
      <c r="C138" t="s">
        <v>126</v>
      </c>
    </row>
    <row r="139" spans="3:3">
      <c r="C139" t="s">
        <v>127</v>
      </c>
    </row>
    <row r="140" spans="3:3">
      <c r="C140" t="s">
        <v>128</v>
      </c>
    </row>
    <row r="141" spans="3:3">
      <c r="C141" t="s">
        <v>129</v>
      </c>
    </row>
    <row r="143" spans="3:3">
      <c r="C143" t="s">
        <v>131</v>
      </c>
    </row>
    <row r="145" spans="3:12">
      <c r="C145" s="24" t="s">
        <v>130</v>
      </c>
      <c r="D145" s="24"/>
      <c r="E145" s="24"/>
      <c r="F145" s="24"/>
      <c r="G145" s="24"/>
      <c r="H145" s="24"/>
      <c r="I145" s="24"/>
    </row>
    <row r="147" spans="3:12">
      <c r="C147" t="s">
        <v>132</v>
      </c>
    </row>
    <row r="148" spans="3:12">
      <c r="C148" t="s">
        <v>133</v>
      </c>
    </row>
    <row r="149" spans="3:12">
      <c r="C149" t="s">
        <v>134</v>
      </c>
    </row>
    <row r="151" spans="3:12">
      <c r="C151" t="s">
        <v>135</v>
      </c>
    </row>
    <row r="152" spans="3:12">
      <c r="C152" t="s">
        <v>136</v>
      </c>
    </row>
    <row r="154" spans="3:12">
      <c r="C154" t="s">
        <v>143</v>
      </c>
    </row>
    <row r="160" spans="3:12">
      <c r="C160" t="s">
        <v>137</v>
      </c>
      <c r="G160" t="s">
        <v>138</v>
      </c>
      <c r="L160" t="s">
        <v>139</v>
      </c>
    </row>
    <row r="163" spans="3:12">
      <c r="L163" t="s">
        <v>142</v>
      </c>
    </row>
    <row r="166" spans="3:12">
      <c r="C166" t="s">
        <v>140</v>
      </c>
      <c r="G166" t="s">
        <v>141</v>
      </c>
    </row>
    <row r="168" spans="3:12">
      <c r="C168" s="24" t="s">
        <v>144</v>
      </c>
      <c r="D168" s="24"/>
      <c r="E168" s="24"/>
      <c r="F168" s="24"/>
      <c r="G168" s="24"/>
      <c r="H168" s="24"/>
      <c r="I168" s="24"/>
    </row>
    <row r="170" spans="3:12">
      <c r="C170" t="s">
        <v>367</v>
      </c>
    </row>
    <row r="171" spans="3:12">
      <c r="C171" t="s">
        <v>368</v>
      </c>
    </row>
    <row r="172" spans="3:12">
      <c r="C172" t="s">
        <v>369</v>
      </c>
    </row>
    <row r="174" spans="3:12">
      <c r="C174" t="s">
        <v>370</v>
      </c>
    </row>
    <row r="175" spans="3:12">
      <c r="C175" t="s">
        <v>371</v>
      </c>
    </row>
    <row r="176" spans="3:12">
      <c r="C176" t="s">
        <v>372</v>
      </c>
    </row>
    <row r="177" spans="2:16">
      <c r="C177" t="s">
        <v>373</v>
      </c>
    </row>
    <row r="178" spans="2:16">
      <c r="C178" t="s">
        <v>374</v>
      </c>
    </row>
    <row r="180" spans="2:16">
      <c r="C180" t="s">
        <v>375</v>
      </c>
    </row>
    <row r="181" spans="2:16">
      <c r="C181" t="s">
        <v>376</v>
      </c>
    </row>
    <row r="185" spans="2:16" ht="30">
      <c r="B185" s="21"/>
      <c r="C185" s="22" t="s">
        <v>377</v>
      </c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3"/>
    </row>
    <row r="187" spans="2:16">
      <c r="C187" t="s">
        <v>378</v>
      </c>
    </row>
    <row r="189" spans="2:16">
      <c r="C189" t="s">
        <v>391</v>
      </c>
    </row>
    <row r="190" spans="2:16">
      <c r="C190" t="s">
        <v>405</v>
      </c>
    </row>
    <row r="191" spans="2:16">
      <c r="C191" t="s">
        <v>413</v>
      </c>
    </row>
    <row r="192" spans="2:16">
      <c r="C192" t="s">
        <v>379</v>
      </c>
    </row>
    <row r="193" spans="3:3">
      <c r="C193" t="s">
        <v>380</v>
      </c>
    </row>
    <row r="195" spans="3:3">
      <c r="C195" t="s">
        <v>393</v>
      </c>
    </row>
    <row r="196" spans="3:3">
      <c r="C196" s="50" t="s">
        <v>394</v>
      </c>
    </row>
    <row r="197" spans="3:3">
      <c r="C197" s="50" t="s">
        <v>395</v>
      </c>
    </row>
    <row r="198" spans="3:3">
      <c r="C198" s="50" t="s">
        <v>396</v>
      </c>
    </row>
    <row r="199" spans="3:3">
      <c r="C199" s="50" t="s">
        <v>397</v>
      </c>
    </row>
    <row r="200" spans="3:3">
      <c r="C200" s="50" t="s">
        <v>398</v>
      </c>
    </row>
    <row r="201" spans="3:3">
      <c r="C201" s="50" t="s">
        <v>399</v>
      </c>
    </row>
    <row r="202" spans="3:3">
      <c r="C202" s="50" t="s">
        <v>400</v>
      </c>
    </row>
    <row r="203" spans="3:3">
      <c r="C203" s="50" t="s">
        <v>401</v>
      </c>
    </row>
    <row r="205" spans="3:3">
      <c r="C205" t="s">
        <v>402</v>
      </c>
    </row>
    <row r="206" spans="3:3">
      <c r="C206" s="50" t="s">
        <v>403</v>
      </c>
    </row>
    <row r="207" spans="3:3">
      <c r="C207" s="50" t="s">
        <v>404</v>
      </c>
    </row>
    <row r="209" spans="3:14">
      <c r="C209" t="s">
        <v>406</v>
      </c>
    </row>
    <row r="210" spans="3:14">
      <c r="C210" s="50" t="s">
        <v>407</v>
      </c>
    </row>
    <row r="211" spans="3:14">
      <c r="C211" s="50" t="s">
        <v>408</v>
      </c>
    </row>
    <row r="212" spans="3:14">
      <c r="C212" s="50" t="s">
        <v>409</v>
      </c>
    </row>
    <row r="213" spans="3:14">
      <c r="C213" s="50" t="s">
        <v>411</v>
      </c>
    </row>
    <row r="214" spans="3:14">
      <c r="C214" s="50" t="s">
        <v>412</v>
      </c>
    </row>
    <row r="220" spans="3:14">
      <c r="C220" s="43"/>
      <c r="D220" s="43" t="s">
        <v>381</v>
      </c>
      <c r="E220" s="43" t="s">
        <v>384</v>
      </c>
      <c r="N220" t="s">
        <v>410</v>
      </c>
    </row>
    <row r="221" spans="3:14">
      <c r="C221" s="43" t="s">
        <v>382</v>
      </c>
      <c r="D221" s="43">
        <f>850*4+500*8.5</f>
        <v>7650</v>
      </c>
      <c r="E221" s="49">
        <f>D221-$N$221-SUM('raw data'!$AA$29:'raw data'!$AB$29)*2*1.34-D221*0.25</f>
        <v>2922.7492000000011</v>
      </c>
      <c r="N221">
        <f>SUM('raw data'!Y34:AB34)-SUM('raw data'!Y29:AB29)-SUM('raw data'!Y30:AB30)</f>
        <v>2468.1999999999994</v>
      </c>
    </row>
    <row r="222" spans="3:14">
      <c r="C222" s="43" t="s">
        <v>383</v>
      </c>
      <c r="D222" s="43">
        <f>850*4+8.5*200</f>
        <v>5100</v>
      </c>
      <c r="E222" s="49">
        <f>D222-$N$221-SUM('raw data'!$AA$29:'raw data'!$AB$29)*2*1.34-D222*0.25</f>
        <v>1010.2492000000007</v>
      </c>
    </row>
    <row r="225" spans="3:3">
      <c r="C225" t="s">
        <v>385</v>
      </c>
    </row>
    <row r="227" spans="3:3">
      <c r="C227" t="s">
        <v>386</v>
      </c>
    </row>
    <row r="228" spans="3:3">
      <c r="C228" t="s">
        <v>387</v>
      </c>
    </row>
    <row r="229" spans="3:3">
      <c r="C229" t="s">
        <v>388</v>
      </c>
    </row>
    <row r="230" spans="3:3">
      <c r="C230" t="s">
        <v>389</v>
      </c>
    </row>
    <row r="231" spans="3:3">
      <c r="C231" t="s">
        <v>390</v>
      </c>
    </row>
    <row r="233" spans="3:3">
      <c r="C233" t="s">
        <v>414</v>
      </c>
    </row>
    <row r="234" spans="3:3">
      <c r="C234" t="s">
        <v>415</v>
      </c>
    </row>
    <row r="235" spans="3:3">
      <c r="C235" t="s">
        <v>417</v>
      </c>
    </row>
    <row r="237" spans="3:3">
      <c r="C237" t="s">
        <v>416</v>
      </c>
    </row>
  </sheetData>
  <phoneticPr fontId="2" type="noConversion"/>
  <hyperlinks>
    <hyperlink ref="C124" r:id="rId1" xr:uid="{9DEFFE5F-1139-430F-91FF-6B2B7019F08F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DC94-47AB-4F0A-8718-A124ABA8AE84}">
  <dimension ref="B2:N296"/>
  <sheetViews>
    <sheetView showGridLines="0" topLeftCell="A77" workbookViewId="0">
      <selection activeCell="B268" sqref="B268"/>
    </sheetView>
  </sheetViews>
  <sheetFormatPr defaultRowHeight="17.399999999999999"/>
  <cols>
    <col min="1" max="1" width="2.8984375" customWidth="1"/>
    <col min="2" max="2" width="13.69921875" customWidth="1"/>
    <col min="4" max="4" width="9.09765625" customWidth="1"/>
    <col min="5" max="5" width="8.796875" customWidth="1"/>
  </cols>
  <sheetData>
    <row r="2" spans="2:9">
      <c r="B2" s="24" t="s">
        <v>145</v>
      </c>
      <c r="C2" s="35"/>
      <c r="D2" s="35"/>
      <c r="E2" s="35"/>
      <c r="F2" s="35"/>
      <c r="G2" s="35"/>
      <c r="H2" s="35"/>
      <c r="I2" s="35"/>
    </row>
    <row r="4" spans="2:9">
      <c r="B4" t="s">
        <v>146</v>
      </c>
    </row>
    <row r="5" spans="2:9">
      <c r="B5" t="s">
        <v>165</v>
      </c>
    </row>
    <row r="6" spans="2:9">
      <c r="B6" t="s">
        <v>147</v>
      </c>
    </row>
    <row r="7" spans="2:9">
      <c r="B7" t="s">
        <v>148</v>
      </c>
    </row>
    <row r="8" spans="2:9">
      <c r="B8" t="s">
        <v>149</v>
      </c>
    </row>
    <row r="9" spans="2:9">
      <c r="B9" t="s">
        <v>150</v>
      </c>
    </row>
    <row r="10" spans="2:9">
      <c r="B10" t="s">
        <v>151</v>
      </c>
    </row>
    <row r="11" spans="2:9">
      <c r="B11" t="s">
        <v>152</v>
      </c>
    </row>
    <row r="12" spans="2:9">
      <c r="B12" t="s">
        <v>153</v>
      </c>
    </row>
    <row r="15" spans="2:9">
      <c r="B15" t="s">
        <v>155</v>
      </c>
    </row>
    <row r="16" spans="2:9">
      <c r="B16" s="36" t="s">
        <v>154</v>
      </c>
    </row>
    <row r="17" spans="2:9">
      <c r="B17" t="s">
        <v>156</v>
      </c>
    </row>
    <row r="18" spans="2:9">
      <c r="B18" s="36" t="s">
        <v>157</v>
      </c>
    </row>
    <row r="19" spans="2:9">
      <c r="B19" t="s">
        <v>158</v>
      </c>
    </row>
    <row r="20" spans="2:9">
      <c r="B20" s="36" t="s">
        <v>159</v>
      </c>
    </row>
    <row r="21" spans="2:9">
      <c r="B21" t="s">
        <v>160</v>
      </c>
    </row>
    <row r="22" spans="2:9">
      <c r="B22" s="36" t="s">
        <v>161</v>
      </c>
    </row>
    <row r="23" spans="2:9">
      <c r="B23" t="s">
        <v>162</v>
      </c>
    </row>
    <row r="24" spans="2:9">
      <c r="B24" s="36" t="s">
        <v>163</v>
      </c>
    </row>
    <row r="27" spans="2:9">
      <c r="B27" s="24" t="s">
        <v>164</v>
      </c>
      <c r="C27" s="35"/>
      <c r="D27" s="35"/>
      <c r="E27" s="35"/>
      <c r="F27" s="35"/>
      <c r="G27" s="35"/>
      <c r="H27" s="35"/>
      <c r="I27" s="35"/>
    </row>
    <row r="29" spans="2:9">
      <c r="B29" s="34" t="s">
        <v>167</v>
      </c>
    </row>
    <row r="30" spans="2:9">
      <c r="B30" t="s">
        <v>166</v>
      </c>
    </row>
    <row r="31" spans="2:9">
      <c r="B31" t="s">
        <v>168</v>
      </c>
    </row>
    <row r="32" spans="2:9">
      <c r="B32" t="s">
        <v>169</v>
      </c>
    </row>
    <row r="33" spans="2:2">
      <c r="B33" t="s">
        <v>170</v>
      </c>
    </row>
    <row r="35" spans="2:2">
      <c r="B35" t="s">
        <v>171</v>
      </c>
    </row>
    <row r="36" spans="2:2">
      <c r="B36" s="37" t="s">
        <v>172</v>
      </c>
    </row>
    <row r="37" spans="2:2">
      <c r="B37" s="37" t="s">
        <v>173</v>
      </c>
    </row>
    <row r="38" spans="2:2">
      <c r="B38" s="37" t="s">
        <v>174</v>
      </c>
    </row>
    <row r="39" spans="2:2">
      <c r="B39" s="37" t="s">
        <v>175</v>
      </c>
    </row>
    <row r="40" spans="2:2">
      <c r="B40" s="37" t="s">
        <v>178</v>
      </c>
    </row>
    <row r="43" spans="2:2">
      <c r="B43" s="34" t="s">
        <v>176</v>
      </c>
    </row>
    <row r="44" spans="2:2">
      <c r="B44" s="38" t="s">
        <v>177</v>
      </c>
    </row>
    <row r="45" spans="2:2">
      <c r="B45" s="32" t="s">
        <v>182</v>
      </c>
    </row>
    <row r="46" spans="2:2">
      <c r="B46" s="32" t="s">
        <v>179</v>
      </c>
    </row>
    <row r="47" spans="2:2">
      <c r="B47" s="32" t="s">
        <v>180</v>
      </c>
    </row>
    <row r="48" spans="2:2">
      <c r="B48" s="32" t="s">
        <v>181</v>
      </c>
    </row>
    <row r="49" spans="2:9">
      <c r="B49" s="32" t="s">
        <v>183</v>
      </c>
    </row>
    <row r="50" spans="2:9">
      <c r="B50" s="32" t="s">
        <v>184</v>
      </c>
    </row>
    <row r="51" spans="2:9">
      <c r="B51" s="32" t="s">
        <v>185</v>
      </c>
    </row>
    <row r="54" spans="2:9">
      <c r="B54" s="39" t="s">
        <v>186</v>
      </c>
      <c r="C54" s="24"/>
      <c r="D54" s="24"/>
      <c r="E54" s="24"/>
      <c r="F54" s="24"/>
      <c r="G54" s="24"/>
      <c r="H54" s="24"/>
      <c r="I54" s="24"/>
    </row>
    <row r="55" spans="2:9">
      <c r="B55" s="38"/>
    </row>
    <row r="56" spans="2:9">
      <c r="B56" s="38" t="s">
        <v>187</v>
      </c>
    </row>
    <row r="57" spans="2:9">
      <c r="B57" s="38" t="s">
        <v>188</v>
      </c>
    </row>
    <row r="58" spans="2:9">
      <c r="B58" s="38" t="s">
        <v>189</v>
      </c>
    </row>
    <row r="60" spans="2:9">
      <c r="B60" t="s">
        <v>190</v>
      </c>
    </row>
    <row r="61" spans="2:9">
      <c r="B61" t="s">
        <v>191</v>
      </c>
    </row>
    <row r="62" spans="2:9">
      <c r="B62" t="s">
        <v>192</v>
      </c>
    </row>
    <row r="66" spans="2:2">
      <c r="B66" s="34" t="s">
        <v>193</v>
      </c>
    </row>
    <row r="68" spans="2:2">
      <c r="B68" t="s">
        <v>194</v>
      </c>
    </row>
    <row r="69" spans="2:2">
      <c r="B69" t="s">
        <v>195</v>
      </c>
    </row>
    <row r="71" spans="2:2">
      <c r="B71" t="s">
        <v>196</v>
      </c>
    </row>
    <row r="72" spans="2:2">
      <c r="B72" t="s">
        <v>197</v>
      </c>
    </row>
    <row r="73" spans="2:2">
      <c r="B73" t="s">
        <v>198</v>
      </c>
    </row>
    <row r="74" spans="2:2">
      <c r="B74" t="s">
        <v>199</v>
      </c>
    </row>
    <row r="76" spans="2:2">
      <c r="B76" t="s">
        <v>200</v>
      </c>
    </row>
    <row r="77" spans="2:2">
      <c r="B77" t="s">
        <v>201</v>
      </c>
    </row>
    <row r="78" spans="2:2">
      <c r="B78" t="s">
        <v>202</v>
      </c>
    </row>
    <row r="79" spans="2:2">
      <c r="B79" t="s">
        <v>203</v>
      </c>
    </row>
    <row r="81" spans="2:2">
      <c r="B81" t="s">
        <v>204</v>
      </c>
    </row>
    <row r="82" spans="2:2">
      <c r="B82" t="s">
        <v>205</v>
      </c>
    </row>
    <row r="83" spans="2:2">
      <c r="B83" t="s">
        <v>206</v>
      </c>
    </row>
    <row r="84" spans="2:2">
      <c r="B84" t="s">
        <v>207</v>
      </c>
    </row>
    <row r="85" spans="2:2">
      <c r="B85" t="s">
        <v>208</v>
      </c>
    </row>
    <row r="86" spans="2:2">
      <c r="B86" s="40" t="s">
        <v>209</v>
      </c>
    </row>
    <row r="88" spans="2:2">
      <c r="B88" t="s">
        <v>210</v>
      </c>
    </row>
    <row r="89" spans="2:2">
      <c r="B89" t="s">
        <v>211</v>
      </c>
    </row>
    <row r="90" spans="2:2">
      <c r="B90" t="s">
        <v>212</v>
      </c>
    </row>
    <row r="91" spans="2:2">
      <c r="B91" t="s">
        <v>213</v>
      </c>
    </row>
    <row r="94" spans="2:2">
      <c r="B94" s="34" t="s">
        <v>229</v>
      </c>
    </row>
    <row r="96" spans="2:2">
      <c r="B96" t="s">
        <v>214</v>
      </c>
    </row>
    <row r="97" spans="2:14">
      <c r="B97" t="s">
        <v>215</v>
      </c>
    </row>
    <row r="98" spans="2:14">
      <c r="B98" t="s">
        <v>216</v>
      </c>
    </row>
    <row r="100" spans="2:14">
      <c r="B100" t="s">
        <v>217</v>
      </c>
    </row>
    <row r="101" spans="2:14">
      <c r="B101" t="s">
        <v>218</v>
      </c>
    </row>
    <row r="103" spans="2:14">
      <c r="B103" t="s">
        <v>219</v>
      </c>
    </row>
    <row r="104" spans="2:14">
      <c r="B104" t="s">
        <v>220</v>
      </c>
    </row>
    <row r="105" spans="2:14">
      <c r="B105" t="s">
        <v>221</v>
      </c>
    </row>
    <row r="106" spans="2:14">
      <c r="B106" t="s">
        <v>222</v>
      </c>
    </row>
    <row r="108" spans="2:14">
      <c r="B108" t="s">
        <v>223</v>
      </c>
    </row>
    <row r="109" spans="2:14">
      <c r="B109" t="s">
        <v>234</v>
      </c>
      <c r="N109" t="s">
        <v>233</v>
      </c>
    </row>
    <row r="110" spans="2:14">
      <c r="B110" t="s">
        <v>224</v>
      </c>
    </row>
    <row r="111" spans="2:14">
      <c r="B111" s="41" t="s">
        <v>235</v>
      </c>
    </row>
    <row r="112" spans="2:14">
      <c r="B112" t="s">
        <v>225</v>
      </c>
    </row>
    <row r="113" spans="2:2">
      <c r="B113" t="s">
        <v>226</v>
      </c>
    </row>
    <row r="115" spans="2:2">
      <c r="B115" t="s">
        <v>227</v>
      </c>
    </row>
    <row r="116" spans="2:2">
      <c r="B116" t="s">
        <v>228</v>
      </c>
    </row>
    <row r="119" spans="2:2">
      <c r="B119" s="34" t="s">
        <v>230</v>
      </c>
    </row>
    <row r="121" spans="2:2">
      <c r="B121" t="s">
        <v>231</v>
      </c>
    </row>
    <row r="122" spans="2:2">
      <c r="B122" t="s">
        <v>232</v>
      </c>
    </row>
    <row r="123" spans="2:2">
      <c r="B123" t="s">
        <v>239</v>
      </c>
    </row>
    <row r="125" spans="2:2">
      <c r="B125" t="s">
        <v>238</v>
      </c>
    </row>
    <row r="126" spans="2:2">
      <c r="B126" t="s">
        <v>236</v>
      </c>
    </row>
    <row r="127" spans="2:2">
      <c r="B127" t="s">
        <v>248</v>
      </c>
    </row>
    <row r="128" spans="2:2">
      <c r="B128" t="s">
        <v>237</v>
      </c>
    </row>
    <row r="130" spans="2:2">
      <c r="B130" t="s">
        <v>240</v>
      </c>
    </row>
    <row r="131" spans="2:2">
      <c r="B131" t="s">
        <v>241</v>
      </c>
    </row>
    <row r="132" spans="2:2">
      <c r="B132" t="s">
        <v>243</v>
      </c>
    </row>
    <row r="133" spans="2:2">
      <c r="B133" t="s">
        <v>242</v>
      </c>
    </row>
    <row r="134" spans="2:2">
      <c r="B134" t="s">
        <v>244</v>
      </c>
    </row>
    <row r="135" spans="2:2">
      <c r="B135" t="s">
        <v>247</v>
      </c>
    </row>
    <row r="136" spans="2:2">
      <c r="B136" t="s">
        <v>245</v>
      </c>
    </row>
    <row r="138" spans="2:2">
      <c r="B138" t="s">
        <v>246</v>
      </c>
    </row>
    <row r="139" spans="2:2">
      <c r="B139" t="s">
        <v>249</v>
      </c>
    </row>
    <row r="141" spans="2:2">
      <c r="B141" t="s">
        <v>250</v>
      </c>
    </row>
    <row r="142" spans="2:2">
      <c r="B142" t="s">
        <v>251</v>
      </c>
    </row>
    <row r="143" spans="2:2">
      <c r="B143" t="s">
        <v>252</v>
      </c>
    </row>
    <row r="144" spans="2:2">
      <c r="B144" t="s">
        <v>253</v>
      </c>
    </row>
    <row r="146" spans="2:2">
      <c r="B146" t="s">
        <v>254</v>
      </c>
    </row>
    <row r="147" spans="2:2">
      <c r="B147" t="s">
        <v>255</v>
      </c>
    </row>
    <row r="148" spans="2:2">
      <c r="B148" t="s">
        <v>256</v>
      </c>
    </row>
    <row r="149" spans="2:2">
      <c r="B149" t="s">
        <v>257</v>
      </c>
    </row>
    <row r="150" spans="2:2">
      <c r="B150" t="s">
        <v>258</v>
      </c>
    </row>
    <row r="151" spans="2:2">
      <c r="B151" t="s">
        <v>259</v>
      </c>
    </row>
    <row r="154" spans="2:2">
      <c r="B154" s="34" t="s">
        <v>260</v>
      </c>
    </row>
    <row r="156" spans="2:2">
      <c r="B156" t="s">
        <v>261</v>
      </c>
    </row>
    <row r="157" spans="2:2">
      <c r="B157" t="s">
        <v>262</v>
      </c>
    </row>
    <row r="159" spans="2:2">
      <c r="B159" t="s">
        <v>263</v>
      </c>
    </row>
    <row r="160" spans="2:2">
      <c r="B160" t="s">
        <v>264</v>
      </c>
    </row>
    <row r="162" spans="2:2">
      <c r="B162" t="s">
        <v>265</v>
      </c>
    </row>
    <row r="163" spans="2:2">
      <c r="B163" t="s">
        <v>266</v>
      </c>
    </row>
    <row r="164" spans="2:2">
      <c r="B164" t="s">
        <v>267</v>
      </c>
    </row>
    <row r="165" spans="2:2">
      <c r="B165" t="s">
        <v>268</v>
      </c>
    </row>
    <row r="167" spans="2:2">
      <c r="B167" t="s">
        <v>269</v>
      </c>
    </row>
    <row r="168" spans="2:2">
      <c r="B168" t="s">
        <v>270</v>
      </c>
    </row>
    <row r="169" spans="2:2">
      <c r="B169" t="s">
        <v>271</v>
      </c>
    </row>
    <row r="170" spans="2:2">
      <c r="B170" t="s">
        <v>272</v>
      </c>
    </row>
    <row r="171" spans="2:2">
      <c r="B171" t="s">
        <v>273</v>
      </c>
    </row>
    <row r="172" spans="2:2">
      <c r="B172" t="s">
        <v>274</v>
      </c>
    </row>
    <row r="174" spans="2:2">
      <c r="B174" t="s">
        <v>275</v>
      </c>
    </row>
    <row r="175" spans="2:2">
      <c r="B175" t="s">
        <v>276</v>
      </c>
    </row>
    <row r="176" spans="2:2">
      <c r="B176" t="s">
        <v>277</v>
      </c>
    </row>
    <row r="178" spans="2:2">
      <c r="B178" t="s">
        <v>278</v>
      </c>
    </row>
    <row r="179" spans="2:2">
      <c r="B179" t="s">
        <v>279</v>
      </c>
    </row>
    <row r="180" spans="2:2">
      <c r="B180" t="s">
        <v>280</v>
      </c>
    </row>
    <row r="181" spans="2:2">
      <c r="B181" s="42" t="s">
        <v>281</v>
      </c>
    </row>
    <row r="182" spans="2:2">
      <c r="B182" t="s">
        <v>283</v>
      </c>
    </row>
    <row r="183" spans="2:2">
      <c r="B183" t="s">
        <v>282</v>
      </c>
    </row>
    <row r="186" spans="2:2">
      <c r="B186" s="34" t="s">
        <v>284</v>
      </c>
    </row>
    <row r="188" spans="2:2">
      <c r="B188" t="s">
        <v>285</v>
      </c>
    </row>
    <row r="189" spans="2:2">
      <c r="B189" t="s">
        <v>286</v>
      </c>
    </row>
    <row r="190" spans="2:2">
      <c r="B190" t="s">
        <v>287</v>
      </c>
    </row>
    <row r="192" spans="2:2">
      <c r="B192" t="s">
        <v>310</v>
      </c>
    </row>
    <row r="206" spans="2:2">
      <c r="B206" t="s">
        <v>288</v>
      </c>
    </row>
    <row r="207" spans="2:2">
      <c r="B207" t="s">
        <v>289</v>
      </c>
    </row>
    <row r="210" spans="2:12">
      <c r="B210" s="43"/>
      <c r="C210" s="45" t="s">
        <v>290</v>
      </c>
      <c r="D210" s="45" t="s">
        <v>291</v>
      </c>
      <c r="E210" s="45" t="s">
        <v>292</v>
      </c>
      <c r="F210" s="45" t="s">
        <v>293</v>
      </c>
      <c r="G210" s="45" t="s">
        <v>294</v>
      </c>
      <c r="H210" s="45" t="s">
        <v>295</v>
      </c>
    </row>
    <row r="211" spans="2:12">
      <c r="B211" s="43" t="s">
        <v>298</v>
      </c>
      <c r="C211" s="43">
        <v>275</v>
      </c>
      <c r="D211" s="43">
        <v>270</v>
      </c>
      <c r="E211" s="43">
        <v>548</v>
      </c>
      <c r="F211" s="43">
        <v>613</v>
      </c>
      <c r="G211" s="43">
        <v>446</v>
      </c>
      <c r="H211" s="43">
        <v>372</v>
      </c>
      <c r="J211" t="s">
        <v>300</v>
      </c>
    </row>
    <row r="212" spans="2:12">
      <c r="B212" s="43" t="s">
        <v>296</v>
      </c>
      <c r="C212" s="44">
        <v>-0.184</v>
      </c>
      <c r="D212" s="44">
        <v>-7.3999999999999996E-2</v>
      </c>
      <c r="E212" s="44">
        <v>0.69099999999999995</v>
      </c>
      <c r="F212" s="44">
        <v>0.96499999999999997</v>
      </c>
      <c r="G212" s="44">
        <v>0.58699999999999997</v>
      </c>
      <c r="H212" s="44">
        <v>0.36499999999999999</v>
      </c>
      <c r="J212" t="s">
        <v>301</v>
      </c>
    </row>
    <row r="213" spans="2:12">
      <c r="B213" s="43" t="s">
        <v>297</v>
      </c>
      <c r="C213" s="44">
        <v>-0.11899999999999999</v>
      </c>
      <c r="D213" s="44">
        <v>-1.7999999999999999E-2</v>
      </c>
      <c r="E213" s="44">
        <v>1.03</v>
      </c>
      <c r="F213" s="44">
        <v>0.11899999999999999</v>
      </c>
      <c r="G213" s="44">
        <v>-0.27600000000000002</v>
      </c>
      <c r="H213" s="44">
        <v>-0.16400000000000001</v>
      </c>
    </row>
    <row r="214" spans="2:12">
      <c r="B214" s="47" t="s">
        <v>299</v>
      </c>
      <c r="C214" s="46">
        <v>12.524100000000001</v>
      </c>
      <c r="D214" s="46">
        <v>-48.933700000000002</v>
      </c>
      <c r="E214" s="46">
        <v>202.46619999999999</v>
      </c>
      <c r="F214" s="46">
        <v>149.8766</v>
      </c>
      <c r="G214" s="46">
        <v>148.43780000000001</v>
      </c>
      <c r="H214" s="46">
        <v>47.432299999999998</v>
      </c>
    </row>
    <row r="220" spans="2:12">
      <c r="L220" t="s">
        <v>302</v>
      </c>
    </row>
    <row r="221" spans="2:12">
      <c r="L221" t="s">
        <v>333</v>
      </c>
    </row>
    <row r="227" spans="2:8">
      <c r="B227" t="s">
        <v>309</v>
      </c>
    </row>
    <row r="229" spans="2:8">
      <c r="B229" s="43"/>
      <c r="C229" s="43" t="s">
        <v>304</v>
      </c>
      <c r="D229" s="43" t="s">
        <v>311</v>
      </c>
      <c r="E229" s="43" t="s">
        <v>312</v>
      </c>
      <c r="F229" s="43" t="s">
        <v>313</v>
      </c>
    </row>
    <row r="230" spans="2:8">
      <c r="B230" s="43" t="s">
        <v>305</v>
      </c>
      <c r="C230" s="43">
        <v>3840</v>
      </c>
      <c r="D230" s="43">
        <v>4475</v>
      </c>
      <c r="E230" s="43">
        <v>4080</v>
      </c>
      <c r="F230" s="43">
        <v>4320</v>
      </c>
      <c r="H230" t="s">
        <v>314</v>
      </c>
    </row>
    <row r="231" spans="2:8">
      <c r="B231" s="43" t="s">
        <v>306</v>
      </c>
      <c r="C231" s="43">
        <v>970</v>
      </c>
      <c r="D231" s="43">
        <v>864</v>
      </c>
      <c r="E231" s="43">
        <v>870</v>
      </c>
      <c r="F231" s="43">
        <v>870</v>
      </c>
      <c r="H231" t="s">
        <v>315</v>
      </c>
    </row>
    <row r="232" spans="2:8">
      <c r="B232" s="43" t="s">
        <v>307</v>
      </c>
      <c r="C232" s="43">
        <v>3945</v>
      </c>
      <c r="D232" s="43">
        <v>4441</v>
      </c>
      <c r="E232" s="43">
        <v>3361</v>
      </c>
      <c r="F232" s="43">
        <v>3257</v>
      </c>
      <c r="H232" t="s">
        <v>316</v>
      </c>
    </row>
    <row r="233" spans="2:8">
      <c r="B233" s="43" t="s">
        <v>303</v>
      </c>
      <c r="C233" s="43">
        <v>13.5</v>
      </c>
      <c r="D233" s="43">
        <v>15</v>
      </c>
      <c r="E233" s="43">
        <v>15</v>
      </c>
      <c r="F233" s="43">
        <v>13.8</v>
      </c>
      <c r="H233" t="s">
        <v>317</v>
      </c>
    </row>
    <row r="234" spans="2:8">
      <c r="B234" s="43" t="s">
        <v>308</v>
      </c>
      <c r="C234" s="43">
        <v>53000</v>
      </c>
      <c r="D234" s="43">
        <v>68000</v>
      </c>
      <c r="E234" s="43">
        <v>50000</v>
      </c>
      <c r="F234" s="43">
        <v>60000</v>
      </c>
    </row>
    <row r="237" spans="2:8">
      <c r="B237" t="s">
        <v>318</v>
      </c>
    </row>
    <row r="238" spans="2:8">
      <c r="B238" s="32" t="s">
        <v>319</v>
      </c>
    </row>
    <row r="239" spans="2:8">
      <c r="B239" s="32" t="s">
        <v>320</v>
      </c>
    </row>
    <row r="240" spans="2:8">
      <c r="B240" s="32" t="s">
        <v>321</v>
      </c>
    </row>
    <row r="242" spans="2:2">
      <c r="B242" s="33" t="s">
        <v>322</v>
      </c>
    </row>
    <row r="243" spans="2:2">
      <c r="B243" s="33"/>
    </row>
    <row r="244" spans="2:2">
      <c r="B244" t="s">
        <v>323</v>
      </c>
    </row>
    <row r="245" spans="2:2">
      <c r="B245" t="s">
        <v>324</v>
      </c>
    </row>
    <row r="246" spans="2:2">
      <c r="B246" t="s">
        <v>325</v>
      </c>
    </row>
    <row r="247" spans="2:2">
      <c r="B247" t="s">
        <v>326</v>
      </c>
    </row>
    <row r="249" spans="2:2">
      <c r="B249" t="s">
        <v>329</v>
      </c>
    </row>
    <row r="250" spans="2:2">
      <c r="B250" t="s">
        <v>327</v>
      </c>
    </row>
    <row r="251" spans="2:2">
      <c r="B251" t="s">
        <v>328</v>
      </c>
    </row>
    <row r="252" spans="2:2">
      <c r="B252" t="s">
        <v>330</v>
      </c>
    </row>
    <row r="253" spans="2:2">
      <c r="B253" t="s">
        <v>331</v>
      </c>
    </row>
    <row r="255" spans="2:2">
      <c r="B255" t="s">
        <v>332</v>
      </c>
    </row>
    <row r="256" spans="2:2">
      <c r="B256" t="s">
        <v>334</v>
      </c>
    </row>
    <row r="257" spans="2:2">
      <c r="B257" t="s">
        <v>335</v>
      </c>
    </row>
    <row r="259" spans="2:2">
      <c r="B259" t="s">
        <v>336</v>
      </c>
    </row>
    <row r="260" spans="2:2">
      <c r="B260" t="s">
        <v>337</v>
      </c>
    </row>
    <row r="261" spans="2:2">
      <c r="B261" t="s">
        <v>338</v>
      </c>
    </row>
    <row r="263" spans="2:2">
      <c r="B263" t="s">
        <v>339</v>
      </c>
    </row>
    <row r="264" spans="2:2">
      <c r="B264" t="s">
        <v>340</v>
      </c>
    </row>
    <row r="265" spans="2:2">
      <c r="B265" t="s">
        <v>341</v>
      </c>
    </row>
    <row r="266" spans="2:2">
      <c r="B266" t="s">
        <v>342</v>
      </c>
    </row>
    <row r="267" spans="2:2">
      <c r="B267" t="s">
        <v>352</v>
      </c>
    </row>
    <row r="269" spans="2:2">
      <c r="B269" t="s">
        <v>343</v>
      </c>
    </row>
    <row r="270" spans="2:2">
      <c r="B270" t="s">
        <v>344</v>
      </c>
    </row>
    <row r="271" spans="2:2">
      <c r="B271" t="s">
        <v>345</v>
      </c>
    </row>
    <row r="272" spans="2:2">
      <c r="B272" t="s">
        <v>346</v>
      </c>
    </row>
    <row r="273" spans="2:2">
      <c r="B273" t="s">
        <v>347</v>
      </c>
    </row>
    <row r="281" spans="2:2">
      <c r="B281" t="s">
        <v>353</v>
      </c>
    </row>
    <row r="282" spans="2:2">
      <c r="B282" t="s">
        <v>354</v>
      </c>
    </row>
    <row r="283" spans="2:2">
      <c r="B283" t="s">
        <v>355</v>
      </c>
    </row>
    <row r="285" spans="2:2">
      <c r="B285" t="s">
        <v>348</v>
      </c>
    </row>
    <row r="286" spans="2:2">
      <c r="B286" t="s">
        <v>349</v>
      </c>
    </row>
    <row r="287" spans="2:2">
      <c r="B287" t="s">
        <v>350</v>
      </c>
    </row>
    <row r="288" spans="2:2">
      <c r="B288" t="s">
        <v>351</v>
      </c>
    </row>
    <row r="289" spans="2:2">
      <c r="B289" t="s">
        <v>356</v>
      </c>
    </row>
    <row r="291" spans="2:2">
      <c r="B291" t="s">
        <v>358</v>
      </c>
    </row>
    <row r="292" spans="2:2">
      <c r="B292" t="s">
        <v>359</v>
      </c>
    </row>
    <row r="293" spans="2:2">
      <c r="B293" t="s">
        <v>360</v>
      </c>
    </row>
    <row r="295" spans="2:2">
      <c r="B295" t="s">
        <v>357</v>
      </c>
    </row>
    <row r="296" spans="2:2">
      <c r="B296" t="s">
        <v>366</v>
      </c>
    </row>
  </sheetData>
  <phoneticPr fontId="2" type="noConversion"/>
  <hyperlinks>
    <hyperlink ref="B16" r:id="rId1" xr:uid="{4E7502C7-48AA-429F-8F65-ED541E73C6F5}"/>
    <hyperlink ref="B18" r:id="rId2" xr:uid="{32C3E437-0AD4-43D1-A04A-34EB2A8E2ABD}"/>
    <hyperlink ref="B20" r:id="rId3" xr:uid="{527034F0-104B-4244-80C4-E4E33FEA769B}"/>
    <hyperlink ref="B22" r:id="rId4" xr:uid="{29AFB7EC-E345-458D-A62A-4663926BFF81}"/>
    <hyperlink ref="B24" r:id="rId5" xr:uid="{8C3973CB-A0DA-430B-8E64-2A1AD063D82A}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BE45A-9A7C-426D-A142-C7CC1614AC45}">
  <dimension ref="A2:AC45"/>
  <sheetViews>
    <sheetView showGridLines="0" workbookViewId="0">
      <pane xSplit="2" ySplit="3" topLeftCell="N25" activePane="bottomRight" state="frozen"/>
      <selection pane="topRight" activeCell="C1" sqref="C1"/>
      <selection pane="bottomLeft" activeCell="A4" sqref="A4"/>
      <selection pane="bottomRight" activeCell="AB30" sqref="P30:AB30"/>
    </sheetView>
  </sheetViews>
  <sheetFormatPr defaultRowHeight="17.399999999999999"/>
  <cols>
    <col min="2" max="2" width="29.8984375" bestFit="1" customWidth="1"/>
    <col min="3" max="3" width="9.09765625" bestFit="1" customWidth="1"/>
    <col min="4" max="5" width="9.19921875" bestFit="1" customWidth="1"/>
    <col min="6" max="6" width="9.5" bestFit="1" customWidth="1"/>
    <col min="7" max="19" width="9.09765625" bestFit="1" customWidth="1"/>
    <col min="20" max="20" width="9.5" bestFit="1" customWidth="1"/>
    <col min="21" max="23" width="9.09765625" bestFit="1" customWidth="1"/>
    <col min="24" max="24" width="9.796875" bestFit="1" customWidth="1"/>
    <col min="25" max="27" width="9.09765625" bestFit="1" customWidth="1"/>
    <col min="28" max="28" width="9.796875" bestFit="1" customWidth="1"/>
  </cols>
  <sheetData>
    <row r="2" spans="1:28" s="31" customFormat="1" ht="54">
      <c r="A2"/>
      <c r="B2"/>
      <c r="C2" s="30" t="s">
        <v>65</v>
      </c>
      <c r="D2" s="30"/>
      <c r="E2" s="30" t="s">
        <v>64</v>
      </c>
      <c r="F2" s="30"/>
      <c r="G2" s="30" t="s">
        <v>69</v>
      </c>
      <c r="H2" s="30" t="s">
        <v>73</v>
      </c>
      <c r="I2" s="30" t="s">
        <v>68</v>
      </c>
      <c r="J2" s="30" t="s">
        <v>66</v>
      </c>
      <c r="K2" s="30"/>
      <c r="L2" s="30" t="s">
        <v>70</v>
      </c>
      <c r="M2" s="30" t="s">
        <v>71</v>
      </c>
      <c r="N2" s="30"/>
      <c r="O2" s="30"/>
      <c r="P2" s="30"/>
      <c r="Q2" s="30" t="s">
        <v>72</v>
      </c>
      <c r="R2" s="30"/>
      <c r="S2" s="30"/>
      <c r="T2" s="30" t="s">
        <v>67</v>
      </c>
      <c r="U2" s="30"/>
      <c r="V2" s="30"/>
      <c r="W2" s="30"/>
      <c r="X2" s="30"/>
      <c r="Y2" s="30"/>
      <c r="Z2" s="30"/>
      <c r="AA2" s="30"/>
      <c r="AB2" s="30"/>
    </row>
    <row r="3" spans="1:28">
      <c r="B3" s="6" t="s">
        <v>0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32</v>
      </c>
      <c r="H3" s="7" t="s">
        <v>33</v>
      </c>
      <c r="I3" s="7" t="s">
        <v>34</v>
      </c>
      <c r="J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7" t="s">
        <v>41</v>
      </c>
      <c r="Q3" s="7" t="s">
        <v>42</v>
      </c>
      <c r="R3" s="7" t="s">
        <v>43</v>
      </c>
      <c r="S3" s="7" t="s">
        <v>44</v>
      </c>
      <c r="T3" s="7" t="s">
        <v>45</v>
      </c>
      <c r="U3" s="7" t="s">
        <v>46</v>
      </c>
      <c r="V3" s="7" t="s">
        <v>47</v>
      </c>
      <c r="W3" s="7" t="s">
        <v>26</v>
      </c>
      <c r="X3" s="7" t="s">
        <v>27</v>
      </c>
      <c r="Y3" s="7" t="s">
        <v>48</v>
      </c>
      <c r="Z3" s="7" t="s">
        <v>49</v>
      </c>
      <c r="AA3" s="7" t="s">
        <v>50</v>
      </c>
      <c r="AB3" s="7" t="s">
        <v>51</v>
      </c>
    </row>
    <row r="4" spans="1:28">
      <c r="B4" s="8" t="s">
        <v>17</v>
      </c>
      <c r="C4" s="9">
        <v>755.17550000000006</v>
      </c>
      <c r="D4" s="9">
        <v>1126.8219999999999</v>
      </c>
      <c r="E4" s="9">
        <v>1169.8648000000001</v>
      </c>
      <c r="F4" s="9">
        <v>995.77760000000001</v>
      </c>
      <c r="G4" s="9">
        <v>1326.3043</v>
      </c>
      <c r="H4" s="9">
        <v>1522.7316000000001</v>
      </c>
      <c r="I4" s="9">
        <v>1344.0172</v>
      </c>
      <c r="J4" s="9">
        <v>1166.3119999999999</v>
      </c>
      <c r="K4" s="9">
        <v>1331.8733</v>
      </c>
      <c r="L4" s="9">
        <v>1316.6692</v>
      </c>
      <c r="M4" s="9">
        <v>1182.9885999999999</v>
      </c>
      <c r="N4" s="9">
        <v>1056.1573000000001</v>
      </c>
      <c r="O4" s="9">
        <v>1008.9481</v>
      </c>
      <c r="P4" s="9">
        <v>885.20389999999998</v>
      </c>
      <c r="Q4" s="9">
        <v>963.99609999999996</v>
      </c>
      <c r="R4" s="9">
        <v>1179.7465</v>
      </c>
      <c r="S4" s="9">
        <v>914.29229999999995</v>
      </c>
      <c r="T4" s="9">
        <v>940.28399999999999</v>
      </c>
      <c r="U4" s="9">
        <v>972.70150000000001</v>
      </c>
      <c r="V4" s="9">
        <v>1029.5234</v>
      </c>
      <c r="W4" s="9">
        <v>857.57299999999998</v>
      </c>
      <c r="X4" s="9">
        <v>783.55960000000005</v>
      </c>
      <c r="Y4" s="9">
        <v>849.26369999999997</v>
      </c>
      <c r="Z4" s="9">
        <v>844.44899999999996</v>
      </c>
      <c r="AA4" s="9">
        <v>854.4049</v>
      </c>
      <c r="AB4" s="9">
        <v>817.61419999999998</v>
      </c>
    </row>
    <row r="5" spans="1:28">
      <c r="B5" s="11" t="s">
        <v>13</v>
      </c>
      <c r="C5" s="10">
        <v>1.3744000000000001</v>
      </c>
      <c r="D5" s="10">
        <v>2.4115000000000002</v>
      </c>
      <c r="E5" s="10">
        <v>3.2376999999999998</v>
      </c>
      <c r="F5" s="10">
        <v>3.0188999999999999</v>
      </c>
      <c r="G5" s="10">
        <v>0.75629999999999997</v>
      </c>
      <c r="H5" s="10">
        <v>0.35139999999999999</v>
      </c>
      <c r="I5" s="10">
        <v>0.1489</v>
      </c>
      <c r="J5" s="10">
        <v>0.17130000000000001</v>
      </c>
      <c r="K5" s="10">
        <v>4.1999999999999997E-3</v>
      </c>
      <c r="L5" s="10">
        <v>-0.1353</v>
      </c>
      <c r="M5" s="10">
        <v>-0.1198</v>
      </c>
      <c r="N5" s="10">
        <v>-9.4399999999999998E-2</v>
      </c>
      <c r="O5" s="10">
        <v>-0.24249999999999999</v>
      </c>
      <c r="P5" s="10">
        <v>-0.32769999999999999</v>
      </c>
      <c r="Q5" s="10">
        <v>-0.18509999999999999</v>
      </c>
      <c r="R5" s="10">
        <v>0.11700000000000001</v>
      </c>
      <c r="S5" s="10">
        <v>-9.3799999999999994E-2</v>
      </c>
      <c r="T5" s="10">
        <v>6.2199999999999998E-2</v>
      </c>
      <c r="U5" s="10">
        <v>8.9999999999999993E-3</v>
      </c>
      <c r="V5" s="10">
        <v>-0.1273</v>
      </c>
      <c r="W5" s="10">
        <v>-6.2E-2</v>
      </c>
      <c r="X5" s="10">
        <v>-0.16669999999999999</v>
      </c>
      <c r="Y5" s="10">
        <v>-0.12690000000000001</v>
      </c>
      <c r="Z5" s="10">
        <v>-0.17979999999999999</v>
      </c>
      <c r="AA5" s="10">
        <v>-3.7000000000000002E-3</v>
      </c>
      <c r="AB5" s="10">
        <v>4.3499999999999997E-2</v>
      </c>
    </row>
    <row r="6" spans="1:28">
      <c r="B6" s="11" t="s">
        <v>14</v>
      </c>
      <c r="C6" s="10"/>
      <c r="D6" s="10">
        <f>D4/C4-1</f>
        <v>0.49213262347626463</v>
      </c>
      <c r="E6" s="10">
        <f t="shared" ref="E6:AB6" si="0">E4/D4-1</f>
        <v>3.8198402232118456E-2</v>
      </c>
      <c r="F6" s="10">
        <f t="shared" si="0"/>
        <v>-0.14880967441707793</v>
      </c>
      <c r="G6" s="10">
        <f t="shared" si="0"/>
        <v>0.33192823377428859</v>
      </c>
      <c r="H6" s="10">
        <f t="shared" si="0"/>
        <v>0.14810123136900044</v>
      </c>
      <c r="I6" s="10">
        <f t="shared" si="0"/>
        <v>-0.11736434707206445</v>
      </c>
      <c r="J6" s="10">
        <f t="shared" si="0"/>
        <v>-0.13221943885837184</v>
      </c>
      <c r="K6" s="10">
        <f t="shared" si="0"/>
        <v>0.14195283937745651</v>
      </c>
      <c r="L6" s="10">
        <f t="shared" si="0"/>
        <v>-1.1415575340387063E-2</v>
      </c>
      <c r="M6" s="10">
        <f t="shared" si="0"/>
        <v>-0.10152937427259645</v>
      </c>
      <c r="N6" s="10">
        <f t="shared" si="0"/>
        <v>-0.10721261388317671</v>
      </c>
      <c r="O6" s="10">
        <f t="shared" si="0"/>
        <v>-4.4699023526135861E-2</v>
      </c>
      <c r="P6" s="10">
        <f t="shared" si="0"/>
        <v>-0.12264674466407144</v>
      </c>
      <c r="Q6" s="10">
        <f t="shared" si="0"/>
        <v>8.9010226909302936E-2</v>
      </c>
      <c r="R6" s="10">
        <f t="shared" si="0"/>
        <v>0.22380837432848533</v>
      </c>
      <c r="S6" s="10">
        <f t="shared" si="0"/>
        <v>-0.22500952535142082</v>
      </c>
      <c r="T6" s="10">
        <f t="shared" si="0"/>
        <v>2.842821710299881E-2</v>
      </c>
      <c r="U6" s="10">
        <f t="shared" si="0"/>
        <v>3.4476285888093372E-2</v>
      </c>
      <c r="V6" s="10">
        <f t="shared" si="0"/>
        <v>5.8416585149709377E-2</v>
      </c>
      <c r="W6" s="10">
        <f t="shared" si="0"/>
        <v>-0.16701941888839056</v>
      </c>
      <c r="X6" s="10">
        <f t="shared" si="0"/>
        <v>-8.6305655611825349E-2</v>
      </c>
      <c r="Y6" s="10">
        <f t="shared" si="0"/>
        <v>8.3853353337767667E-2</v>
      </c>
      <c r="Z6" s="10">
        <f t="shared" si="0"/>
        <v>-5.6692638576216758E-3</v>
      </c>
      <c r="AA6" s="10">
        <f t="shared" si="0"/>
        <v>1.1789817975982109E-2</v>
      </c>
      <c r="AB6" s="10">
        <f t="shared" si="0"/>
        <v>-4.3060029267154243E-2</v>
      </c>
    </row>
    <row r="7" spans="1:28">
      <c r="B7" s="12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>
      <c r="B8" s="14" t="s">
        <v>2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B9" s="14" t="s">
        <v>3</v>
      </c>
      <c r="C9" s="15">
        <v>339.33</v>
      </c>
      <c r="D9" s="15">
        <v>298.76</v>
      </c>
      <c r="E9" s="15">
        <v>272.74</v>
      </c>
      <c r="F9" s="15">
        <v>380.57</v>
      </c>
      <c r="G9" s="15">
        <v>411.61</v>
      </c>
      <c r="H9" s="15">
        <v>407.8</v>
      </c>
      <c r="I9" s="15">
        <v>421.17</v>
      </c>
      <c r="J9" s="15">
        <v>382.53</v>
      </c>
      <c r="K9" s="15">
        <v>461.39046000000002</v>
      </c>
      <c r="L9" s="15">
        <v>578.27554999999995</v>
      </c>
      <c r="M9" s="15">
        <v>540.21559000000002</v>
      </c>
      <c r="N9" s="15">
        <v>506.65370000000001</v>
      </c>
      <c r="O9" s="15">
        <v>531.81509000000005</v>
      </c>
      <c r="P9" s="15">
        <v>570.44668999999999</v>
      </c>
      <c r="Q9" s="15">
        <v>558.25094000000001</v>
      </c>
      <c r="R9" s="15">
        <v>566.95492999999999</v>
      </c>
      <c r="S9" s="15">
        <v>625.01310000000001</v>
      </c>
      <c r="T9" s="15">
        <v>660.73009000000002</v>
      </c>
      <c r="U9" s="15">
        <v>740.13080000000002</v>
      </c>
      <c r="V9" s="15">
        <v>679.55687999999998</v>
      </c>
      <c r="W9" s="15">
        <v>629.79849000000002</v>
      </c>
      <c r="X9" s="15">
        <v>604.99051999999995</v>
      </c>
      <c r="Y9" s="15">
        <v>679.82387000000006</v>
      </c>
      <c r="Z9" s="15">
        <v>660.33695</v>
      </c>
      <c r="AA9" s="15">
        <v>586.86202000000003</v>
      </c>
      <c r="AB9" s="15">
        <v>610.96507999999994</v>
      </c>
    </row>
    <row r="10" spans="1:28">
      <c r="B10" s="14" t="s">
        <v>4</v>
      </c>
      <c r="C10" s="15">
        <v>415.85</v>
      </c>
      <c r="D10" s="15">
        <v>828.06</v>
      </c>
      <c r="E10" s="15">
        <v>897.12</v>
      </c>
      <c r="F10" s="15">
        <v>615.21</v>
      </c>
      <c r="G10" s="15">
        <v>873.95</v>
      </c>
      <c r="H10" s="15">
        <v>949.9</v>
      </c>
      <c r="I10" s="15">
        <v>763.59</v>
      </c>
      <c r="J10" s="15">
        <v>650.91999999999996</v>
      </c>
      <c r="K10" s="15">
        <v>722.74377000000004</v>
      </c>
      <c r="L10" s="15">
        <v>564.99734000000001</v>
      </c>
      <c r="M10" s="15">
        <v>515.40854000000002</v>
      </c>
      <c r="N10" s="15">
        <v>416.84607999999997</v>
      </c>
      <c r="O10" s="15">
        <v>358.25040000000001</v>
      </c>
      <c r="P10" s="15">
        <v>216.29334</v>
      </c>
      <c r="Q10" s="15">
        <v>263.63533999999999</v>
      </c>
      <c r="R10" s="15">
        <v>212.01449</v>
      </c>
      <c r="S10" s="15">
        <v>215.80350999999999</v>
      </c>
      <c r="T10" s="15">
        <v>196.07914</v>
      </c>
      <c r="U10" s="15">
        <v>149.42791</v>
      </c>
      <c r="V10" s="15">
        <v>142.1206</v>
      </c>
      <c r="W10" s="15">
        <v>167.41245000000001</v>
      </c>
      <c r="X10" s="15">
        <v>122.05135</v>
      </c>
      <c r="Y10" s="15">
        <v>112.89960000000001</v>
      </c>
      <c r="Z10" s="15">
        <v>95.82817</v>
      </c>
      <c r="AA10" s="15">
        <v>217.57814999999999</v>
      </c>
      <c r="AB10" s="15">
        <v>171.21351000000001</v>
      </c>
    </row>
    <row r="11" spans="1:28">
      <c r="B11" s="14" t="s">
        <v>5</v>
      </c>
      <c r="C11" s="15"/>
      <c r="D11" s="15"/>
      <c r="E11" s="15"/>
      <c r="F11" s="15"/>
      <c r="G11" s="15">
        <v>40.74</v>
      </c>
      <c r="H11" s="15">
        <v>165.03</v>
      </c>
      <c r="I11" s="15">
        <v>159.26</v>
      </c>
      <c r="J11" s="15">
        <v>110.19</v>
      </c>
      <c r="K11" s="15">
        <v>144.42796000000001</v>
      </c>
      <c r="L11" s="15">
        <v>160.99144999999999</v>
      </c>
      <c r="M11" s="15">
        <v>119.47337</v>
      </c>
      <c r="N11" s="15">
        <v>111.69168000000001</v>
      </c>
      <c r="O11" s="15">
        <v>115.39005</v>
      </c>
      <c r="P11" s="15">
        <v>92.913409999999999</v>
      </c>
      <c r="Q11" s="15">
        <v>77.460189999999997</v>
      </c>
      <c r="R11" s="15">
        <v>72.686610000000002</v>
      </c>
      <c r="S11" s="15">
        <v>53.583939999999998</v>
      </c>
      <c r="T11" s="15">
        <v>64.14385</v>
      </c>
      <c r="U11" s="15">
        <v>71.695930000000004</v>
      </c>
      <c r="V11" s="15">
        <v>63.487229999999997</v>
      </c>
      <c r="W11" s="15">
        <v>47.127870000000001</v>
      </c>
      <c r="X11" s="15">
        <v>40.020780000000002</v>
      </c>
      <c r="Y11" s="15">
        <v>51.674639999999997</v>
      </c>
      <c r="Z11" s="15">
        <v>43.325960000000002</v>
      </c>
      <c r="AA11" s="15">
        <v>42.639139999999998</v>
      </c>
      <c r="AB11" s="15">
        <v>33.083680000000001</v>
      </c>
    </row>
    <row r="12" spans="1:28">
      <c r="B12" s="14" t="s">
        <v>6</v>
      </c>
      <c r="C12" s="15"/>
      <c r="D12" s="15"/>
      <c r="E12" s="15"/>
      <c r="F12" s="15"/>
      <c r="G12" s="15"/>
      <c r="H12" s="15"/>
      <c r="I12" s="15"/>
      <c r="J12" s="15">
        <v>22.672989999999999</v>
      </c>
      <c r="K12" s="15">
        <v>3.3111600000000001</v>
      </c>
      <c r="L12" s="15">
        <v>12.40483</v>
      </c>
      <c r="M12" s="15">
        <v>7.8911199999999999</v>
      </c>
      <c r="N12" s="15">
        <v>20.96584</v>
      </c>
      <c r="O12" s="15">
        <v>3.4925999999999999</v>
      </c>
      <c r="P12" s="15">
        <v>5.5505100000000001</v>
      </c>
      <c r="Q12" s="15">
        <v>64.649600000000007</v>
      </c>
      <c r="R12" s="15">
        <v>328.09044999999998</v>
      </c>
      <c r="S12" s="15">
        <v>19.891729999999999</v>
      </c>
      <c r="T12" s="15">
        <v>19.330909999999999</v>
      </c>
      <c r="U12" s="15">
        <v>11.44688</v>
      </c>
      <c r="V12" s="15">
        <v>144.35874000000001</v>
      </c>
      <c r="W12" s="15">
        <v>13.23414</v>
      </c>
      <c r="X12" s="15">
        <v>16.496949999999998</v>
      </c>
      <c r="Y12" s="15">
        <v>4.8655499999999998</v>
      </c>
      <c r="Z12" s="15">
        <v>44.957940000000001</v>
      </c>
      <c r="AA12" s="15">
        <v>7.3256199999999998</v>
      </c>
      <c r="AB12" s="15">
        <v>2.35189</v>
      </c>
    </row>
    <row r="13" spans="1:28">
      <c r="B13" s="14" t="s">
        <v>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B14" s="14" t="s">
        <v>8</v>
      </c>
      <c r="C14" s="15">
        <v>475.76339999999999</v>
      </c>
      <c r="D14" s="15">
        <v>867.65139999999997</v>
      </c>
      <c r="E14" s="15">
        <v>818.90200000000004</v>
      </c>
      <c r="F14" s="15">
        <v>448.101</v>
      </c>
      <c r="G14" s="15">
        <v>456.73507999999998</v>
      </c>
      <c r="H14" s="15">
        <v>416.31461000000002</v>
      </c>
      <c r="I14" s="15">
        <v>381.95407</v>
      </c>
      <c r="J14" s="15">
        <v>310.35243000000003</v>
      </c>
      <c r="K14" s="15">
        <v>319.24763999999999</v>
      </c>
      <c r="L14" s="15">
        <v>289.56223999999997</v>
      </c>
      <c r="M14" s="15">
        <v>267.82972999999998</v>
      </c>
      <c r="N14" s="15">
        <v>233.94558000000001</v>
      </c>
      <c r="O14" s="15">
        <v>221.94248999999999</v>
      </c>
      <c r="P14" s="15">
        <v>152.29713000000001</v>
      </c>
      <c r="Q14" s="15">
        <v>167.48051000000001</v>
      </c>
      <c r="R14" s="15">
        <v>149.09998999999999</v>
      </c>
      <c r="S14" s="15">
        <v>184.62933000000001</v>
      </c>
      <c r="T14" s="15">
        <v>161.28121999999999</v>
      </c>
      <c r="U14" s="15">
        <v>172.1465</v>
      </c>
      <c r="V14" s="15">
        <v>167.44534999999999</v>
      </c>
      <c r="W14" s="15">
        <v>191.31961999999999</v>
      </c>
      <c r="X14" s="15">
        <v>158.81548000000001</v>
      </c>
      <c r="Y14" s="15">
        <v>229.05828</v>
      </c>
      <c r="Z14" s="15">
        <v>163.49583999999999</v>
      </c>
      <c r="AA14" s="15">
        <v>156.39607000000001</v>
      </c>
      <c r="AB14" s="15">
        <v>147.23572999999999</v>
      </c>
    </row>
    <row r="15" spans="1:28">
      <c r="B15" s="14" t="s">
        <v>9</v>
      </c>
      <c r="C15" s="15">
        <v>135.9324</v>
      </c>
      <c r="D15" s="15">
        <v>112.682</v>
      </c>
      <c r="E15" s="15">
        <v>93.588800000000006</v>
      </c>
      <c r="F15" s="15">
        <v>238.9872</v>
      </c>
      <c r="G15" s="15">
        <v>312.38851</v>
      </c>
      <c r="H15" s="15">
        <v>416.12624</v>
      </c>
      <c r="I15" s="15">
        <v>386.92252000000002</v>
      </c>
      <c r="J15" s="15">
        <v>359.81502</v>
      </c>
      <c r="K15" s="15">
        <v>559.37392999999997</v>
      </c>
      <c r="L15" s="15">
        <v>629.97407999999996</v>
      </c>
      <c r="M15" s="15">
        <v>535.01918000000001</v>
      </c>
      <c r="N15" s="15">
        <v>444.55054999999999</v>
      </c>
      <c r="O15" s="15">
        <v>500.58604000000003</v>
      </c>
      <c r="P15" s="15">
        <v>501.72440999999998</v>
      </c>
      <c r="Q15" s="15">
        <v>461.01976000000002</v>
      </c>
      <c r="R15" s="15">
        <v>452.07659999999998</v>
      </c>
      <c r="S15" s="15">
        <v>464.35334</v>
      </c>
      <c r="T15" s="15">
        <v>477.44490999999999</v>
      </c>
      <c r="U15" s="15">
        <v>539.96547999999996</v>
      </c>
      <c r="V15" s="15">
        <v>497.88202999999999</v>
      </c>
      <c r="W15" s="15">
        <v>463.05563000000001</v>
      </c>
      <c r="X15" s="15">
        <v>438.09669000000002</v>
      </c>
      <c r="Y15" s="15">
        <v>451.29746999999998</v>
      </c>
      <c r="Z15" s="15">
        <v>473.13193999999999</v>
      </c>
      <c r="AA15" s="15">
        <v>448.32956999999999</v>
      </c>
      <c r="AB15" s="15">
        <v>457.06339000000003</v>
      </c>
    </row>
    <row r="16" spans="1:28">
      <c r="B16" s="14" t="s">
        <v>10</v>
      </c>
      <c r="C16" s="15">
        <v>143.48419999999999</v>
      </c>
      <c r="D16" s="15">
        <v>146.48660000000001</v>
      </c>
      <c r="E16" s="15">
        <v>257.36919999999998</v>
      </c>
      <c r="F16" s="15">
        <v>308.6918</v>
      </c>
      <c r="G16" s="15">
        <v>557.18066999999996</v>
      </c>
      <c r="H16" s="15">
        <v>690.29079000000002</v>
      </c>
      <c r="I16" s="15">
        <v>575.14056000000005</v>
      </c>
      <c r="J16" s="15">
        <v>473.47156999999999</v>
      </c>
      <c r="K16" s="15">
        <v>449.94062000000002</v>
      </c>
      <c r="L16" s="15">
        <v>384.72802000000001</v>
      </c>
      <c r="M16" s="15">
        <v>372.24858999999998</v>
      </c>
      <c r="N16" s="15">
        <v>356.69533000000001</v>
      </c>
      <c r="O16" s="15">
        <v>282.92701</v>
      </c>
      <c r="P16" s="15">
        <v>225.6319</v>
      </c>
      <c r="Q16" s="15">
        <v>270.84620000000001</v>
      </c>
      <c r="R16" s="15">
        <v>250.47944000000001</v>
      </c>
      <c r="S16" s="15">
        <v>245.41788</v>
      </c>
      <c r="T16" s="15">
        <v>282.22694999999999</v>
      </c>
      <c r="U16" s="15">
        <v>249.14266000000001</v>
      </c>
      <c r="V16" s="15">
        <v>219.83733000000001</v>
      </c>
      <c r="W16" s="15">
        <v>189.96356</v>
      </c>
      <c r="X16" s="15">
        <v>170.15047999999999</v>
      </c>
      <c r="Y16" s="15">
        <v>164.04236</v>
      </c>
      <c r="Z16" s="15">
        <v>162.86330000000001</v>
      </c>
      <c r="AA16" s="15">
        <v>242.35366999999999</v>
      </c>
      <c r="AB16" s="15">
        <v>210.96315000000001</v>
      </c>
    </row>
    <row r="17" spans="2:29">
      <c r="B17" s="8" t="s">
        <v>11</v>
      </c>
      <c r="C17" s="9">
        <v>334.73739999999998</v>
      </c>
      <c r="D17" s="9">
        <v>549.31820000000005</v>
      </c>
      <c r="E17" s="9">
        <v>603.10550000000001</v>
      </c>
      <c r="F17" s="9">
        <v>193.92850000000001</v>
      </c>
      <c r="G17" s="9">
        <v>181.58770000000001</v>
      </c>
      <c r="H17" s="9">
        <v>569.20740000000001</v>
      </c>
      <c r="I17" s="9">
        <v>395.48660000000001</v>
      </c>
      <c r="J17" s="9">
        <v>359.75310000000002</v>
      </c>
      <c r="K17" s="9">
        <v>462.16379999999998</v>
      </c>
      <c r="L17" s="9">
        <v>505.63810000000001</v>
      </c>
      <c r="M17" s="9">
        <v>405.37560000000002</v>
      </c>
      <c r="N17" s="9">
        <v>199.76</v>
      </c>
      <c r="O17" s="9">
        <v>130.7747</v>
      </c>
      <c r="P17" s="9">
        <v>-59.857999999999997</v>
      </c>
      <c r="Q17" s="9">
        <v>102.2406</v>
      </c>
      <c r="R17" s="9">
        <v>256.66539999999998</v>
      </c>
      <c r="S17" s="9">
        <v>51.763599999999997</v>
      </c>
      <c r="T17" s="9">
        <v>-42.088900000000002</v>
      </c>
      <c r="U17" s="9">
        <v>119.56780000000001</v>
      </c>
      <c r="V17" s="9">
        <v>34.539900000000003</v>
      </c>
      <c r="W17" s="9">
        <v>10.943300000000001</v>
      </c>
      <c r="X17" s="9">
        <v>-141.03980000000001</v>
      </c>
      <c r="Y17" s="9">
        <v>21.337399999999999</v>
      </c>
      <c r="Z17" s="9">
        <v>-54.741500000000002</v>
      </c>
      <c r="AA17" s="9">
        <v>5.8764000000000003</v>
      </c>
      <c r="AB17" s="9">
        <v>-58.342100000000002</v>
      </c>
    </row>
    <row r="18" spans="2:29">
      <c r="B18" s="17" t="s">
        <v>15</v>
      </c>
      <c r="C18" s="19">
        <v>0.44330000000000003</v>
      </c>
      <c r="D18" s="19">
        <v>0.48749999999999999</v>
      </c>
      <c r="E18" s="19">
        <v>0.51549999999999996</v>
      </c>
      <c r="F18" s="19">
        <v>0.1948</v>
      </c>
      <c r="G18" s="19">
        <v>0.13689999999999999</v>
      </c>
      <c r="H18" s="19">
        <v>0.37380000000000002</v>
      </c>
      <c r="I18" s="19">
        <v>0.29430000000000001</v>
      </c>
      <c r="J18" s="19">
        <v>0.3085</v>
      </c>
      <c r="K18" s="19">
        <v>0.34699999999999998</v>
      </c>
      <c r="L18" s="19">
        <v>0.38400000000000001</v>
      </c>
      <c r="M18" s="19">
        <v>0.3427</v>
      </c>
      <c r="N18" s="19">
        <v>0.18909999999999999</v>
      </c>
      <c r="O18" s="19">
        <v>0.12959999999999999</v>
      </c>
      <c r="P18" s="19">
        <v>-6.7599999999999993E-2</v>
      </c>
      <c r="Q18" s="19">
        <v>0.1061</v>
      </c>
      <c r="R18" s="19">
        <v>0.21759999999999999</v>
      </c>
      <c r="S18" s="19">
        <v>5.6599999999999998E-2</v>
      </c>
      <c r="T18" s="19">
        <v>-4.48E-2</v>
      </c>
      <c r="U18" s="19">
        <v>0.1229</v>
      </c>
      <c r="V18" s="19">
        <v>3.3500000000000002E-2</v>
      </c>
      <c r="W18" s="19">
        <v>1.2800000000000001E-2</v>
      </c>
      <c r="X18" s="19">
        <v>-0.18</v>
      </c>
      <c r="Y18" s="19">
        <v>2.5100000000000001E-2</v>
      </c>
      <c r="Z18" s="19">
        <v>-6.4799999999999996E-2</v>
      </c>
      <c r="AA18" s="19">
        <v>6.8999999999999999E-3</v>
      </c>
      <c r="AB18" s="19">
        <v>-7.1400000000000005E-2</v>
      </c>
    </row>
    <row r="19" spans="2:29">
      <c r="B19" s="11" t="s">
        <v>13</v>
      </c>
      <c r="C19" s="19">
        <v>0.6028</v>
      </c>
      <c r="D19" s="19">
        <v>1.4756</v>
      </c>
      <c r="E19" s="19">
        <v>2.972</v>
      </c>
      <c r="F19" s="19">
        <v>1.996</v>
      </c>
      <c r="G19" s="19">
        <f>G17/C17-1</f>
        <v>-0.4575219261427016</v>
      </c>
      <c r="H19" s="19">
        <f t="shared" ref="H19:AB19" si="1">H17/D17-1</f>
        <v>3.620706541308838E-2</v>
      </c>
      <c r="I19" s="19">
        <f t="shared" si="1"/>
        <v>-0.34424972081998917</v>
      </c>
      <c r="J19" s="19">
        <f t="shared" si="1"/>
        <v>0.85508112526008295</v>
      </c>
      <c r="K19" s="19">
        <f t="shared" si="1"/>
        <v>1.5451272305337858</v>
      </c>
      <c r="L19" s="19">
        <f t="shared" si="1"/>
        <v>-0.11168038222974608</v>
      </c>
      <c r="M19" s="19">
        <f t="shared" si="1"/>
        <v>2.50046398537902E-2</v>
      </c>
      <c r="N19" s="19">
        <f t="shared" si="1"/>
        <v>-0.44473028863406605</v>
      </c>
      <c r="O19" s="19">
        <f t="shared" si="1"/>
        <v>-0.71703820160730891</v>
      </c>
      <c r="P19" s="19">
        <f t="shared" si="1"/>
        <v>-1.1183811109170769</v>
      </c>
      <c r="Q19" s="19">
        <f t="shared" si="1"/>
        <v>-0.74778797737209635</v>
      </c>
      <c r="R19" s="19">
        <f t="shared" si="1"/>
        <v>0.28486884261113321</v>
      </c>
      <c r="S19" s="19">
        <f t="shared" si="1"/>
        <v>-0.6041772605863367</v>
      </c>
      <c r="T19" s="19">
        <f t="shared" si="1"/>
        <v>-0.29685422165792363</v>
      </c>
      <c r="U19" s="19">
        <f t="shared" si="1"/>
        <v>0.16947474877886082</v>
      </c>
      <c r="V19" s="19">
        <f t="shared" si="1"/>
        <v>-0.86542829691886791</v>
      </c>
      <c r="W19" s="19">
        <f t="shared" si="1"/>
        <v>-0.78859082444034034</v>
      </c>
      <c r="X19" s="19">
        <f t="shared" si="1"/>
        <v>2.3509975314156466</v>
      </c>
      <c r="Y19" s="19">
        <f t="shared" si="1"/>
        <v>-0.82154560006958399</v>
      </c>
      <c r="Z19" s="19">
        <f t="shared" si="1"/>
        <v>-2.5848771999918934</v>
      </c>
      <c r="AA19" s="19">
        <f t="shared" si="1"/>
        <v>-0.46301389891531808</v>
      </c>
      <c r="AB19" s="19">
        <f t="shared" si="1"/>
        <v>-0.58634300388968219</v>
      </c>
    </row>
    <row r="20" spans="2:29">
      <c r="B20" s="11" t="s">
        <v>14</v>
      </c>
      <c r="C20" s="10"/>
      <c r="D20" s="18">
        <f>D17/C17-1</f>
        <v>0.6410422020365818</v>
      </c>
      <c r="E20" s="18">
        <f t="shared" ref="E20:AB20" si="2">E17/D17-1</f>
        <v>9.7916471728043852E-2</v>
      </c>
      <c r="F20" s="18">
        <f t="shared" si="2"/>
        <v>-0.67845012191067733</v>
      </c>
      <c r="G20" s="18">
        <f t="shared" si="2"/>
        <v>-6.3635824543581743E-2</v>
      </c>
      <c r="H20" s="18">
        <f t="shared" si="2"/>
        <v>2.1346142938095474</v>
      </c>
      <c r="I20" s="18">
        <f t="shared" si="2"/>
        <v>-0.30519771879283364</v>
      </c>
      <c r="J20" s="18">
        <f t="shared" si="2"/>
        <v>-9.0353250906604621E-2</v>
      </c>
      <c r="K20" s="18">
        <f t="shared" si="2"/>
        <v>0.28466940243183436</v>
      </c>
      <c r="L20" s="18">
        <f t="shared" si="2"/>
        <v>9.4066865470640471E-2</v>
      </c>
      <c r="M20" s="18">
        <f t="shared" si="2"/>
        <v>-0.19828905298077815</v>
      </c>
      <c r="N20" s="18">
        <f t="shared" si="2"/>
        <v>-0.50722243766028352</v>
      </c>
      <c r="O20" s="18">
        <f t="shared" si="2"/>
        <v>-0.34534090909090909</v>
      </c>
      <c r="P20" s="18">
        <f t="shared" si="2"/>
        <v>-1.4577185036555236</v>
      </c>
      <c r="Q20" s="18">
        <f t="shared" si="2"/>
        <v>-2.7080523906578904</v>
      </c>
      <c r="R20" s="18">
        <f t="shared" si="2"/>
        <v>1.5104058466010564</v>
      </c>
      <c r="S20" s="18">
        <f t="shared" si="2"/>
        <v>-0.79832264107277418</v>
      </c>
      <c r="T20" s="18">
        <f t="shared" si="2"/>
        <v>-1.8130983934656788</v>
      </c>
      <c r="U20" s="18">
        <f t="shared" si="2"/>
        <v>-3.8408392711617552</v>
      </c>
      <c r="V20" s="18">
        <f t="shared" si="2"/>
        <v>-0.71112707601879432</v>
      </c>
      <c r="W20" s="18">
        <f t="shared" si="2"/>
        <v>-0.68316932011962983</v>
      </c>
      <c r="X20" s="18">
        <f t="shared" si="2"/>
        <v>-13.888232982738296</v>
      </c>
      <c r="Y20" s="18">
        <f t="shared" si="2"/>
        <v>-1.1512863744843653</v>
      </c>
      <c r="Z20" s="18">
        <f t="shared" si="2"/>
        <v>-3.5655187604862824</v>
      </c>
      <c r="AA20" s="18">
        <f t="shared" si="2"/>
        <v>-1.107348172775682</v>
      </c>
      <c r="AB20" s="18">
        <f t="shared" si="2"/>
        <v>-10.928204342794908</v>
      </c>
    </row>
    <row r="21" spans="2:29">
      <c r="B21" s="8" t="s">
        <v>12</v>
      </c>
      <c r="C21" s="9">
        <v>278.33319999999998</v>
      </c>
      <c r="D21" s="9">
        <v>521.60550000000001</v>
      </c>
      <c r="E21" s="9">
        <v>517.10519999999997</v>
      </c>
      <c r="F21" s="9">
        <v>147.4179</v>
      </c>
      <c r="G21" s="9">
        <v>141.4736</v>
      </c>
      <c r="H21" s="9">
        <v>515.71950000000004</v>
      </c>
      <c r="I21" s="9">
        <v>438.35340000000002</v>
      </c>
      <c r="J21" s="9">
        <v>480.96559999999999</v>
      </c>
      <c r="K21" s="9">
        <v>483.32560000000001</v>
      </c>
      <c r="L21" s="9">
        <v>236.26990000000001</v>
      </c>
      <c r="M21" s="9">
        <v>277.70699999999999</v>
      </c>
      <c r="N21" s="9">
        <v>11.2372</v>
      </c>
      <c r="O21" s="9">
        <v>206.57159999999999</v>
      </c>
      <c r="P21" s="9">
        <v>28.439499999999999</v>
      </c>
      <c r="Q21" s="9">
        <v>268.05239999999998</v>
      </c>
      <c r="R21" s="9">
        <v>90.592100000000002</v>
      </c>
      <c r="S21" s="9">
        <v>58.027299999999997</v>
      </c>
      <c r="T21" s="9">
        <v>320.3723</v>
      </c>
      <c r="U21" s="9">
        <v>213.34119999999999</v>
      </c>
      <c r="V21" s="9">
        <v>-1021.7365</v>
      </c>
      <c r="W21" s="9">
        <v>93.944699999999997</v>
      </c>
      <c r="X21" s="9">
        <v>-44.342399999999998</v>
      </c>
      <c r="Y21" s="9">
        <v>148.42699999999999</v>
      </c>
      <c r="Z21" s="9">
        <v>-45.964500000000001</v>
      </c>
      <c r="AA21" s="9">
        <v>128.0162</v>
      </c>
      <c r="AB21" s="9">
        <v>91.309299999999993</v>
      </c>
    </row>
    <row r="22" spans="2:29">
      <c r="B22" s="17" t="s">
        <v>16</v>
      </c>
      <c r="C22" s="19">
        <v>0.36859999999999998</v>
      </c>
      <c r="D22" s="19">
        <v>0.46289999999999998</v>
      </c>
      <c r="E22" s="19">
        <v>0.442</v>
      </c>
      <c r="F22" s="19">
        <v>0.14799999999999999</v>
      </c>
      <c r="G22" s="19">
        <v>0.1067</v>
      </c>
      <c r="H22" s="19">
        <v>0.3387</v>
      </c>
      <c r="I22" s="19">
        <v>0.32619999999999999</v>
      </c>
      <c r="J22" s="19">
        <v>0.41239999999999999</v>
      </c>
      <c r="K22" s="19">
        <v>0.3629</v>
      </c>
      <c r="L22" s="19">
        <v>0.1794</v>
      </c>
      <c r="M22" s="19">
        <v>0.23480000000000001</v>
      </c>
      <c r="N22" s="19">
        <v>1.06E-2</v>
      </c>
      <c r="O22" s="19">
        <v>0.20469999999999999</v>
      </c>
      <c r="P22" s="19">
        <v>3.2099999999999997E-2</v>
      </c>
      <c r="Q22" s="19">
        <v>0.27810000000000001</v>
      </c>
      <c r="R22" s="19">
        <v>7.6799999999999993E-2</v>
      </c>
      <c r="S22" s="19">
        <v>6.3500000000000001E-2</v>
      </c>
      <c r="T22" s="19">
        <v>0.3407</v>
      </c>
      <c r="U22" s="19">
        <v>0.21929999999999999</v>
      </c>
      <c r="V22" s="19">
        <v>-0.99239999999999995</v>
      </c>
      <c r="W22" s="19">
        <v>0.1095</v>
      </c>
      <c r="X22" s="19">
        <v>-5.6599999999999998E-2</v>
      </c>
      <c r="Y22" s="19">
        <v>0.17480000000000001</v>
      </c>
      <c r="Z22" s="19">
        <v>-5.4399999999999997E-2</v>
      </c>
      <c r="AA22" s="19">
        <v>0.14979999999999999</v>
      </c>
      <c r="AB22" s="19">
        <v>0.11169999999999999</v>
      </c>
    </row>
    <row r="23" spans="2:29">
      <c r="B23" s="11" t="s">
        <v>13</v>
      </c>
      <c r="C23" s="19">
        <v>0.8306</v>
      </c>
      <c r="D23" s="19">
        <v>1.6592</v>
      </c>
      <c r="E23" s="19">
        <v>2.8138999999999998</v>
      </c>
      <c r="F23" s="19">
        <v>11.5768</v>
      </c>
      <c r="G23" s="19">
        <f>G21/C21-1</f>
        <v>-0.49171137327490932</v>
      </c>
      <c r="H23" s="19">
        <f t="shared" ref="H23" si="3">H21/D21-1</f>
        <v>-1.1284390214443607E-2</v>
      </c>
      <c r="I23" s="19">
        <f t="shared" ref="I23" si="4">I21/E21-1</f>
        <v>-0.15229357585265035</v>
      </c>
      <c r="J23" s="19">
        <f t="shared" ref="J23" si="5">J21/F21-1</f>
        <v>2.262599724999474</v>
      </c>
      <c r="K23" s="19">
        <f t="shared" ref="K23" si="6">K21/G21-1</f>
        <v>2.4163660216464415</v>
      </c>
      <c r="L23" s="19">
        <f t="shared" ref="L23" si="7">L21/H21-1</f>
        <v>-0.54186355179511347</v>
      </c>
      <c r="M23" s="19">
        <f t="shared" ref="M23" si="8">M21/I21-1</f>
        <v>-0.36647691109502067</v>
      </c>
      <c r="N23" s="19">
        <f t="shared" ref="N23" si="9">N21/J21-1</f>
        <v>-0.97663616691089761</v>
      </c>
      <c r="O23" s="19">
        <f t="shared" ref="O23" si="10">O21/K21-1</f>
        <v>-0.57260364441693135</v>
      </c>
      <c r="P23" s="19">
        <f t="shared" ref="P23" si="11">P21/L21-1</f>
        <v>-0.87963130301405301</v>
      </c>
      <c r="Q23" s="19">
        <f t="shared" ref="Q23" si="12">Q21/M21-1</f>
        <v>-3.4765418228564715E-2</v>
      </c>
      <c r="R23" s="19">
        <f t="shared" ref="R23" si="13">R21/N21-1</f>
        <v>7.0618036521553424</v>
      </c>
      <c r="S23" s="19">
        <f t="shared" ref="S23" si="14">S21/O21-1</f>
        <v>-0.7190935249569641</v>
      </c>
      <c r="T23" s="19">
        <f t="shared" ref="T23" si="15">T21/P21-1</f>
        <v>10.265046853847641</v>
      </c>
      <c r="U23" s="19">
        <f t="shared" ref="U23" si="16">U21/Q21-1</f>
        <v>-0.2041063612935381</v>
      </c>
      <c r="V23" s="19">
        <f t="shared" ref="V23" si="17">V21/R21-1</f>
        <v>-12.27842825147005</v>
      </c>
      <c r="W23" s="19">
        <f t="shared" ref="W23" si="18">W21/S21-1</f>
        <v>0.61897417250156406</v>
      </c>
      <c r="X23" s="19">
        <f t="shared" ref="X23" si="19">X21/T21-1</f>
        <v>-1.1384089698141817</v>
      </c>
      <c r="Y23" s="19">
        <f t="shared" ref="Y23" si="20">Y21/U21-1</f>
        <v>-0.30427409239284298</v>
      </c>
      <c r="Z23" s="19">
        <f t="shared" ref="Z23" si="21">Z21/V21-1</f>
        <v>-0.95501335226841755</v>
      </c>
      <c r="AA23" s="19">
        <f t="shared" ref="AA23" si="22">AA21/W21-1</f>
        <v>0.36267612755163414</v>
      </c>
      <c r="AB23" s="19">
        <f t="shared" ref="AB23" si="23">AB21/X21-1</f>
        <v>-3.0591871436818936</v>
      </c>
    </row>
    <row r="24" spans="2:29">
      <c r="B24" s="11" t="s">
        <v>14</v>
      </c>
      <c r="C24" s="20"/>
      <c r="D24" s="18">
        <f>D21/C21-1</f>
        <v>0.87403263426713029</v>
      </c>
      <c r="E24" s="18">
        <f t="shared" ref="E24:AB24" si="24">E21/D21-1</f>
        <v>-8.6277847913797112E-3</v>
      </c>
      <c r="F24" s="18">
        <f t="shared" si="24"/>
        <v>-0.71491700334864161</v>
      </c>
      <c r="G24" s="18">
        <f t="shared" si="24"/>
        <v>-4.0322783054160927E-2</v>
      </c>
      <c r="H24" s="18">
        <f t="shared" si="24"/>
        <v>2.6453408975243438</v>
      </c>
      <c r="I24" s="18">
        <f t="shared" si="24"/>
        <v>-0.15001585164028119</v>
      </c>
      <c r="J24" s="18">
        <f t="shared" si="24"/>
        <v>9.7209694278634462E-2</v>
      </c>
      <c r="K24" s="18">
        <f t="shared" si="24"/>
        <v>4.9067958290571756E-3</v>
      </c>
      <c r="L24" s="18">
        <f t="shared" si="24"/>
        <v>-0.51115790266437366</v>
      </c>
      <c r="M24" s="18">
        <f t="shared" si="24"/>
        <v>0.17538035949564446</v>
      </c>
      <c r="N24" s="18">
        <f t="shared" si="24"/>
        <v>-0.95953576971412313</v>
      </c>
      <c r="O24" s="18">
        <f t="shared" si="24"/>
        <v>17.382835581817535</v>
      </c>
      <c r="P24" s="18">
        <f t="shared" si="24"/>
        <v>-0.8623261861746726</v>
      </c>
      <c r="Q24" s="18">
        <f t="shared" si="24"/>
        <v>8.4253555793878228</v>
      </c>
      <c r="R24" s="18">
        <f t="shared" si="24"/>
        <v>-0.66203585567597978</v>
      </c>
      <c r="S24" s="18">
        <f t="shared" si="24"/>
        <v>-0.35946622277218443</v>
      </c>
      <c r="T24" s="18">
        <f t="shared" si="24"/>
        <v>4.5210616382289031</v>
      </c>
      <c r="U24" s="18">
        <f t="shared" si="24"/>
        <v>-0.33408350222537975</v>
      </c>
      <c r="V24" s="18">
        <f t="shared" si="24"/>
        <v>-5.7892132415117192</v>
      </c>
      <c r="W24" s="18">
        <f t="shared" si="24"/>
        <v>-1.091946113308079</v>
      </c>
      <c r="X24" s="18">
        <f t="shared" si="24"/>
        <v>-1.4720053393113182</v>
      </c>
      <c r="Y24" s="18">
        <f t="shared" si="24"/>
        <v>-4.3472928844627265</v>
      </c>
      <c r="Z24" s="18">
        <f t="shared" si="24"/>
        <v>-1.309677484554697</v>
      </c>
      <c r="AA24" s="18">
        <f t="shared" si="24"/>
        <v>-3.7851102481262711</v>
      </c>
      <c r="AB24" s="18">
        <f t="shared" si="24"/>
        <v>-0.2867363661786555</v>
      </c>
    </row>
    <row r="25" spans="2:29">
      <c r="B25" s="25" t="s">
        <v>18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</row>
    <row r="26" spans="2:29">
      <c r="B26" s="27" t="s">
        <v>19</v>
      </c>
      <c r="C26" s="27">
        <v>75.5</v>
      </c>
      <c r="D26" s="27">
        <v>119.49</v>
      </c>
      <c r="E26" s="27">
        <v>86.94</v>
      </c>
      <c r="F26" s="27">
        <f>446.41-E26-D26-C26</f>
        <v>164.48000000000002</v>
      </c>
      <c r="G26" s="27">
        <v>287.07</v>
      </c>
      <c r="H26" s="27">
        <v>193.23</v>
      </c>
      <c r="I26" s="27">
        <v>193.23</v>
      </c>
      <c r="J26" s="27">
        <f>915.21-I26-H26-G26</f>
        <v>241.68</v>
      </c>
      <c r="K26" s="27">
        <v>244.2</v>
      </c>
      <c r="L26" s="27">
        <v>224.95</v>
      </c>
      <c r="M26" s="27">
        <v>216.05</v>
      </c>
      <c r="N26" s="27">
        <f>925.26-M26-L26-K26</f>
        <v>240.06000000000006</v>
      </c>
      <c r="O26" s="27">
        <v>271.93</v>
      </c>
      <c r="P26" s="27">
        <v>366.62</v>
      </c>
      <c r="Q26" s="27">
        <v>298.95</v>
      </c>
      <c r="R26" s="27">
        <f>1274.83-Q26-P26-O26</f>
        <v>337.32999999999987</v>
      </c>
      <c r="S26" s="27">
        <v>330.45</v>
      </c>
      <c r="T26" s="27">
        <v>387.11</v>
      </c>
      <c r="U26" s="27">
        <v>300.49</v>
      </c>
      <c r="V26" s="27">
        <f>1330.11-U26-T26-S26</f>
        <v>312.05999999999989</v>
      </c>
      <c r="W26" s="27">
        <v>323.91000000000003</v>
      </c>
      <c r="X26" s="27">
        <v>380.99</v>
      </c>
      <c r="Y26" s="27">
        <v>292.68</v>
      </c>
      <c r="Z26" s="27">
        <f>1288.34-Y26-X26-W26</f>
        <v>290.75999999999982</v>
      </c>
      <c r="AA26" s="27">
        <v>347.57</v>
      </c>
      <c r="AB26" s="27">
        <v>338.93</v>
      </c>
    </row>
    <row r="27" spans="2:29">
      <c r="B27" s="27" t="s">
        <v>20</v>
      </c>
      <c r="C27" s="27">
        <v>15.98</v>
      </c>
      <c r="D27" s="27">
        <v>18.09</v>
      </c>
      <c r="E27" s="27">
        <v>23.3</v>
      </c>
      <c r="F27" s="27">
        <f>92.56-E27-D27-C27</f>
        <v>35.19</v>
      </c>
      <c r="G27" s="27">
        <v>35.04</v>
      </c>
      <c r="H27" s="27">
        <v>48.49</v>
      </c>
      <c r="I27" s="27">
        <v>47.17</v>
      </c>
      <c r="J27" s="27">
        <f>196.99-I27-H27-G27</f>
        <v>66.289999999999992</v>
      </c>
      <c r="K27" s="27">
        <v>52.51</v>
      </c>
      <c r="L27" s="27">
        <v>63.18</v>
      </c>
      <c r="M27" s="27">
        <v>69.06</v>
      </c>
      <c r="N27" s="27">
        <f>249.37-M27-L27-K27</f>
        <v>64.62</v>
      </c>
      <c r="O27" s="27">
        <v>60.68</v>
      </c>
      <c r="P27" s="27">
        <v>65.38</v>
      </c>
      <c r="Q27" s="27">
        <v>73.180000000000007</v>
      </c>
      <c r="R27" s="27">
        <f>275.17-Q27-P27-O27</f>
        <v>75.930000000000007</v>
      </c>
      <c r="S27" s="27">
        <v>75.92</v>
      </c>
      <c r="T27" s="27">
        <v>87.01</v>
      </c>
      <c r="U27" s="27">
        <v>88.18</v>
      </c>
      <c r="V27" s="27">
        <f>336.46-U27-T27-S27</f>
        <v>85.34999999999998</v>
      </c>
      <c r="W27" s="27">
        <v>83.2</v>
      </c>
      <c r="X27" s="27">
        <v>85.44</v>
      </c>
      <c r="Y27" s="27">
        <v>84.39</v>
      </c>
      <c r="Z27" s="27">
        <f>339.44-Y27-X27-W27</f>
        <v>86.410000000000011</v>
      </c>
      <c r="AA27" s="27">
        <v>82.3</v>
      </c>
      <c r="AB27" s="27">
        <v>87.21</v>
      </c>
    </row>
    <row r="28" spans="2:29">
      <c r="B28" s="27" t="s">
        <v>21</v>
      </c>
      <c r="C28" s="27">
        <v>4.93</v>
      </c>
      <c r="D28" s="27">
        <v>5.41</v>
      </c>
      <c r="E28" s="27">
        <v>6.86</v>
      </c>
      <c r="F28" s="27">
        <f>27.66-E28-D28-C28</f>
        <v>10.46</v>
      </c>
      <c r="G28" s="27">
        <v>16.98</v>
      </c>
      <c r="H28" s="27">
        <v>20.239999999999998</v>
      </c>
      <c r="I28" s="27">
        <v>25.19</v>
      </c>
      <c r="J28" s="27">
        <f>90.97-I28-H28-G28</f>
        <v>28.560000000000006</v>
      </c>
      <c r="K28" s="27">
        <v>28.85</v>
      </c>
      <c r="L28" s="27">
        <v>33.08</v>
      </c>
      <c r="M28" s="27">
        <v>35.03</v>
      </c>
      <c r="N28" s="27">
        <f>131.06-M28-L28-K28</f>
        <v>34.1</v>
      </c>
      <c r="O28" s="27">
        <v>35.96</v>
      </c>
      <c r="P28" s="27">
        <v>37.950000000000003</v>
      </c>
      <c r="Q28" s="27">
        <v>39.22</v>
      </c>
      <c r="R28" s="27">
        <f>151.82-Q28-P28-O28</f>
        <v>38.689999999999991</v>
      </c>
      <c r="S28" s="27">
        <v>37.83</v>
      </c>
      <c r="T28" s="27">
        <v>38.89</v>
      </c>
      <c r="U28" s="27">
        <v>44.69</v>
      </c>
      <c r="V28" s="27">
        <f>160.98-U28-T28-S28</f>
        <v>39.569999999999993</v>
      </c>
      <c r="W28" s="27">
        <v>40.15</v>
      </c>
      <c r="X28" s="27">
        <v>42.04</v>
      </c>
      <c r="Y28" s="27">
        <v>41.39</v>
      </c>
      <c r="Z28" s="27">
        <f>168.1-Y28-X28-W28</f>
        <v>44.519999999999989</v>
      </c>
      <c r="AA28" s="27">
        <v>41.33</v>
      </c>
      <c r="AB28" s="27">
        <v>40.159999999999997</v>
      </c>
    </row>
    <row r="29" spans="2:29">
      <c r="B29" s="27" t="s">
        <v>22</v>
      </c>
      <c r="C29" s="27">
        <v>105.06</v>
      </c>
      <c r="D29" s="27">
        <v>91.94</v>
      </c>
      <c r="E29" s="27">
        <v>99.59</v>
      </c>
      <c r="F29" s="27">
        <f>396.89-E29-D29-C29</f>
        <v>100.29999999999995</v>
      </c>
      <c r="G29" s="27">
        <v>302.5</v>
      </c>
      <c r="H29" s="27">
        <v>154.34</v>
      </c>
      <c r="I29" s="27">
        <v>154.34</v>
      </c>
      <c r="J29" s="27">
        <f>782.79-I29-H29-G29</f>
        <v>171.6099999999999</v>
      </c>
      <c r="K29" s="27">
        <v>94.43</v>
      </c>
      <c r="L29" s="27">
        <v>91.65</v>
      </c>
      <c r="M29" s="27">
        <v>92.28</v>
      </c>
      <c r="N29" s="27">
        <f>439.73-M29-L29-K29</f>
        <v>161.37000000000003</v>
      </c>
      <c r="O29" s="27">
        <v>151.47999999999999</v>
      </c>
      <c r="P29" s="27">
        <v>130.22</v>
      </c>
      <c r="Q29" s="27">
        <v>118.41</v>
      </c>
      <c r="R29" s="27">
        <f>542.9-Q29-P29-O29</f>
        <v>142.79</v>
      </c>
      <c r="S29" s="27">
        <v>81.91</v>
      </c>
      <c r="T29" s="27">
        <v>108</v>
      </c>
      <c r="U29" s="27">
        <v>93.71</v>
      </c>
      <c r="V29" s="27">
        <f>410.3-U29-T29-S29</f>
        <v>126.68000000000004</v>
      </c>
      <c r="W29" s="27">
        <v>56.18</v>
      </c>
      <c r="X29" s="27">
        <v>79.95</v>
      </c>
      <c r="Y29" s="27">
        <v>100.53</v>
      </c>
      <c r="Z29" s="27">
        <f>317.53-Y29-X29-W29</f>
        <v>80.869999999999948</v>
      </c>
      <c r="AA29" s="27">
        <v>56.39</v>
      </c>
      <c r="AB29" s="27">
        <v>72.92</v>
      </c>
    </row>
    <row r="30" spans="2:29">
      <c r="B30" s="27" t="s">
        <v>23</v>
      </c>
      <c r="C30" s="27">
        <v>178.35</v>
      </c>
      <c r="D30" s="27">
        <v>299.98</v>
      </c>
      <c r="E30" s="27">
        <v>314.60000000000002</v>
      </c>
      <c r="F30" s="27">
        <f>1205.32-E30-D30-C30</f>
        <v>412.38999999999987</v>
      </c>
      <c r="G30" s="27">
        <v>411.47</v>
      </c>
      <c r="H30" s="27">
        <v>438.17</v>
      </c>
      <c r="I30" s="27">
        <v>404.63</v>
      </c>
      <c r="J30" s="27">
        <f>1439.43-I30-H30-G30</f>
        <v>185.16000000000008</v>
      </c>
      <c r="K30" s="27">
        <v>327.44</v>
      </c>
      <c r="L30" s="27">
        <v>292.61</v>
      </c>
      <c r="M30" s="27">
        <v>252.73</v>
      </c>
      <c r="N30" s="27">
        <f>1115.6-M30-L30-K30</f>
        <v>242.81999999999988</v>
      </c>
      <c r="O30" s="27">
        <v>235.74</v>
      </c>
      <c r="P30" s="27">
        <v>218.09</v>
      </c>
      <c r="Q30" s="27">
        <v>180.28</v>
      </c>
      <c r="R30" s="27">
        <f>825.49-Q30-P30-O30</f>
        <v>191.38</v>
      </c>
      <c r="S30" s="27">
        <v>205.8</v>
      </c>
      <c r="T30" s="27">
        <v>214.04</v>
      </c>
      <c r="U30" s="27">
        <v>166.27</v>
      </c>
      <c r="V30" s="27">
        <f>784-U30-T30-S30</f>
        <v>197.89000000000004</v>
      </c>
      <c r="W30" s="27">
        <v>191.43</v>
      </c>
      <c r="X30" s="27">
        <v>181.19</v>
      </c>
      <c r="Y30" s="27">
        <v>143.58000000000001</v>
      </c>
      <c r="Z30" s="27">
        <f>690.5-Y30-X30-W30</f>
        <v>174.29999999999995</v>
      </c>
      <c r="AA30" s="27">
        <v>170.82</v>
      </c>
      <c r="AB30" s="27">
        <v>183.99</v>
      </c>
      <c r="AC30" t="s">
        <v>392</v>
      </c>
    </row>
    <row r="31" spans="2:29">
      <c r="B31" s="27" t="s">
        <v>24</v>
      </c>
      <c r="C31" s="27">
        <v>4.6500000000000004</v>
      </c>
      <c r="D31" s="27">
        <v>5.62</v>
      </c>
      <c r="E31" s="27">
        <v>5.68</v>
      </c>
      <c r="F31" s="27">
        <f>35.99-E31-D31-C31</f>
        <v>20.04</v>
      </c>
      <c r="G31" s="27">
        <v>17.66</v>
      </c>
      <c r="H31" s="27">
        <v>25.69</v>
      </c>
      <c r="I31" s="27">
        <v>25.69</v>
      </c>
      <c r="J31" s="27">
        <f>105.38-I31-H31-G31</f>
        <v>36.340000000000003</v>
      </c>
      <c r="K31" s="27">
        <v>36.39</v>
      </c>
      <c r="L31" s="27">
        <v>34.67</v>
      </c>
      <c r="M31" s="27">
        <v>36.159999999999997</v>
      </c>
      <c r="N31" s="27">
        <f>151.63-M31-L31-K31</f>
        <v>44.41</v>
      </c>
      <c r="O31" s="27">
        <v>46.65</v>
      </c>
      <c r="P31" s="27">
        <v>53.94</v>
      </c>
      <c r="Q31" s="27">
        <v>51.77</v>
      </c>
      <c r="R31" s="27">
        <f>204.51-Q31-P31-O31</f>
        <v>52.149999999999984</v>
      </c>
      <c r="S31" s="27">
        <v>48.17</v>
      </c>
      <c r="T31" s="27">
        <v>49.42</v>
      </c>
      <c r="U31" s="27">
        <v>52.02</v>
      </c>
      <c r="V31" s="27">
        <f>216.49-U31-T31-S31</f>
        <v>66.88</v>
      </c>
      <c r="W31" s="27">
        <v>57.35</v>
      </c>
      <c r="X31" s="27">
        <v>64.92</v>
      </c>
      <c r="Y31" s="27">
        <v>61.79</v>
      </c>
      <c r="Z31" s="27">
        <f>250.58-Y31-X31-W31</f>
        <v>66.52000000000001</v>
      </c>
      <c r="AA31" s="27">
        <v>52.32</v>
      </c>
      <c r="AB31" s="27">
        <v>51.34</v>
      </c>
    </row>
    <row r="32" spans="2:29">
      <c r="B32" s="27" t="s">
        <v>25</v>
      </c>
      <c r="C32" s="27">
        <v>13.45</v>
      </c>
      <c r="D32" s="27">
        <v>9.75</v>
      </c>
      <c r="E32" s="27">
        <v>4.18</v>
      </c>
      <c r="F32" s="27">
        <f>31.57-E32-D32-C32</f>
        <v>4.1900000000000013</v>
      </c>
      <c r="G32" s="27">
        <v>3.52</v>
      </c>
      <c r="H32" s="27">
        <v>2.3199999999999998</v>
      </c>
      <c r="I32" s="27">
        <v>2.3199999999999998</v>
      </c>
      <c r="J32" s="27">
        <f>9.39-I32-H32-G32</f>
        <v>1.23</v>
      </c>
      <c r="K32" s="27">
        <v>1.75</v>
      </c>
      <c r="L32" s="27">
        <v>1.02</v>
      </c>
      <c r="M32" s="27">
        <v>0.86</v>
      </c>
      <c r="N32" s="27">
        <f>4.57-M32-L32-K32</f>
        <v>0.94000000000000039</v>
      </c>
      <c r="O32" s="27">
        <v>0.7</v>
      </c>
      <c r="P32" s="27">
        <v>0.23</v>
      </c>
      <c r="Q32" s="27">
        <v>0.1</v>
      </c>
      <c r="R32" s="27">
        <f>1.14-Q32-P32-O32</f>
        <v>0.10999999999999988</v>
      </c>
      <c r="S32" s="27">
        <v>0.1</v>
      </c>
      <c r="T32" s="27">
        <v>0.1</v>
      </c>
      <c r="U32" s="27"/>
      <c r="V32" s="27">
        <f>0.21-U32-T32-S32</f>
        <v>9.9999999999999811E-3</v>
      </c>
      <c r="W32" s="27"/>
      <c r="X32" s="27">
        <v>2.71</v>
      </c>
      <c r="Y32" s="27">
        <v>8.14</v>
      </c>
      <c r="Z32" s="27">
        <f>18.99-Y32-X32-W32</f>
        <v>8.139999999999997</v>
      </c>
      <c r="AA32" s="27">
        <v>6.2</v>
      </c>
      <c r="AB32" s="27">
        <v>7.56</v>
      </c>
    </row>
    <row r="33" spans="2:28">
      <c r="B33" s="27" t="s">
        <v>53</v>
      </c>
      <c r="C33" s="27">
        <f t="shared" ref="C33:AB33" si="25">C34-SUM(C26:C32)</f>
        <v>22.510000000000048</v>
      </c>
      <c r="D33" s="27">
        <f t="shared" si="25"/>
        <v>28.32000000000005</v>
      </c>
      <c r="E33" s="27">
        <f t="shared" si="25"/>
        <v>25.600000000000136</v>
      </c>
      <c r="F33" s="27">
        <f t="shared" si="25"/>
        <v>53.720000000000368</v>
      </c>
      <c r="G33" s="27">
        <f t="shared" si="25"/>
        <v>70.470000000000027</v>
      </c>
      <c r="H33" s="27">
        <f t="shared" si="25"/>
        <v>71.03999999999985</v>
      </c>
      <c r="I33" s="27">
        <f t="shared" si="25"/>
        <v>67.409999999999968</v>
      </c>
      <c r="J33" s="27">
        <f t="shared" si="25"/>
        <v>104.24999999999989</v>
      </c>
      <c r="K33" s="27">
        <f t="shared" si="25"/>
        <v>84.13</v>
      </c>
      <c r="L33" s="27">
        <f t="shared" si="25"/>
        <v>69.87</v>
      </c>
      <c r="M33" s="27">
        <f t="shared" si="25"/>
        <v>75.440000000000055</v>
      </c>
      <c r="N33" s="27">
        <f t="shared" si="25"/>
        <v>68.089999999999804</v>
      </c>
      <c r="O33" s="27">
        <f t="shared" si="25"/>
        <v>75.029999999999973</v>
      </c>
      <c r="P33" s="27">
        <f t="shared" si="25"/>
        <v>72.629999999999882</v>
      </c>
      <c r="Q33" s="27">
        <f t="shared" si="25"/>
        <v>99.840000000000032</v>
      </c>
      <c r="R33" s="27">
        <f t="shared" si="25"/>
        <v>84.710000000000377</v>
      </c>
      <c r="S33" s="27">
        <f t="shared" si="25"/>
        <v>82.339999999999918</v>
      </c>
      <c r="T33" s="27">
        <f t="shared" si="25"/>
        <v>97.800000000000068</v>
      </c>
      <c r="U33" s="27">
        <f t="shared" si="25"/>
        <v>107.76999999999998</v>
      </c>
      <c r="V33" s="27">
        <f t="shared" si="25"/>
        <v>166.5500000000003</v>
      </c>
      <c r="W33" s="27">
        <f t="shared" si="25"/>
        <v>94.399999999999977</v>
      </c>
      <c r="X33" s="27">
        <f t="shared" si="25"/>
        <v>87.349999999999909</v>
      </c>
      <c r="Y33" s="27">
        <f t="shared" si="25"/>
        <v>95.419999999999959</v>
      </c>
      <c r="Z33" s="27">
        <f t="shared" si="25"/>
        <v>147.69000000000028</v>
      </c>
      <c r="AA33" s="27">
        <f t="shared" si="25"/>
        <v>91.589999999999804</v>
      </c>
      <c r="AB33" s="27">
        <f t="shared" si="25"/>
        <v>93.840000000000146</v>
      </c>
    </row>
    <row r="34" spans="2:28">
      <c r="B34" s="27" t="s">
        <v>54</v>
      </c>
      <c r="C34" s="27">
        <v>420.43</v>
      </c>
      <c r="D34" s="27">
        <v>578.6</v>
      </c>
      <c r="E34" s="27">
        <v>566.75</v>
      </c>
      <c r="F34" s="27">
        <f>2366.55-E34-D34-C34</f>
        <v>800.77000000000021</v>
      </c>
      <c r="G34" s="27">
        <v>1144.71</v>
      </c>
      <c r="H34" s="27">
        <v>953.52</v>
      </c>
      <c r="I34" s="27">
        <v>919.98</v>
      </c>
      <c r="J34" s="27">
        <f>3853.33-I34-H34-G34</f>
        <v>835.11999999999989</v>
      </c>
      <c r="K34" s="27">
        <v>869.7</v>
      </c>
      <c r="L34" s="27">
        <v>811.03</v>
      </c>
      <c r="M34" s="27">
        <v>777.61</v>
      </c>
      <c r="N34" s="27">
        <f>3314.75-M34-L34-K34</f>
        <v>856.40999999999985</v>
      </c>
      <c r="O34" s="27">
        <v>878.17</v>
      </c>
      <c r="P34" s="27">
        <v>945.06</v>
      </c>
      <c r="Q34" s="27">
        <v>861.75</v>
      </c>
      <c r="R34" s="27">
        <f>3608.07-Q34-P34-O34</f>
        <v>923.09000000000026</v>
      </c>
      <c r="S34" s="27">
        <v>862.52</v>
      </c>
      <c r="T34" s="27">
        <v>982.37</v>
      </c>
      <c r="U34" s="27">
        <v>853.13</v>
      </c>
      <c r="V34" s="27">
        <f>3693.01-U34-T34-S34</f>
        <v>994.99000000000024</v>
      </c>
      <c r="W34" s="27">
        <v>846.62</v>
      </c>
      <c r="X34" s="27">
        <v>924.59</v>
      </c>
      <c r="Y34" s="27">
        <v>827.92</v>
      </c>
      <c r="Z34" s="27">
        <f>3498.34-Y34-X34-W34</f>
        <v>899.20999999999992</v>
      </c>
      <c r="AA34" s="27">
        <v>848.52</v>
      </c>
      <c r="AB34" s="27">
        <v>875.95</v>
      </c>
    </row>
    <row r="35" spans="2:28">
      <c r="B35" s="28" t="s">
        <v>52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2:28">
      <c r="B36" s="27" t="s">
        <v>19</v>
      </c>
      <c r="C36" s="20">
        <f t="shared" ref="C36:AB36" si="26">C26/C$4</f>
        <v>9.9976760368947343E-2</v>
      </c>
      <c r="D36" s="20">
        <f t="shared" si="26"/>
        <v>0.1060415930821372</v>
      </c>
      <c r="E36" s="20">
        <f t="shared" si="26"/>
        <v>7.4316279966710683E-2</v>
      </c>
      <c r="F36" s="20">
        <f t="shared" si="26"/>
        <v>0.16517744524480166</v>
      </c>
      <c r="G36" s="20">
        <f t="shared" si="26"/>
        <v>0.21644354165179136</v>
      </c>
      <c r="H36" s="20">
        <f t="shared" si="26"/>
        <v>0.12689695281821167</v>
      </c>
      <c r="I36" s="20">
        <f t="shared" si="26"/>
        <v>0.14377048150871877</v>
      </c>
      <c r="J36" s="20">
        <f t="shared" si="26"/>
        <v>0.20721727976733501</v>
      </c>
      <c r="K36" s="20">
        <f t="shared" si="26"/>
        <v>0.18335077368094999</v>
      </c>
      <c r="L36" s="20">
        <f t="shared" si="26"/>
        <v>0.17084777254605787</v>
      </c>
      <c r="M36" s="20">
        <f t="shared" si="26"/>
        <v>0.18263066947559767</v>
      </c>
      <c r="N36" s="20">
        <f t="shared" si="26"/>
        <v>0.22729568786770687</v>
      </c>
      <c r="O36" s="20">
        <f t="shared" si="26"/>
        <v>0.2695183230931304</v>
      </c>
      <c r="P36" s="20">
        <f t="shared" si="26"/>
        <v>0.41416446538475488</v>
      </c>
      <c r="Q36" s="20">
        <f t="shared" si="26"/>
        <v>0.31011536249991051</v>
      </c>
      <c r="R36" s="20">
        <f t="shared" si="26"/>
        <v>0.28593430876887527</v>
      </c>
      <c r="S36" s="20">
        <f t="shared" si="26"/>
        <v>0.36142708409553487</v>
      </c>
      <c r="T36" s="20">
        <f t="shared" si="26"/>
        <v>0.41169476456049453</v>
      </c>
      <c r="U36" s="20">
        <f t="shared" si="26"/>
        <v>0.30892313829062668</v>
      </c>
      <c r="V36" s="20">
        <f t="shared" si="26"/>
        <v>0.30311112889711866</v>
      </c>
      <c r="W36" s="20">
        <f t="shared" si="26"/>
        <v>0.37770545481259327</v>
      </c>
      <c r="X36" s="20">
        <f t="shared" si="26"/>
        <v>0.48622976478113467</v>
      </c>
      <c r="Y36" s="20">
        <f t="shared" si="26"/>
        <v>0.34462794065023622</v>
      </c>
      <c r="Z36" s="20">
        <f t="shared" si="26"/>
        <v>0.34431919512013137</v>
      </c>
      <c r="AA36" s="20">
        <f t="shared" si="26"/>
        <v>0.40679776064018358</v>
      </c>
      <c r="AB36" s="20">
        <f t="shared" si="26"/>
        <v>0.41453536398951979</v>
      </c>
    </row>
    <row r="37" spans="2:28">
      <c r="B37" s="27" t="s">
        <v>22</v>
      </c>
      <c r="C37" s="20">
        <f t="shared" ref="C37:AB37" si="27">C29/C$4</f>
        <v>0.13911997939551798</v>
      </c>
      <c r="D37" s="20">
        <f t="shared" si="27"/>
        <v>8.1592301179778184E-2</v>
      </c>
      <c r="E37" s="20">
        <f t="shared" si="27"/>
        <v>8.5129495305782343E-2</v>
      </c>
      <c r="F37" s="20">
        <f t="shared" si="27"/>
        <v>0.10072530251734921</v>
      </c>
      <c r="G37" s="20">
        <f t="shared" si="27"/>
        <v>0.22807737259089034</v>
      </c>
      <c r="H37" s="20">
        <f t="shared" si="27"/>
        <v>0.10135732390396311</v>
      </c>
      <c r="I37" s="20">
        <f t="shared" si="27"/>
        <v>0.11483483991127495</v>
      </c>
      <c r="J37" s="20">
        <f t="shared" si="27"/>
        <v>0.14713901597514209</v>
      </c>
      <c r="K37" s="20">
        <f t="shared" si="27"/>
        <v>7.090013742298161E-2</v>
      </c>
      <c r="L37" s="20">
        <f t="shared" si="27"/>
        <v>6.9607461008429461E-2</v>
      </c>
      <c r="M37" s="20">
        <f t="shared" si="27"/>
        <v>7.8005823555696144E-2</v>
      </c>
      <c r="N37" s="20">
        <f t="shared" si="27"/>
        <v>0.15278974069487569</v>
      </c>
      <c r="O37" s="20">
        <f t="shared" si="27"/>
        <v>0.15013656302043682</v>
      </c>
      <c r="P37" s="20">
        <f t="shared" si="27"/>
        <v>0.14710735006928913</v>
      </c>
      <c r="Q37" s="20">
        <f t="shared" si="27"/>
        <v>0.1228324471437177</v>
      </c>
      <c r="R37" s="20">
        <f t="shared" si="27"/>
        <v>0.12103447647439514</v>
      </c>
      <c r="S37" s="20">
        <f t="shared" si="27"/>
        <v>8.9588417183432481E-2</v>
      </c>
      <c r="T37" s="20">
        <f t="shared" si="27"/>
        <v>0.11485891496611662</v>
      </c>
      <c r="U37" s="20">
        <f t="shared" si="27"/>
        <v>9.6339935735680463E-2</v>
      </c>
      <c r="V37" s="20">
        <f t="shared" si="27"/>
        <v>0.12304722748409606</v>
      </c>
      <c r="W37" s="20">
        <f t="shared" si="27"/>
        <v>6.5510458001826088E-2</v>
      </c>
      <c r="X37" s="20">
        <f t="shared" si="27"/>
        <v>0.10203435705465162</v>
      </c>
      <c r="Y37" s="20">
        <f t="shared" si="27"/>
        <v>0.11837312721596367</v>
      </c>
      <c r="Z37" s="20">
        <f t="shared" si="27"/>
        <v>9.5766588627613919E-2</v>
      </c>
      <c r="AA37" s="20">
        <f t="shared" si="27"/>
        <v>6.5999153328825708E-2</v>
      </c>
      <c r="AB37" s="20">
        <f t="shared" si="27"/>
        <v>8.9186317948000415E-2</v>
      </c>
    </row>
    <row r="38" spans="2:28">
      <c r="B38" s="27" t="s">
        <v>23</v>
      </c>
      <c r="C38" s="20">
        <f t="shared" ref="C38:AB38" si="28">C30/C$4</f>
        <v>0.23617026770598354</v>
      </c>
      <c r="D38" s="20">
        <f t="shared" si="28"/>
        <v>0.2662177344780276</v>
      </c>
      <c r="E38" s="20">
        <f t="shared" si="28"/>
        <v>0.26891996408473867</v>
      </c>
      <c r="F38" s="20">
        <f t="shared" si="28"/>
        <v>0.41413865907407427</v>
      </c>
      <c r="G38" s="20">
        <f t="shared" si="28"/>
        <v>0.31023800495859061</v>
      </c>
      <c r="H38" s="20">
        <f t="shared" si="28"/>
        <v>0.2877526151030162</v>
      </c>
      <c r="I38" s="20">
        <f t="shared" si="28"/>
        <v>0.30106013524231684</v>
      </c>
      <c r="J38" s="20">
        <f t="shared" si="28"/>
        <v>0.15875683350595732</v>
      </c>
      <c r="K38" s="20">
        <f t="shared" si="28"/>
        <v>0.24584921103231067</v>
      </c>
      <c r="L38" s="20">
        <f t="shared" si="28"/>
        <v>0.22223501544655255</v>
      </c>
      <c r="M38" s="20">
        <f t="shared" si="28"/>
        <v>0.21363688542729831</v>
      </c>
      <c r="N38" s="20">
        <f t="shared" si="28"/>
        <v>0.22990893496641066</v>
      </c>
      <c r="O38" s="20">
        <f t="shared" si="28"/>
        <v>0.23364928285211103</v>
      </c>
      <c r="P38" s="20">
        <f t="shared" si="28"/>
        <v>0.24637261539403521</v>
      </c>
      <c r="Q38" s="20">
        <f t="shared" si="28"/>
        <v>0.1870132047214714</v>
      </c>
      <c r="R38" s="20">
        <f t="shared" si="28"/>
        <v>0.16222129076034555</v>
      </c>
      <c r="S38" s="20">
        <f t="shared" si="28"/>
        <v>0.22509212863326097</v>
      </c>
      <c r="T38" s="20">
        <f t="shared" si="28"/>
        <v>0.22763335332729259</v>
      </c>
      <c r="U38" s="20">
        <f t="shared" si="28"/>
        <v>0.17093630471424173</v>
      </c>
      <c r="V38" s="20">
        <f t="shared" si="28"/>
        <v>0.19221515509020973</v>
      </c>
      <c r="W38" s="20">
        <f t="shared" si="28"/>
        <v>0.22322297926823723</v>
      </c>
      <c r="X38" s="20">
        <f t="shared" si="28"/>
        <v>0.23123958917738993</v>
      </c>
      <c r="Y38" s="20">
        <f t="shared" si="28"/>
        <v>0.16906409634604661</v>
      </c>
      <c r="Z38" s="20">
        <f t="shared" si="28"/>
        <v>0.20640678122657491</v>
      </c>
      <c r="AA38" s="20">
        <f t="shared" si="28"/>
        <v>0.19992862868646938</v>
      </c>
      <c r="AB38" s="20">
        <f t="shared" si="28"/>
        <v>0.22503278441103397</v>
      </c>
    </row>
    <row r="39" spans="2:28">
      <c r="B39" s="27" t="s">
        <v>24</v>
      </c>
      <c r="C39" s="20">
        <f t="shared" ref="C39:AB39" si="29">C31/C$4</f>
        <v>6.1575090823258963E-3</v>
      </c>
      <c r="D39" s="20">
        <f t="shared" si="29"/>
        <v>4.987478057758901E-3</v>
      </c>
      <c r="E39" s="20">
        <f t="shared" si="29"/>
        <v>4.8552619071879069E-3</v>
      </c>
      <c r="F39" s="20">
        <f t="shared" si="29"/>
        <v>2.0124975697384636E-2</v>
      </c>
      <c r="G39" s="20">
        <f t="shared" si="29"/>
        <v>1.3315194710595449E-2</v>
      </c>
      <c r="H39" s="20">
        <f t="shared" si="29"/>
        <v>1.6870996832271688E-2</v>
      </c>
      <c r="I39" s="20">
        <f t="shared" si="29"/>
        <v>1.9114338715308109E-2</v>
      </c>
      <c r="J39" s="20">
        <f t="shared" si="29"/>
        <v>3.1158043473787464E-2</v>
      </c>
      <c r="K39" s="20">
        <f t="shared" si="29"/>
        <v>2.7322418731571541E-2</v>
      </c>
      <c r="L39" s="20">
        <f t="shared" si="29"/>
        <v>2.6331594906298408E-2</v>
      </c>
      <c r="M39" s="20">
        <f t="shared" si="29"/>
        <v>3.0566651276267582E-2</v>
      </c>
      <c r="N39" s="20">
        <f t="shared" si="29"/>
        <v>4.2048660744000911E-2</v>
      </c>
      <c r="O39" s="20">
        <f t="shared" si="29"/>
        <v>4.6236273203745563E-2</v>
      </c>
      <c r="P39" s="20">
        <f t="shared" si="29"/>
        <v>6.0935113367665911E-2</v>
      </c>
      <c r="Q39" s="20">
        <f t="shared" si="29"/>
        <v>5.370353676742054E-2</v>
      </c>
      <c r="R39" s="20">
        <f t="shared" si="29"/>
        <v>4.420441171048186E-2</v>
      </c>
      <c r="S39" s="20">
        <f t="shared" si="29"/>
        <v>5.2685557999340042E-2</v>
      </c>
      <c r="T39" s="20">
        <f t="shared" si="29"/>
        <v>5.2558588681717443E-2</v>
      </c>
      <c r="U39" s="20">
        <f t="shared" si="29"/>
        <v>5.3479921640914509E-2</v>
      </c>
      <c r="V39" s="20">
        <f t="shared" si="29"/>
        <v>6.4962097996024176E-2</v>
      </c>
      <c r="W39" s="20">
        <f t="shared" si="29"/>
        <v>6.6874773342910754E-2</v>
      </c>
      <c r="X39" s="20">
        <f t="shared" si="29"/>
        <v>8.2852663664640183E-2</v>
      </c>
      <c r="Y39" s="20">
        <f t="shared" si="29"/>
        <v>7.2757142451749676E-2</v>
      </c>
      <c r="Z39" s="20">
        <f t="shared" si="29"/>
        <v>7.8773259249522484E-2</v>
      </c>
      <c r="AA39" s="20">
        <f t="shared" si="29"/>
        <v>6.1235603868844857E-2</v>
      </c>
      <c r="AB39" s="20">
        <f t="shared" si="29"/>
        <v>6.2792451500964644E-2</v>
      </c>
    </row>
    <row r="40" spans="2:28">
      <c r="B40" s="27" t="s">
        <v>25</v>
      </c>
      <c r="C40" s="20">
        <f t="shared" ref="C40:AB40" si="30">C32/C$4</f>
        <v>1.7810429496189956E-2</v>
      </c>
      <c r="D40" s="20">
        <f t="shared" si="30"/>
        <v>8.6526532140835024E-3</v>
      </c>
      <c r="E40" s="20">
        <f t="shared" si="30"/>
        <v>3.5730624598671571E-3</v>
      </c>
      <c r="F40" s="20">
        <f t="shared" si="30"/>
        <v>4.207766874852378E-3</v>
      </c>
      <c r="G40" s="20">
        <f t="shared" si="30"/>
        <v>2.6539912446939965E-3</v>
      </c>
      <c r="H40" s="20">
        <f t="shared" si="30"/>
        <v>1.5235777598626046E-3</v>
      </c>
      <c r="I40" s="20">
        <f t="shared" si="30"/>
        <v>1.7261683853450683E-3</v>
      </c>
      <c r="J40" s="20">
        <f t="shared" si="30"/>
        <v>1.0546063146053544E-3</v>
      </c>
      <c r="K40" s="20">
        <f t="shared" si="30"/>
        <v>1.3139387958299037E-3</v>
      </c>
      <c r="L40" s="20">
        <f t="shared" si="30"/>
        <v>7.7468205377630162E-4</v>
      </c>
      <c r="M40" s="20">
        <f t="shared" si="30"/>
        <v>7.2697234783158525E-4</v>
      </c>
      <c r="N40" s="20">
        <f t="shared" si="30"/>
        <v>8.9001893941366525E-4</v>
      </c>
      <c r="O40" s="20">
        <f t="shared" si="30"/>
        <v>6.9379188087078021E-4</v>
      </c>
      <c r="P40" s="20">
        <f t="shared" si="30"/>
        <v>2.5982714265041087E-4</v>
      </c>
      <c r="Q40" s="20">
        <f t="shared" si="30"/>
        <v>1.0373485950824906E-4</v>
      </c>
      <c r="R40" s="20">
        <f t="shared" si="30"/>
        <v>9.3240369859117937E-5</v>
      </c>
      <c r="S40" s="20">
        <f t="shared" si="30"/>
        <v>1.0937421216387802E-4</v>
      </c>
      <c r="T40" s="20">
        <f t="shared" si="30"/>
        <v>1.0635084719084873E-4</v>
      </c>
      <c r="U40" s="20">
        <f t="shared" si="30"/>
        <v>0</v>
      </c>
      <c r="V40" s="20">
        <f t="shared" si="30"/>
        <v>9.7132323558648412E-6</v>
      </c>
      <c r="W40" s="20">
        <f t="shared" si="30"/>
        <v>0</v>
      </c>
      <c r="X40" s="20">
        <f t="shared" si="30"/>
        <v>3.4585754548856268E-3</v>
      </c>
      <c r="Y40" s="20">
        <f t="shared" si="30"/>
        <v>9.584773257116725E-3</v>
      </c>
      <c r="Z40" s="20">
        <f t="shared" si="30"/>
        <v>9.6394216820672382E-3</v>
      </c>
      <c r="AA40" s="20">
        <f t="shared" si="30"/>
        <v>7.2565126908799328E-3</v>
      </c>
      <c r="AB40" s="20">
        <f t="shared" si="30"/>
        <v>9.2464147516028959E-3</v>
      </c>
    </row>
    <row r="41" spans="2:28">
      <c r="B41" s="27" t="s">
        <v>53</v>
      </c>
      <c r="C41" s="20">
        <f t="shared" ref="C41:AB41" si="31">C33/C$4</f>
        <v>2.9807640740463701E-2</v>
      </c>
      <c r="D41" s="20">
        <f t="shared" si="31"/>
        <v>2.5132629643368744E-2</v>
      </c>
      <c r="E41" s="20">
        <f t="shared" si="31"/>
        <v>2.1882870567607585E-2</v>
      </c>
      <c r="F41" s="20">
        <f t="shared" si="31"/>
        <v>5.3947789144885731E-2</v>
      </c>
      <c r="G41" s="20">
        <f t="shared" si="31"/>
        <v>5.3132603128859666E-2</v>
      </c>
      <c r="H41" s="20">
        <f t="shared" si="31"/>
        <v>4.6653001750275522E-2</v>
      </c>
      <c r="I41" s="20">
        <f t="shared" si="31"/>
        <v>5.015560812763406E-2</v>
      </c>
      <c r="J41" s="20">
        <f t="shared" si="31"/>
        <v>8.9384315689112259E-2</v>
      </c>
      <c r="K41" s="20">
        <f t="shared" si="31"/>
        <v>6.3166669081811302E-2</v>
      </c>
      <c r="L41" s="20">
        <f t="shared" si="31"/>
        <v>5.3065720683676661E-2</v>
      </c>
      <c r="M41" s="20">
        <f t="shared" si="31"/>
        <v>6.3770690605133518E-2</v>
      </c>
      <c r="N41" s="20">
        <f t="shared" si="31"/>
        <v>6.4469563387953482E-2</v>
      </c>
      <c r="O41" s="20">
        <f t="shared" si="31"/>
        <v>7.4364578316763741E-2</v>
      </c>
      <c r="P41" s="20">
        <f t="shared" si="31"/>
        <v>8.2048892916083943E-2</v>
      </c>
      <c r="Q41" s="20">
        <f t="shared" si="31"/>
        <v>0.10356888373303588</v>
      </c>
      <c r="R41" s="20">
        <f t="shared" si="31"/>
        <v>7.1803561188781131E-2</v>
      </c>
      <c r="S41" s="20">
        <f t="shared" si="31"/>
        <v>9.0058726295737065E-2</v>
      </c>
      <c r="T41" s="20">
        <f t="shared" si="31"/>
        <v>0.10401112855265013</v>
      </c>
      <c r="U41" s="20">
        <f t="shared" si="31"/>
        <v>0.11079452432220982</v>
      </c>
      <c r="V41" s="20">
        <f t="shared" si="31"/>
        <v>0.16177388488692951</v>
      </c>
      <c r="W41" s="20">
        <f t="shared" si="31"/>
        <v>0.11007809247725847</v>
      </c>
      <c r="X41" s="20">
        <f t="shared" si="31"/>
        <v>0.11147843763256797</v>
      </c>
      <c r="Y41" s="20">
        <f t="shared" si="31"/>
        <v>0.1123561503923928</v>
      </c>
      <c r="Z41" s="20">
        <f t="shared" si="31"/>
        <v>0.17489510911849063</v>
      </c>
      <c r="AA41" s="20">
        <f t="shared" si="31"/>
        <v>0.10719741892865994</v>
      </c>
      <c r="AB41" s="20">
        <f t="shared" si="31"/>
        <v>0.11477295771037263</v>
      </c>
    </row>
    <row r="42" spans="2:28">
      <c r="B42" s="29" t="s">
        <v>55</v>
      </c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</row>
    <row r="43" spans="2:28">
      <c r="B43" s="16" t="s">
        <v>56</v>
      </c>
      <c r="C43" s="15">
        <v>-39.980699999999999</v>
      </c>
      <c r="D43" s="15">
        <v>736.30820000000006</v>
      </c>
      <c r="E43" s="15">
        <v>359.29829999999998</v>
      </c>
      <c r="F43" s="15">
        <v>537.12810000000002</v>
      </c>
      <c r="G43" s="15">
        <v>199.67339999999999</v>
      </c>
      <c r="H43" s="15">
        <v>510.9631</v>
      </c>
      <c r="I43" s="15">
        <v>588.4461</v>
      </c>
      <c r="J43" s="15">
        <v>384.49020000000002</v>
      </c>
      <c r="K43" s="15">
        <v>548.10479999999995</v>
      </c>
      <c r="L43" s="15">
        <v>491.88819999999998</v>
      </c>
      <c r="M43" s="15">
        <v>339.67230000000001</v>
      </c>
      <c r="N43" s="15">
        <v>194.67490000000001</v>
      </c>
      <c r="O43" s="15">
        <v>81.696100000000001</v>
      </c>
      <c r="P43" s="15">
        <v>170.92349999999999</v>
      </c>
      <c r="Q43" s="15">
        <v>245.58629999999999</v>
      </c>
      <c r="R43" s="15">
        <v>146.15819999999999</v>
      </c>
      <c r="S43" s="15">
        <v>-117.1885</v>
      </c>
      <c r="T43" s="15">
        <v>249.44300000000001</v>
      </c>
      <c r="U43" s="15">
        <v>315.97989999999999</v>
      </c>
      <c r="V43" s="15">
        <v>27.3065</v>
      </c>
      <c r="W43" s="15">
        <v>158.6593</v>
      </c>
      <c r="X43" s="15">
        <v>-39.510599999999997</v>
      </c>
      <c r="Y43" s="15">
        <v>30.784199999999998</v>
      </c>
      <c r="Z43" s="15">
        <v>174.21979999999999</v>
      </c>
      <c r="AA43" s="15">
        <v>14.577299999999999</v>
      </c>
      <c r="AB43" s="15">
        <v>52.904499999999999</v>
      </c>
    </row>
    <row r="44" spans="2:28">
      <c r="B44" s="16" t="s">
        <v>57</v>
      </c>
      <c r="C44" s="15">
        <v>-788.58249999999998</v>
      </c>
      <c r="D44" s="15">
        <v>35.0229</v>
      </c>
      <c r="E44" s="15">
        <v>-137.1199</v>
      </c>
      <c r="F44" s="15">
        <v>-2159.1385</v>
      </c>
      <c r="G44" s="15">
        <v>-1096.829</v>
      </c>
      <c r="H44" s="15">
        <v>-278.06060000000002</v>
      </c>
      <c r="I44" s="15">
        <v>-384.42259999999999</v>
      </c>
      <c r="J44" s="15">
        <v>-41.254600000000003</v>
      </c>
      <c r="K44" s="15">
        <v>-1005.4392</v>
      </c>
      <c r="L44" s="15">
        <v>127.5076</v>
      </c>
      <c r="M44" s="15">
        <v>-665.99580000000003</v>
      </c>
      <c r="N44" s="15">
        <v>839.73749999999995</v>
      </c>
      <c r="O44" s="15">
        <v>-446.94749999999999</v>
      </c>
      <c r="P44" s="15">
        <v>290.9683</v>
      </c>
      <c r="Q44" s="15">
        <v>-2221.7811999999999</v>
      </c>
      <c r="R44" s="15">
        <v>0.9657</v>
      </c>
      <c r="S44" s="15">
        <v>-96.041300000000007</v>
      </c>
      <c r="T44" s="15">
        <v>-469.47719999999998</v>
      </c>
      <c r="U44" s="15">
        <v>-730.53650000000005</v>
      </c>
      <c r="V44" s="15">
        <v>216.25540000000001</v>
      </c>
      <c r="W44" s="15">
        <v>583.05250000000001</v>
      </c>
      <c r="X44" s="15">
        <v>205.90129999999999</v>
      </c>
      <c r="Y44" s="15">
        <v>783.274</v>
      </c>
      <c r="Z44" s="15">
        <v>-228.90090000000001</v>
      </c>
      <c r="AA44" s="15">
        <v>-562.4556</v>
      </c>
      <c r="AB44" s="15">
        <v>501.8657</v>
      </c>
    </row>
    <row r="45" spans="2:28">
      <c r="B45" s="16" t="s">
        <v>58</v>
      </c>
      <c r="C45" s="15">
        <v>4.3460999999999999</v>
      </c>
      <c r="D45" s="15">
        <v>-177.22239999999999</v>
      </c>
      <c r="E45" s="15">
        <v>6.2217000000000002</v>
      </c>
      <c r="F45" s="15">
        <v>1552.7337</v>
      </c>
      <c r="G45" s="15">
        <v>0.9173</v>
      </c>
      <c r="H45" s="15">
        <v>-6.3788</v>
      </c>
      <c r="I45" s="15">
        <v>-10.607100000000001</v>
      </c>
      <c r="J45" s="15">
        <v>-402.20909999999998</v>
      </c>
      <c r="K45" s="15">
        <v>-3.4422999999999999</v>
      </c>
      <c r="L45" s="15">
        <v>188.38990000000001</v>
      </c>
      <c r="M45" s="15">
        <v>-13.754</v>
      </c>
      <c r="N45" s="15">
        <v>-728.1336</v>
      </c>
      <c r="O45" s="15">
        <v>-5.3685</v>
      </c>
      <c r="P45" s="15">
        <v>336.86799999999999</v>
      </c>
      <c r="Q45" s="15">
        <v>1731.8267000000001</v>
      </c>
      <c r="R45" s="15">
        <v>46.863900000000001</v>
      </c>
      <c r="S45" s="15">
        <v>-2.6842999999999999</v>
      </c>
      <c r="T45" s="15">
        <v>1.9548000000000001</v>
      </c>
      <c r="U45" s="15">
        <v>20.176500000000001</v>
      </c>
      <c r="V45" s="15">
        <v>-245.54740000000001</v>
      </c>
      <c r="W45" s="15">
        <v>-10.640599999999999</v>
      </c>
      <c r="X45" s="15">
        <v>-211.4692</v>
      </c>
      <c r="Y45" s="15">
        <v>-9.6357999999999997</v>
      </c>
      <c r="Z45" s="15">
        <v>-664.2441</v>
      </c>
      <c r="AA45" s="15">
        <v>-11.2081</v>
      </c>
      <c r="AB45" s="15">
        <v>-12.7468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DF00C-1DB3-4193-B9B0-0F816BD0AA03}">
  <dimension ref="B2:B8"/>
  <sheetViews>
    <sheetView showGridLines="0" zoomScaleNormal="100" workbookViewId="0">
      <selection activeCell="B9" sqref="B9"/>
    </sheetView>
  </sheetViews>
  <sheetFormatPr defaultRowHeight="17.399999999999999"/>
  <cols>
    <col min="1" max="1" width="3" customWidth="1"/>
  </cols>
  <sheetData>
    <row r="2" spans="2:2">
      <c r="B2" t="s">
        <v>361</v>
      </c>
    </row>
    <row r="4" spans="2:2">
      <c r="B4" s="33">
        <v>240517</v>
      </c>
    </row>
    <row r="5" spans="2:2">
      <c r="B5" t="s">
        <v>362</v>
      </c>
    </row>
    <row r="6" spans="2:2">
      <c r="B6" t="s">
        <v>363</v>
      </c>
    </row>
    <row r="7" spans="2:2">
      <c r="B7" t="s">
        <v>364</v>
      </c>
    </row>
    <row r="8" spans="2:2">
      <c r="B8" t="s">
        <v>365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report</vt:lpstr>
      <vt:lpstr>붉은사막</vt:lpstr>
      <vt:lpstr>raw data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서민석</dc:creator>
  <cp:lastModifiedBy>서민석</cp:lastModifiedBy>
  <dcterms:created xsi:type="dcterms:W3CDTF">2024-04-27T04:47:52Z</dcterms:created>
  <dcterms:modified xsi:type="dcterms:W3CDTF">2024-08-29T03:30:26Z</dcterms:modified>
</cp:coreProperties>
</file>