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3" activeTab="17"/>
  </bookViews>
  <sheets>
    <sheet name="Vendas" sheetId="1" r:id="rId1"/>
    <sheet name="Vendas_02" sheetId="10" r:id="rId2"/>
    <sheet name="Planilha2" sheetId="2" r:id="rId3"/>
    <sheet name="Planilha3" sheetId="3" r:id="rId4"/>
    <sheet name="Financeiro" sheetId="4" r:id="rId5"/>
    <sheet name="Planilha5" sheetId="5" r:id="rId6"/>
    <sheet name="Planilha6" sheetId="6" r:id="rId7"/>
    <sheet name="Procv" sheetId="7" r:id="rId8"/>
    <sheet name="Gerenciamento Comissões" sheetId="8" r:id="rId9"/>
    <sheet name="ProcH" sheetId="9" r:id="rId10"/>
    <sheet name="F.Concat" sheetId="11" r:id="rId11"/>
    <sheet name="Func.pgto" sheetId="12" r:id="rId12"/>
    <sheet name="Fluxo de Caixa" sheetId="13" r:id="rId13"/>
    <sheet name="Relatório Vendas" sheetId="14" r:id="rId14"/>
    <sheet name="Folha de Pagamento" sheetId="15" r:id="rId15"/>
    <sheet name="Pedido de Compra" sheetId="16" r:id="rId16"/>
    <sheet name="Salário" sheetId="17" r:id="rId17"/>
    <sheet name="Comanda- Cardápio" sheetId="18" r:id="rId18"/>
  </sheets>
  <definedNames>
    <definedName name="_xlnm._FilterDatabase" localSheetId="6" hidden="1">Planilha6!$B$5:$E$14</definedName>
    <definedName name="_xlnm.Print_Area" localSheetId="0">Vendas!$B$1:$I$15</definedName>
  </definedNames>
  <calcPr calcId="144525"/>
</workbook>
</file>

<file path=xl/comments1.xml><?xml version="1.0" encoding="utf-8"?>
<comments xmlns="http://schemas.openxmlformats.org/spreadsheetml/2006/main">
  <authors>
    <author>US</author>
  </authors>
  <commentList>
    <comment ref="F2" authorId="0">
      <text>
        <r>
          <rPr>
            <b/>
            <sz val="9"/>
            <rFont val="Arial"/>
            <charset val="0"/>
          </rPr>
          <t>US:</t>
        </r>
        <r>
          <rPr>
            <sz val="9"/>
            <rFont val="Arial"/>
            <charset val="0"/>
          </rPr>
          <t xml:space="preserve">
Média aritmética das notas por matéria</t>
        </r>
      </text>
    </comment>
    <comment ref="G2" authorId="0">
      <text>
        <r>
          <rPr>
            <b/>
            <sz val="9"/>
            <rFont val="Arial"/>
            <charset val="0"/>
          </rPr>
          <t>US:</t>
        </r>
        <r>
          <rPr>
            <sz val="9"/>
            <rFont val="Arial"/>
            <charset val="0"/>
          </rPr>
          <t xml:space="preserve">
Alunos são aprovados quando aprovados quanto a nota for superior a 7
</t>
        </r>
      </text>
    </comment>
  </commentList>
</comments>
</file>

<file path=xl/comments2.xml><?xml version="1.0" encoding="utf-8"?>
<comments xmlns="http://schemas.openxmlformats.org/spreadsheetml/2006/main">
  <authors>
    <author>US</author>
  </authors>
  <commentList>
    <comment ref="B15" authorId="0">
      <text>
        <r>
          <rPr>
            <sz val="9"/>
            <rFont val="Agency FB"/>
            <charset val="0"/>
          </rPr>
          <t xml:space="preserve">Amarelo para quando o saldo for acima de R$ 2.000,00
</t>
        </r>
      </text>
    </comment>
  </commentList>
</comments>
</file>

<file path=xl/comments3.xml><?xml version="1.0" encoding="utf-8"?>
<comments xmlns="http://schemas.openxmlformats.org/spreadsheetml/2006/main">
  <authors>
    <author>US</author>
  </authors>
  <commentList>
    <comment ref="L3" authorId="0">
      <text>
        <r>
          <rPr>
            <b/>
            <sz val="9"/>
            <rFont val="Arial"/>
            <charset val="0"/>
          </rPr>
          <t>US:</t>
        </r>
        <r>
          <rPr>
            <sz val="9"/>
            <rFont val="Arial"/>
            <charset val="0"/>
          </rPr>
          <t xml:space="preserve">
Maior ou igual a 500
( Meta alcançada )
Menor 500 =
(Abaixo da meta)</t>
        </r>
      </text>
    </comment>
  </commentList>
</comments>
</file>

<file path=xl/comments4.xml><?xml version="1.0" encoding="utf-8"?>
<comments xmlns="http://schemas.openxmlformats.org/spreadsheetml/2006/main">
  <authors>
    <author>US</author>
  </authors>
  <commentList>
    <comment ref="B3" authorId="0">
      <text>
        <r>
          <rPr>
            <b/>
            <sz val="9"/>
            <rFont val="Arial"/>
            <charset val="0"/>
          </rPr>
          <t>US:</t>
        </r>
        <r>
          <rPr>
            <sz val="9"/>
            <rFont val="Arial"/>
            <charset val="0"/>
          </rPr>
          <t xml:space="preserve">
Mínimo 5 produtos
</t>
        </r>
      </text>
    </comment>
    <comment ref="L3" authorId="0">
      <text>
        <r>
          <rPr>
            <b/>
            <sz val="9"/>
            <rFont val="Arial"/>
            <charset val="0"/>
          </rPr>
          <t>US:</t>
        </r>
        <r>
          <rPr>
            <sz val="9"/>
            <rFont val="Arial"/>
            <charset val="0"/>
          </rPr>
          <t xml:space="preserve">
Mínimo 5 produtos
</t>
        </r>
      </text>
    </comment>
  </commentList>
</comments>
</file>

<file path=xl/sharedStrings.xml><?xml version="1.0" encoding="utf-8"?>
<sst xmlns="http://schemas.openxmlformats.org/spreadsheetml/2006/main" count="485" uniqueCount="293">
  <si>
    <t>Emrepsa Nacional S/A - Vendas</t>
  </si>
  <si>
    <t>Produto</t>
  </si>
  <si>
    <t>Janeiro</t>
  </si>
  <si>
    <t>Fevereiro</t>
  </si>
  <si>
    <t xml:space="preserve">Março </t>
  </si>
  <si>
    <t>Maximo</t>
  </si>
  <si>
    <t>Mínimo</t>
  </si>
  <si>
    <t xml:space="preserve">Média </t>
  </si>
  <si>
    <t>Total</t>
  </si>
  <si>
    <t>Parafusos</t>
  </si>
  <si>
    <t>Pregos</t>
  </si>
  <si>
    <t>Tintas</t>
  </si>
  <si>
    <t>Martelo</t>
  </si>
  <si>
    <t>Marreta</t>
  </si>
  <si>
    <t>Abril</t>
  </si>
  <si>
    <t>Maio</t>
  </si>
  <si>
    <t>Junho</t>
  </si>
  <si>
    <t>Quantidade</t>
  </si>
  <si>
    <t>Valor Unitário</t>
  </si>
  <si>
    <t>Valo Total</t>
  </si>
  <si>
    <t>data de validade</t>
  </si>
  <si>
    <t>dias para vencimento</t>
  </si>
  <si>
    <t>Situação</t>
  </si>
  <si>
    <r>
      <rPr>
        <sz val="10"/>
        <color theme="1"/>
        <rFont val="Arial"/>
        <charset val="134"/>
      </rPr>
      <t>Chocolate</t>
    </r>
  </si>
  <si>
    <r>
      <rPr>
        <sz val="10"/>
        <color theme="1"/>
        <rFont val="Arial"/>
        <charset val="134"/>
      </rPr>
      <t>Biscoitos</t>
    </r>
  </si>
  <si>
    <r>
      <rPr>
        <sz val="10"/>
        <color theme="1"/>
        <rFont val="Arial"/>
        <charset val="134"/>
      </rPr>
      <t>Macarrão</t>
    </r>
  </si>
  <si>
    <r>
      <rPr>
        <sz val="10"/>
        <color theme="1"/>
        <rFont val="Arial"/>
        <charset val="134"/>
      </rPr>
      <t>Milho</t>
    </r>
  </si>
  <si>
    <r>
      <rPr>
        <sz val="10"/>
        <color theme="1"/>
        <rFont val="Arial"/>
        <charset val="134"/>
      </rPr>
      <t>Sabonete</t>
    </r>
  </si>
  <si>
    <t>Boletim Escolhar</t>
  </si>
  <si>
    <t>Matérias</t>
  </si>
  <si>
    <t>1°Bimestre</t>
  </si>
  <si>
    <t>2°Bimestre</t>
  </si>
  <si>
    <t>3°Bimestre</t>
  </si>
  <si>
    <t>4°Bimestre</t>
  </si>
  <si>
    <t>Média</t>
  </si>
  <si>
    <t>Resultado</t>
  </si>
  <si>
    <t>Contagem</t>
  </si>
  <si>
    <t>Matemática</t>
  </si>
  <si>
    <t>Aprovadas</t>
  </si>
  <si>
    <t>Física</t>
  </si>
  <si>
    <t>Reprovados</t>
  </si>
  <si>
    <t>Quimica</t>
  </si>
  <si>
    <t>Biologia</t>
  </si>
  <si>
    <t>Português</t>
  </si>
  <si>
    <t>Financeiro - Semestre</t>
  </si>
  <si>
    <t>Receitas</t>
  </si>
  <si>
    <t>Março</t>
  </si>
  <si>
    <t xml:space="preserve">Abril </t>
  </si>
  <si>
    <t xml:space="preserve">Junho </t>
  </si>
  <si>
    <t>Despesas</t>
  </si>
  <si>
    <t>Aluguel</t>
  </si>
  <si>
    <t>Academia</t>
  </si>
  <si>
    <t>Internet</t>
  </si>
  <si>
    <t>Alimentação</t>
  </si>
  <si>
    <t>Transporte</t>
  </si>
  <si>
    <t>Diversos</t>
  </si>
  <si>
    <t>Saldo</t>
  </si>
  <si>
    <r>
      <rPr>
        <b/>
        <sz val="10"/>
        <color theme="1"/>
        <rFont val="Arial"/>
        <charset val="134"/>
      </rPr>
      <t>Recibo de Compra</t>
    </r>
  </si>
  <si>
    <t>Data</t>
  </si>
  <si>
    <t>quarta-feira, 20 de março de 2024</t>
  </si>
  <si>
    <t>Cliente</t>
  </si>
  <si>
    <t>Pedro</t>
  </si>
  <si>
    <t>Desconto</t>
  </si>
  <si>
    <t>Chocolate</t>
  </si>
  <si>
    <t>Biscoitos</t>
  </si>
  <si>
    <t>Macarrão</t>
  </si>
  <si>
    <t>Milho</t>
  </si>
  <si>
    <t>Sabonete</t>
  </si>
  <si>
    <t>Sub-Total</t>
  </si>
  <si>
    <t>Vl.Desconto</t>
  </si>
  <si>
    <t>Mais Caro</t>
  </si>
  <si>
    <t>Mais Barato</t>
  </si>
  <si>
    <t>Relatório de Vendas</t>
  </si>
  <si>
    <t>Prato</t>
  </si>
  <si>
    <t>Subtotal</t>
  </si>
  <si>
    <t>Sub-total</t>
  </si>
  <si>
    <t>Caneca</t>
  </si>
  <si>
    <t>Vendedor</t>
  </si>
  <si>
    <t>Valor</t>
  </si>
  <si>
    <t>05/out</t>
  </si>
  <si>
    <t>Thiago</t>
  </si>
  <si>
    <t>06/out</t>
  </si>
  <si>
    <t>Rafaela</t>
  </si>
  <si>
    <t>09/out</t>
  </si>
  <si>
    <t>Qtd Prato</t>
  </si>
  <si>
    <t>Qtd Canecas</t>
  </si>
  <si>
    <t>Code</t>
  </si>
  <si>
    <t>Nome</t>
  </si>
  <si>
    <t>Cargo</t>
  </si>
  <si>
    <t>Analista</t>
  </si>
  <si>
    <t>RH</t>
  </si>
  <si>
    <t>Maria</t>
  </si>
  <si>
    <t>Coordenador</t>
  </si>
  <si>
    <t>Gerenciamento Comissões</t>
  </si>
  <si>
    <t>Salário Bruto</t>
  </si>
  <si>
    <t>Vendas</t>
  </si>
  <si>
    <t>Comissão</t>
  </si>
  <si>
    <t>Salário Líquido</t>
  </si>
  <si>
    <t>Categoria</t>
  </si>
  <si>
    <t>Refaela</t>
  </si>
  <si>
    <t>A</t>
  </si>
  <si>
    <t>B</t>
  </si>
  <si>
    <t>C</t>
  </si>
  <si>
    <t>D</t>
  </si>
  <si>
    <t>E</t>
  </si>
  <si>
    <t>Semana</t>
  </si>
  <si>
    <t>Segunda-feira</t>
  </si>
  <si>
    <t>Terça</t>
  </si>
  <si>
    <t>Quarta</t>
  </si>
  <si>
    <t>Quinta</t>
  </si>
  <si>
    <t>Sexta</t>
  </si>
  <si>
    <t>Sábado</t>
  </si>
  <si>
    <t>Domingo</t>
  </si>
  <si>
    <t>Mês</t>
  </si>
  <si>
    <t>Pesquisa Dia</t>
  </si>
  <si>
    <t>5+9</t>
  </si>
  <si>
    <t xml:space="preserve">Nome </t>
  </si>
  <si>
    <t>Sobrenome</t>
  </si>
  <si>
    <t>Telefone</t>
  </si>
  <si>
    <t>Cidade</t>
  </si>
  <si>
    <t>Estado</t>
  </si>
  <si>
    <t>Requerimento</t>
  </si>
  <si>
    <t>Neves</t>
  </si>
  <si>
    <t>61 99856472</t>
  </si>
  <si>
    <t>Brasilia</t>
  </si>
  <si>
    <t>DF</t>
  </si>
  <si>
    <t>Gomes</t>
  </si>
  <si>
    <t>61 98445165</t>
  </si>
  <si>
    <t>Anápolis</t>
  </si>
  <si>
    <t>GO</t>
  </si>
  <si>
    <t>Alvertina</t>
  </si>
  <si>
    <t>61 98412156</t>
  </si>
  <si>
    <t>Pedros</t>
  </si>
  <si>
    <t>Pictorius</t>
  </si>
  <si>
    <t>61 9854134</t>
  </si>
  <si>
    <t>Palmas</t>
  </si>
  <si>
    <t>TO</t>
  </si>
  <si>
    <t>Orçamento</t>
  </si>
  <si>
    <t>Valor Futuro</t>
  </si>
  <si>
    <t>Parcelamentos:</t>
  </si>
  <si>
    <t>Taxa de Juros:</t>
  </si>
  <si>
    <t>Taxa Fixa:</t>
  </si>
  <si>
    <t>VP:</t>
  </si>
  <si>
    <t>VF:</t>
  </si>
  <si>
    <t>Mensalidade:</t>
  </si>
  <si>
    <t>Fluxo de Caixa</t>
  </si>
  <si>
    <t>Previsto</t>
  </si>
  <si>
    <t>Realizado</t>
  </si>
  <si>
    <t>Entrada</t>
  </si>
  <si>
    <t>Venda Direta</t>
  </si>
  <si>
    <t>Contas Receber</t>
  </si>
  <si>
    <t>Outros Rendimentos</t>
  </si>
  <si>
    <t>Saida</t>
  </si>
  <si>
    <t>Energia</t>
  </si>
  <si>
    <t>Material de Escritório</t>
  </si>
  <si>
    <t>Contabilidade</t>
  </si>
  <si>
    <t>Estoque</t>
  </si>
  <si>
    <t>Total Saidas</t>
  </si>
  <si>
    <t>Total Sapidas</t>
  </si>
  <si>
    <t>1 - Saldo(Entrada - Saidas)</t>
  </si>
  <si>
    <t>2 - Saldo Anterior</t>
  </si>
  <si>
    <t>3 - Saldo acumulado(1+2)</t>
  </si>
  <si>
    <t>4 - Necessidade emprestimos</t>
  </si>
  <si>
    <t>5 - Saldo Final (3+4)</t>
  </si>
  <si>
    <t>Confeitaria Real</t>
  </si>
  <si>
    <t>Produtos</t>
  </si>
  <si>
    <t>Seg</t>
  </si>
  <si>
    <t>Ter</t>
  </si>
  <si>
    <t>Qua</t>
  </si>
  <si>
    <t>Qui</t>
  </si>
  <si>
    <t>Sex</t>
  </si>
  <si>
    <t>Vl.Unitário</t>
  </si>
  <si>
    <t>Total vendas</t>
  </si>
  <si>
    <t>valor vendas</t>
  </si>
  <si>
    <t>Média Semanal</t>
  </si>
  <si>
    <t>Meta</t>
  </si>
  <si>
    <t>Croissant</t>
  </si>
  <si>
    <t>Torta Limão</t>
  </si>
  <si>
    <t>Torta Folhas</t>
  </si>
  <si>
    <t>Pastel</t>
  </si>
  <si>
    <t>Docinhos</t>
  </si>
  <si>
    <t>Maior Venda</t>
  </si>
  <si>
    <t>Menor venda</t>
  </si>
  <si>
    <t>Folha de Pagamento</t>
  </si>
  <si>
    <t>Funcionário</t>
  </si>
  <si>
    <t>Nº Dependentes</t>
  </si>
  <si>
    <t>Valor p/dia</t>
  </si>
  <si>
    <t>Salária Base</t>
  </si>
  <si>
    <t>Faltas</t>
  </si>
  <si>
    <t>Adiantamento</t>
  </si>
  <si>
    <t>INSS</t>
  </si>
  <si>
    <t>S,Família</t>
  </si>
  <si>
    <t>IR</t>
  </si>
  <si>
    <t>V.T</t>
  </si>
  <si>
    <t>V.R</t>
  </si>
  <si>
    <t>Ass.Médica</t>
  </si>
  <si>
    <t>Outros Descontos</t>
  </si>
  <si>
    <t>Líquido</t>
  </si>
  <si>
    <t>Rafael</t>
  </si>
  <si>
    <t>Diretor</t>
  </si>
  <si>
    <t>Lucas</t>
  </si>
  <si>
    <t>Gerente</t>
  </si>
  <si>
    <t>Denise</t>
  </si>
  <si>
    <t>Flávio</t>
  </si>
  <si>
    <t>Eduardo</t>
  </si>
  <si>
    <t>Instrutor</t>
  </si>
  <si>
    <t>Elaine</t>
  </si>
  <si>
    <t>Douglas</t>
  </si>
  <si>
    <t>Josiane</t>
  </si>
  <si>
    <t>Marcelo</t>
  </si>
  <si>
    <t>Melissa</t>
  </si>
  <si>
    <t>Secretaria</t>
  </si>
  <si>
    <t>Mônica</t>
  </si>
  <si>
    <t>William</t>
  </si>
  <si>
    <t>Divulgador</t>
  </si>
  <si>
    <t>Rose</t>
  </si>
  <si>
    <t>Itamar</t>
  </si>
  <si>
    <t>Sandra</t>
  </si>
  <si>
    <t>Suporte</t>
  </si>
  <si>
    <t>Túlio</t>
  </si>
  <si>
    <t>TOTAIS</t>
  </si>
  <si>
    <t>Sal.Bruto</t>
  </si>
  <si>
    <t>Alíquota</t>
  </si>
  <si>
    <t>Pedido Compra</t>
  </si>
  <si>
    <t>Tamanho</t>
  </si>
  <si>
    <t>Descrição</t>
  </si>
  <si>
    <t>Preço Unitário</t>
  </si>
  <si>
    <t>Preço Total</t>
  </si>
  <si>
    <t>Camiseta</t>
  </si>
  <si>
    <t>P</t>
  </si>
  <si>
    <t>Calça Jeans</t>
  </si>
  <si>
    <t>Calça Sarja</t>
  </si>
  <si>
    <t>G</t>
  </si>
  <si>
    <t>Vestido Longo</t>
  </si>
  <si>
    <t>M</t>
  </si>
  <si>
    <t>Mini-Saia</t>
  </si>
  <si>
    <t>Camisa Manga-Longa</t>
  </si>
  <si>
    <t>Bermuda Masculina</t>
  </si>
  <si>
    <t>Camiseta Infantil</t>
  </si>
  <si>
    <t>Vestido Infantil</t>
  </si>
  <si>
    <t>Terno</t>
  </si>
  <si>
    <t>Bermuda Feminina</t>
  </si>
  <si>
    <t>Short-Feminino</t>
  </si>
  <si>
    <t>Tamanhos</t>
  </si>
  <si>
    <t>Totais</t>
  </si>
  <si>
    <t>Total Geral</t>
  </si>
  <si>
    <t>Pequeno</t>
  </si>
  <si>
    <t>Média Geral</t>
  </si>
  <si>
    <t>Médio</t>
  </si>
  <si>
    <t>Maior</t>
  </si>
  <si>
    <t>Grande</t>
  </si>
  <si>
    <t>Menor</t>
  </si>
  <si>
    <t>Salário</t>
  </si>
  <si>
    <t>Aumento</t>
  </si>
  <si>
    <t>Novo Salário</t>
  </si>
  <si>
    <t>João Dos Santos</t>
  </si>
  <si>
    <t>Maria da Silva</t>
  </si>
  <si>
    <t>Manoel Flores</t>
  </si>
  <si>
    <t>Lambarildo Peixe</t>
  </si>
  <si>
    <t>Sebastian Silva</t>
  </si>
  <si>
    <t>Ana Flávia</t>
  </si>
  <si>
    <t>Alberto Roberto</t>
  </si>
  <si>
    <t>Savia Helena</t>
  </si>
  <si>
    <t>Até R$ 1.000,00</t>
  </si>
  <si>
    <t>Acima de R$ 1.000,00</t>
  </si>
  <si>
    <t>Restaurante Serve Bem</t>
  </si>
  <si>
    <t>Cardápio</t>
  </si>
  <si>
    <t>Carnes</t>
  </si>
  <si>
    <t>Peixes</t>
  </si>
  <si>
    <t>Código</t>
  </si>
  <si>
    <t>Preço</t>
  </si>
  <si>
    <t>Feijoada</t>
  </si>
  <si>
    <t>Lulas</t>
  </si>
  <si>
    <t>Arroz</t>
  </si>
  <si>
    <t>Pargo</t>
  </si>
  <si>
    <t>Carne de Porco</t>
  </si>
  <si>
    <t>Linguado</t>
  </si>
  <si>
    <t>Carne Assada</t>
  </si>
  <si>
    <t>Files Grelhados</t>
  </si>
  <si>
    <t>Chanfana</t>
  </si>
  <si>
    <t>Chocos</t>
  </si>
  <si>
    <t>Leitão</t>
  </si>
  <si>
    <t>Caldeirada</t>
  </si>
  <si>
    <t>Bife da Casa</t>
  </si>
  <si>
    <t>Sardinhas</t>
  </si>
  <si>
    <t>Costelinha</t>
  </si>
  <si>
    <t>Bacalhau</t>
  </si>
  <si>
    <t>Carne Churras</t>
  </si>
  <si>
    <t>Salada de Bacalhau</t>
  </si>
  <si>
    <t>Rojões</t>
  </si>
  <si>
    <t>Bacalhau na Brasa</t>
  </si>
  <si>
    <t>Comanda</t>
  </si>
  <si>
    <t>Peixe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</si>
</sst>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\ h:mm"/>
    <numFmt numFmtId="181" formatCode="0.0%"/>
    <numFmt numFmtId="182" formatCode="&quot;R$&quot;#,##0.00;[Red]\-&quot;R$&quot;#,##0.00"/>
  </numFmts>
  <fonts count="29">
    <font>
      <sz val="10"/>
      <color theme="1"/>
      <name val="Century Gothic"/>
      <charset val="134"/>
      <scheme val="minor"/>
    </font>
    <font>
      <b/>
      <sz val="10"/>
      <color theme="1"/>
      <name val="Century Gothic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0"/>
      <name val="Century Gothic"/>
      <charset val="134"/>
      <scheme val="minor"/>
    </font>
    <font>
      <u/>
      <sz val="11"/>
      <color rgb="FF0000FF"/>
      <name val="Century Gothic"/>
      <charset val="0"/>
      <scheme val="minor"/>
    </font>
    <font>
      <u/>
      <sz val="11"/>
      <color rgb="FF800080"/>
      <name val="Century Gothic"/>
      <charset val="0"/>
      <scheme val="minor"/>
    </font>
    <font>
      <sz val="11"/>
      <color rgb="FFFF0000"/>
      <name val="Century Gothic"/>
      <charset val="0"/>
      <scheme val="minor"/>
    </font>
    <font>
      <b/>
      <sz val="18"/>
      <color theme="3"/>
      <name val="Century Gothic"/>
      <charset val="134"/>
      <scheme val="minor"/>
    </font>
    <font>
      <i/>
      <sz val="11"/>
      <color rgb="FF7F7F7F"/>
      <name val="Century Gothic"/>
      <charset val="0"/>
      <scheme val="minor"/>
    </font>
    <font>
      <b/>
      <sz val="15"/>
      <color theme="3"/>
      <name val="Century Gothic"/>
      <charset val="134"/>
      <scheme val="minor"/>
    </font>
    <font>
      <b/>
      <sz val="13"/>
      <color theme="3"/>
      <name val="Century Gothic"/>
      <charset val="134"/>
      <scheme val="minor"/>
    </font>
    <font>
      <b/>
      <sz val="11"/>
      <color theme="3"/>
      <name val="Century Gothic"/>
      <charset val="134"/>
      <scheme val="minor"/>
    </font>
    <font>
      <sz val="11"/>
      <color rgb="FF3F3F76"/>
      <name val="Century Gothic"/>
      <charset val="0"/>
      <scheme val="minor"/>
    </font>
    <font>
      <b/>
      <sz val="11"/>
      <color rgb="FF3F3F3F"/>
      <name val="Century Gothic"/>
      <charset val="0"/>
      <scheme val="minor"/>
    </font>
    <font>
      <b/>
      <sz val="11"/>
      <color rgb="FFFA7D00"/>
      <name val="Century Gothic"/>
      <charset val="0"/>
      <scheme val="minor"/>
    </font>
    <font>
      <b/>
      <sz val="11"/>
      <color rgb="FFFFFFFF"/>
      <name val="Century Gothic"/>
      <charset val="0"/>
      <scheme val="minor"/>
    </font>
    <font>
      <sz val="11"/>
      <color rgb="FFFA7D00"/>
      <name val="Century Gothic"/>
      <charset val="0"/>
      <scheme val="minor"/>
    </font>
    <font>
      <b/>
      <sz val="11"/>
      <color theme="1"/>
      <name val="Century Gothic"/>
      <charset val="0"/>
      <scheme val="minor"/>
    </font>
    <font>
      <sz val="11"/>
      <color rgb="FF006100"/>
      <name val="Century Gothic"/>
      <charset val="0"/>
      <scheme val="minor"/>
    </font>
    <font>
      <sz val="11"/>
      <color rgb="FF9C0006"/>
      <name val="Century Gothic"/>
      <charset val="0"/>
      <scheme val="minor"/>
    </font>
    <font>
      <sz val="11"/>
      <color rgb="FF9C6500"/>
      <name val="Century Gothic"/>
      <charset val="0"/>
      <scheme val="minor"/>
    </font>
    <font>
      <sz val="11"/>
      <color theme="0"/>
      <name val="Century Gothic"/>
      <charset val="0"/>
      <scheme val="minor"/>
    </font>
    <font>
      <sz val="11"/>
      <color theme="1"/>
      <name val="Century Gothic"/>
      <charset val="0"/>
      <scheme val="minor"/>
    </font>
    <font>
      <sz val="10"/>
      <color theme="1"/>
      <name val="Arial"/>
      <charset val="134"/>
    </font>
    <font>
      <b/>
      <sz val="9"/>
      <name val="Arial"/>
      <charset val="0"/>
    </font>
    <font>
      <sz val="9"/>
      <name val="Arial"/>
      <charset val="0"/>
    </font>
    <font>
      <sz val="9"/>
      <name val="Agency FB"/>
      <charset val="0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3" applyNumberFormat="0" applyFill="0" applyAlignment="0" applyProtection="0">
      <alignment vertical="center"/>
    </xf>
    <xf numFmtId="0" fontId="12" fillId="0" borderId="43" applyNumberFormat="0" applyFill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5" applyNumberFormat="0" applyAlignment="0" applyProtection="0">
      <alignment vertical="center"/>
    </xf>
    <xf numFmtId="0" fontId="15" fillId="10" borderId="46" applyNumberFormat="0" applyAlignment="0" applyProtection="0">
      <alignment vertical="center"/>
    </xf>
    <xf numFmtId="0" fontId="16" fillId="10" borderId="45" applyNumberFormat="0" applyAlignment="0" applyProtection="0">
      <alignment vertical="center"/>
    </xf>
    <xf numFmtId="0" fontId="17" fillId="11" borderId="47" applyNumberFormat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19" fillId="0" borderId="4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0" fillId="0" borderId="0" xfId="2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77" fontId="0" fillId="0" borderId="1" xfId="2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2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177" fontId="1" fillId="4" borderId="1" xfId="0" applyNumberFormat="1" applyFont="1" applyFill="1" applyBorder="1">
      <alignment vertical="center"/>
    </xf>
    <xf numFmtId="0" fontId="1" fillId="4" borderId="1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/>
    </xf>
    <xf numFmtId="177" fontId="1" fillId="2" borderId="1" xfId="2" applyFont="1" applyFill="1" applyBorder="1" applyAlignment="1">
      <alignment horizontal="center" vertical="center"/>
    </xf>
    <xf numFmtId="177" fontId="1" fillId="0" borderId="1" xfId="2" applyFont="1" applyBorder="1" applyAlignment="1">
      <alignment horizontal="center" vertical="center"/>
    </xf>
    <xf numFmtId="177" fontId="1" fillId="0" borderId="1" xfId="2" applyFont="1" applyBorder="1">
      <alignment vertical="center"/>
    </xf>
    <xf numFmtId="177" fontId="1" fillId="4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0" fillId="0" borderId="4" xfId="0" applyBorder="1">
      <alignment vertical="center"/>
    </xf>
    <xf numFmtId="177" fontId="0" fillId="0" borderId="13" xfId="2" applyBorder="1">
      <alignment vertical="center"/>
    </xf>
    <xf numFmtId="0" fontId="0" fillId="0" borderId="14" xfId="0" applyBorder="1">
      <alignment vertical="center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1" fillId="0" borderId="18" xfId="0" applyFont="1" applyBorder="1">
      <alignment vertical="center"/>
    </xf>
    <xf numFmtId="177" fontId="0" fillId="0" borderId="18" xfId="2" applyBorder="1">
      <alignment vertical="center"/>
    </xf>
    <xf numFmtId="0" fontId="1" fillId="0" borderId="19" xfId="0" applyFon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>
      <alignment vertical="center"/>
    </xf>
    <xf numFmtId="177" fontId="0" fillId="0" borderId="9" xfId="2" applyBorder="1">
      <alignment vertical="center"/>
    </xf>
    <xf numFmtId="177" fontId="0" fillId="0" borderId="10" xfId="2" applyBorder="1">
      <alignment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177" fontId="0" fillId="0" borderId="22" xfId="2" applyBorder="1">
      <alignment vertical="center"/>
    </xf>
    <xf numFmtId="0" fontId="0" fillId="0" borderId="18" xfId="0" applyBorder="1">
      <alignment vertical="center"/>
    </xf>
    <xf numFmtId="0" fontId="1" fillId="0" borderId="5" xfId="0" applyFont="1" applyBorder="1">
      <alignment vertical="center"/>
    </xf>
    <xf numFmtId="177" fontId="0" fillId="0" borderId="6" xfId="0" applyNumberFormat="1" applyBorder="1">
      <alignment vertical="center"/>
    </xf>
    <xf numFmtId="177" fontId="0" fillId="0" borderId="23" xfId="0" applyNumberFormat="1" applyBorder="1">
      <alignment vertical="center"/>
    </xf>
    <xf numFmtId="0" fontId="1" fillId="0" borderId="24" xfId="0" applyFon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0" fontId="1" fillId="0" borderId="27" xfId="0" applyFont="1" applyBorder="1">
      <alignment vertical="center"/>
    </xf>
    <xf numFmtId="177" fontId="0" fillId="0" borderId="28" xfId="2" applyBorder="1">
      <alignment vertical="center"/>
    </xf>
    <xf numFmtId="177" fontId="0" fillId="0" borderId="0" xfId="0" applyNumberFormat="1">
      <alignment vertical="center"/>
    </xf>
    <xf numFmtId="177" fontId="0" fillId="0" borderId="28" xfId="0" applyNumberFormat="1" applyBorder="1">
      <alignment vertical="center"/>
    </xf>
    <xf numFmtId="0" fontId="0" fillId="0" borderId="28" xfId="0" applyBorder="1">
      <alignment vertical="center"/>
    </xf>
    <xf numFmtId="0" fontId="1" fillId="0" borderId="17" xfId="0" applyFont="1" applyBorder="1">
      <alignment vertical="center"/>
    </xf>
    <xf numFmtId="177" fontId="0" fillId="0" borderId="29" xfId="0" applyNumberFormat="1" applyBorder="1">
      <alignment vertical="center"/>
    </xf>
    <xf numFmtId="177" fontId="0" fillId="0" borderId="30" xfId="0" applyNumberFormat="1" applyBorder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22" xfId="0" applyBorder="1">
      <alignment vertical="center"/>
    </xf>
    <xf numFmtId="177" fontId="0" fillId="0" borderId="1" xfId="2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1" fillId="2" borderId="31" xfId="0" applyFont="1" applyFill="1" applyBorder="1">
      <alignment vertical="center"/>
    </xf>
    <xf numFmtId="181" fontId="0" fillId="0" borderId="31" xfId="3" applyNumberFormat="1" applyBorder="1">
      <alignment vertical="center"/>
    </xf>
    <xf numFmtId="182" fontId="0" fillId="0" borderId="1" xfId="0" applyNumberForma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2" borderId="2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readingOrder="1"/>
    </xf>
    <xf numFmtId="0" fontId="2" fillId="2" borderId="4" xfId="0" applyFont="1" applyFill="1" applyBorder="1" applyAlignment="1">
      <alignment horizontal="center" readingOrder="1"/>
    </xf>
    <xf numFmtId="0" fontId="3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4" fillId="0" borderId="2" xfId="0" applyFont="1" applyBorder="1" applyAlignment="1">
      <alignment horizontal="center" readingOrder="1"/>
    </xf>
    <xf numFmtId="0" fontId="4" fillId="0" borderId="3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9" fontId="4" fillId="0" borderId="2" xfId="0" applyNumberFormat="1" applyFont="1" applyBorder="1" applyAlignment="1">
      <alignment horizontal="center" readingOrder="1"/>
    </xf>
    <xf numFmtId="9" fontId="4" fillId="0" borderId="3" xfId="0" applyNumberFormat="1" applyFont="1" applyBorder="1" applyAlignment="1">
      <alignment horizontal="center" readingOrder="1"/>
    </xf>
    <xf numFmtId="9" fontId="4" fillId="0" borderId="4" xfId="0" applyNumberFormat="1" applyFont="1" applyBorder="1" applyAlignment="1">
      <alignment horizontal="center" readingOrder="1"/>
    </xf>
    <xf numFmtId="182" fontId="4" fillId="0" borderId="1" xfId="0" applyNumberFormat="1" applyFont="1" applyBorder="1" applyAlignment="1">
      <alignment readingOrder="1"/>
    </xf>
    <xf numFmtId="0" fontId="0" fillId="2" borderId="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9" xfId="0" applyFont="1" applyBorder="1" applyAlignment="1">
      <alignment horizontal="center" vertical="center" wrapText="1"/>
    </xf>
    <xf numFmtId="177" fontId="0" fillId="0" borderId="18" xfId="2" applyBorder="1">
      <alignment vertical="center"/>
    </xf>
    <xf numFmtId="177" fontId="0" fillId="0" borderId="22" xfId="2" applyBorder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1" fillId="0" borderId="14" xfId="0" applyFont="1" applyBorder="1">
      <alignment vertical="center"/>
    </xf>
    <xf numFmtId="177" fontId="0" fillId="0" borderId="13" xfId="0" applyNumberFormat="1" applyBorder="1">
      <alignment vertical="center"/>
    </xf>
    <xf numFmtId="0" fontId="0" fillId="0" borderId="18" xfId="0" applyBorder="1" applyProtection="1">
      <alignment vertical="center"/>
    </xf>
    <xf numFmtId="0" fontId="5" fillId="6" borderId="34" xfId="0" applyFont="1" applyFill="1" applyBorder="1">
      <alignment vertical="center"/>
    </xf>
    <xf numFmtId="0" fontId="5" fillId="6" borderId="35" xfId="0" applyFont="1" applyFill="1" applyBorder="1">
      <alignment vertical="center"/>
    </xf>
    <xf numFmtId="0" fontId="5" fillId="6" borderId="36" xfId="0" applyFont="1" applyFill="1" applyBorder="1">
      <alignment vertical="center"/>
    </xf>
    <xf numFmtId="0" fontId="1" fillId="7" borderId="37" xfId="0" applyFont="1" applyFill="1" applyBorder="1" applyAlignment="1">
      <alignment horizontal="center" wrapText="1" readingOrder="1"/>
    </xf>
    <xf numFmtId="0" fontId="0" fillId="0" borderId="0" xfId="0" applyFont="1" applyFill="1" applyBorder="1" applyAlignment="1">
      <alignment horizontal="center" wrapText="1" readingOrder="1"/>
    </xf>
    <xf numFmtId="182" fontId="0" fillId="0" borderId="0" xfId="0" applyNumberFormat="1" applyFont="1" applyFill="1" applyBorder="1" applyAlignment="1">
      <alignment horizontal="right" wrapText="1" readingOrder="1"/>
    </xf>
    <xf numFmtId="58" fontId="0" fillId="0" borderId="38" xfId="0" applyNumberFormat="1" applyFont="1" applyFill="1" applyBorder="1">
      <alignment vertical="center"/>
    </xf>
    <xf numFmtId="0" fontId="1" fillId="7" borderId="39" xfId="0" applyFont="1" applyFill="1" applyBorder="1" applyAlignment="1">
      <alignment horizontal="center" wrapText="1" readingOrder="1"/>
    </xf>
    <xf numFmtId="0" fontId="0" fillId="0" borderId="40" xfId="0" applyFont="1" applyFill="1" applyBorder="1" applyAlignment="1">
      <alignment horizontal="center" wrapText="1" readingOrder="1"/>
    </xf>
    <xf numFmtId="182" fontId="0" fillId="0" borderId="40" xfId="0" applyNumberFormat="1" applyFont="1" applyFill="1" applyBorder="1" applyAlignment="1">
      <alignment horizontal="right" wrapText="1" readingOrder="1"/>
    </xf>
    <xf numFmtId="58" fontId="0" fillId="0" borderId="41" xfId="0" applyNumberFormat="1" applyFont="1" applyFill="1" applyBorder="1">
      <alignment vertical="center"/>
    </xf>
    <xf numFmtId="177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3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b val="0"/>
        <i val="1"/>
        <color theme="0"/>
      </font>
      <fill>
        <patternFill patternType="solid">
          <bgColor rgb="FFFF0000"/>
        </patternFill>
      </fill>
    </dxf>
    <dxf>
      <font>
        <b val="0"/>
        <i val="1"/>
        <color theme="1"/>
      </font>
      <fill>
        <patternFill patternType="solid">
          <bgColor rgb="FFFFFF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Vendas!$C$2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Vendas!$B$3:$B$7</c:f>
              <c:strCache>
                <c:ptCount val="5"/>
                <c:pt idx="0">
                  <c:v>Parafusos</c:v>
                </c:pt>
                <c:pt idx="1">
                  <c:v>Pregos</c:v>
                </c:pt>
                <c:pt idx="2">
                  <c:v>Tintas</c:v>
                </c:pt>
                <c:pt idx="3">
                  <c:v>Martelo</c:v>
                </c:pt>
                <c:pt idx="4">
                  <c:v>Marreta</c:v>
                </c:pt>
              </c:strCache>
            </c:strRef>
          </c:cat>
          <c:val>
            <c:numRef>
              <c:f>Vendas!$C$3:$C$7</c:f>
              <c:numCache>
                <c:formatCode>_-"R$"\ * #,##0.00_-;\-"R$"\ * #,##0.00_-;_-"R$"\ * "-"??_-;_-@_-</c:formatCode>
                <c:ptCount val="5"/>
                <c:pt idx="0">
                  <c:v>15000</c:v>
                </c:pt>
                <c:pt idx="1">
                  <c:v>12000</c:v>
                </c:pt>
                <c:pt idx="2">
                  <c:v>50000</c:v>
                </c:pt>
                <c:pt idx="3">
                  <c:v>12000</c:v>
                </c:pt>
                <c:pt idx="4">
                  <c:v>10000</c:v>
                </c:pt>
              </c:numCache>
            </c:numRef>
          </c:val>
        </c:ser>
        <c:ser>
          <c:idx val="1"/>
          <c:order val="1"/>
          <c:tx>
            <c:strRef>
              <c:f>Vendas!$D$2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Vendas!$B$3:$B$7</c:f>
              <c:strCache>
                <c:ptCount val="5"/>
                <c:pt idx="0">
                  <c:v>Parafusos</c:v>
                </c:pt>
                <c:pt idx="1">
                  <c:v>Pregos</c:v>
                </c:pt>
                <c:pt idx="2">
                  <c:v>Tintas</c:v>
                </c:pt>
                <c:pt idx="3">
                  <c:v>Martelo</c:v>
                </c:pt>
                <c:pt idx="4">
                  <c:v>Marreta</c:v>
                </c:pt>
              </c:strCache>
            </c:strRef>
          </c:cat>
          <c:val>
            <c:numRef>
              <c:f>Vendas!$D$3:$D$7</c:f>
              <c:numCache>
                <c:formatCode>_-"R$"\ * #,##0.00_-;\-"R$"\ * #,##0.00_-;_-"R$"\ * "-"??_-;_-@_-</c:formatCode>
                <c:ptCount val="5"/>
                <c:pt idx="0">
                  <c:v>8000</c:v>
                </c:pt>
                <c:pt idx="1">
                  <c:v>9000</c:v>
                </c:pt>
                <c:pt idx="2">
                  <c:v>45000</c:v>
                </c:pt>
                <c:pt idx="3">
                  <c:v>12000</c:v>
                </c:pt>
                <c:pt idx="4">
                  <c:v>3000</c:v>
                </c:pt>
              </c:numCache>
            </c:numRef>
          </c:val>
        </c:ser>
        <c:ser>
          <c:idx val="2"/>
          <c:order val="2"/>
          <c:tx>
            <c:strRef>
              <c:f>Vendas!$E$2</c:f>
              <c:strCache>
                <c:ptCount val="1"/>
                <c:pt idx="0">
                  <c:v>Março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Vendas!$B$3:$B$7</c:f>
              <c:strCache>
                <c:ptCount val="5"/>
                <c:pt idx="0">
                  <c:v>Parafusos</c:v>
                </c:pt>
                <c:pt idx="1">
                  <c:v>Pregos</c:v>
                </c:pt>
                <c:pt idx="2">
                  <c:v>Tintas</c:v>
                </c:pt>
                <c:pt idx="3">
                  <c:v>Martelo</c:v>
                </c:pt>
                <c:pt idx="4">
                  <c:v>Marreta</c:v>
                </c:pt>
              </c:strCache>
            </c:strRef>
          </c:cat>
          <c:val>
            <c:numRef>
              <c:f>Vendas!$E$3:$E$7</c:f>
              <c:numCache>
                <c:formatCode>_-"R$"\ * #,##0.00_-;\-"R$"\ * #,##0.00_-;_-"R$"\ * "-"??_-;_-@_-</c:formatCode>
                <c:ptCount val="5"/>
                <c:pt idx="0">
                  <c:v>1000</c:v>
                </c:pt>
                <c:pt idx="1">
                  <c:v>8000</c:v>
                </c:pt>
                <c:pt idx="2">
                  <c:v>40000</c:v>
                </c:pt>
                <c:pt idx="3">
                  <c:v>4500</c:v>
                </c:pt>
                <c:pt idx="4">
                  <c:v>3000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08057781"/>
        <c:axId val="327151694"/>
      </c:barChart>
      <c:catAx>
        <c:axId val="70805778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7151694"/>
        <c:crosses val="autoZero"/>
        <c:auto val="1"/>
        <c:lblAlgn val="ctr"/>
        <c:lblOffset val="100"/>
        <c:noMultiLvlLbl val="0"/>
      </c:catAx>
      <c:valAx>
        <c:axId val="327151694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0577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Boletim Escolar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Planilha3!$A$3</c:f>
              <c:strCache>
                <c:ptCount val="1"/>
                <c:pt idx="0">
                  <c:v>Matemática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Planilha3!$B$2:$E$2</c:f>
              <c:strCache>
                <c:ptCount val="4"/>
                <c:pt idx="0">
                  <c:v>1°Bimestre</c:v>
                </c:pt>
                <c:pt idx="1">
                  <c:v>2°Bimestre</c:v>
                </c:pt>
                <c:pt idx="2">
                  <c:v>3°Bimestre</c:v>
                </c:pt>
                <c:pt idx="3">
                  <c:v>4°Bimestre</c:v>
                </c:pt>
              </c:strCache>
            </c:strRef>
          </c:cat>
          <c:val>
            <c:numRef>
              <c:f>Planilha3!$B$3:$E$3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Planilha3!$A$4</c:f>
              <c:strCache>
                <c:ptCount val="1"/>
                <c:pt idx="0">
                  <c:v>Física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Planilha3!$B$2:$E$2</c:f>
              <c:strCache>
                <c:ptCount val="4"/>
                <c:pt idx="0">
                  <c:v>1°Bimestre</c:v>
                </c:pt>
                <c:pt idx="1">
                  <c:v>2°Bimestre</c:v>
                </c:pt>
                <c:pt idx="2">
                  <c:v>3°Bimestre</c:v>
                </c:pt>
                <c:pt idx="3">
                  <c:v>4°Bimestre</c:v>
                </c:pt>
              </c:strCache>
            </c:strRef>
          </c:cat>
          <c:val>
            <c:numRef>
              <c:f>Planilha3!$B$4:$E$4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Planilha3!$A$5</c:f>
              <c:strCache>
                <c:ptCount val="1"/>
                <c:pt idx="0">
                  <c:v>Quimica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Planilha3!$B$2:$E$2</c:f>
              <c:strCache>
                <c:ptCount val="4"/>
                <c:pt idx="0">
                  <c:v>1°Bimestre</c:v>
                </c:pt>
                <c:pt idx="1">
                  <c:v>2°Bimestre</c:v>
                </c:pt>
                <c:pt idx="2">
                  <c:v>3°Bimestre</c:v>
                </c:pt>
                <c:pt idx="3">
                  <c:v>4°Bimestre</c:v>
                </c:pt>
              </c:strCache>
            </c:strRef>
          </c:cat>
          <c:val>
            <c:numRef>
              <c:f>Planilha3!$B$5:$E$5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Planilha3!$A$6</c:f>
              <c:strCache>
                <c:ptCount val="1"/>
                <c:pt idx="0">
                  <c:v>Biologia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Planilha3!$B$2:$E$2</c:f>
              <c:strCache>
                <c:ptCount val="4"/>
                <c:pt idx="0">
                  <c:v>1°Bimestre</c:v>
                </c:pt>
                <c:pt idx="1">
                  <c:v>2°Bimestre</c:v>
                </c:pt>
                <c:pt idx="2">
                  <c:v>3°Bimestre</c:v>
                </c:pt>
                <c:pt idx="3">
                  <c:v>4°Bimestre</c:v>
                </c:pt>
              </c:strCache>
            </c:strRef>
          </c:cat>
          <c:val>
            <c:numRef>
              <c:f>Planilha3!$B$6:$E$6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Planilha3!$A$7</c:f>
              <c:strCache>
                <c:ptCount val="1"/>
                <c:pt idx="0">
                  <c:v>Português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Planilha3!$B$2:$E$2</c:f>
              <c:strCache>
                <c:ptCount val="4"/>
                <c:pt idx="0">
                  <c:v>1°Bimestre</c:v>
                </c:pt>
                <c:pt idx="1">
                  <c:v>2°Bimestre</c:v>
                </c:pt>
                <c:pt idx="2">
                  <c:v>3°Bimestre</c:v>
                </c:pt>
                <c:pt idx="3">
                  <c:v>4°Bimestre</c:v>
                </c:pt>
              </c:strCache>
            </c:strRef>
          </c:cat>
          <c:val>
            <c:numRef>
              <c:f>Planilha3!$B$7:$E$7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3643178"/>
        <c:axId val="785634695"/>
      </c:lineChart>
      <c:catAx>
        <c:axId val="6936431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634695"/>
        <c:crosses val="autoZero"/>
        <c:auto val="1"/>
        <c:lblAlgn val="ctr"/>
        <c:lblOffset val="100"/>
        <c:noMultiLvlLbl val="0"/>
      </c:catAx>
      <c:valAx>
        <c:axId val="785634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36431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165100" dir="5400000" algn="ctr" rotWithShape="0">
        <a:srgbClr val="000000">
          <a:alpha val="43000"/>
        </a:srgbClr>
      </a:outerShdw>
    </a:effectLst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Produtos</a:t>
            </a:r>
          </a:p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Planilha5!$D$1:$D$5</c:f>
              <c:strCache>
                <c:ptCount val="1"/>
                <c:pt idx="0">
                  <c:v>Recibo de Compra quarta-feira, 20 de março de 2024 Pedro 5% Valo Total</c:v>
                </c:pt>
              </c:strCache>
            </c:strRef>
          </c:tx>
          <c:spPr>
            <a:effectLst>
              <a:outerShdw blurRad="50800" dist="50800" dir="5400000" algn="ctr" rotWithShape="0">
                <a:srgbClr val="000000">
                  <a:alpha val="100000"/>
                </a:srgbClr>
              </a:outerShdw>
            </a:effectLst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000000">
                    <a:alpha val="100000"/>
                  </a:srgbClr>
                </a:outerShdw>
              </a:effectLst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Planilha5!$A$6:$C$16</c:f>
              <c:multiLvlStrCache>
                <c:ptCount val="11"/>
                <c:lvl>
                  <c:pt idx="0" c:formatCode="&quot;R$&quot;#,##0.00;[Red]\-&quot;R$&quot;#,##0.00">
                    <c:v>R$10,30</c:v>
                  </c:pt>
                  <c:pt idx="1" c:formatCode="&quot;R$&quot;#,##0.00;[Red]\-&quot;R$&quot;#,##0.00">
                    <c:v>R$5,30</c:v>
                  </c:pt>
                  <c:pt idx="2" c:formatCode="&quot;R$&quot;#,##0.00;[Red]\-&quot;R$&quot;#,##0.00">
                    <c:v>R$2,30</c:v>
                  </c:pt>
                  <c:pt idx="3" c:formatCode="&quot;R$&quot;#,##0.00;[Red]\-&quot;R$&quot;#,##0.00">
                    <c:v>R$1,56</c:v>
                  </c:pt>
                  <c:pt idx="4" c:formatCode="&quot;R$&quot;#,##0.00;[Red]\-&quot;R$&quot;#,##0.00">
                    <c:v>R$2,30</c:v>
                  </c:pt>
                  <c:pt idx="6">
                    <c:v>Sub-Total</c:v>
                  </c:pt>
                  <c:pt idx="7">
                    <c:v>Vl.Desconto</c:v>
                  </c:pt>
                  <c:pt idx="8">
                    <c:v>Mais Caro</c:v>
                  </c:pt>
                  <c:pt idx="9">
                    <c:v>Mais Barato</c:v>
                  </c:pt>
                  <c:pt idx="10">
                    <c:v>Total</c:v>
                  </c:pt>
                </c:lvl>
                <c:lvl>
                  <c:pt idx="0">
                    <c:v>5</c:v>
                  </c:pt>
                  <c:pt idx="1">
                    <c:v>10</c:v>
                  </c:pt>
                  <c:pt idx="2">
                    <c:v>5</c:v>
                  </c:pt>
                  <c:pt idx="3">
                    <c:v>3</c:v>
                  </c:pt>
                  <c:pt idx="4">
                    <c:v>15</c:v>
                  </c:pt>
                </c:lvl>
                <c:lvl>
                  <c:pt idx="0">
                    <c:v>Chocolate</c:v>
                  </c:pt>
                  <c:pt idx="1">
                    <c:v>Biscoitos</c:v>
                  </c:pt>
                  <c:pt idx="2">
                    <c:v>Macarrão</c:v>
                  </c:pt>
                  <c:pt idx="3">
                    <c:v>Milho</c:v>
                  </c:pt>
                  <c:pt idx="4">
                    <c:v>Sabonete</c:v>
                  </c:pt>
                </c:lvl>
              </c:multiLvlStrCache>
            </c:multiLvlStrRef>
          </c:cat>
          <c:val>
            <c:numRef>
              <c:f>Planilha5!$D$6:$D$16</c:f>
              <c:numCache>
                <c:formatCode>"R$"#,##0.00;[Red]\-"R$"#,##0.00</c:formatCode>
                <c:ptCount val="11"/>
                <c:pt idx="0">
                  <c:v>51.5</c:v>
                </c:pt>
                <c:pt idx="1">
                  <c:v>53</c:v>
                </c:pt>
                <c:pt idx="2">
                  <c:v>11.5</c:v>
                </c:pt>
                <c:pt idx="3">
                  <c:v>4.68</c:v>
                </c:pt>
                <c:pt idx="4">
                  <c:v>34.5</c:v>
                </c:pt>
                <c:pt idx="6">
                  <c:v>155.18</c:v>
                </c:pt>
                <c:pt idx="7">
                  <c:v>7.759</c:v>
                </c:pt>
                <c:pt idx="8">
                  <c:v>53</c:v>
                </c:pt>
                <c:pt idx="9">
                  <c:v>4.68</c:v>
                </c:pt>
                <c:pt idx="10">
                  <c:v>147.421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1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  <a:alpha val="82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'Fluxo de Caixa'!$C$10</c:f>
              <c:strCache>
                <c:ptCount val="1"/>
                <c:pt idx="0">
                  <c:v>Aluguel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'Fluxo de Caixa'!$D$10:$E$10</c:f>
              <c:numCache>
                <c:formatCode>_-"R$"\ * #,##0.00_-;\-"R$"\ * #,##0.00_-;_-"R$"\ * "-"??_-;_-@_-</c:formatCode>
                <c:ptCount val="2"/>
                <c:pt idx="0">
                  <c:v>3500</c:v>
                </c:pt>
                <c:pt idx="1">
                  <c:v>3500</c:v>
                </c:pt>
              </c:numCache>
            </c:numRef>
          </c:val>
        </c:ser>
        <c:ser>
          <c:idx val="1"/>
          <c:order val="1"/>
          <c:tx>
            <c:strRef>
              <c:f>'Fluxo de Caixa'!$C$11</c:f>
              <c:strCache>
                <c:ptCount val="1"/>
                <c:pt idx="0">
                  <c:v>Energia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'Fluxo de Caixa'!$D$11:$E$11</c:f>
              <c:numCache>
                <c:formatCode>_-"R$"\ * #,##0.00_-;\-"R$"\ * #,##0.00_-;_-"R$"\ * "-"??_-;_-@_-</c:formatCode>
                <c:ptCount val="2"/>
                <c:pt idx="0">
                  <c:v>250</c:v>
                </c:pt>
                <c:pt idx="1">
                  <c:v>350</c:v>
                </c:pt>
              </c:numCache>
            </c:numRef>
          </c:val>
        </c:ser>
        <c:ser>
          <c:idx val="2"/>
          <c:order val="2"/>
          <c:tx>
            <c:strRef>
              <c:f>'Fluxo de Caixa'!$C$12</c:f>
              <c:strCache>
                <c:ptCount val="1"/>
                <c:pt idx="0">
                  <c:v>Internet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'Fluxo de Caixa'!$D$12:$E$12</c:f>
              <c:numCache>
                <c:formatCode>_-"R$"\ * #,##0.00_-;\-"R$"\ * #,##0.00_-;_-"R$"\ * "-"??_-;_-@_-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'Fluxo de Caixa'!$C$13</c:f>
              <c:strCache>
                <c:ptCount val="1"/>
                <c:pt idx="0">
                  <c:v>Material de Escritório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'Fluxo de Caixa'!$D$13:$E$13</c:f>
              <c:numCache>
                <c:formatCode>_-"R$"\ * #,##0.00_-;\-"R$"\ * #,##0.00_-;_-"R$"\ * "-"??_-;_-@_-</c:formatCode>
                <c:ptCount val="2"/>
                <c:pt idx="0">
                  <c:v>50</c:v>
                </c:pt>
                <c:pt idx="1">
                  <c:v>150</c:v>
                </c:pt>
              </c:numCache>
            </c:numRef>
          </c:val>
        </c:ser>
        <c:ser>
          <c:idx val="4"/>
          <c:order val="4"/>
          <c:tx>
            <c:strRef>
              <c:f>'Fluxo de Caixa'!$C$14</c:f>
              <c:strCache>
                <c:ptCount val="1"/>
                <c:pt idx="0">
                  <c:v>Contabilidade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'Fluxo de Caixa'!$D$14:$E$14</c:f>
              <c:numCache>
                <c:formatCode>_-"R$"\ * #,##0.00_-;\-"R$"\ * #,##0.00_-;_-"R$"\ * "-"??_-;_-@_-</c:formatCode>
                <c:ptCount val="2"/>
                <c:pt idx="0">
                  <c:v>360</c:v>
                </c:pt>
                <c:pt idx="1">
                  <c:v>360</c:v>
                </c:pt>
              </c:numCache>
            </c:numRef>
          </c:val>
        </c:ser>
        <c:ser>
          <c:idx val="5"/>
          <c:order val="5"/>
          <c:tx>
            <c:strRef>
              <c:f>'Fluxo de Caixa'!$C$15</c:f>
              <c:strCache>
                <c:ptCount val="1"/>
                <c:pt idx="0">
                  <c:v>Estoque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'Fluxo de Caixa'!$D$15:$E$15</c:f>
              <c:numCache>
                <c:formatCode>_-"R$"\ * #,##0.00_-;\-"R$"\ * #,##0.00_-;_-"R$"\ * "-"??_-;_-@_-</c:formatCode>
                <c:ptCount val="2"/>
                <c:pt idx="0">
                  <c:v>5000</c:v>
                </c:pt>
                <c:pt idx="1">
                  <c:v>3500</c:v>
                </c:pt>
              </c:numCache>
            </c:numRef>
          </c:val>
        </c:ser>
        <c:ser>
          <c:idx val="6"/>
          <c:order val="6"/>
          <c:tx>
            <c:strRef>
              <c:f>'Fluxo de Caixa'!$C$16</c:f>
              <c:strCache>
                <c:ptCount val="1"/>
                <c:pt idx="0">
                  <c:v>Total Saidas</c:v>
                </c:pt>
              </c:strCache>
            </c:strRef>
          </c:tx>
          <c:spPr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lin ang="48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'Fluxo de Caixa'!$D$16:$E$16</c:f>
              <c:numCache>
                <c:formatCode>_-"R$"\ * #,##0.00_-;\-"R$"\ * #,##0.00_-;_-"R$"\ * "-"??_-;_-@_-</c:formatCode>
                <c:ptCount val="2"/>
                <c:pt idx="0">
                  <c:v>9260</c:v>
                </c:pt>
                <c:pt idx="1">
                  <c:v>7960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337822"/>
        <c:axId val="726388479"/>
      </c:barChart>
      <c:dateAx>
        <c:axId val="9463378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6388479"/>
        <c:crosses val="autoZero"/>
        <c:auto val="0"/>
        <c:lblAlgn val="ctr"/>
        <c:lblOffset val="100"/>
        <c:baseTimeUnit val="days"/>
        <c:majorUnit val="1"/>
      </c:dateAx>
      <c:valAx>
        <c:axId val="72638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337822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eaVert"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'Pedido de Compra'!$L$3</c:f>
              <c:strCache>
                <c:ptCount val="1"/>
                <c:pt idx="0">
                  <c:v>Quantidade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0231392393213087"/>
                  <c:y val="0.10684127191159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468244234440867"/>
                  <c:y val="0.070069783931982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581160461812363"/>
                  <c:y val="0.059757999669360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06682585952703"/>
                  <c:y val="0.022336408868055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813527893934402"/>
                  <c:y val="-0.056709955161970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523446225558118"/>
                  <c:y val="-0.13331790111889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0535590826157201"/>
                  <c:y val="-0.085857003208496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37650313440363"/>
                  <c:y val="-0.13331794824060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503879794634257"/>
                  <c:y val="-0.094715855834132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104911231938658"/>
                  <c:y val="-0.042582503319418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.0616448999012781"/>
                  <c:y val="0.122677489916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0.0185041044654134"/>
                  <c:y val="0.10858728141530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'Pedido de Compra'!$K$4:$K$15</c:f>
              <c:strCache>
                <c:ptCount val="12"/>
                <c:pt idx="0">
                  <c:v>Camiseta</c:v>
                </c:pt>
                <c:pt idx="1">
                  <c:v>Calça Jeans</c:v>
                </c:pt>
                <c:pt idx="2">
                  <c:v>Calça Sarja</c:v>
                </c:pt>
                <c:pt idx="3">
                  <c:v>Vestido Longo</c:v>
                </c:pt>
                <c:pt idx="4">
                  <c:v>Mini-Saia</c:v>
                </c:pt>
                <c:pt idx="5">
                  <c:v>Camisa Manga-Longa</c:v>
                </c:pt>
                <c:pt idx="6">
                  <c:v>Bermuda Masculina</c:v>
                </c:pt>
                <c:pt idx="7">
                  <c:v>Camiseta Infantil</c:v>
                </c:pt>
                <c:pt idx="8">
                  <c:v>Vestido Infantil</c:v>
                </c:pt>
                <c:pt idx="9">
                  <c:v>Terno</c:v>
                </c:pt>
                <c:pt idx="10">
                  <c:v>Bermuda Feminina</c:v>
                </c:pt>
                <c:pt idx="11">
                  <c:v>Short-Feminino</c:v>
                </c:pt>
              </c:strCache>
            </c:strRef>
          </c:cat>
          <c:val>
            <c:numRef>
              <c:f>'Pedido de Compra'!$L$4:$L$15</c:f>
              <c:numCache>
                <c:formatCode>General</c:formatCode>
                <c:ptCount val="12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18</c:v>
                </c:pt>
                <c:pt idx="10">
                  <c:v>10</c:v>
                </c:pt>
                <c:pt idx="11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117475</xdr:colOff>
      <xdr:row>15</xdr:row>
      <xdr:rowOff>92075</xdr:rowOff>
    </xdr:from>
    <xdr:to>
      <xdr:col>8</xdr:col>
      <xdr:colOff>127000</xdr:colOff>
      <xdr:row>31</xdr:row>
      <xdr:rowOff>92075</xdr:rowOff>
    </xdr:to>
    <xdr:graphicFrame>
      <xdr:nvGraphicFramePr>
        <xdr:cNvPr id="2" name="Gráfico 1"/>
        <xdr:cNvGraphicFramePr/>
      </xdr:nvGraphicFramePr>
      <xdr:xfrm>
        <a:off x="727075" y="2663825"/>
        <a:ext cx="59531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53975</xdr:colOff>
      <xdr:row>7</xdr:row>
      <xdr:rowOff>44450</xdr:rowOff>
    </xdr:from>
    <xdr:to>
      <xdr:col>7</xdr:col>
      <xdr:colOff>301625</xdr:colOff>
      <xdr:row>24</xdr:row>
      <xdr:rowOff>34925</xdr:rowOff>
    </xdr:to>
    <xdr:graphicFrame>
      <xdr:nvGraphicFramePr>
        <xdr:cNvPr id="4" name="Gráfico 3"/>
        <xdr:cNvGraphicFramePr/>
      </xdr:nvGraphicFramePr>
      <xdr:xfrm>
        <a:off x="53975" y="1244600"/>
        <a:ext cx="5184775" cy="2905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393700</xdr:colOff>
      <xdr:row>3</xdr:row>
      <xdr:rowOff>130175</xdr:rowOff>
    </xdr:from>
    <xdr:to>
      <xdr:col>13</xdr:col>
      <xdr:colOff>88900</xdr:colOff>
      <xdr:row>20</xdr:row>
      <xdr:rowOff>101600</xdr:rowOff>
    </xdr:to>
    <xdr:graphicFrame>
      <xdr:nvGraphicFramePr>
        <xdr:cNvPr id="2" name="Gráfico 1"/>
        <xdr:cNvGraphicFramePr/>
      </xdr:nvGraphicFramePr>
      <xdr:xfrm>
        <a:off x="3708400" y="825500"/>
        <a:ext cx="45720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313055</xdr:colOff>
      <xdr:row>22</xdr:row>
      <xdr:rowOff>32385</xdr:rowOff>
    </xdr:from>
    <xdr:to>
      <xdr:col>5</xdr:col>
      <xdr:colOff>274955</xdr:colOff>
      <xdr:row>38</xdr:row>
      <xdr:rowOff>32385</xdr:rowOff>
    </xdr:to>
    <xdr:graphicFrame>
      <xdr:nvGraphicFramePr>
        <xdr:cNvPr id="2" name="Gráfico 1"/>
        <xdr:cNvGraphicFramePr/>
      </xdr:nvGraphicFramePr>
      <xdr:xfrm>
        <a:off x="313055" y="38392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174625</xdr:colOff>
      <xdr:row>5</xdr:row>
      <xdr:rowOff>58420</xdr:rowOff>
    </xdr:from>
    <xdr:to>
      <xdr:col>12</xdr:col>
      <xdr:colOff>450850</xdr:colOff>
      <xdr:row>21</xdr:row>
      <xdr:rowOff>57785</xdr:rowOff>
    </xdr:to>
    <xdr:graphicFrame>
      <xdr:nvGraphicFramePr>
        <xdr:cNvPr id="5" name="Gráfico 4"/>
        <xdr:cNvGraphicFramePr/>
      </xdr:nvGraphicFramePr>
      <xdr:xfrm>
        <a:off x="6756400" y="915670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Verv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erv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"/>
  <sheetViews>
    <sheetView workbookViewId="0">
      <selection activeCell="L17" sqref="L17"/>
    </sheetView>
  </sheetViews>
  <sheetFormatPr defaultColWidth="9.14285714285714" defaultRowHeight="13.5"/>
  <cols>
    <col min="3" max="5" width="13" customWidth="1"/>
    <col min="6" max="7" width="14"/>
    <col min="8" max="8" width="13" customWidth="1"/>
    <col min="9" max="9" width="15.5714285714286"/>
  </cols>
  <sheetData>
    <row r="1" spans="2:9">
      <c r="B1" s="25" t="s">
        <v>0</v>
      </c>
      <c r="C1" s="27"/>
      <c r="D1" s="27"/>
      <c r="E1" s="27"/>
      <c r="F1" s="27"/>
      <c r="G1" s="27"/>
      <c r="H1" s="27"/>
      <c r="I1" s="27"/>
    </row>
    <row r="2" spans="2:9"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</row>
    <row r="3" spans="2:9">
      <c r="B3" t="s">
        <v>9</v>
      </c>
      <c r="C3" s="8">
        <v>15000</v>
      </c>
      <c r="D3" s="8">
        <v>8000</v>
      </c>
      <c r="E3" s="8">
        <v>1000</v>
      </c>
      <c r="F3" s="8">
        <f>MAX(C3:E3)</f>
        <v>15000</v>
      </c>
      <c r="G3" s="8">
        <f>MIN(C3:F3)</f>
        <v>1000</v>
      </c>
      <c r="H3" s="8">
        <f>AVERAGE(C3:E3)</f>
        <v>8000</v>
      </c>
      <c r="I3" s="145">
        <f>SUM(C3:E3)</f>
        <v>24000</v>
      </c>
    </row>
    <row r="4" spans="2:9">
      <c r="B4" t="s">
        <v>10</v>
      </c>
      <c r="C4" s="8">
        <v>12000</v>
      </c>
      <c r="D4" s="8">
        <v>9000</v>
      </c>
      <c r="E4" s="8">
        <v>8000</v>
      </c>
      <c r="F4" s="8">
        <f>MAX(C4:E4)</f>
        <v>12000</v>
      </c>
      <c r="G4" s="8">
        <f>MIN(C4:E4)</f>
        <v>8000</v>
      </c>
      <c r="H4" s="8">
        <f>AVERAGE(C4:E4)</f>
        <v>9666.66666666667</v>
      </c>
      <c r="I4" s="145">
        <f>SUM(C4:E4)</f>
        <v>29000</v>
      </c>
    </row>
    <row r="5" spans="2:9">
      <c r="B5" t="s">
        <v>11</v>
      </c>
      <c r="C5" s="8">
        <v>50000</v>
      </c>
      <c r="D5" s="8">
        <v>45000</v>
      </c>
      <c r="E5" s="8">
        <v>40000</v>
      </c>
      <c r="F5" s="8">
        <f>MAX(C5:E5)</f>
        <v>50000</v>
      </c>
      <c r="G5" s="8">
        <f>MIN(C5:E5)</f>
        <v>40000</v>
      </c>
      <c r="H5" s="8">
        <f>AVERAGE(C5:E5)</f>
        <v>45000</v>
      </c>
      <c r="I5" s="145">
        <f>SUM(C5:E5)</f>
        <v>135000</v>
      </c>
    </row>
    <row r="6" spans="2:9">
      <c r="B6" t="s">
        <v>12</v>
      </c>
      <c r="C6" s="8">
        <v>12000</v>
      </c>
      <c r="D6" s="8">
        <v>12000</v>
      </c>
      <c r="E6" s="8">
        <v>4500</v>
      </c>
      <c r="F6" s="8">
        <f t="shared" ref="F6:F15" si="0">MAX(C6:E6)</f>
        <v>12000</v>
      </c>
      <c r="G6" s="8">
        <f t="shared" ref="G6:G15" si="1">MIN(C6:E6)</f>
        <v>4500</v>
      </c>
      <c r="H6" s="8">
        <f t="shared" ref="H6:H15" si="2">AVERAGE(C6:E6)</f>
        <v>9500</v>
      </c>
      <c r="I6" s="145">
        <f t="shared" ref="I6:I15" si="3">SUM(C6:E6)</f>
        <v>28500</v>
      </c>
    </row>
    <row r="7" spans="2:9">
      <c r="B7" t="s">
        <v>13</v>
      </c>
      <c r="C7" s="8">
        <v>10000</v>
      </c>
      <c r="D7" s="8">
        <v>3000</v>
      </c>
      <c r="E7" s="8">
        <v>3000</v>
      </c>
      <c r="F7" s="8">
        <f t="shared" si="0"/>
        <v>10000</v>
      </c>
      <c r="G7" s="8">
        <f t="shared" si="1"/>
        <v>3000</v>
      </c>
      <c r="H7" s="8">
        <f t="shared" si="2"/>
        <v>5333.33333333333</v>
      </c>
      <c r="I7" s="145">
        <f t="shared" si="3"/>
        <v>16000</v>
      </c>
    </row>
    <row r="10" spans="2:9">
      <c r="B10" s="25" t="s">
        <v>1</v>
      </c>
      <c r="C10" s="25" t="s">
        <v>14</v>
      </c>
      <c r="D10" s="25" t="s">
        <v>15</v>
      </c>
      <c r="E10" s="25" t="s">
        <v>16</v>
      </c>
      <c r="F10" s="25" t="s">
        <v>5</v>
      </c>
      <c r="G10" s="25" t="s">
        <v>6</v>
      </c>
      <c r="H10" s="25" t="s">
        <v>7</v>
      </c>
      <c r="I10" s="25" t="s">
        <v>8</v>
      </c>
    </row>
    <row r="11" spans="2:9">
      <c r="B11" t="s">
        <v>9</v>
      </c>
      <c r="C11" s="8">
        <v>5000</v>
      </c>
      <c r="D11" s="8">
        <v>4800</v>
      </c>
      <c r="E11" s="8">
        <v>3000</v>
      </c>
      <c r="F11" s="8">
        <f t="shared" si="0"/>
        <v>5000</v>
      </c>
      <c r="G11" s="8">
        <f t="shared" si="1"/>
        <v>3000</v>
      </c>
      <c r="H11" s="8">
        <f t="shared" si="2"/>
        <v>4266.66666666667</v>
      </c>
      <c r="I11" s="145">
        <f t="shared" si="3"/>
        <v>12800</v>
      </c>
    </row>
    <row r="12" spans="2:9">
      <c r="B12" t="s">
        <v>10</v>
      </c>
      <c r="C12" s="8">
        <v>2500</v>
      </c>
      <c r="D12" s="8">
        <v>2600</v>
      </c>
      <c r="E12" s="8">
        <v>3000</v>
      </c>
      <c r="F12" s="8">
        <f t="shared" si="0"/>
        <v>3000</v>
      </c>
      <c r="G12" s="8">
        <f t="shared" si="1"/>
        <v>2500</v>
      </c>
      <c r="H12" s="8">
        <f t="shared" si="2"/>
        <v>2700</v>
      </c>
      <c r="I12" s="145">
        <f t="shared" si="3"/>
        <v>8100</v>
      </c>
    </row>
    <row r="13" spans="2:9">
      <c r="B13" t="s">
        <v>11</v>
      </c>
      <c r="C13" s="8">
        <v>50000</v>
      </c>
      <c r="D13" s="8">
        <v>45000</v>
      </c>
      <c r="E13" s="8">
        <v>70000</v>
      </c>
      <c r="F13" s="8">
        <f t="shared" si="0"/>
        <v>70000</v>
      </c>
      <c r="G13" s="8">
        <f t="shared" si="1"/>
        <v>45000</v>
      </c>
      <c r="H13" s="8">
        <f t="shared" si="2"/>
        <v>55000</v>
      </c>
      <c r="I13" s="145">
        <f t="shared" si="3"/>
        <v>165000</v>
      </c>
    </row>
    <row r="14" spans="2:9">
      <c r="B14" t="s">
        <v>12</v>
      </c>
      <c r="C14" s="8">
        <v>30000</v>
      </c>
      <c r="D14" s="8">
        <v>25000</v>
      </c>
      <c r="E14" s="8">
        <v>15000</v>
      </c>
      <c r="F14" s="8">
        <f t="shared" si="0"/>
        <v>30000</v>
      </c>
      <c r="G14" s="8">
        <f t="shared" si="1"/>
        <v>15000</v>
      </c>
      <c r="H14" s="8">
        <f t="shared" si="2"/>
        <v>23333.3333333333</v>
      </c>
      <c r="I14" s="145">
        <f t="shared" si="3"/>
        <v>70000</v>
      </c>
    </row>
    <row r="15" spans="2:9">
      <c r="B15" t="s">
        <v>13</v>
      </c>
      <c r="C15" s="8">
        <v>15000</v>
      </c>
      <c r="D15" s="8">
        <v>25000</v>
      </c>
      <c r="E15" s="8">
        <v>36000</v>
      </c>
      <c r="F15" s="8">
        <f t="shared" si="0"/>
        <v>36000</v>
      </c>
      <c r="G15" s="8">
        <f t="shared" si="1"/>
        <v>15000</v>
      </c>
      <c r="H15" s="8">
        <f t="shared" si="2"/>
        <v>25333.3333333333</v>
      </c>
      <c r="I15" s="145">
        <f t="shared" si="3"/>
        <v>76000</v>
      </c>
    </row>
  </sheetData>
  <mergeCells count="1">
    <mergeCell ref="B1:I1"/>
  </mergeCells>
  <printOptions horizontalCentered="1" verticalCentered="1" headings="1" gridLines="1"/>
  <pageMargins left="0.751388888888889" right="0.751388888888889" top="1" bottom="1" header="0.5" footer="0.5"/>
  <pageSetup paperSize="9" scale="150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I6" sqref="I6"/>
    </sheetView>
  </sheetViews>
  <sheetFormatPr defaultColWidth="9.14285714285714" defaultRowHeight="13.5"/>
  <cols>
    <col min="3" max="5" width="14" customWidth="1"/>
    <col min="8" max="8" width="14" customWidth="1"/>
    <col min="9" max="9" width="15.1428571428571" customWidth="1"/>
  </cols>
  <sheetData>
    <row r="2" spans="2:9">
      <c r="B2" s="25" t="s">
        <v>0</v>
      </c>
      <c r="C2" s="27"/>
      <c r="D2" s="27"/>
      <c r="E2" s="27"/>
      <c r="F2" s="27"/>
      <c r="G2" s="27"/>
      <c r="H2" s="27"/>
      <c r="I2" s="27"/>
    </row>
    <row r="3" spans="2:9"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14</v>
      </c>
      <c r="H3" s="25" t="s">
        <v>7</v>
      </c>
      <c r="I3" s="25" t="s">
        <v>8</v>
      </c>
    </row>
    <row r="4" spans="2:9">
      <c r="B4" t="s">
        <v>9</v>
      </c>
      <c r="C4" s="8">
        <v>15000</v>
      </c>
      <c r="D4" s="8">
        <v>8000</v>
      </c>
      <c r="E4" s="8">
        <v>1000</v>
      </c>
      <c r="F4">
        <f t="shared" ref="F4:F8" si="0">MAX(C4:E4)</f>
        <v>15000</v>
      </c>
      <c r="G4">
        <f t="shared" ref="G4:G8" si="1">MIN(C4:E4)</f>
        <v>1000</v>
      </c>
      <c r="H4" s="8">
        <f t="shared" ref="H4:H8" si="2">AVERAGE(C4:E4)</f>
        <v>8000</v>
      </c>
      <c r="I4" s="145">
        <f t="shared" ref="I4:I8" si="3">SUM(C4:E4)</f>
        <v>24000</v>
      </c>
    </row>
    <row r="5" spans="2:9">
      <c r="B5" t="s">
        <v>10</v>
      </c>
      <c r="C5" s="8">
        <v>12000</v>
      </c>
      <c r="D5" s="8">
        <v>9000</v>
      </c>
      <c r="E5" s="8">
        <v>8000</v>
      </c>
      <c r="F5">
        <f t="shared" si="0"/>
        <v>12000</v>
      </c>
      <c r="G5">
        <f t="shared" si="1"/>
        <v>8000</v>
      </c>
      <c r="H5" s="8">
        <f t="shared" si="2"/>
        <v>9666.66666666667</v>
      </c>
      <c r="I5" s="145">
        <f t="shared" si="3"/>
        <v>29000</v>
      </c>
    </row>
    <row r="6" spans="2:9">
      <c r="B6" t="s">
        <v>11</v>
      </c>
      <c r="C6" s="8">
        <v>50000</v>
      </c>
      <c r="D6" s="8">
        <v>45000</v>
      </c>
      <c r="E6" s="8">
        <v>40000</v>
      </c>
      <c r="F6">
        <f t="shared" si="0"/>
        <v>50000</v>
      </c>
      <c r="G6">
        <f t="shared" si="1"/>
        <v>40000</v>
      </c>
      <c r="H6" s="8">
        <f t="shared" si="2"/>
        <v>45000</v>
      </c>
      <c r="I6" s="145">
        <f t="shared" si="3"/>
        <v>135000</v>
      </c>
    </row>
    <row r="7" spans="2:9">
      <c r="B7" t="s">
        <v>12</v>
      </c>
      <c r="C7" s="8">
        <v>12000</v>
      </c>
      <c r="D7" s="8">
        <v>12000</v>
      </c>
      <c r="E7" s="8">
        <v>4500</v>
      </c>
      <c r="F7">
        <f t="shared" si="0"/>
        <v>12000</v>
      </c>
      <c r="G7">
        <f t="shared" si="1"/>
        <v>4500</v>
      </c>
      <c r="H7" s="8">
        <f t="shared" si="2"/>
        <v>9500</v>
      </c>
      <c r="I7" s="145">
        <f t="shared" si="3"/>
        <v>28500</v>
      </c>
    </row>
    <row r="8" spans="2:9">
      <c r="B8" t="s">
        <v>13</v>
      </c>
      <c r="C8" s="8">
        <v>10000</v>
      </c>
      <c r="D8" s="8">
        <v>3000</v>
      </c>
      <c r="E8" s="8">
        <v>3000</v>
      </c>
      <c r="F8">
        <f t="shared" si="0"/>
        <v>10000</v>
      </c>
      <c r="G8">
        <f t="shared" si="1"/>
        <v>3000</v>
      </c>
      <c r="H8" s="8">
        <f t="shared" si="2"/>
        <v>5333.33333333333</v>
      </c>
      <c r="I8" s="145">
        <f t="shared" si="3"/>
        <v>16000</v>
      </c>
    </row>
    <row r="11" spans="2:9">
      <c r="B11" s="25" t="s">
        <v>1</v>
      </c>
      <c r="C11" s="25" t="s">
        <v>14</v>
      </c>
      <c r="D11" s="25" t="s">
        <v>15</v>
      </c>
      <c r="E11" s="25" t="s">
        <v>16</v>
      </c>
      <c r="F11" s="25" t="s">
        <v>5</v>
      </c>
      <c r="G11" s="25" t="s">
        <v>14</v>
      </c>
      <c r="H11" s="25" t="s">
        <v>7</v>
      </c>
      <c r="I11" s="25" t="s">
        <v>8</v>
      </c>
    </row>
    <row r="12" spans="2:9">
      <c r="B12" t="s">
        <v>9</v>
      </c>
      <c r="C12" s="8">
        <v>5000</v>
      </c>
      <c r="D12" s="8">
        <v>4800</v>
      </c>
      <c r="E12" s="8">
        <v>3000</v>
      </c>
      <c r="F12">
        <f t="shared" ref="F12:F16" si="4">MAX(C12:E12)</f>
        <v>5000</v>
      </c>
      <c r="G12">
        <f t="shared" ref="G12:G16" si="5">MIN(C12:E12)</f>
        <v>3000</v>
      </c>
      <c r="H12" s="8">
        <f t="shared" ref="H12:H16" si="6">AVERAGE(C12:E12)</f>
        <v>4266.66666666667</v>
      </c>
      <c r="I12" s="145">
        <f t="shared" ref="I12:I16" si="7">SUM(C12:E12)</f>
        <v>12800</v>
      </c>
    </row>
    <row r="13" spans="2:9">
      <c r="B13" t="s">
        <v>10</v>
      </c>
      <c r="C13" s="8">
        <v>2500</v>
      </c>
      <c r="D13" s="8">
        <v>2600</v>
      </c>
      <c r="E13" s="8">
        <v>3000</v>
      </c>
      <c r="F13">
        <f t="shared" si="4"/>
        <v>3000</v>
      </c>
      <c r="G13">
        <f t="shared" si="5"/>
        <v>2500</v>
      </c>
      <c r="H13" s="8">
        <f t="shared" si="6"/>
        <v>2700</v>
      </c>
      <c r="I13" s="145">
        <f t="shared" si="7"/>
        <v>8100</v>
      </c>
    </row>
    <row r="14" spans="2:9">
      <c r="B14" t="s">
        <v>11</v>
      </c>
      <c r="C14" s="8">
        <v>50000</v>
      </c>
      <c r="D14" s="8">
        <v>45000</v>
      </c>
      <c r="E14" s="8">
        <v>70000</v>
      </c>
      <c r="F14">
        <f t="shared" si="4"/>
        <v>70000</v>
      </c>
      <c r="G14">
        <f t="shared" si="5"/>
        <v>45000</v>
      </c>
      <c r="H14" s="8">
        <f t="shared" si="6"/>
        <v>55000</v>
      </c>
      <c r="I14" s="145">
        <f t="shared" si="7"/>
        <v>165000</v>
      </c>
    </row>
    <row r="15" spans="2:9">
      <c r="B15" t="s">
        <v>12</v>
      </c>
      <c r="C15" s="8">
        <v>30000</v>
      </c>
      <c r="D15" s="8">
        <v>25000</v>
      </c>
      <c r="E15" s="8">
        <v>15000</v>
      </c>
      <c r="F15">
        <f t="shared" si="4"/>
        <v>30000</v>
      </c>
      <c r="G15">
        <f t="shared" si="5"/>
        <v>15000</v>
      </c>
      <c r="H15" s="8">
        <f t="shared" si="6"/>
        <v>23333.3333333333</v>
      </c>
      <c r="I15" s="145">
        <f t="shared" si="7"/>
        <v>70000</v>
      </c>
    </row>
    <row r="16" spans="2:9">
      <c r="B16" t="s">
        <v>13</v>
      </c>
      <c r="C16" s="8">
        <v>15000</v>
      </c>
      <c r="D16" s="8">
        <v>25000</v>
      </c>
      <c r="E16" s="8">
        <v>36000</v>
      </c>
      <c r="F16">
        <f t="shared" si="4"/>
        <v>36000</v>
      </c>
      <c r="G16">
        <f t="shared" si="5"/>
        <v>15000</v>
      </c>
      <c r="H16" s="8">
        <f t="shared" si="6"/>
        <v>25333.3333333333</v>
      </c>
      <c r="I16" s="145">
        <f t="shared" si="7"/>
        <v>76000</v>
      </c>
    </row>
  </sheetData>
  <mergeCells count="1">
    <mergeCell ref="B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"/>
  <sheetViews>
    <sheetView zoomScale="90" zoomScaleNormal="90" workbookViewId="0">
      <selection activeCell="H11" sqref="H11"/>
    </sheetView>
  </sheetViews>
  <sheetFormatPr defaultColWidth="9.14285714285714" defaultRowHeight="13.5" outlineLevelRow="6" outlineLevelCol="7"/>
  <cols>
    <col min="2" max="2" width="9" customWidth="1"/>
    <col min="3" max="3" width="11.8571428571429" customWidth="1"/>
    <col min="4" max="4" width="14.2857142857143" customWidth="1"/>
    <col min="5" max="5" width="10.5714285714286" customWidth="1"/>
    <col min="6" max="6" width="15.2857142857143" customWidth="1"/>
    <col min="7" max="7" width="19.5714285714286" customWidth="1"/>
  </cols>
  <sheetData>
    <row r="2" spans="2:8">
      <c r="B2" s="134" t="s">
        <v>1</v>
      </c>
      <c r="C2" s="135" t="s">
        <v>17</v>
      </c>
      <c r="D2" s="135" t="s">
        <v>18</v>
      </c>
      <c r="E2" s="135" t="s">
        <v>19</v>
      </c>
      <c r="F2" s="136" t="s">
        <v>20</v>
      </c>
      <c r="G2" s="28" t="s">
        <v>21</v>
      </c>
      <c r="H2" s="28" t="s">
        <v>22</v>
      </c>
    </row>
    <row r="3" spans="2:8">
      <c r="B3" s="137" t="s">
        <v>23</v>
      </c>
      <c r="C3" s="138">
        <v>12</v>
      </c>
      <c r="D3" s="139">
        <v>10.3</v>
      </c>
      <c r="E3" s="139">
        <v>51.5</v>
      </c>
      <c r="F3" s="140">
        <v>45636</v>
      </c>
      <c r="G3" s="13">
        <f ca="1">F3-TODAY()</f>
        <v>261</v>
      </c>
      <c r="H3" s="28" t="str">
        <f>IF(C3&lt;10,"Comprar","OK")</f>
        <v>OK</v>
      </c>
    </row>
    <row r="4" spans="2:8">
      <c r="B4" s="137" t="s">
        <v>24</v>
      </c>
      <c r="C4" s="138">
        <v>9</v>
      </c>
      <c r="D4" s="139">
        <v>5.3</v>
      </c>
      <c r="E4" s="139">
        <v>53</v>
      </c>
      <c r="F4" s="140">
        <v>45580</v>
      </c>
      <c r="G4" s="13">
        <f ca="1">F4-TODAY()</f>
        <v>205</v>
      </c>
      <c r="H4" s="28" t="str">
        <f>IF(C4&lt;10,"Comprar","OK")</f>
        <v>Comprar</v>
      </c>
    </row>
    <row r="5" spans="2:8">
      <c r="B5" s="137" t="s">
        <v>25</v>
      </c>
      <c r="C5" s="138">
        <v>5</v>
      </c>
      <c r="D5" s="139">
        <v>2.3</v>
      </c>
      <c r="E5" s="139">
        <v>11.5</v>
      </c>
      <c r="F5" s="140">
        <v>45636</v>
      </c>
      <c r="G5" s="13">
        <f ca="1">F5-TODAY()</f>
        <v>261</v>
      </c>
      <c r="H5" s="28" t="str">
        <f>IF(C5&lt;10,"Comprar","OK")</f>
        <v>Comprar</v>
      </c>
    </row>
    <row r="6" spans="2:8">
      <c r="B6" s="137" t="s">
        <v>26</v>
      </c>
      <c r="C6" s="138">
        <v>3</v>
      </c>
      <c r="D6" s="139">
        <v>1.56</v>
      </c>
      <c r="E6" s="139">
        <v>4.68</v>
      </c>
      <c r="F6" s="140">
        <v>45422</v>
      </c>
      <c r="G6" s="13">
        <f ca="1">F6-TODAY()</f>
        <v>47</v>
      </c>
      <c r="H6" s="28" t="str">
        <f>IF(C6&lt;10,"Comprar","OK")</f>
        <v>Comprar</v>
      </c>
    </row>
    <row r="7" spans="2:8">
      <c r="B7" s="141" t="s">
        <v>27</v>
      </c>
      <c r="C7" s="142">
        <v>5</v>
      </c>
      <c r="D7" s="143">
        <v>2.3</v>
      </c>
      <c r="E7" s="143">
        <v>34.5</v>
      </c>
      <c r="F7" s="144">
        <v>45422</v>
      </c>
      <c r="G7" s="13">
        <f ca="1">F7-TODAY()</f>
        <v>47</v>
      </c>
      <c r="H7" s="28" t="str">
        <f>IF(C7&lt;10,"Comprar","OK")</f>
        <v>Comprar</v>
      </c>
    </row>
  </sheetData>
  <conditionalFormatting sqref="H3:H7">
    <cfRule type="cellIs" dxfId="0" priority="2" operator="equal">
      <formula>"Comprar"</formula>
    </cfRule>
    <cfRule type="cellIs" dxfId="1" priority="1" operator="equal">
      <formula>"OK"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6" sqref="C6"/>
    </sheetView>
  </sheetViews>
  <sheetFormatPr defaultColWidth="9.14285714285714" defaultRowHeight="13.5" outlineLevelRow="6"/>
  <cols>
    <col min="1" max="1" width="13.1428571428571" customWidth="1"/>
    <col min="2" max="5" width="11.2857142857143" customWidth="1"/>
    <col min="6" max="6" width="7.57142857142857" customWidth="1"/>
    <col min="7" max="7" width="10.7142857142857" customWidth="1"/>
    <col min="8" max="8" width="2" customWidth="1"/>
    <col min="9" max="9" width="11" customWidth="1"/>
  </cols>
  <sheetData>
    <row r="1" spans="1:7">
      <c r="A1" s="25" t="s">
        <v>28</v>
      </c>
      <c r="B1" s="27"/>
      <c r="C1" s="27"/>
      <c r="D1" s="27"/>
      <c r="E1" s="27"/>
      <c r="F1" s="27"/>
      <c r="G1" s="27"/>
    </row>
    <row r="2" spans="1:10">
      <c r="A2" s="25" t="s">
        <v>29</v>
      </c>
      <c r="B2" s="25" t="s">
        <v>30</v>
      </c>
      <c r="C2" s="25" t="s">
        <v>31</v>
      </c>
      <c r="D2" s="25" t="s">
        <v>32</v>
      </c>
      <c r="E2" s="25" t="s">
        <v>33</v>
      </c>
      <c r="F2" s="25" t="s">
        <v>34</v>
      </c>
      <c r="G2" s="25" t="s">
        <v>35</v>
      </c>
      <c r="I2" s="25" t="s">
        <v>36</v>
      </c>
      <c r="J2" s="27"/>
    </row>
    <row r="3" spans="1:10">
      <c r="A3" s="28" t="s">
        <v>37</v>
      </c>
      <c r="B3" s="13">
        <v>5</v>
      </c>
      <c r="C3" s="13">
        <v>6</v>
      </c>
      <c r="D3" s="13">
        <v>7</v>
      </c>
      <c r="E3" s="13">
        <v>6</v>
      </c>
      <c r="F3" s="13">
        <f>AVERAGE(B3:E3)</f>
        <v>6</v>
      </c>
      <c r="G3" s="13" t="str">
        <f>IF(F3&gt;6,"Aprovado","Reprovado")</f>
        <v>Reprovado</v>
      </c>
      <c r="I3" s="13" t="s">
        <v>38</v>
      </c>
      <c r="J3" s="13">
        <f>COUNTIF(G3:G7,"Aprovado")</f>
        <v>4</v>
      </c>
    </row>
    <row r="4" spans="1:10">
      <c r="A4" s="28" t="s">
        <v>39</v>
      </c>
      <c r="B4" s="13">
        <v>8</v>
      </c>
      <c r="C4" s="13">
        <v>10</v>
      </c>
      <c r="D4" s="13">
        <v>6</v>
      </c>
      <c r="E4" s="13">
        <v>6</v>
      </c>
      <c r="F4" s="13">
        <f>AVERAGE(B4:E4)</f>
        <v>7.5</v>
      </c>
      <c r="G4" s="13" t="str">
        <f>IF(F4&gt;6,"Aprovado","Reprovado")</f>
        <v>Aprovado</v>
      </c>
      <c r="I4" s="13" t="s">
        <v>40</v>
      </c>
      <c r="J4" s="13">
        <f>COUNTIF(G3:G7,"Reprovado")</f>
        <v>1</v>
      </c>
    </row>
    <row r="5" spans="1:7">
      <c r="A5" s="28" t="s">
        <v>41</v>
      </c>
      <c r="B5" s="13">
        <v>10</v>
      </c>
      <c r="C5" s="13">
        <v>10</v>
      </c>
      <c r="D5" s="13">
        <v>7</v>
      </c>
      <c r="E5" s="13">
        <v>4</v>
      </c>
      <c r="F5" s="13">
        <f>AVERAGE(B5:E5)</f>
        <v>7.75</v>
      </c>
      <c r="G5" s="13" t="str">
        <f>IF(F5&gt;6,"Aprovado","Reprovado")</f>
        <v>Aprovado</v>
      </c>
    </row>
    <row r="6" spans="1:7">
      <c r="A6" s="28" t="s">
        <v>42</v>
      </c>
      <c r="B6" s="13">
        <v>10</v>
      </c>
      <c r="C6" s="13">
        <v>9</v>
      </c>
      <c r="D6" s="13">
        <v>8</v>
      </c>
      <c r="E6" s="13">
        <v>10</v>
      </c>
      <c r="F6" s="13">
        <f>AVERAGE(B6:E6)</f>
        <v>9.25</v>
      </c>
      <c r="G6" s="13" t="str">
        <f>IF(F6&gt;6,"Aprovado","Reprovado")</f>
        <v>Aprovado</v>
      </c>
    </row>
    <row r="7" spans="1:7">
      <c r="A7" s="28" t="s">
        <v>43</v>
      </c>
      <c r="B7" s="13">
        <v>6</v>
      </c>
      <c r="C7" s="13">
        <v>6</v>
      </c>
      <c r="D7" s="13">
        <v>7</v>
      </c>
      <c r="E7" s="13">
        <v>6</v>
      </c>
      <c r="F7" s="13">
        <f>AVERAGE(B7:E7)</f>
        <v>6.25</v>
      </c>
      <c r="G7" s="13" t="str">
        <f>IF(F7&gt;6,"Aprovado","Reprovado")</f>
        <v>Aprovado</v>
      </c>
    </row>
  </sheetData>
  <mergeCells count="2">
    <mergeCell ref="A1:G1"/>
    <mergeCell ref="I2:J2"/>
  </mergeCells>
  <conditionalFormatting sqref="B3:G8">
    <cfRule type="cellIs" dxfId="2" priority="4" operator="equal">
      <formula>"Aprovado"</formula>
    </cfRule>
    <cfRule type="cellIs" dxfId="3" priority="1" operator="equal">
      <formula>"Reprovado"</formula>
    </cfRule>
  </conditionalFormatting>
  <conditionalFormatting sqref="B3:E7">
    <cfRule type="colorScale" priority="3">
      <colorScale>
        <cfvo type="min"/>
        <cfvo type="max"/>
        <color rgb="FFF8696B"/>
        <color rgb="FFFCFCFF"/>
      </colorScale>
    </cfRule>
  </conditionalFormatting>
  <dataValidations count="1">
    <dataValidation type="whole" operator="between" allowBlank="1" showInputMessage="1" showErrorMessage="1" error="Complete valores de 0 a 10" promptTitle="Nota máxima: 10" sqref="B3:E7">
      <formula1>0</formula1>
      <formula2>10</formula2>
    </dataValidation>
  </dataValidations>
  <pageMargins left="0.75" right="0.75" top="1" bottom="1" header="0.5" footer="0.5"/>
  <headerFooter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7f35b38-0b74-4d90-8340-4cca804746a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B3:E7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zoomScale="90" zoomScaleNormal="90" workbookViewId="0">
      <selection activeCell="F8" sqref="F8"/>
    </sheetView>
  </sheetViews>
  <sheetFormatPr defaultColWidth="9.14285714285714" defaultRowHeight="13.5"/>
  <cols>
    <col min="1" max="1" width="11.5714285714286" customWidth="1"/>
    <col min="2" max="7" width="13"/>
  </cols>
  <sheetData>
    <row r="1" spans="1:7">
      <c r="A1" s="117" t="s">
        <v>44</v>
      </c>
      <c r="B1" s="118"/>
      <c r="C1" s="118"/>
      <c r="D1" s="118"/>
      <c r="E1" s="118"/>
      <c r="F1" s="118"/>
      <c r="G1" s="119"/>
    </row>
    <row r="2" spans="1:7">
      <c r="A2" s="120" t="s">
        <v>45</v>
      </c>
      <c r="B2" s="121" t="s">
        <v>2</v>
      </c>
      <c r="C2" s="121" t="s">
        <v>3</v>
      </c>
      <c r="D2" s="121" t="s">
        <v>46</v>
      </c>
      <c r="E2" s="121" t="s">
        <v>47</v>
      </c>
      <c r="F2" s="121" t="s">
        <v>15</v>
      </c>
      <c r="G2" s="122" t="s">
        <v>48</v>
      </c>
    </row>
    <row r="3" ht="14.25" spans="1:7">
      <c r="A3" s="123"/>
      <c r="B3" s="124">
        <v>8000</v>
      </c>
      <c r="C3" s="124">
        <v>2500</v>
      </c>
      <c r="D3" s="124">
        <v>2700</v>
      </c>
      <c r="E3" s="124">
        <v>2000</v>
      </c>
      <c r="F3" s="124">
        <v>2000</v>
      </c>
      <c r="G3" s="125">
        <v>2500</v>
      </c>
    </row>
    <row r="4" spans="1:7">
      <c r="A4" s="126"/>
      <c r="B4" s="126"/>
      <c r="C4" s="126"/>
      <c r="D4" s="126"/>
      <c r="E4" s="126"/>
      <c r="F4" s="126"/>
      <c r="G4" s="126"/>
    </row>
    <row r="5" spans="1:7">
      <c r="A5" s="127" t="s">
        <v>49</v>
      </c>
      <c r="B5" s="127"/>
      <c r="C5" s="127"/>
      <c r="D5" s="127"/>
      <c r="E5" s="127"/>
      <c r="F5" s="127"/>
      <c r="G5" s="127"/>
    </row>
    <row r="6" spans="1:7">
      <c r="A6" s="63" t="s">
        <v>50</v>
      </c>
      <c r="B6" s="64">
        <v>1200</v>
      </c>
      <c r="C6" s="64">
        <v>1200</v>
      </c>
      <c r="D6" s="64">
        <v>1200</v>
      </c>
      <c r="E6" s="64">
        <v>1200</v>
      </c>
      <c r="F6" s="64">
        <v>1200</v>
      </c>
      <c r="G6" s="65">
        <v>1200</v>
      </c>
    </row>
    <row r="7" spans="1:7">
      <c r="A7" s="53" t="s">
        <v>51</v>
      </c>
      <c r="B7" s="14">
        <v>120</v>
      </c>
      <c r="C7" s="14">
        <v>120</v>
      </c>
      <c r="D7" s="14">
        <v>120</v>
      </c>
      <c r="E7" s="14">
        <v>120</v>
      </c>
      <c r="F7" s="14">
        <v>120</v>
      </c>
      <c r="G7" s="52">
        <v>120</v>
      </c>
    </row>
    <row r="8" spans="1:7">
      <c r="A8" s="53" t="s">
        <v>52</v>
      </c>
      <c r="B8" s="14">
        <v>120</v>
      </c>
      <c r="C8" s="14">
        <v>120</v>
      </c>
      <c r="D8" s="14">
        <v>120</v>
      </c>
      <c r="E8" s="14">
        <v>120</v>
      </c>
      <c r="F8" s="14">
        <v>120</v>
      </c>
      <c r="G8" s="52">
        <v>120</v>
      </c>
    </row>
    <row r="9" spans="1:7">
      <c r="A9" s="53" t="s">
        <v>53</v>
      </c>
      <c r="B9" s="14">
        <v>1000</v>
      </c>
      <c r="C9" s="14">
        <v>1000</v>
      </c>
      <c r="D9" s="14">
        <v>1000</v>
      </c>
      <c r="E9" s="14">
        <v>1000</v>
      </c>
      <c r="F9" s="14">
        <v>1000</v>
      </c>
      <c r="G9" s="52">
        <v>1000</v>
      </c>
    </row>
    <row r="10" spans="1:16384">
      <c r="A10" s="53" t="s">
        <v>54</v>
      </c>
      <c r="B10" s="14">
        <v>500</v>
      </c>
      <c r="C10" s="14">
        <v>500</v>
      </c>
      <c r="D10" s="14">
        <v>500</v>
      </c>
      <c r="E10" s="14">
        <v>500</v>
      </c>
      <c r="F10" s="14">
        <v>500</v>
      </c>
      <c r="G10" s="52">
        <v>500</v>
      </c>
      <c r="XFD10">
        <v>500</v>
      </c>
    </row>
    <row r="11" ht="14.25" spans="1:7">
      <c r="A11" s="67" t="s">
        <v>55</v>
      </c>
      <c r="B11" s="58">
        <v>300</v>
      </c>
      <c r="C11" s="58">
        <v>150</v>
      </c>
      <c r="D11" s="58">
        <v>200</v>
      </c>
      <c r="E11" s="58">
        <v>150</v>
      </c>
      <c r="F11" s="58">
        <v>100</v>
      </c>
      <c r="G11" s="68">
        <v>100</v>
      </c>
    </row>
    <row r="13" spans="1:7">
      <c r="A13" s="128" t="s">
        <v>8</v>
      </c>
      <c r="B13" s="129">
        <f>SUM(B6:B11)</f>
        <v>3240</v>
      </c>
      <c r="C13" s="129">
        <f>SUM(C6:C11)</f>
        <v>3090</v>
      </c>
      <c r="D13" s="129">
        <f>SUM(D6:D11)</f>
        <v>3140</v>
      </c>
      <c r="E13" s="129">
        <f>SUM(E6:E11)</f>
        <v>3090</v>
      </c>
      <c r="F13" s="129">
        <f>SUM(F6:F11)</f>
        <v>3040</v>
      </c>
      <c r="G13" s="130">
        <f>SUM(G6:G11)</f>
        <v>3040</v>
      </c>
    </row>
    <row r="14" spans="1:7">
      <c r="A14" s="131" t="s">
        <v>56</v>
      </c>
      <c r="B14" s="15">
        <f>B3-B13</f>
        <v>4760</v>
      </c>
      <c r="C14" s="15">
        <f>C3-C13</f>
        <v>-590</v>
      </c>
      <c r="D14" s="15">
        <f>D3-D13</f>
        <v>-440</v>
      </c>
      <c r="E14" s="15">
        <f>E3-E13</f>
        <v>-1090</v>
      </c>
      <c r="F14" s="15">
        <f>F3-F13</f>
        <v>-1040</v>
      </c>
      <c r="G14" s="132">
        <f>G3-G13</f>
        <v>-540</v>
      </c>
    </row>
    <row r="15" ht="14.25" spans="1:7">
      <c r="A15" s="59" t="s">
        <v>22</v>
      </c>
      <c r="B15" s="133" t="str">
        <f>IF(B14&lt;1000,"Vermelho",IF(B14&gt;1000,"Amarelo",IF(B14&gt;3000,"Verde")))</f>
        <v>Amarelo</v>
      </c>
      <c r="C15" s="69" t="str">
        <f>IF(C14&lt;1000,"Vermelho",IF(C14&gt;1000,"Amarelo",IF(C14&lt;3000,"Verde")))</f>
        <v>Vermelho</v>
      </c>
      <c r="D15" s="69" t="str">
        <f>IF(D14&lt;1000,"Vermelho",IF(D14&gt;1000,"Amarelo",IF(D14&lt;3000,"Verde")))</f>
        <v>Vermelho</v>
      </c>
      <c r="E15" s="69" t="str">
        <f>IF(E14&lt;1000,"Vermelho",IF(E14&gt;1000,"Amarelo",IF(E14&lt;3000,"Verde")))</f>
        <v>Vermelho</v>
      </c>
      <c r="F15" s="69" t="str">
        <f>IF(F14&lt;1000,"Vermelho",IF(F14&gt;1000,"Amarelo",IF(F14&lt;3000,"Verde")))</f>
        <v>Vermelho</v>
      </c>
      <c r="G15" s="89" t="str">
        <f>IF(G14&lt;1000,"Vermelho",IF(G14&gt;1000,"Amarelo",IF(G14&lt;3000,"Verde")))</f>
        <v>Vermelho</v>
      </c>
    </row>
  </sheetData>
  <sheetProtection selectLockedCells="1" selectUnlockedCells="1"/>
  <mergeCells count="3">
    <mergeCell ref="A1:G1"/>
    <mergeCell ref="A5:G5"/>
    <mergeCell ref="A2:A3"/>
  </mergeCells>
  <conditionalFormatting sqref="B15:G15">
    <cfRule type="cellIs" dxfId="4" priority="2" operator="equal">
      <formula>"Vermelho"</formula>
    </cfRule>
    <cfRule type="cellIs" dxfId="5" priority="1" operator="equal">
      <formula>"Amarelo"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3" workbookViewId="0">
      <selection activeCell="O10" sqref="O10"/>
    </sheetView>
  </sheetViews>
  <sheetFormatPr defaultColWidth="9.14285714285714" defaultRowHeight="13.5" outlineLevelCol="3"/>
  <cols>
    <col min="1" max="1" width="9.42857142857143" customWidth="1"/>
    <col min="3" max="3" width="12.7142857142857" customWidth="1"/>
    <col min="4" max="4" width="9.28571428571429" customWidth="1"/>
  </cols>
  <sheetData>
    <row r="1" ht="14.25" customHeight="1" spans="1:4">
      <c r="A1" s="104" t="s">
        <v>57</v>
      </c>
      <c r="B1" s="105"/>
      <c r="C1" s="105"/>
      <c r="D1" s="106"/>
    </row>
    <row r="2" ht="26.25" customHeight="1" spans="1:4">
      <c r="A2" s="107" t="s">
        <v>58</v>
      </c>
      <c r="B2" s="108" t="s">
        <v>59</v>
      </c>
      <c r="C2" s="109"/>
      <c r="D2" s="109"/>
    </row>
    <row r="3" ht="14.25" customHeight="1" spans="1:4">
      <c r="A3" s="107" t="s">
        <v>60</v>
      </c>
      <c r="B3" s="110" t="s">
        <v>61</v>
      </c>
      <c r="C3" s="111"/>
      <c r="D3" s="112"/>
    </row>
    <row r="4" ht="14.25" customHeight="1" spans="1:4">
      <c r="A4" s="107" t="s">
        <v>62</v>
      </c>
      <c r="B4" s="113">
        <v>0.05</v>
      </c>
      <c r="C4" s="114"/>
      <c r="D4" s="115"/>
    </row>
    <row r="5" spans="1:4">
      <c r="A5" s="107" t="s">
        <v>1</v>
      </c>
      <c r="B5" s="107" t="s">
        <v>17</v>
      </c>
      <c r="C5" s="107" t="s">
        <v>18</v>
      </c>
      <c r="D5" s="107" t="s">
        <v>19</v>
      </c>
    </row>
    <row r="6" spans="1:4">
      <c r="A6" s="108" t="s">
        <v>63</v>
      </c>
      <c r="B6" s="109">
        <v>5</v>
      </c>
      <c r="C6" s="116">
        <v>10.3</v>
      </c>
      <c r="D6" s="116">
        <f>C6*B6</f>
        <v>51.5</v>
      </c>
    </row>
    <row r="7" spans="1:4">
      <c r="A7" s="108" t="s">
        <v>64</v>
      </c>
      <c r="B7" s="109">
        <v>10</v>
      </c>
      <c r="C7" s="116">
        <v>5.3</v>
      </c>
      <c r="D7" s="116">
        <f>C7*B7</f>
        <v>53</v>
      </c>
    </row>
    <row r="8" spans="1:4">
      <c r="A8" s="108" t="s">
        <v>65</v>
      </c>
      <c r="B8" s="109">
        <v>5</v>
      </c>
      <c r="C8" s="116">
        <v>2.3</v>
      </c>
      <c r="D8" s="116">
        <f>C8*B8</f>
        <v>11.5</v>
      </c>
    </row>
    <row r="9" spans="1:4">
      <c r="A9" s="108" t="s">
        <v>66</v>
      </c>
      <c r="B9" s="109">
        <v>3</v>
      </c>
      <c r="C9" s="116">
        <v>1.56</v>
      </c>
      <c r="D9" s="116">
        <f>C9*B9</f>
        <v>4.68</v>
      </c>
    </row>
    <row r="10" spans="1:4">
      <c r="A10" s="108" t="s">
        <v>67</v>
      </c>
      <c r="B10" s="109">
        <v>15</v>
      </c>
      <c r="C10" s="116">
        <v>2.3</v>
      </c>
      <c r="D10" s="116">
        <f>C10*B10</f>
        <v>34.5</v>
      </c>
    </row>
    <row r="11" spans="1:4">
      <c r="A11" s="109"/>
      <c r="B11" s="109"/>
      <c r="C11" s="109"/>
      <c r="D11" s="109"/>
    </row>
    <row r="12" spans="1:4">
      <c r="A12" s="109"/>
      <c r="B12" s="109"/>
      <c r="C12" s="107" t="s">
        <v>68</v>
      </c>
      <c r="D12" s="116">
        <f>SUM(D6:D10)</f>
        <v>155.18</v>
      </c>
    </row>
    <row r="13" spans="1:4">
      <c r="A13" s="109"/>
      <c r="B13" s="109"/>
      <c r="C13" s="107" t="s">
        <v>69</v>
      </c>
      <c r="D13" s="116">
        <f>D12*B4</f>
        <v>7.759</v>
      </c>
    </row>
    <row r="14" spans="1:4">
      <c r="A14" s="109"/>
      <c r="B14" s="109"/>
      <c r="C14" s="107" t="s">
        <v>70</v>
      </c>
      <c r="D14" s="116">
        <f>MAX(D6:D10)</f>
        <v>53</v>
      </c>
    </row>
    <row r="15" spans="1:4">
      <c r="A15" s="109"/>
      <c r="B15" s="109"/>
      <c r="C15" s="107" t="s">
        <v>71</v>
      </c>
      <c r="D15" s="116">
        <f>MIN(D6:D10)</f>
        <v>4.68</v>
      </c>
    </row>
    <row r="16" spans="1:4">
      <c r="A16" s="109"/>
      <c r="B16" s="109"/>
      <c r="C16" s="107" t="s">
        <v>8</v>
      </c>
      <c r="D16" s="116">
        <f>D12-D13</f>
        <v>147.421</v>
      </c>
    </row>
  </sheetData>
  <mergeCells count="3">
    <mergeCell ref="A1:D1"/>
    <mergeCell ref="B3:D3"/>
    <mergeCell ref="B4:D4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I3" sqref="I3:I11"/>
    </sheetView>
  </sheetViews>
  <sheetFormatPr defaultColWidth="9.14285714285714" defaultRowHeight="13.5"/>
  <cols>
    <col min="2" max="2" width="11.5714285714286" customWidth="1"/>
    <col min="3" max="3" width="12.8571428571429"/>
    <col min="5" max="5" width="11.2857142857143"/>
  </cols>
  <sheetData>
    <row r="2" spans="2:5">
      <c r="B2" s="25" t="s">
        <v>72</v>
      </c>
      <c r="C2" s="27"/>
      <c r="D2" s="27"/>
      <c r="E2" s="27"/>
    </row>
    <row r="3" spans="2:9">
      <c r="B3" t="s">
        <v>34</v>
      </c>
      <c r="C3" s="8">
        <f>AVERAGE(E6:E14)</f>
        <v>13.3333333333333</v>
      </c>
      <c r="D3" t="s">
        <v>8</v>
      </c>
      <c r="E3" s="78">
        <f>SUM(E6:E14)</f>
        <v>120</v>
      </c>
      <c r="I3" s="13" t="s">
        <v>73</v>
      </c>
    </row>
    <row r="4" spans="2:9">
      <c r="B4" t="s">
        <v>74</v>
      </c>
      <c r="C4" s="8">
        <f>SUBTOTAL(1,E6:E14)</f>
        <v>13.3333333333333</v>
      </c>
      <c r="D4" t="s">
        <v>75</v>
      </c>
      <c r="E4" s="8">
        <f>SUBTOTAL(9,E6:E14)</f>
        <v>120</v>
      </c>
      <c r="I4" s="13" t="s">
        <v>76</v>
      </c>
    </row>
    <row r="5" spans="2:5">
      <c r="B5" s="23" t="s">
        <v>58</v>
      </c>
      <c r="C5" s="23" t="s">
        <v>1</v>
      </c>
      <c r="D5" s="23" t="s">
        <v>77</v>
      </c>
      <c r="E5" s="23" t="s">
        <v>78</v>
      </c>
    </row>
    <row r="6" spans="2:5">
      <c r="B6" s="13" t="s">
        <v>79</v>
      </c>
      <c r="C6" s="13" t="s">
        <v>73</v>
      </c>
      <c r="D6" s="13" t="s">
        <v>80</v>
      </c>
      <c r="E6" s="14">
        <v>10</v>
      </c>
    </row>
    <row r="7" spans="2:5">
      <c r="B7" s="13" t="s">
        <v>79</v>
      </c>
      <c r="C7" s="13" t="s">
        <v>73</v>
      </c>
      <c r="D7" s="13" t="s">
        <v>61</v>
      </c>
      <c r="E7" s="14">
        <v>10</v>
      </c>
    </row>
    <row r="8" spans="2:5">
      <c r="B8" s="13" t="s">
        <v>81</v>
      </c>
      <c r="C8" s="13" t="s">
        <v>73</v>
      </c>
      <c r="D8" s="13" t="s">
        <v>61</v>
      </c>
      <c r="E8" s="14">
        <v>10</v>
      </c>
    </row>
    <row r="9" spans="2:5">
      <c r="B9" s="13" t="s">
        <v>81</v>
      </c>
      <c r="C9" s="13" t="s">
        <v>73</v>
      </c>
      <c r="D9" s="13" t="s">
        <v>82</v>
      </c>
      <c r="E9" s="14">
        <v>10</v>
      </c>
    </row>
    <row r="10" spans="2:5">
      <c r="B10" s="13" t="s">
        <v>83</v>
      </c>
      <c r="C10" s="13" t="s">
        <v>73</v>
      </c>
      <c r="D10" s="13" t="s">
        <v>80</v>
      </c>
      <c r="E10" s="14">
        <v>10</v>
      </c>
    </row>
    <row r="11" spans="2:5">
      <c r="B11" s="13" t="s">
        <v>83</v>
      </c>
      <c r="C11" s="13" t="s">
        <v>73</v>
      </c>
      <c r="D11" s="13" t="s">
        <v>61</v>
      </c>
      <c r="E11" s="14">
        <v>10</v>
      </c>
    </row>
    <row r="12" spans="2:5">
      <c r="B12" s="13" t="s">
        <v>79</v>
      </c>
      <c r="C12" s="13" t="s">
        <v>76</v>
      </c>
      <c r="D12" s="13" t="s">
        <v>82</v>
      </c>
      <c r="E12" s="14">
        <v>20</v>
      </c>
    </row>
    <row r="13" spans="2:5">
      <c r="B13" s="13" t="s">
        <v>81</v>
      </c>
      <c r="C13" s="13" t="s">
        <v>76</v>
      </c>
      <c r="D13" s="13" t="s">
        <v>82</v>
      </c>
      <c r="E13" s="14">
        <v>20</v>
      </c>
    </row>
    <row r="14" spans="2:5">
      <c r="B14" s="13" t="s">
        <v>83</v>
      </c>
      <c r="C14" s="13" t="s">
        <v>76</v>
      </c>
      <c r="D14" s="13" t="s">
        <v>82</v>
      </c>
      <c r="E14" s="14">
        <v>20</v>
      </c>
    </row>
    <row r="15" spans="2:5">
      <c r="B15" t="s">
        <v>84</v>
      </c>
      <c r="C15">
        <f>COUNTIF(C6:C14,"Prato")</f>
        <v>6</v>
      </c>
      <c r="D15" t="s">
        <v>68</v>
      </c>
      <c r="E15" s="8">
        <f>SUMIF(C6:C14,"Prato",E6:E14)</f>
        <v>60</v>
      </c>
    </row>
    <row r="16" spans="2:5">
      <c r="B16" t="s">
        <v>85</v>
      </c>
      <c r="C16">
        <f>COUNTIF(C6:C14,"Caneca")</f>
        <v>3</v>
      </c>
      <c r="D16" t="s">
        <v>68</v>
      </c>
      <c r="E16" s="8">
        <f>SUMIF(C6:C14,"Caneca",E6:E14)</f>
        <v>60</v>
      </c>
    </row>
  </sheetData>
  <autoFilter ref="B5:E14">
    <extLst/>
  </autoFilter>
  <sortState ref="B6:E14">
    <sortCondition ref="E11"/>
  </sortState>
  <mergeCells count="1">
    <mergeCell ref="B2:E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5"/>
  <sheetViews>
    <sheetView workbookViewId="0">
      <selection activeCell="C14" sqref="C14"/>
    </sheetView>
  </sheetViews>
  <sheetFormatPr defaultColWidth="9.14285714285714" defaultRowHeight="13.5" outlineLevelCol="3"/>
  <cols>
    <col min="3" max="4" width="12.1428571428571" customWidth="1"/>
  </cols>
  <sheetData>
    <row r="3" spans="2:4">
      <c r="B3" s="18" t="s">
        <v>86</v>
      </c>
      <c r="C3" s="18" t="s">
        <v>87</v>
      </c>
      <c r="D3" s="18" t="s">
        <v>88</v>
      </c>
    </row>
    <row r="4" spans="2:4">
      <c r="B4" s="24">
        <v>1</v>
      </c>
      <c r="C4" s="13" t="s">
        <v>80</v>
      </c>
      <c r="D4" s="13" t="s">
        <v>89</v>
      </c>
    </row>
    <row r="5" spans="2:4">
      <c r="B5" s="24">
        <v>2</v>
      </c>
      <c r="C5" s="13" t="s">
        <v>61</v>
      </c>
      <c r="D5" s="13" t="s">
        <v>77</v>
      </c>
    </row>
    <row r="6" spans="2:4">
      <c r="B6" s="24">
        <v>3</v>
      </c>
      <c r="C6" s="13" t="s">
        <v>82</v>
      </c>
      <c r="D6" s="13" t="s">
        <v>90</v>
      </c>
    </row>
    <row r="7" spans="2:4">
      <c r="B7" s="24">
        <v>4</v>
      </c>
      <c r="C7" s="13" t="s">
        <v>91</v>
      </c>
      <c r="D7" s="13" t="s">
        <v>92</v>
      </c>
    </row>
    <row r="13" spans="2:3">
      <c r="B13" s="18" t="s">
        <v>86</v>
      </c>
      <c r="C13" s="13">
        <v>2</v>
      </c>
    </row>
    <row r="14" spans="2:3">
      <c r="B14" s="18" t="s">
        <v>87</v>
      </c>
      <c r="C14" s="13" t="str">
        <f>VLOOKUP(C13,B4:D7,2,2)</f>
        <v>Pedro</v>
      </c>
    </row>
    <row r="15" spans="2:3">
      <c r="B15" s="103" t="s">
        <v>88</v>
      </c>
      <c r="C15" s="13" t="str">
        <f>VLOOKUP(C13,B4:D7,3,2)</f>
        <v>Vendedor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zoomScale="80" zoomScaleNormal="80" workbookViewId="0">
      <selection activeCell="E6" sqref="E6"/>
    </sheetView>
  </sheetViews>
  <sheetFormatPr defaultColWidth="9.14285714285714" defaultRowHeight="13.5"/>
  <cols>
    <col min="3" max="3" width="11.8571428571429" customWidth="1"/>
    <col min="4" max="4" width="13.9333333333333" customWidth="1"/>
    <col min="5" max="5" width="8.85714285714286" customWidth="1"/>
    <col min="6" max="6" width="13.8571428571429" customWidth="1"/>
    <col min="8" max="8" width="14.1428571428571"/>
  </cols>
  <sheetData>
    <row r="2" spans="2:6">
      <c r="B2" s="25" t="s">
        <v>93</v>
      </c>
      <c r="C2" s="27"/>
      <c r="D2" s="27"/>
      <c r="E2" s="27"/>
      <c r="F2" s="27"/>
    </row>
    <row r="3" spans="2:6">
      <c r="B3" s="28" t="s">
        <v>87</v>
      </c>
      <c r="C3" s="28" t="s">
        <v>94</v>
      </c>
      <c r="D3" s="28" t="s">
        <v>95</v>
      </c>
      <c r="E3" s="28" t="s">
        <v>96</v>
      </c>
      <c r="F3" s="28" t="s">
        <v>97</v>
      </c>
    </row>
    <row r="4" spans="2:6">
      <c r="B4" s="13" t="s">
        <v>80</v>
      </c>
      <c r="C4" s="14">
        <v>1800</v>
      </c>
      <c r="D4" s="14">
        <v>9000</v>
      </c>
      <c r="E4" s="13" t="str">
        <f>VLOOKUP(D4,H6:I10,2,1)</f>
        <v>A</v>
      </c>
      <c r="F4" s="13"/>
    </row>
    <row r="5" spans="2:9">
      <c r="B5" s="13" t="s">
        <v>61</v>
      </c>
      <c r="C5" s="14">
        <v>2300</v>
      </c>
      <c r="D5" s="14">
        <v>21000</v>
      </c>
      <c r="E5" s="13" t="str">
        <f>VLOOKUP(D5,H6:I10,2,1)</f>
        <v>D</v>
      </c>
      <c r="F5" s="13"/>
      <c r="H5" s="12" t="s">
        <v>95</v>
      </c>
      <c r="I5" s="12" t="s">
        <v>98</v>
      </c>
    </row>
    <row r="6" spans="2:9">
      <c r="B6" s="13" t="s">
        <v>99</v>
      </c>
      <c r="C6" s="14">
        <v>1800</v>
      </c>
      <c r="D6" s="14">
        <v>5000</v>
      </c>
      <c r="E6" s="13" t="str">
        <f>VLOOKUP(D6,H6:I10,2,2)</f>
        <v>A</v>
      </c>
      <c r="F6" s="13"/>
      <c r="H6" s="14">
        <v>5000</v>
      </c>
      <c r="I6" s="13" t="s">
        <v>100</v>
      </c>
    </row>
    <row r="7" spans="2:9">
      <c r="B7" s="13" t="s">
        <v>91</v>
      </c>
      <c r="C7" s="14">
        <v>2500</v>
      </c>
      <c r="D7" s="14">
        <v>20000</v>
      </c>
      <c r="E7" s="13" t="str">
        <f>VLOOKUP(D7,H6:I10,2,TRUE)</f>
        <v>D</v>
      </c>
      <c r="F7" s="13"/>
      <c r="H7" s="14">
        <v>10000</v>
      </c>
      <c r="I7" s="13" t="s">
        <v>101</v>
      </c>
    </row>
    <row r="8" spans="2:9">
      <c r="B8" s="13"/>
      <c r="C8" s="13"/>
      <c r="D8" s="13"/>
      <c r="E8" s="13"/>
      <c r="F8" s="13"/>
      <c r="H8" s="14">
        <v>15000</v>
      </c>
      <c r="I8" s="13" t="s">
        <v>102</v>
      </c>
    </row>
    <row r="9" spans="2:9">
      <c r="B9" s="13"/>
      <c r="C9" s="13"/>
      <c r="D9" s="13"/>
      <c r="E9" s="13"/>
      <c r="F9" s="13"/>
      <c r="H9" s="14">
        <v>20000</v>
      </c>
      <c r="I9" s="13" t="s">
        <v>103</v>
      </c>
    </row>
    <row r="10" spans="2:9">
      <c r="B10" s="13"/>
      <c r="C10" s="13"/>
      <c r="D10" s="13"/>
      <c r="E10" s="13"/>
      <c r="F10" s="13"/>
      <c r="H10" s="14">
        <v>25000</v>
      </c>
      <c r="I10" s="13" t="s">
        <v>104</v>
      </c>
    </row>
    <row r="11" spans="2:6">
      <c r="B11" s="13"/>
      <c r="C11" s="13"/>
      <c r="D11" s="13"/>
      <c r="E11" s="13"/>
      <c r="F11" s="13"/>
    </row>
    <row r="12" spans="2:6">
      <c r="B12" s="13"/>
      <c r="C12" s="13"/>
      <c r="D12" s="13"/>
      <c r="E12" s="13"/>
      <c r="F12" s="13"/>
    </row>
    <row r="13" spans="2:6">
      <c r="B13" s="13"/>
      <c r="C13" s="13"/>
      <c r="D13" s="13"/>
      <c r="E13" s="13"/>
      <c r="F13" s="13"/>
    </row>
    <row r="14" spans="2:6">
      <c r="B14" s="13"/>
      <c r="C14" s="13"/>
      <c r="D14" s="13"/>
      <c r="E14" s="13"/>
      <c r="F14" s="13"/>
    </row>
  </sheetData>
  <mergeCells count="1">
    <mergeCell ref="B2:F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workbookViewId="0">
      <selection activeCell="F11" sqref="F11"/>
    </sheetView>
  </sheetViews>
  <sheetFormatPr defaultColWidth="9.14285714285714" defaultRowHeight="13.5"/>
  <cols>
    <col min="2" max="2" width="12.1428571428571" customWidth="1"/>
  </cols>
  <sheetData>
    <row r="2" spans="2:9">
      <c r="B2" s="18" t="s">
        <v>105</v>
      </c>
      <c r="C2" s="13" t="s">
        <v>106</v>
      </c>
      <c r="D2" s="13" t="s">
        <v>107</v>
      </c>
      <c r="E2" s="13" t="s">
        <v>108</v>
      </c>
      <c r="F2" s="13" t="s">
        <v>109</v>
      </c>
      <c r="G2" s="13" t="s">
        <v>110</v>
      </c>
      <c r="H2" s="13" t="s">
        <v>111</v>
      </c>
      <c r="I2" s="13" t="s">
        <v>112</v>
      </c>
    </row>
    <row r="3" spans="2:9">
      <c r="B3" s="18" t="s">
        <v>113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</row>
    <row r="6" spans="2:3">
      <c r="B6" s="18" t="s">
        <v>114</v>
      </c>
      <c r="C6" t="s">
        <v>107</v>
      </c>
    </row>
    <row r="7" spans="2:3">
      <c r="B7" s="18" t="s">
        <v>113</v>
      </c>
      <c r="C7">
        <f>HLOOKUP(C6,C2:I3,2,TRUE)</f>
        <v>7</v>
      </c>
    </row>
    <row r="9" spans="4:4">
      <c r="D9" t="s">
        <v>115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workbookViewId="0">
      <selection activeCell="J16" sqref="J16"/>
    </sheetView>
  </sheetViews>
  <sheetFormatPr defaultColWidth="9.14285714285714" defaultRowHeight="13.5"/>
  <cols>
    <col min="3" max="3" width="12.2857142857143" customWidth="1"/>
    <col min="4" max="4" width="12.4285714285714" customWidth="1"/>
    <col min="5" max="5" width="9.42857142857143" customWidth="1"/>
    <col min="10" max="10" width="22.8571428571429" customWidth="1"/>
    <col min="11" max="11" width="17.1428571428571" customWidth="1"/>
  </cols>
  <sheetData>
    <row r="2" spans="2:11">
      <c r="B2" s="12" t="s">
        <v>116</v>
      </c>
      <c r="C2" s="12" t="s">
        <v>117</v>
      </c>
      <c r="D2" s="12" t="s">
        <v>118</v>
      </c>
      <c r="E2" s="12" t="s">
        <v>119</v>
      </c>
      <c r="F2" s="12" t="s">
        <v>120</v>
      </c>
      <c r="G2" s="26"/>
      <c r="H2" s="26"/>
      <c r="I2" s="95" t="s">
        <v>121</v>
      </c>
      <c r="J2" s="96"/>
      <c r="K2" s="97"/>
    </row>
    <row r="3" spans="2:11">
      <c r="B3" s="13" t="s">
        <v>80</v>
      </c>
      <c r="C3" s="13" t="s">
        <v>122</v>
      </c>
      <c r="D3" s="13" t="s">
        <v>123</v>
      </c>
      <c r="E3" s="13" t="s">
        <v>124</v>
      </c>
      <c r="F3" s="13" t="s">
        <v>125</v>
      </c>
      <c r="I3" s="98" t="str">
        <f>_xlfn.CONCAT(B3&amp;" "&amp;C3&amp;" "&amp;E3&amp;" "&amp;F3)</f>
        <v>Thiago Neves Brasilia DF</v>
      </c>
      <c r="J3" s="1"/>
      <c r="K3" s="99"/>
    </row>
    <row r="4" spans="2:11">
      <c r="B4" s="13" t="s">
        <v>82</v>
      </c>
      <c r="C4" s="13" t="s">
        <v>126</v>
      </c>
      <c r="D4" s="13" t="s">
        <v>127</v>
      </c>
      <c r="E4" s="13" t="s">
        <v>128</v>
      </c>
      <c r="F4" s="13" t="s">
        <v>129</v>
      </c>
      <c r="I4" s="98" t="str">
        <f>_xlfn.CONCAT(B4&amp;" "&amp;C4&amp;" "&amp;E4&amp;" "&amp;F4)</f>
        <v>Rafaela Gomes Anápolis GO</v>
      </c>
      <c r="J4" s="1"/>
      <c r="K4" s="99"/>
    </row>
    <row r="5" spans="2:11">
      <c r="B5" s="13" t="s">
        <v>91</v>
      </c>
      <c r="C5" s="13" t="s">
        <v>130</v>
      </c>
      <c r="D5" s="13" t="s">
        <v>131</v>
      </c>
      <c r="E5" s="13" t="s">
        <v>124</v>
      </c>
      <c r="F5" s="13" t="s">
        <v>125</v>
      </c>
      <c r="I5" s="98" t="str">
        <f>_xlfn.CONCAT(B5&amp;" "&amp;C5&amp;" "&amp;E5&amp;" "&amp;F5)</f>
        <v>Maria Alvertina Brasilia DF</v>
      </c>
      <c r="J5" s="1"/>
      <c r="K5" s="99"/>
    </row>
    <row r="6" ht="14.25" spans="2:11">
      <c r="B6" s="13" t="s">
        <v>132</v>
      </c>
      <c r="C6" s="13" t="s">
        <v>133</v>
      </c>
      <c r="D6" s="13" t="s">
        <v>134</v>
      </c>
      <c r="E6" s="13" t="s">
        <v>135</v>
      </c>
      <c r="F6" s="13" t="s">
        <v>136</v>
      </c>
      <c r="I6" s="100" t="str">
        <f>_xlfn.CONCAT(B6&amp;" "&amp;C6&amp;" "&amp;E6&amp;" "&amp;F6)</f>
        <v>Pedros Pictorius Palmas TO</v>
      </c>
      <c r="J6" s="101"/>
      <c r="K6" s="102"/>
    </row>
    <row r="9" spans="10:10">
      <c r="J9">
        <v>1</v>
      </c>
    </row>
    <row r="10" spans="10:10">
      <c r="J10">
        <v>2</v>
      </c>
    </row>
    <row r="11" spans="10:10">
      <c r="J11">
        <v>3</v>
      </c>
    </row>
    <row r="12" spans="10:10">
      <c r="J12">
        <v>4</v>
      </c>
    </row>
    <row r="13" spans="10:10">
      <c r="J13">
        <v>5</v>
      </c>
    </row>
  </sheetData>
  <mergeCells count="5">
    <mergeCell ref="I2:K2"/>
    <mergeCell ref="I3:K3"/>
    <mergeCell ref="I4:K4"/>
    <mergeCell ref="I5:K5"/>
    <mergeCell ref="I6:K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3"/>
  <sheetViews>
    <sheetView topLeftCell="A2" workbookViewId="0">
      <selection activeCell="E7" sqref="E7"/>
    </sheetView>
  </sheetViews>
  <sheetFormatPr defaultColWidth="9.14285714285714" defaultRowHeight="13.5" outlineLevelCol="4"/>
  <cols>
    <col min="1" max="1" width="15.4285714285714" customWidth="1"/>
    <col min="2" max="2" width="15.1428571428571" customWidth="1"/>
    <col min="3" max="5" width="12.8571428571429" customWidth="1"/>
  </cols>
  <sheetData>
    <row r="2" spans="2:5">
      <c r="B2" s="25" t="s">
        <v>137</v>
      </c>
      <c r="C2" s="27"/>
      <c r="D2" s="27"/>
      <c r="E2" s="27"/>
    </row>
    <row r="3" spans="2:5">
      <c r="B3" s="28" t="s">
        <v>138</v>
      </c>
      <c r="C3" s="90">
        <v>105000</v>
      </c>
      <c r="D3" s="90"/>
      <c r="E3" s="90"/>
    </row>
    <row r="4" spans="2:5">
      <c r="B4" s="25" t="s">
        <v>139</v>
      </c>
      <c r="C4" s="27"/>
      <c r="D4" s="27"/>
      <c r="E4" s="27"/>
    </row>
    <row r="5" spans="2:5">
      <c r="B5" s="24">
        <v>1</v>
      </c>
      <c r="C5" s="24">
        <v>6</v>
      </c>
      <c r="D5" s="24">
        <v>12</v>
      </c>
      <c r="E5" s="24">
        <v>18</v>
      </c>
    </row>
    <row r="6" spans="1:5">
      <c r="A6" s="12" t="s">
        <v>140</v>
      </c>
      <c r="B6" s="91">
        <v>0.018</v>
      </c>
      <c r="C6" s="91">
        <v>0.264</v>
      </c>
      <c r="D6" s="91">
        <v>0.528</v>
      </c>
      <c r="E6" s="19">
        <v>0.6</v>
      </c>
    </row>
    <row r="7" spans="2:5">
      <c r="B7" s="14">
        <v>105000</v>
      </c>
      <c r="C7" s="14">
        <v>15671.59</v>
      </c>
      <c r="D7" s="14">
        <v>6829.17</v>
      </c>
      <c r="E7" s="14">
        <v>3946.2</v>
      </c>
    </row>
    <row r="8" spans="2:3">
      <c r="B8" s="92" t="s">
        <v>141</v>
      </c>
      <c r="C8" s="93">
        <v>0.044</v>
      </c>
    </row>
    <row r="9" spans="2:3">
      <c r="B9" t="s">
        <v>142</v>
      </c>
      <c r="C9">
        <v>0</v>
      </c>
    </row>
    <row r="10" spans="2:3">
      <c r="B10" t="s">
        <v>143</v>
      </c>
      <c r="C10" s="8"/>
    </row>
    <row r="12" spans="2:3">
      <c r="B12" s="25" t="s">
        <v>144</v>
      </c>
      <c r="C12" s="27"/>
    </row>
    <row r="13" spans="2:3">
      <c r="B13" s="94">
        <f>PMT(C8,E5,0,C3)</f>
        <v>-3946.20238676269</v>
      </c>
      <c r="C13" s="24"/>
    </row>
  </sheetData>
  <mergeCells count="5">
    <mergeCell ref="B2:E2"/>
    <mergeCell ref="C3:E3"/>
    <mergeCell ref="B4:E4"/>
    <mergeCell ref="B12:C12"/>
    <mergeCell ref="B13:C1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1"/>
  <sheetViews>
    <sheetView zoomScale="90" zoomScaleNormal="90" topLeftCell="A12" workbookViewId="0">
      <selection activeCell="I30" sqref="I30"/>
    </sheetView>
  </sheetViews>
  <sheetFormatPr defaultColWidth="9.14285714285714" defaultRowHeight="13.5"/>
  <cols>
    <col min="2" max="2" width="2.57142857142857" customWidth="1"/>
    <col min="3" max="3" width="30.5714285714286" customWidth="1"/>
    <col min="4" max="4" width="14" customWidth="1"/>
    <col min="5" max="5" width="12.8571428571429" customWidth="1"/>
    <col min="7" max="7" width="30.5714285714286" customWidth="1"/>
    <col min="8" max="8" width="8.71428571428571" customWidth="1"/>
    <col min="9" max="9" width="10.8571428571429" customWidth="1"/>
    <col min="11" max="11" width="30.5714285714286" customWidth="1"/>
    <col min="13" max="13" width="11" customWidth="1"/>
  </cols>
  <sheetData>
    <row r="2" spans="2:15">
      <c r="B2" s="41" t="s">
        <v>145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84"/>
      <c r="N2" s="85"/>
      <c r="O2" s="86"/>
    </row>
    <row r="3" spans="2:13">
      <c r="B3" s="43" t="s">
        <v>2</v>
      </c>
      <c r="C3" s="44"/>
      <c r="D3" s="44"/>
      <c r="E3" s="44"/>
      <c r="G3" s="43" t="s">
        <v>3</v>
      </c>
      <c r="H3" s="44"/>
      <c r="I3" s="44"/>
      <c r="K3" s="43" t="s">
        <v>46</v>
      </c>
      <c r="L3" s="44"/>
      <c r="M3" s="44"/>
    </row>
    <row r="4" ht="13" customHeight="1" spans="2:13">
      <c r="B4" s="45"/>
      <c r="C4" s="46"/>
      <c r="D4" s="47" t="s">
        <v>146</v>
      </c>
      <c r="E4" s="48" t="s">
        <v>147</v>
      </c>
      <c r="G4" s="49"/>
      <c r="H4" s="47" t="s">
        <v>146</v>
      </c>
      <c r="I4" s="48" t="s">
        <v>147</v>
      </c>
      <c r="K4" s="49"/>
      <c r="L4" s="47" t="s">
        <v>146</v>
      </c>
      <c r="M4" s="48" t="s">
        <v>147</v>
      </c>
    </row>
    <row r="5" spans="2:13">
      <c r="B5" s="50" t="s">
        <v>148</v>
      </c>
      <c r="C5" s="51" t="s">
        <v>149</v>
      </c>
      <c r="D5" s="14">
        <v>15000</v>
      </c>
      <c r="E5" s="52">
        <v>8000</v>
      </c>
      <c r="G5" s="53" t="s">
        <v>149</v>
      </c>
      <c r="H5" s="14"/>
      <c r="I5" s="52"/>
      <c r="K5" s="53" t="s">
        <v>149</v>
      </c>
      <c r="L5" s="14"/>
      <c r="M5" s="52"/>
    </row>
    <row r="6" spans="2:13">
      <c r="B6" s="54"/>
      <c r="C6" s="51" t="s">
        <v>150</v>
      </c>
      <c r="D6" s="14">
        <v>5000</v>
      </c>
      <c r="E6" s="52">
        <v>1500</v>
      </c>
      <c r="G6" s="53" t="s">
        <v>150</v>
      </c>
      <c r="H6" s="14"/>
      <c r="I6" s="52"/>
      <c r="K6" s="53" t="s">
        <v>150</v>
      </c>
      <c r="L6" s="14"/>
      <c r="M6" s="52"/>
    </row>
    <row r="7" ht="13" customHeight="1" spans="2:13">
      <c r="B7" s="55"/>
      <c r="C7" s="51" t="s">
        <v>151</v>
      </c>
      <c r="D7" s="14">
        <v>1000</v>
      </c>
      <c r="E7" s="52">
        <v>100</v>
      </c>
      <c r="G7" s="53" t="s">
        <v>151</v>
      </c>
      <c r="H7" s="14"/>
      <c r="I7" s="52"/>
      <c r="K7" s="53" t="s">
        <v>151</v>
      </c>
      <c r="L7" s="14"/>
      <c r="M7" s="52"/>
    </row>
    <row r="8" ht="14.25" spans="2:13">
      <c r="B8" s="56"/>
      <c r="C8" s="57" t="s">
        <v>8</v>
      </c>
      <c r="D8" s="58">
        <f t="shared" ref="D8:I8" si="0">SUM(D5:D7)</f>
        <v>21000</v>
      </c>
      <c r="E8" s="58">
        <f t="shared" si="0"/>
        <v>9600</v>
      </c>
      <c r="G8" s="59" t="s">
        <v>8</v>
      </c>
      <c r="H8" s="58">
        <f t="shared" si="0"/>
        <v>0</v>
      </c>
      <c r="I8" s="58">
        <f t="shared" si="0"/>
        <v>0</v>
      </c>
      <c r="K8" s="59" t="s">
        <v>8</v>
      </c>
      <c r="L8" s="58">
        <f>SUM(L5:L7)</f>
        <v>0</v>
      </c>
      <c r="M8" s="58">
        <f>SUM(M5:M7)</f>
        <v>0</v>
      </c>
    </row>
    <row r="9" ht="14.25" spans="2:13">
      <c r="B9" s="60"/>
      <c r="C9" s="61"/>
      <c r="D9" s="61"/>
      <c r="E9" s="62"/>
      <c r="G9" s="60"/>
      <c r="H9" s="61"/>
      <c r="I9" s="62"/>
      <c r="K9" s="60"/>
      <c r="L9" s="61"/>
      <c r="M9" s="62"/>
    </row>
    <row r="10" spans="2:13">
      <c r="B10" s="50" t="s">
        <v>152</v>
      </c>
      <c r="C10" s="63" t="s">
        <v>50</v>
      </c>
      <c r="D10" s="64">
        <v>3500</v>
      </c>
      <c r="E10" s="65">
        <v>3500</v>
      </c>
      <c r="G10" s="63" t="s">
        <v>50</v>
      </c>
      <c r="H10" s="66"/>
      <c r="I10" s="87"/>
      <c r="K10" s="63" t="s">
        <v>50</v>
      </c>
      <c r="L10" s="66"/>
      <c r="M10" s="87"/>
    </row>
    <row r="11" spans="2:13">
      <c r="B11" s="54"/>
      <c r="C11" s="53" t="s">
        <v>153</v>
      </c>
      <c r="D11" s="14">
        <v>250</v>
      </c>
      <c r="E11" s="52">
        <v>350</v>
      </c>
      <c r="G11" s="53" t="s">
        <v>153</v>
      </c>
      <c r="H11" s="13"/>
      <c r="I11" s="88"/>
      <c r="K11" s="53" t="s">
        <v>153</v>
      </c>
      <c r="L11" s="13"/>
      <c r="M11" s="88"/>
    </row>
    <row r="12" spans="2:13">
      <c r="B12" s="54"/>
      <c r="C12" s="53" t="s">
        <v>52</v>
      </c>
      <c r="D12" s="14">
        <v>100</v>
      </c>
      <c r="E12" s="52">
        <v>100</v>
      </c>
      <c r="G12" s="53" t="s">
        <v>52</v>
      </c>
      <c r="H12" s="13"/>
      <c r="I12" s="88"/>
      <c r="K12" s="53" t="s">
        <v>52</v>
      </c>
      <c r="L12" s="13"/>
      <c r="M12" s="88"/>
    </row>
    <row r="13" spans="2:13">
      <c r="B13" s="54"/>
      <c r="C13" s="53" t="s">
        <v>154</v>
      </c>
      <c r="D13" s="14">
        <v>50</v>
      </c>
      <c r="E13" s="52">
        <v>150</v>
      </c>
      <c r="G13" s="53" t="s">
        <v>154</v>
      </c>
      <c r="H13" s="13"/>
      <c r="I13" s="88"/>
      <c r="K13" s="53" t="s">
        <v>154</v>
      </c>
      <c r="L13" s="13"/>
      <c r="M13" s="88"/>
    </row>
    <row r="14" spans="2:13">
      <c r="B14" s="54"/>
      <c r="C14" s="53" t="s">
        <v>155</v>
      </c>
      <c r="D14" s="14">
        <v>360</v>
      </c>
      <c r="E14" s="52">
        <v>360</v>
      </c>
      <c r="G14" s="53" t="s">
        <v>155</v>
      </c>
      <c r="H14" s="13"/>
      <c r="I14" s="88"/>
      <c r="K14" s="53" t="s">
        <v>155</v>
      </c>
      <c r="L14" s="13"/>
      <c r="M14" s="88"/>
    </row>
    <row r="15" ht="14.25" spans="2:13">
      <c r="B15" s="55"/>
      <c r="C15" s="67" t="s">
        <v>156</v>
      </c>
      <c r="D15" s="58">
        <v>5000</v>
      </c>
      <c r="E15" s="68">
        <v>3500</v>
      </c>
      <c r="G15" s="67" t="s">
        <v>156</v>
      </c>
      <c r="H15" s="69"/>
      <c r="I15" s="89"/>
      <c r="K15" s="67" t="s">
        <v>156</v>
      </c>
      <c r="L15" s="69"/>
      <c r="M15" s="89"/>
    </row>
    <row r="16" ht="14.25" spans="3:11">
      <c r="C16" s="70" t="s">
        <v>157</v>
      </c>
      <c r="D16" s="71">
        <f>SUM(D10:D15)</f>
        <v>9260</v>
      </c>
      <c r="E16" s="72">
        <f>SUM(E10:E15)</f>
        <v>7960</v>
      </c>
      <c r="G16" t="s">
        <v>158</v>
      </c>
      <c r="K16" t="s">
        <v>158</v>
      </c>
    </row>
    <row r="17" spans="3:11">
      <c r="C17" s="73" t="s">
        <v>159</v>
      </c>
      <c r="D17" s="74">
        <f>D8-D16</f>
        <v>11740</v>
      </c>
      <c r="E17" s="75">
        <f>E8-E16</f>
        <v>1640</v>
      </c>
      <c r="G17" t="s">
        <v>159</v>
      </c>
      <c r="K17" t="s">
        <v>159</v>
      </c>
    </row>
    <row r="18" spans="3:11">
      <c r="C18" s="76" t="s">
        <v>160</v>
      </c>
      <c r="D18" s="8"/>
      <c r="E18" s="77"/>
      <c r="G18" t="s">
        <v>160</v>
      </c>
      <c r="K18" t="s">
        <v>160</v>
      </c>
    </row>
    <row r="19" spans="3:11">
      <c r="C19" s="76" t="s">
        <v>161</v>
      </c>
      <c r="D19" s="78">
        <f>D17+D18</f>
        <v>11740</v>
      </c>
      <c r="E19" s="79">
        <f>E17+E18</f>
        <v>1640</v>
      </c>
      <c r="G19" t="s">
        <v>161</v>
      </c>
      <c r="K19" t="s">
        <v>161</v>
      </c>
    </row>
    <row r="20" spans="3:11">
      <c r="C20" s="76" t="s">
        <v>162</v>
      </c>
      <c r="E20" s="80"/>
      <c r="G20" t="s">
        <v>162</v>
      </c>
      <c r="K20" t="s">
        <v>162</v>
      </c>
    </row>
    <row r="21" ht="14.25" spans="3:11">
      <c r="C21" s="81" t="s">
        <v>163</v>
      </c>
      <c r="D21" s="82">
        <f>D19+D20</f>
        <v>11740</v>
      </c>
      <c r="E21" s="83">
        <f>E19+E20</f>
        <v>1640</v>
      </c>
      <c r="G21" t="s">
        <v>163</v>
      </c>
      <c r="K21" t="s">
        <v>163</v>
      </c>
    </row>
  </sheetData>
  <mergeCells count="10">
    <mergeCell ref="B2:M2"/>
    <mergeCell ref="B3:E3"/>
    <mergeCell ref="G3:I3"/>
    <mergeCell ref="K3:M3"/>
    <mergeCell ref="B4:C4"/>
    <mergeCell ref="B9:E9"/>
    <mergeCell ref="G9:I9"/>
    <mergeCell ref="K9:M9"/>
    <mergeCell ref="B5:B7"/>
    <mergeCell ref="B10:B15"/>
  </mergeCells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topLeftCell="B2" workbookViewId="0">
      <selection activeCell="C10" sqref="C10:G13"/>
    </sheetView>
  </sheetViews>
  <sheetFormatPr defaultColWidth="9.14285714285714" defaultRowHeight="13.5"/>
  <cols>
    <col min="2" max="2" width="17.4285714285714" customWidth="1"/>
    <col min="3" max="3" width="5" customWidth="1"/>
    <col min="4" max="4" width="4" customWidth="1"/>
    <col min="5" max="5" width="5.57142857142857" customWidth="1"/>
    <col min="6" max="6" width="4.71428571428571" customWidth="1"/>
    <col min="7" max="7" width="4.42857142857143" customWidth="1"/>
    <col min="8" max="8" width="11" customWidth="1"/>
    <col min="9" max="9" width="13.7142857142857" customWidth="1"/>
    <col min="10" max="10" width="14" customWidth="1"/>
    <col min="11" max="11" width="16.5714285714286" customWidth="1"/>
    <col min="12" max="12" width="17.2857142857143" customWidth="1"/>
  </cols>
  <sheetData>
    <row r="2" spans="2:12">
      <c r="B2" s="25" t="s">
        <v>164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>
      <c r="B3" s="28" t="s">
        <v>165</v>
      </c>
      <c r="C3" s="28" t="s">
        <v>166</v>
      </c>
      <c r="D3" s="28" t="s">
        <v>167</v>
      </c>
      <c r="E3" s="28" t="s">
        <v>168</v>
      </c>
      <c r="F3" s="28" t="s">
        <v>169</v>
      </c>
      <c r="G3" s="28" t="s">
        <v>170</v>
      </c>
      <c r="H3" s="28" t="s">
        <v>171</v>
      </c>
      <c r="I3" s="23" t="s">
        <v>172</v>
      </c>
      <c r="J3" s="23" t="s">
        <v>173</v>
      </c>
      <c r="K3" s="23" t="s">
        <v>174</v>
      </c>
      <c r="L3" s="23" t="s">
        <v>175</v>
      </c>
    </row>
    <row r="4" spans="2:12">
      <c r="B4" s="28" t="s">
        <v>176</v>
      </c>
      <c r="C4" s="13">
        <v>140</v>
      </c>
      <c r="D4" s="13">
        <v>110</v>
      </c>
      <c r="E4" s="13">
        <v>150</v>
      </c>
      <c r="F4" s="13">
        <v>120</v>
      </c>
      <c r="G4" s="13">
        <v>90</v>
      </c>
      <c r="H4" s="14">
        <v>2.3</v>
      </c>
      <c r="I4" s="40">
        <f>SUM(C4:G4)</f>
        <v>610</v>
      </c>
      <c r="J4" s="15">
        <f>H4*I4</f>
        <v>1403</v>
      </c>
      <c r="K4" s="13">
        <f>AVERAGE(C4:G4)</f>
        <v>122</v>
      </c>
      <c r="L4" s="13" t="str">
        <f>IF(K4&gt;=500,"Meta Alcançada","Abaixo da Meta")</f>
        <v>Abaixo da Meta</v>
      </c>
    </row>
    <row r="5" spans="2:12">
      <c r="B5" s="28" t="s">
        <v>177</v>
      </c>
      <c r="C5" s="13">
        <v>75</v>
      </c>
      <c r="D5" s="13">
        <v>90</v>
      </c>
      <c r="E5" s="13">
        <v>95</v>
      </c>
      <c r="F5" s="13">
        <v>230</v>
      </c>
      <c r="G5" s="13">
        <v>120</v>
      </c>
      <c r="H5" s="14">
        <v>5.25</v>
      </c>
      <c r="I5" s="40">
        <f>SUM(C5:G5)</f>
        <v>610</v>
      </c>
      <c r="J5" s="15">
        <f>H5*I5</f>
        <v>3202.5</v>
      </c>
      <c r="K5" s="13">
        <f>AVERAGE(C5:G5)</f>
        <v>122</v>
      </c>
      <c r="L5" s="13" t="str">
        <f>IF(K5&gt;=500,"Meta Alcançada","Abaixo da Meta")</f>
        <v>Abaixo da Meta</v>
      </c>
    </row>
    <row r="6" spans="2:12">
      <c r="B6" s="28" t="s">
        <v>178</v>
      </c>
      <c r="C6" s="13">
        <v>90</v>
      </c>
      <c r="D6" s="13">
        <v>100</v>
      </c>
      <c r="E6" s="13">
        <v>85</v>
      </c>
      <c r="F6" s="13">
        <v>80</v>
      </c>
      <c r="G6" s="13">
        <v>70</v>
      </c>
      <c r="H6" s="14">
        <v>2.34</v>
      </c>
      <c r="I6" s="40">
        <f>SUM(C6:G6)</f>
        <v>425</v>
      </c>
      <c r="J6" s="15">
        <f>H6*I6</f>
        <v>994.5</v>
      </c>
      <c r="K6" s="13">
        <f>AVERAGE(C6:G6)</f>
        <v>85</v>
      </c>
      <c r="L6" s="13" t="str">
        <f>IF(K6&gt;=500,"Meta Alcançada","Abaixo da Meta")</f>
        <v>Abaixo da Meta</v>
      </c>
    </row>
    <row r="7" spans="2:12">
      <c r="B7" s="28" t="s">
        <v>179</v>
      </c>
      <c r="C7" s="13">
        <v>240</v>
      </c>
      <c r="D7" s="13">
        <v>198</v>
      </c>
      <c r="E7" s="13">
        <v>257</v>
      </c>
      <c r="F7" s="13">
        <v>200</v>
      </c>
      <c r="G7" s="13">
        <v>290</v>
      </c>
      <c r="H7" s="14">
        <v>5.62</v>
      </c>
      <c r="I7" s="40">
        <f>SUM(C7:G7)</f>
        <v>1185</v>
      </c>
      <c r="J7" s="15">
        <f>H7*I7</f>
        <v>6659.7</v>
      </c>
      <c r="K7" s="13">
        <f>AVERAGE(C7:G7)</f>
        <v>237</v>
      </c>
      <c r="L7" s="13" t="str">
        <f>IF(K7&gt;=500,"Meta Alcançada","Abaixo da Meta")</f>
        <v>Abaixo da Meta</v>
      </c>
    </row>
    <row r="8" spans="2:12">
      <c r="B8" s="28" t="s">
        <v>180</v>
      </c>
      <c r="C8" s="13">
        <v>135</v>
      </c>
      <c r="D8" s="13">
        <v>124</v>
      </c>
      <c r="E8" s="13">
        <v>172</v>
      </c>
      <c r="F8" s="13">
        <v>75</v>
      </c>
      <c r="G8" s="13">
        <v>95</v>
      </c>
      <c r="H8" s="14">
        <v>1.23</v>
      </c>
      <c r="I8" s="40">
        <f>SUM(C8:G8)</f>
        <v>601</v>
      </c>
      <c r="J8" s="15">
        <f>H8*I8</f>
        <v>739.23</v>
      </c>
      <c r="K8" s="13">
        <f>AVERAGE(C8:G8)</f>
        <v>120.2</v>
      </c>
      <c r="L8" s="13" t="str">
        <f>IF(K8&gt;=500,"Meta Alcançada","Abaixo da Meta")</f>
        <v>Abaixo da Meta</v>
      </c>
    </row>
    <row r="10" spans="2:8">
      <c r="B10" s="25" t="s">
        <v>181</v>
      </c>
      <c r="C10" s="39">
        <f>MAX(C4:C8)</f>
        <v>240</v>
      </c>
      <c r="D10" s="39">
        <f>MAX(D4:D8)</f>
        <v>198</v>
      </c>
      <c r="E10" s="39">
        <f>MAX(E4:E8)</f>
        <v>257</v>
      </c>
      <c r="F10" s="39">
        <f>MAX(F4:F8)</f>
        <v>230</v>
      </c>
      <c r="G10" s="39">
        <f>MAX(G4:G8)</f>
        <v>290</v>
      </c>
      <c r="H10" s="39"/>
    </row>
    <row r="11" spans="2:7">
      <c r="B11" s="25" t="s">
        <v>182</v>
      </c>
      <c r="C11">
        <f>MIN(C4:C8)</f>
        <v>75</v>
      </c>
      <c r="D11">
        <f>MIN(D4:D8)</f>
        <v>90</v>
      </c>
      <c r="E11">
        <f>MIN(E4:E8)</f>
        <v>85</v>
      </c>
      <c r="F11">
        <f>MIN(F4:F8)</f>
        <v>75</v>
      </c>
      <c r="G11">
        <f>MIN(G4:G8)</f>
        <v>70</v>
      </c>
    </row>
    <row r="12" spans="2:8">
      <c r="B12" s="25" t="s">
        <v>8</v>
      </c>
      <c r="C12" s="39">
        <f>SUM(C4:C8)</f>
        <v>680</v>
      </c>
      <c r="D12" s="39">
        <f>SUM(D4:D8)</f>
        <v>622</v>
      </c>
      <c r="E12" s="39">
        <f>SUM(E4:E8)</f>
        <v>759</v>
      </c>
      <c r="F12" s="39">
        <f>SUM(F4:F8)</f>
        <v>705</v>
      </c>
      <c r="G12" s="39">
        <f>SUM(G4:G8)</f>
        <v>665</v>
      </c>
      <c r="H12" s="39"/>
    </row>
    <row r="13" spans="2:7">
      <c r="B13" s="25" t="s">
        <v>34</v>
      </c>
      <c r="C13">
        <f>AVERAGE(C4:C8)</f>
        <v>136</v>
      </c>
      <c r="D13">
        <f>AVERAGE(D4:D8)</f>
        <v>124.4</v>
      </c>
      <c r="E13">
        <f>AVERAGE(E4:E8)</f>
        <v>151.8</v>
      </c>
      <c r="F13">
        <f>AVERAGE(F4:F8)</f>
        <v>141</v>
      </c>
      <c r="G13">
        <f>AVERAGE(G4:G8)</f>
        <v>133</v>
      </c>
    </row>
  </sheetData>
  <mergeCells count="1">
    <mergeCell ref="B2:L2"/>
  </mergeCells>
  <pageMargins left="0.75" right="0.75" top="1" bottom="1" header="0.5" footer="0.5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6"/>
  <sheetViews>
    <sheetView showFormulas="1" zoomScale="80" zoomScaleNormal="80" workbookViewId="0">
      <selection activeCell="J4" sqref="J4"/>
    </sheetView>
  </sheetViews>
  <sheetFormatPr defaultColWidth="9.14285714285714" defaultRowHeight="13.5"/>
  <cols>
    <col min="2" max="2" width="22.7142857142857" customWidth="1"/>
    <col min="3" max="3" width="17.4285714285714" style="1" customWidth="1"/>
    <col min="4" max="4" width="14.8571428571429" customWidth="1"/>
    <col min="5" max="5" width="12.4285714285714" style="1" customWidth="1"/>
    <col min="6" max="6" width="12.8571428571429" customWidth="1"/>
    <col min="7" max="7" width="13.4285714285714" customWidth="1"/>
    <col min="8" max="8" width="6.85714285714286" customWidth="1"/>
    <col min="9" max="9" width="15.7142857142857" customWidth="1"/>
    <col min="10" max="10" width="12.8571428571429" customWidth="1"/>
    <col min="11" max="11" width="11.1428571428571" customWidth="1"/>
    <col min="12" max="12" width="12.8571428571429" style="8" customWidth="1"/>
    <col min="13" max="13" width="11.1428571428571" customWidth="1"/>
    <col min="14" max="14" width="12.8571428571429" style="8" customWidth="1"/>
    <col min="15" max="15" width="11.8571428571429" customWidth="1"/>
    <col min="16" max="16" width="18.7142857142857" customWidth="1"/>
    <col min="17" max="17" width="14"/>
  </cols>
  <sheetData>
    <row r="2" spans="2:17">
      <c r="B2" s="25" t="s">
        <v>183</v>
      </c>
      <c r="C2" s="27"/>
      <c r="D2" s="27"/>
      <c r="E2" s="27"/>
      <c r="F2" s="27"/>
      <c r="G2" s="27"/>
      <c r="H2" s="27"/>
      <c r="I2" s="27"/>
      <c r="J2" s="27"/>
      <c r="K2" s="27"/>
      <c r="L2" s="35"/>
      <c r="M2" s="27"/>
      <c r="N2" s="35"/>
      <c r="O2" s="27"/>
      <c r="P2" s="27"/>
      <c r="Q2" s="27"/>
    </row>
    <row r="3" spans="2:17">
      <c r="B3" s="28" t="s">
        <v>184</v>
      </c>
      <c r="C3" s="23" t="s">
        <v>185</v>
      </c>
      <c r="D3" s="28" t="s">
        <v>88</v>
      </c>
      <c r="E3" s="23" t="s">
        <v>186</v>
      </c>
      <c r="F3" s="28" t="s">
        <v>187</v>
      </c>
      <c r="G3" s="28" t="s">
        <v>94</v>
      </c>
      <c r="H3" s="28" t="s">
        <v>188</v>
      </c>
      <c r="I3" s="28" t="s">
        <v>189</v>
      </c>
      <c r="J3" s="28" t="s">
        <v>190</v>
      </c>
      <c r="K3" s="28" t="s">
        <v>191</v>
      </c>
      <c r="L3" s="36" t="s">
        <v>192</v>
      </c>
      <c r="M3" s="28" t="s">
        <v>193</v>
      </c>
      <c r="N3" s="37" t="s">
        <v>194</v>
      </c>
      <c r="O3" s="28" t="s">
        <v>195</v>
      </c>
      <c r="P3" s="28" t="s">
        <v>196</v>
      </c>
      <c r="Q3" s="28" t="s">
        <v>197</v>
      </c>
    </row>
    <row r="4" spans="2:17">
      <c r="B4" s="13" t="s">
        <v>198</v>
      </c>
      <c r="C4" s="24">
        <v>0</v>
      </c>
      <c r="D4" s="13" t="s">
        <v>199</v>
      </c>
      <c r="E4" s="24">
        <v>207.5</v>
      </c>
      <c r="F4" s="14">
        <v>6255</v>
      </c>
      <c r="G4" s="14">
        <v>6225</v>
      </c>
      <c r="H4" s="13">
        <v>0</v>
      </c>
      <c r="I4" s="15">
        <f>G4*40%</f>
        <v>2490</v>
      </c>
      <c r="J4" s="14">
        <f>G4*(VLOOKUP(G4,B$23:C$26,2,TRUE))</f>
        <v>933.75</v>
      </c>
      <c r="K4" s="14">
        <f>C4*6.66</f>
        <v>0</v>
      </c>
      <c r="L4" s="14">
        <f>IF(G4&lt;900,0,IF(G4&lt;1800,135,IF(G4&gt;1800,315)))</f>
        <v>315</v>
      </c>
      <c r="M4" s="15">
        <f>IF(G4&gt;834,50,IF(G4&lt;834,G4*6%))</f>
        <v>50</v>
      </c>
      <c r="N4" s="14">
        <f>IF(G4&gt;1000,G4*6%,IF(G4&lt;1000,100))</f>
        <v>373.5</v>
      </c>
      <c r="O4" s="15">
        <f>G4*6%</f>
        <v>373.5</v>
      </c>
      <c r="P4" s="13">
        <v>0</v>
      </c>
      <c r="Q4" s="15">
        <f>G4-I4-J4+K4-L4-M4+N4+O4</f>
        <v>3183.25</v>
      </c>
    </row>
    <row r="5" spans="2:17">
      <c r="B5" s="13" t="s">
        <v>200</v>
      </c>
      <c r="C5" s="24">
        <v>0</v>
      </c>
      <c r="D5" s="13" t="s">
        <v>201</v>
      </c>
      <c r="E5" s="24">
        <v>190</v>
      </c>
      <c r="F5" s="14">
        <v>5700</v>
      </c>
      <c r="G5" s="14">
        <v>5700</v>
      </c>
      <c r="H5" s="13">
        <v>0</v>
      </c>
      <c r="I5" s="15">
        <f t="shared" ref="I5:I20" si="0">G5*40%</f>
        <v>2280</v>
      </c>
      <c r="J5" s="14">
        <f t="shared" ref="J5:J20" si="1">G5*(VLOOKUP(G5,B$23:C$26,2,TRUE))</f>
        <v>855</v>
      </c>
      <c r="K5" s="14">
        <f t="shared" ref="K5:K20" si="2">C5*6.66</f>
        <v>0</v>
      </c>
      <c r="L5" s="14">
        <f t="shared" ref="L5:L20" si="3">IF(G5&lt;900,0,IF(G5&lt;1800,135,IF(G5&gt;1800,315)))</f>
        <v>315</v>
      </c>
      <c r="M5" s="15">
        <f t="shared" ref="M5:M20" si="4">IF(G5&gt;834,50,IF(G5&lt;834,G5*6%))</f>
        <v>50</v>
      </c>
      <c r="N5" s="14">
        <f t="shared" ref="N5:N20" si="5">IF(G5&gt;1000,G5*6%,IF(G5&lt;1000,100))</f>
        <v>342</v>
      </c>
      <c r="O5" s="15">
        <f t="shared" ref="O5:O20" si="6">G5*6%</f>
        <v>342</v>
      </c>
      <c r="P5" s="13">
        <v>1</v>
      </c>
      <c r="Q5" s="15">
        <f t="shared" ref="Q5:Q20" si="7">G5-I5-J5+K5-L5-M5+N5+O5</f>
        <v>2884</v>
      </c>
    </row>
    <row r="6" spans="2:17">
      <c r="B6" s="13" t="s">
        <v>202</v>
      </c>
      <c r="C6" s="24">
        <v>2</v>
      </c>
      <c r="D6" s="13" t="s">
        <v>89</v>
      </c>
      <c r="E6" s="24">
        <v>150</v>
      </c>
      <c r="F6" s="14">
        <v>4500</v>
      </c>
      <c r="G6" s="14">
        <v>4500</v>
      </c>
      <c r="H6" s="13">
        <v>0</v>
      </c>
      <c r="I6" s="15">
        <f t="shared" si="0"/>
        <v>1800</v>
      </c>
      <c r="J6" s="14">
        <f t="shared" si="1"/>
        <v>675</v>
      </c>
      <c r="K6" s="14">
        <f t="shared" si="2"/>
        <v>13.32</v>
      </c>
      <c r="L6" s="14">
        <f t="shared" si="3"/>
        <v>315</v>
      </c>
      <c r="M6" s="15">
        <f t="shared" si="4"/>
        <v>50</v>
      </c>
      <c r="N6" s="14">
        <f t="shared" si="5"/>
        <v>270</v>
      </c>
      <c r="O6" s="15">
        <f t="shared" si="6"/>
        <v>270</v>
      </c>
      <c r="P6" s="13">
        <v>2</v>
      </c>
      <c r="Q6" s="15">
        <f t="shared" si="7"/>
        <v>2213.32</v>
      </c>
    </row>
    <row r="7" spans="2:17">
      <c r="B7" s="13" t="s">
        <v>203</v>
      </c>
      <c r="C7" s="24">
        <v>2</v>
      </c>
      <c r="D7" s="13" t="s">
        <v>92</v>
      </c>
      <c r="E7" s="24">
        <v>131.58</v>
      </c>
      <c r="F7" s="14">
        <v>3845</v>
      </c>
      <c r="G7" s="14">
        <v>3815</v>
      </c>
      <c r="H7" s="13">
        <v>0</v>
      </c>
      <c r="I7" s="15">
        <f t="shared" si="0"/>
        <v>1526</v>
      </c>
      <c r="J7" s="14">
        <f t="shared" si="1"/>
        <v>572.25</v>
      </c>
      <c r="K7" s="14">
        <f t="shared" si="2"/>
        <v>13.32</v>
      </c>
      <c r="L7" s="14">
        <f t="shared" si="3"/>
        <v>315</v>
      </c>
      <c r="M7" s="15">
        <f t="shared" si="4"/>
        <v>50</v>
      </c>
      <c r="N7" s="14">
        <f t="shared" si="5"/>
        <v>228.9</v>
      </c>
      <c r="O7" s="15">
        <f t="shared" si="6"/>
        <v>228.9</v>
      </c>
      <c r="P7" s="13">
        <v>3</v>
      </c>
      <c r="Q7" s="15">
        <f t="shared" si="7"/>
        <v>1822.87</v>
      </c>
    </row>
    <row r="8" spans="2:17">
      <c r="B8" s="13" t="s">
        <v>204</v>
      </c>
      <c r="C8" s="24">
        <v>0</v>
      </c>
      <c r="D8" s="13" t="s">
        <v>205</v>
      </c>
      <c r="E8" s="24">
        <v>60.53</v>
      </c>
      <c r="F8" s="14">
        <v>1755</v>
      </c>
      <c r="G8" s="14">
        <v>1755</v>
      </c>
      <c r="H8" s="13">
        <v>1</v>
      </c>
      <c r="I8" s="15">
        <f t="shared" si="0"/>
        <v>702</v>
      </c>
      <c r="J8" s="14">
        <f t="shared" si="1"/>
        <v>263.25</v>
      </c>
      <c r="K8" s="14">
        <f t="shared" si="2"/>
        <v>0</v>
      </c>
      <c r="L8" s="14">
        <f t="shared" si="3"/>
        <v>135</v>
      </c>
      <c r="M8" s="15">
        <f t="shared" si="4"/>
        <v>50</v>
      </c>
      <c r="N8" s="14">
        <f t="shared" si="5"/>
        <v>105.3</v>
      </c>
      <c r="O8" s="15">
        <f t="shared" si="6"/>
        <v>105.3</v>
      </c>
      <c r="P8" s="13">
        <v>4</v>
      </c>
      <c r="Q8" s="15">
        <f t="shared" si="7"/>
        <v>815.35</v>
      </c>
    </row>
    <row r="9" spans="2:17">
      <c r="B9" s="13" t="s">
        <v>206</v>
      </c>
      <c r="C9" s="24">
        <v>0</v>
      </c>
      <c r="D9" s="13" t="s">
        <v>205</v>
      </c>
      <c r="E9" s="24">
        <v>60.5</v>
      </c>
      <c r="F9" s="14">
        <v>1845</v>
      </c>
      <c r="G9" s="14">
        <v>1845</v>
      </c>
      <c r="H9" s="13">
        <v>0</v>
      </c>
      <c r="I9" s="15">
        <f t="shared" si="0"/>
        <v>738</v>
      </c>
      <c r="J9" s="14">
        <f t="shared" si="1"/>
        <v>276.75</v>
      </c>
      <c r="K9" s="14">
        <f t="shared" si="2"/>
        <v>0</v>
      </c>
      <c r="L9" s="14">
        <f t="shared" si="3"/>
        <v>315</v>
      </c>
      <c r="M9" s="15">
        <f t="shared" si="4"/>
        <v>50</v>
      </c>
      <c r="N9" s="14">
        <f t="shared" si="5"/>
        <v>110.7</v>
      </c>
      <c r="O9" s="15">
        <f t="shared" si="6"/>
        <v>110.7</v>
      </c>
      <c r="P9" s="13">
        <v>5</v>
      </c>
      <c r="Q9" s="15">
        <f t="shared" si="7"/>
        <v>686.65</v>
      </c>
    </row>
    <row r="10" spans="2:17">
      <c r="B10" s="13" t="s">
        <v>207</v>
      </c>
      <c r="C10" s="24">
        <v>3</v>
      </c>
      <c r="D10" s="13" t="s">
        <v>205</v>
      </c>
      <c r="E10" s="24">
        <v>61.5</v>
      </c>
      <c r="F10" s="14">
        <v>1642</v>
      </c>
      <c r="G10" s="14">
        <v>1641</v>
      </c>
      <c r="H10" s="13">
        <v>0</v>
      </c>
      <c r="I10" s="15">
        <f t="shared" si="0"/>
        <v>656.4</v>
      </c>
      <c r="J10" s="14">
        <f t="shared" si="1"/>
        <v>246.15</v>
      </c>
      <c r="K10" s="14">
        <f t="shared" si="2"/>
        <v>19.98</v>
      </c>
      <c r="L10" s="14">
        <f t="shared" si="3"/>
        <v>135</v>
      </c>
      <c r="M10" s="15">
        <f t="shared" si="4"/>
        <v>50</v>
      </c>
      <c r="N10" s="14">
        <f t="shared" si="5"/>
        <v>98.46</v>
      </c>
      <c r="O10" s="15">
        <f t="shared" si="6"/>
        <v>98.46</v>
      </c>
      <c r="P10" s="13">
        <v>6</v>
      </c>
      <c r="Q10" s="15">
        <f t="shared" si="7"/>
        <v>770.35</v>
      </c>
    </row>
    <row r="11" spans="2:17">
      <c r="B11" s="13" t="s">
        <v>208</v>
      </c>
      <c r="C11" s="24">
        <v>1</v>
      </c>
      <c r="D11" s="13" t="s">
        <v>205</v>
      </c>
      <c r="E11" s="24">
        <v>65.57</v>
      </c>
      <c r="F11" s="14">
        <v>1416</v>
      </c>
      <c r="G11" s="14">
        <v>1416</v>
      </c>
      <c r="H11" s="13">
        <v>1</v>
      </c>
      <c r="I11" s="15">
        <f t="shared" si="0"/>
        <v>566.4</v>
      </c>
      <c r="J11" s="14">
        <f t="shared" si="1"/>
        <v>212.4</v>
      </c>
      <c r="K11" s="14">
        <f t="shared" si="2"/>
        <v>6.66</v>
      </c>
      <c r="L11" s="14">
        <f t="shared" si="3"/>
        <v>135</v>
      </c>
      <c r="M11" s="15">
        <f t="shared" si="4"/>
        <v>50</v>
      </c>
      <c r="N11" s="14">
        <f t="shared" si="5"/>
        <v>84.96</v>
      </c>
      <c r="O11" s="15">
        <f t="shared" si="6"/>
        <v>84.96</v>
      </c>
      <c r="P11" s="13">
        <v>7</v>
      </c>
      <c r="Q11" s="15">
        <f t="shared" si="7"/>
        <v>628.78</v>
      </c>
    </row>
    <row r="12" spans="2:17">
      <c r="B12" s="13" t="s">
        <v>209</v>
      </c>
      <c r="C12" s="24">
        <v>0</v>
      </c>
      <c r="D12" s="13" t="s">
        <v>205</v>
      </c>
      <c r="E12" s="24">
        <v>47.2</v>
      </c>
      <c r="F12" s="14">
        <v>1290</v>
      </c>
      <c r="G12" s="14">
        <v>1290</v>
      </c>
      <c r="H12" s="13">
        <v>1</v>
      </c>
      <c r="I12" s="15">
        <f t="shared" si="0"/>
        <v>516</v>
      </c>
      <c r="J12" s="14">
        <f t="shared" si="1"/>
        <v>193.5</v>
      </c>
      <c r="K12" s="14">
        <f t="shared" si="2"/>
        <v>0</v>
      </c>
      <c r="L12" s="14">
        <f t="shared" si="3"/>
        <v>135</v>
      </c>
      <c r="M12" s="15">
        <f t="shared" si="4"/>
        <v>50</v>
      </c>
      <c r="N12" s="14">
        <f t="shared" si="5"/>
        <v>77.4</v>
      </c>
      <c r="O12" s="15">
        <f t="shared" si="6"/>
        <v>77.4</v>
      </c>
      <c r="P12" s="13">
        <v>8</v>
      </c>
      <c r="Q12" s="15">
        <f t="shared" si="7"/>
        <v>550.3</v>
      </c>
    </row>
    <row r="13" spans="2:17">
      <c r="B13" s="13" t="s">
        <v>210</v>
      </c>
      <c r="C13" s="24">
        <v>5</v>
      </c>
      <c r="D13" s="13" t="s">
        <v>211</v>
      </c>
      <c r="E13" s="24">
        <v>43</v>
      </c>
      <c r="F13" s="14">
        <v>780</v>
      </c>
      <c r="G13" s="14">
        <v>780</v>
      </c>
      <c r="H13" s="13">
        <v>2</v>
      </c>
      <c r="I13" s="15">
        <f t="shared" si="0"/>
        <v>312</v>
      </c>
      <c r="J13" s="14">
        <f t="shared" si="1"/>
        <v>85.8</v>
      </c>
      <c r="K13" s="14">
        <f t="shared" si="2"/>
        <v>33.3</v>
      </c>
      <c r="L13" s="14">
        <f t="shared" si="3"/>
        <v>0</v>
      </c>
      <c r="M13" s="15">
        <f t="shared" si="4"/>
        <v>46.8</v>
      </c>
      <c r="N13" s="14">
        <f t="shared" si="5"/>
        <v>100</v>
      </c>
      <c r="O13" s="15">
        <f t="shared" si="6"/>
        <v>46.8</v>
      </c>
      <c r="P13" s="13">
        <v>9</v>
      </c>
      <c r="Q13" s="15">
        <f t="shared" si="7"/>
        <v>515.5</v>
      </c>
    </row>
    <row r="14" spans="2:17">
      <c r="B14" s="13" t="s">
        <v>212</v>
      </c>
      <c r="C14" s="24">
        <v>4</v>
      </c>
      <c r="D14" s="13" t="s">
        <v>211</v>
      </c>
      <c r="E14" s="24">
        <v>26</v>
      </c>
      <c r="F14" s="14">
        <v>840</v>
      </c>
      <c r="G14" s="14">
        <v>780</v>
      </c>
      <c r="H14" s="13">
        <v>0</v>
      </c>
      <c r="I14" s="15">
        <f t="shared" si="0"/>
        <v>312</v>
      </c>
      <c r="J14" s="14">
        <f t="shared" si="1"/>
        <v>85.8</v>
      </c>
      <c r="K14" s="14">
        <f t="shared" si="2"/>
        <v>26.64</v>
      </c>
      <c r="L14" s="14">
        <f t="shared" si="3"/>
        <v>0</v>
      </c>
      <c r="M14" s="15">
        <f t="shared" si="4"/>
        <v>46.8</v>
      </c>
      <c r="N14" s="14">
        <f t="shared" si="5"/>
        <v>100</v>
      </c>
      <c r="O14" s="15">
        <f t="shared" si="6"/>
        <v>46.8</v>
      </c>
      <c r="P14" s="13">
        <v>10</v>
      </c>
      <c r="Q14" s="15">
        <f t="shared" si="7"/>
        <v>508.84</v>
      </c>
    </row>
    <row r="15" spans="2:17">
      <c r="B15" s="13" t="s">
        <v>213</v>
      </c>
      <c r="C15" s="24">
        <v>3</v>
      </c>
      <c r="D15" s="13" t="s">
        <v>214</v>
      </c>
      <c r="E15" s="24">
        <v>28</v>
      </c>
      <c r="F15" s="14">
        <v>840</v>
      </c>
      <c r="G15" s="14">
        <v>866</v>
      </c>
      <c r="H15" s="13">
        <v>0</v>
      </c>
      <c r="I15" s="15">
        <f t="shared" si="0"/>
        <v>346.4</v>
      </c>
      <c r="J15" s="14">
        <f t="shared" si="1"/>
        <v>129.9</v>
      </c>
      <c r="K15" s="14">
        <f t="shared" si="2"/>
        <v>19.98</v>
      </c>
      <c r="L15" s="14">
        <f t="shared" si="3"/>
        <v>0</v>
      </c>
      <c r="M15" s="15">
        <f t="shared" si="4"/>
        <v>50</v>
      </c>
      <c r="N15" s="14">
        <f t="shared" si="5"/>
        <v>100</v>
      </c>
      <c r="O15" s="15">
        <f t="shared" si="6"/>
        <v>51.96</v>
      </c>
      <c r="P15" s="13">
        <v>11</v>
      </c>
      <c r="Q15" s="15">
        <f t="shared" si="7"/>
        <v>511.64</v>
      </c>
    </row>
    <row r="16" spans="2:17">
      <c r="B16" s="13" t="s">
        <v>215</v>
      </c>
      <c r="C16" s="24">
        <v>0</v>
      </c>
      <c r="D16" s="13" t="s">
        <v>214</v>
      </c>
      <c r="E16" s="24">
        <v>31.5</v>
      </c>
      <c r="F16" s="14">
        <v>931</v>
      </c>
      <c r="G16" s="14">
        <v>900</v>
      </c>
      <c r="H16" s="13">
        <v>0</v>
      </c>
      <c r="I16" s="15">
        <f t="shared" si="0"/>
        <v>360</v>
      </c>
      <c r="J16" s="14">
        <f t="shared" si="1"/>
        <v>135</v>
      </c>
      <c r="K16" s="14">
        <f t="shared" si="2"/>
        <v>0</v>
      </c>
      <c r="L16" s="14">
        <f t="shared" si="3"/>
        <v>135</v>
      </c>
      <c r="M16" s="15">
        <f t="shared" si="4"/>
        <v>50</v>
      </c>
      <c r="N16" s="14">
        <f t="shared" si="5"/>
        <v>100</v>
      </c>
      <c r="O16" s="15">
        <f t="shared" si="6"/>
        <v>54</v>
      </c>
      <c r="P16" s="13">
        <v>12</v>
      </c>
      <c r="Q16" s="15">
        <f t="shared" si="7"/>
        <v>374</v>
      </c>
    </row>
    <row r="17" spans="2:17">
      <c r="B17" s="13" t="s">
        <v>216</v>
      </c>
      <c r="C17" s="24">
        <v>0</v>
      </c>
      <c r="D17" s="13" t="s">
        <v>214</v>
      </c>
      <c r="E17" s="24">
        <v>26.5</v>
      </c>
      <c r="F17" s="14">
        <v>795</v>
      </c>
      <c r="G17" s="14">
        <v>795</v>
      </c>
      <c r="H17" s="13">
        <v>1</v>
      </c>
      <c r="I17" s="15">
        <f t="shared" si="0"/>
        <v>318</v>
      </c>
      <c r="J17" s="14">
        <f t="shared" si="1"/>
        <v>87.45</v>
      </c>
      <c r="K17" s="14">
        <f t="shared" si="2"/>
        <v>0</v>
      </c>
      <c r="L17" s="14">
        <f t="shared" si="3"/>
        <v>0</v>
      </c>
      <c r="M17" s="15">
        <f t="shared" si="4"/>
        <v>47.7</v>
      </c>
      <c r="N17" s="14">
        <f t="shared" si="5"/>
        <v>100</v>
      </c>
      <c r="O17" s="15">
        <f t="shared" si="6"/>
        <v>47.7</v>
      </c>
      <c r="P17" s="13">
        <v>13</v>
      </c>
      <c r="Q17" s="15">
        <f t="shared" si="7"/>
        <v>489.55</v>
      </c>
    </row>
    <row r="18" spans="2:17">
      <c r="B18" s="13" t="s">
        <v>217</v>
      </c>
      <c r="C18" s="24">
        <v>1</v>
      </c>
      <c r="D18" s="13" t="s">
        <v>218</v>
      </c>
      <c r="E18" s="24">
        <v>23</v>
      </c>
      <c r="F18" s="14">
        <v>708</v>
      </c>
      <c r="G18" s="14">
        <v>635</v>
      </c>
      <c r="H18" s="13">
        <v>1</v>
      </c>
      <c r="I18" s="15">
        <f t="shared" si="0"/>
        <v>254</v>
      </c>
      <c r="J18" s="14">
        <f t="shared" si="1"/>
        <v>69.85</v>
      </c>
      <c r="K18" s="14">
        <f t="shared" si="2"/>
        <v>6.66</v>
      </c>
      <c r="L18" s="14">
        <f t="shared" si="3"/>
        <v>0</v>
      </c>
      <c r="M18" s="15">
        <f t="shared" si="4"/>
        <v>38.1</v>
      </c>
      <c r="N18" s="14">
        <f t="shared" si="5"/>
        <v>100</v>
      </c>
      <c r="O18" s="15">
        <f t="shared" si="6"/>
        <v>38.1</v>
      </c>
      <c r="P18" s="13">
        <v>14</v>
      </c>
      <c r="Q18" s="15">
        <f t="shared" si="7"/>
        <v>417.81</v>
      </c>
    </row>
    <row r="19" spans="2:17">
      <c r="B19" s="13" t="s">
        <v>219</v>
      </c>
      <c r="C19" s="24">
        <v>0</v>
      </c>
      <c r="D19" s="13" t="s">
        <v>218</v>
      </c>
      <c r="E19" s="24">
        <v>23</v>
      </c>
      <c r="F19" s="14">
        <v>600</v>
      </c>
      <c r="G19" s="14">
        <v>600</v>
      </c>
      <c r="H19" s="13">
        <v>0</v>
      </c>
      <c r="I19" s="15">
        <f t="shared" si="0"/>
        <v>240</v>
      </c>
      <c r="J19" s="14">
        <f t="shared" si="1"/>
        <v>66</v>
      </c>
      <c r="K19" s="14">
        <f t="shared" si="2"/>
        <v>0</v>
      </c>
      <c r="L19" s="14">
        <f t="shared" si="3"/>
        <v>0</v>
      </c>
      <c r="M19" s="15">
        <f t="shared" si="4"/>
        <v>36</v>
      </c>
      <c r="N19" s="14">
        <f t="shared" si="5"/>
        <v>100</v>
      </c>
      <c r="O19" s="15">
        <f t="shared" si="6"/>
        <v>36</v>
      </c>
      <c r="P19" s="13">
        <v>15</v>
      </c>
      <c r="Q19" s="15">
        <f t="shared" si="7"/>
        <v>394</v>
      </c>
    </row>
    <row r="20" s="26" customFormat="1" ht="12.75" spans="2:17">
      <c r="B20" s="12" t="s">
        <v>220</v>
      </c>
      <c r="C20" s="29">
        <f>SUM(C4:C19)</f>
        <v>21</v>
      </c>
      <c r="D20" s="30">
        <f>COUNTA(D4:D19)</f>
        <v>16</v>
      </c>
      <c r="E20" s="31"/>
      <c r="F20" s="32">
        <f>SUM(F4:F19)</f>
        <v>33742</v>
      </c>
      <c r="G20" s="32">
        <f>SUM(G4:G19)</f>
        <v>33543</v>
      </c>
      <c r="H20" s="33"/>
      <c r="I20" s="32">
        <f t="shared" si="0"/>
        <v>13417.2</v>
      </c>
      <c r="J20" s="38">
        <f t="shared" si="1"/>
        <v>5031.45</v>
      </c>
      <c r="K20" s="38">
        <f t="shared" si="2"/>
        <v>139.86</v>
      </c>
      <c r="L20" s="38">
        <f>SUM(L4:L19)</f>
        <v>2250</v>
      </c>
      <c r="M20" s="32">
        <f>SUM(M4:M19)</f>
        <v>765.4</v>
      </c>
      <c r="N20" s="38">
        <f t="shared" si="5"/>
        <v>2012.58</v>
      </c>
      <c r="O20" s="32">
        <f t="shared" si="6"/>
        <v>2012.58</v>
      </c>
      <c r="P20" s="33">
        <v>16</v>
      </c>
      <c r="Q20" s="32">
        <f t="shared" si="7"/>
        <v>16243.97</v>
      </c>
    </row>
    <row r="22" spans="2:3">
      <c r="B22" s="12" t="s">
        <v>221</v>
      </c>
      <c r="C22" s="25" t="s">
        <v>222</v>
      </c>
    </row>
    <row r="23" spans="2:3">
      <c r="B23" s="14">
        <v>249.8</v>
      </c>
      <c r="C23" s="34">
        <v>0.08</v>
      </c>
    </row>
    <row r="24" spans="2:3">
      <c r="B24" s="14">
        <v>249.81</v>
      </c>
      <c r="C24" s="34">
        <v>0.09</v>
      </c>
    </row>
    <row r="25" spans="2:3">
      <c r="B25" s="14">
        <v>416.34</v>
      </c>
      <c r="C25" s="34">
        <v>0.11</v>
      </c>
    </row>
    <row r="26" spans="2:3">
      <c r="B26" s="14">
        <v>823.67</v>
      </c>
      <c r="C26" s="34">
        <v>0.15</v>
      </c>
    </row>
  </sheetData>
  <mergeCells count="1">
    <mergeCell ref="B2:Q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4"/>
  <sheetViews>
    <sheetView topLeftCell="A4" workbookViewId="0">
      <selection activeCell="B5" sqref="B5"/>
    </sheetView>
  </sheetViews>
  <sheetFormatPr defaultColWidth="9.14285714285714" defaultRowHeight="13.5"/>
  <cols>
    <col min="2" max="2" width="17.4285714285714" customWidth="1"/>
    <col min="3" max="3" width="23.8571428571429" customWidth="1"/>
    <col min="4" max="4" width="10.2857142857143" style="1" customWidth="1"/>
    <col min="5" max="5" width="10.8571428571429" customWidth="1"/>
    <col min="6" max="6" width="15" customWidth="1"/>
    <col min="7" max="7" width="12.1428571428571" customWidth="1"/>
    <col min="11" max="11" width="23.8571428571429" customWidth="1"/>
    <col min="12" max="12" width="13.1428571428571" customWidth="1"/>
  </cols>
  <sheetData>
    <row r="2" spans="2:7">
      <c r="B2" s="20" t="s">
        <v>223</v>
      </c>
      <c r="C2" s="21"/>
      <c r="D2" s="21"/>
      <c r="E2" s="21"/>
      <c r="F2" s="21"/>
      <c r="G2" s="22"/>
    </row>
    <row r="3" spans="2:13">
      <c r="B3" s="23" t="s">
        <v>17</v>
      </c>
      <c r="C3" s="23" t="s">
        <v>165</v>
      </c>
      <c r="D3" s="23" t="s">
        <v>224</v>
      </c>
      <c r="E3" s="23" t="s">
        <v>225</v>
      </c>
      <c r="F3" s="23" t="s">
        <v>226</v>
      </c>
      <c r="G3" s="23" t="s">
        <v>227</v>
      </c>
      <c r="K3" s="23" t="s">
        <v>165</v>
      </c>
      <c r="L3" s="23" t="s">
        <v>17</v>
      </c>
      <c r="M3" s="23"/>
    </row>
    <row r="4" spans="2:13">
      <c r="B4" s="24">
        <v>10</v>
      </c>
      <c r="C4" s="13" t="s">
        <v>228</v>
      </c>
      <c r="D4" s="24" t="s">
        <v>229</v>
      </c>
      <c r="E4" s="13" t="str">
        <f>VLOOKUP(D4,B$22:C$24,2,FALSE)</f>
        <v>Pequeno</v>
      </c>
      <c r="F4" s="14">
        <v>6.9</v>
      </c>
      <c r="G4" s="15">
        <f>F4*B4</f>
        <v>69</v>
      </c>
      <c r="K4" s="13" t="s">
        <v>228</v>
      </c>
      <c r="L4" s="24">
        <v>8</v>
      </c>
      <c r="M4" s="13"/>
    </row>
    <row r="5" spans="2:13">
      <c r="B5" s="24">
        <v>6</v>
      </c>
      <c r="C5" s="13" t="s">
        <v>230</v>
      </c>
      <c r="D5" s="24" t="s">
        <v>229</v>
      </c>
      <c r="E5" s="13" t="str">
        <f t="shared" ref="E5:E15" si="0">VLOOKUP(D5,B$22:C$24,2,FALSE)</f>
        <v>Pequeno</v>
      </c>
      <c r="F5" s="14">
        <v>15.2</v>
      </c>
      <c r="G5" s="15">
        <f t="shared" ref="G5:G15" si="1">F5*B5</f>
        <v>91.2</v>
      </c>
      <c r="K5" s="13" t="s">
        <v>230</v>
      </c>
      <c r="L5" s="24">
        <v>6</v>
      </c>
      <c r="M5" s="13"/>
    </row>
    <row r="6" spans="2:13">
      <c r="B6" s="24">
        <v>5</v>
      </c>
      <c r="C6" s="13" t="s">
        <v>231</v>
      </c>
      <c r="D6" s="24" t="s">
        <v>232</v>
      </c>
      <c r="E6" s="13" t="str">
        <f t="shared" si="0"/>
        <v>Grande</v>
      </c>
      <c r="F6" s="14">
        <v>12.5</v>
      </c>
      <c r="G6" s="15">
        <f t="shared" si="1"/>
        <v>62.5</v>
      </c>
      <c r="K6" s="13" t="s">
        <v>231</v>
      </c>
      <c r="L6" s="24">
        <v>5</v>
      </c>
      <c r="M6" s="13"/>
    </row>
    <row r="7" spans="2:13">
      <c r="B7" s="24">
        <v>10</v>
      </c>
      <c r="C7" s="13" t="s">
        <v>233</v>
      </c>
      <c r="D7" s="24" t="s">
        <v>234</v>
      </c>
      <c r="E7" s="13" t="str">
        <f t="shared" si="0"/>
        <v>Médio</v>
      </c>
      <c r="F7" s="14">
        <v>23.45</v>
      </c>
      <c r="G7" s="15">
        <f t="shared" si="1"/>
        <v>234.5</v>
      </c>
      <c r="K7" s="13" t="s">
        <v>233</v>
      </c>
      <c r="L7" s="24">
        <v>10</v>
      </c>
      <c r="M7" s="13"/>
    </row>
    <row r="8" spans="2:13">
      <c r="B8" s="24">
        <v>9</v>
      </c>
      <c r="C8" s="13" t="s">
        <v>235</v>
      </c>
      <c r="D8" s="24" t="s">
        <v>234</v>
      </c>
      <c r="E8" s="13" t="str">
        <f t="shared" si="0"/>
        <v>Médio</v>
      </c>
      <c r="F8" s="14">
        <v>13.5</v>
      </c>
      <c r="G8" s="15">
        <f t="shared" si="1"/>
        <v>121.5</v>
      </c>
      <c r="K8" s="13" t="s">
        <v>235</v>
      </c>
      <c r="L8" s="24">
        <v>9</v>
      </c>
      <c r="M8" s="13"/>
    </row>
    <row r="9" spans="2:13">
      <c r="B9" s="24">
        <v>10</v>
      </c>
      <c r="C9" s="13" t="s">
        <v>236</v>
      </c>
      <c r="D9" s="24" t="s">
        <v>232</v>
      </c>
      <c r="E9" s="13" t="str">
        <f t="shared" si="0"/>
        <v>Grande</v>
      </c>
      <c r="F9" s="14">
        <v>19.8</v>
      </c>
      <c r="G9" s="15">
        <f t="shared" si="1"/>
        <v>198</v>
      </c>
      <c r="K9" s="13" t="s">
        <v>236</v>
      </c>
      <c r="L9" s="24">
        <v>10</v>
      </c>
      <c r="M9" s="13"/>
    </row>
    <row r="10" spans="2:13">
      <c r="B10" s="24">
        <v>7</v>
      </c>
      <c r="C10" s="13" t="s">
        <v>237</v>
      </c>
      <c r="D10" s="24" t="s">
        <v>229</v>
      </c>
      <c r="E10" s="13" t="str">
        <f t="shared" si="0"/>
        <v>Pequeno</v>
      </c>
      <c r="F10" s="14">
        <v>10.4</v>
      </c>
      <c r="G10" s="15">
        <f t="shared" si="1"/>
        <v>72.8</v>
      </c>
      <c r="K10" s="13" t="s">
        <v>237</v>
      </c>
      <c r="L10" s="24">
        <v>7</v>
      </c>
      <c r="M10" s="13"/>
    </row>
    <row r="11" spans="2:13">
      <c r="B11" s="24">
        <v>6</v>
      </c>
      <c r="C11" s="13" t="s">
        <v>238</v>
      </c>
      <c r="D11" s="24" t="s">
        <v>232</v>
      </c>
      <c r="E11" s="13" t="str">
        <f t="shared" si="0"/>
        <v>Grande</v>
      </c>
      <c r="F11" s="14">
        <v>6.7</v>
      </c>
      <c r="G11" s="15">
        <f t="shared" si="1"/>
        <v>40.2</v>
      </c>
      <c r="K11" s="13" t="s">
        <v>238</v>
      </c>
      <c r="L11" s="24">
        <v>6</v>
      </c>
      <c r="M11" s="13"/>
    </row>
    <row r="12" spans="2:13">
      <c r="B12" s="24">
        <v>5</v>
      </c>
      <c r="C12" s="13" t="s">
        <v>239</v>
      </c>
      <c r="D12" s="24" t="s">
        <v>229</v>
      </c>
      <c r="E12" s="13" t="str">
        <f t="shared" si="0"/>
        <v>Pequeno</v>
      </c>
      <c r="F12" s="14">
        <v>18.7</v>
      </c>
      <c r="G12" s="15">
        <f t="shared" si="1"/>
        <v>93.5</v>
      </c>
      <c r="K12" s="13" t="s">
        <v>239</v>
      </c>
      <c r="L12" s="24">
        <v>5</v>
      </c>
      <c r="M12" s="13"/>
    </row>
    <row r="13" spans="2:13">
      <c r="B13" s="24">
        <v>18</v>
      </c>
      <c r="C13" s="13" t="s">
        <v>240</v>
      </c>
      <c r="D13" s="24" t="s">
        <v>232</v>
      </c>
      <c r="E13" s="13" t="str">
        <f t="shared" si="0"/>
        <v>Grande</v>
      </c>
      <c r="F13" s="14">
        <v>12.6</v>
      </c>
      <c r="G13" s="15">
        <f t="shared" si="1"/>
        <v>226.8</v>
      </c>
      <c r="K13" s="13" t="s">
        <v>240</v>
      </c>
      <c r="L13" s="24">
        <v>18</v>
      </c>
      <c r="M13" s="13"/>
    </row>
    <row r="14" spans="2:13">
      <c r="B14" s="24">
        <v>10</v>
      </c>
      <c r="C14" s="13" t="s">
        <v>241</v>
      </c>
      <c r="D14" s="24" t="s">
        <v>234</v>
      </c>
      <c r="E14" s="13" t="str">
        <f t="shared" si="0"/>
        <v>Médio</v>
      </c>
      <c r="F14" s="14">
        <v>87.3</v>
      </c>
      <c r="G14" s="15">
        <f t="shared" si="1"/>
        <v>873</v>
      </c>
      <c r="K14" s="13" t="s">
        <v>241</v>
      </c>
      <c r="L14" s="24">
        <v>10</v>
      </c>
      <c r="M14" s="13"/>
    </row>
    <row r="15" spans="2:13">
      <c r="B15" s="24">
        <v>7</v>
      </c>
      <c r="C15" s="13" t="s">
        <v>242</v>
      </c>
      <c r="D15" s="24" t="s">
        <v>229</v>
      </c>
      <c r="E15" s="13" t="str">
        <f t="shared" si="0"/>
        <v>Pequeno</v>
      </c>
      <c r="F15" s="14">
        <v>13.56</v>
      </c>
      <c r="G15" s="15">
        <f t="shared" si="1"/>
        <v>94.92</v>
      </c>
      <c r="K15" s="13" t="s">
        <v>242</v>
      </c>
      <c r="L15" s="24">
        <v>7</v>
      </c>
      <c r="M15" s="13"/>
    </row>
    <row r="16" spans="2:7">
      <c r="B16" s="13"/>
      <c r="C16" s="13"/>
      <c r="D16" s="24"/>
      <c r="E16" s="13"/>
      <c r="F16" s="14"/>
      <c r="G16" s="13"/>
    </row>
    <row r="17" spans="2:7">
      <c r="B17" s="13"/>
      <c r="C17" s="13"/>
      <c r="D17" s="24"/>
      <c r="E17" s="13"/>
      <c r="F17" s="14"/>
      <c r="G17" s="13"/>
    </row>
    <row r="18" spans="2:7">
      <c r="B18" s="13"/>
      <c r="C18" s="13"/>
      <c r="D18" s="24"/>
      <c r="E18" s="13"/>
      <c r="F18" s="14"/>
      <c r="G18" s="13"/>
    </row>
    <row r="21" spans="2:7">
      <c r="B21" s="20" t="s">
        <v>243</v>
      </c>
      <c r="C21" s="22"/>
      <c r="D21" s="25" t="s">
        <v>244</v>
      </c>
      <c r="F21" s="12" t="s">
        <v>245</v>
      </c>
      <c r="G21" s="15">
        <f>SUM(G4:G15)</f>
        <v>2177.92</v>
      </c>
    </row>
    <row r="22" spans="2:7">
      <c r="B22" s="13" t="s">
        <v>229</v>
      </c>
      <c r="C22" s="13" t="s">
        <v>246</v>
      </c>
      <c r="D22" s="24">
        <f>SUMIF(D4:D15,"P",B4:B15)</f>
        <v>35</v>
      </c>
      <c r="F22" s="12" t="s">
        <v>247</v>
      </c>
      <c r="G22" s="14">
        <f>AVERAGE(G4:G15)</f>
        <v>181.493333333333</v>
      </c>
    </row>
    <row r="23" spans="2:7">
      <c r="B23" s="13" t="s">
        <v>234</v>
      </c>
      <c r="C23" s="13" t="s">
        <v>248</v>
      </c>
      <c r="D23" s="24">
        <f>SUMIF(D4:D18,"M",B4:B18)</f>
        <v>29</v>
      </c>
      <c r="F23" s="12" t="s">
        <v>249</v>
      </c>
      <c r="G23" s="14">
        <f>MAX(G4:G18)</f>
        <v>873</v>
      </c>
    </row>
    <row r="24" spans="2:7">
      <c r="B24" s="13" t="s">
        <v>232</v>
      </c>
      <c r="C24" s="13" t="s">
        <v>250</v>
      </c>
      <c r="D24" s="24">
        <f>SUMIF(D4:D18,"G",B3:B18)</f>
        <v>27</v>
      </c>
      <c r="F24" s="12" t="s">
        <v>251</v>
      </c>
      <c r="G24" s="14">
        <f>MIN(G4:G15)</f>
        <v>40.2</v>
      </c>
    </row>
  </sheetData>
  <mergeCells count="2">
    <mergeCell ref="B2:G2"/>
    <mergeCell ref="B21:C21"/>
  </mergeCells>
  <dataValidations count="1">
    <dataValidation type="whole" operator="between" allowBlank="1" showInputMessage="1" showErrorMessage="1" sqref="B4:B15;L4:L15">
      <formula1>5</formula1>
      <formula2>100</formula2>
    </dataValidation>
  </dataValidations>
  <pageMargins left="0.75" right="0.75" top="1" bottom="1" header="0.5" footer="0.5"/>
  <headerFooter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5"/>
  <sheetViews>
    <sheetView workbookViewId="0">
      <selection activeCell="E3" sqref="E3:E10"/>
    </sheetView>
  </sheetViews>
  <sheetFormatPr defaultColWidth="9.14285714285714" defaultRowHeight="13.5" outlineLevelCol="4"/>
  <cols>
    <col min="2" max="2" width="22.4285714285714" customWidth="1"/>
    <col min="3" max="3" width="12.8571428571429"/>
    <col min="4" max="4" width="10.1428571428571" customWidth="1"/>
    <col min="5" max="5" width="13.8571428571429" customWidth="1"/>
  </cols>
  <sheetData>
    <row r="2" spans="2:5">
      <c r="B2" s="12" t="s">
        <v>116</v>
      </c>
      <c r="C2" s="12" t="s">
        <v>252</v>
      </c>
      <c r="D2" s="12" t="s">
        <v>253</v>
      </c>
      <c r="E2" s="12" t="s">
        <v>254</v>
      </c>
    </row>
    <row r="3" spans="2:5">
      <c r="B3" s="13" t="s">
        <v>255</v>
      </c>
      <c r="C3" s="14">
        <v>900</v>
      </c>
      <c r="D3" s="14">
        <f>IF(C3&lt;=1000,C3*C$14,IF(C3&gt;1000,C3*C$15))</f>
        <v>360</v>
      </c>
      <c r="E3" s="15">
        <f>C3+D3</f>
        <v>1260</v>
      </c>
    </row>
    <row r="4" spans="2:5">
      <c r="B4" s="13" t="s">
        <v>256</v>
      </c>
      <c r="C4" s="14">
        <v>1200</v>
      </c>
      <c r="D4" s="14">
        <f t="shared" ref="D4:D10" si="0">IF(C4&lt;=1000,C4*C$14,IF(C4&gt;1000,C4*C$15))</f>
        <v>360</v>
      </c>
      <c r="E4" s="15">
        <f t="shared" ref="E4:E10" si="1">C4+D4</f>
        <v>1560</v>
      </c>
    </row>
    <row r="5" spans="2:5">
      <c r="B5" s="13" t="s">
        <v>257</v>
      </c>
      <c r="C5" s="14">
        <v>1500</v>
      </c>
      <c r="D5" s="14">
        <f t="shared" si="0"/>
        <v>450</v>
      </c>
      <c r="E5" s="15">
        <f t="shared" si="1"/>
        <v>1950</v>
      </c>
    </row>
    <row r="6" spans="2:5">
      <c r="B6" s="13" t="s">
        <v>258</v>
      </c>
      <c r="C6" s="14">
        <v>2000</v>
      </c>
      <c r="D6" s="14">
        <f t="shared" si="0"/>
        <v>600</v>
      </c>
      <c r="E6" s="15">
        <f t="shared" si="1"/>
        <v>2600</v>
      </c>
    </row>
    <row r="7" spans="2:5">
      <c r="B7" s="13" t="s">
        <v>259</v>
      </c>
      <c r="C7" s="14">
        <v>1400</v>
      </c>
      <c r="D7" s="14">
        <f t="shared" si="0"/>
        <v>420</v>
      </c>
      <c r="E7" s="15">
        <f t="shared" si="1"/>
        <v>1820</v>
      </c>
    </row>
    <row r="8" spans="2:5">
      <c r="B8" s="13" t="s">
        <v>260</v>
      </c>
      <c r="C8" s="14">
        <v>990</v>
      </c>
      <c r="D8" s="14">
        <f t="shared" si="0"/>
        <v>396</v>
      </c>
      <c r="E8" s="15">
        <f t="shared" si="1"/>
        <v>1386</v>
      </c>
    </row>
    <row r="9" spans="2:5">
      <c r="B9" s="13" t="s">
        <v>261</v>
      </c>
      <c r="C9" s="14">
        <v>850</v>
      </c>
      <c r="D9" s="14">
        <f t="shared" si="0"/>
        <v>340</v>
      </c>
      <c r="E9" s="15">
        <f t="shared" si="1"/>
        <v>1190</v>
      </c>
    </row>
    <row r="10" spans="2:5">
      <c r="B10" s="13" t="s">
        <v>262</v>
      </c>
      <c r="C10" s="16">
        <v>1100</v>
      </c>
      <c r="D10" s="14">
        <f t="shared" si="0"/>
        <v>330</v>
      </c>
      <c r="E10" s="15">
        <f t="shared" si="1"/>
        <v>1430</v>
      </c>
    </row>
    <row r="11" spans="3:3">
      <c r="C11" s="17"/>
    </row>
    <row r="14" spans="2:3">
      <c r="B14" s="18" t="s">
        <v>263</v>
      </c>
      <c r="C14" s="19">
        <v>0.4</v>
      </c>
    </row>
    <row r="15" spans="2:3">
      <c r="B15" s="18" t="s">
        <v>264</v>
      </c>
      <c r="C15" s="19">
        <v>0.3</v>
      </c>
    </row>
  </sheetData>
  <conditionalFormatting sqref="B14: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4"/>
  <sheetViews>
    <sheetView tabSelected="1" zoomScale="90" zoomScaleNormal="90" topLeftCell="A2" workbookViewId="0">
      <selection activeCell="G28" sqref="G28"/>
    </sheetView>
  </sheetViews>
  <sheetFormatPr defaultColWidth="9.14285714285714" defaultRowHeight="13.5" outlineLevelCol="7"/>
  <cols>
    <col min="2" max="2" width="11.4285714285714" style="1" customWidth="1"/>
    <col min="3" max="3" width="19.8571428571429" customWidth="1"/>
    <col min="4" max="4" width="17.2857142857143" customWidth="1"/>
    <col min="5" max="5" width="10" customWidth="1"/>
    <col min="6" max="6" width="17.2857142857143" style="1" customWidth="1"/>
    <col min="7" max="7" width="21.5714285714286" customWidth="1"/>
    <col min="8" max="8" width="10" customWidth="1"/>
  </cols>
  <sheetData>
    <row r="2" spans="2:8">
      <c r="B2" s="2" t="s">
        <v>265</v>
      </c>
      <c r="C2" s="3"/>
      <c r="D2" s="3"/>
      <c r="E2" s="3"/>
      <c r="F2" s="3"/>
      <c r="G2" s="3"/>
      <c r="H2" s="3"/>
    </row>
    <row r="3" spans="3:7">
      <c r="C3" s="4" t="s">
        <v>266</v>
      </c>
      <c r="D3" s="5"/>
      <c r="E3" s="5"/>
      <c r="F3" s="5"/>
      <c r="G3" s="5"/>
    </row>
    <row r="4" spans="2:8">
      <c r="B4" s="2" t="s">
        <v>267</v>
      </c>
      <c r="C4" s="3"/>
      <c r="D4" s="3"/>
      <c r="F4" s="2" t="s">
        <v>268</v>
      </c>
      <c r="G4" s="3"/>
      <c r="H4" s="3"/>
    </row>
    <row r="5" spans="2:8">
      <c r="B5" s="6" t="s">
        <v>269</v>
      </c>
      <c r="C5" s="7" t="s">
        <v>116</v>
      </c>
      <c r="D5" s="7" t="s">
        <v>270</v>
      </c>
      <c r="F5" s="6" t="s">
        <v>269</v>
      </c>
      <c r="G5" s="7" t="s">
        <v>116</v>
      </c>
      <c r="H5" s="7" t="s">
        <v>270</v>
      </c>
    </row>
    <row r="6" spans="2:8">
      <c r="B6" s="1">
        <v>1</v>
      </c>
      <c r="C6" t="s">
        <v>271</v>
      </c>
      <c r="D6" s="8">
        <v>10</v>
      </c>
      <c r="F6" s="1">
        <v>1</v>
      </c>
      <c r="G6" t="s">
        <v>272</v>
      </c>
      <c r="H6" s="8">
        <v>14</v>
      </c>
    </row>
    <row r="7" spans="2:8">
      <c r="B7" s="1">
        <v>2</v>
      </c>
      <c r="C7" t="s">
        <v>273</v>
      </c>
      <c r="D7" s="8">
        <v>12</v>
      </c>
      <c r="F7" s="1">
        <v>2</v>
      </c>
      <c r="G7" t="s">
        <v>274</v>
      </c>
      <c r="H7" s="8">
        <v>12</v>
      </c>
    </row>
    <row r="8" spans="2:8">
      <c r="B8" s="1">
        <v>3</v>
      </c>
      <c r="C8" t="s">
        <v>275</v>
      </c>
      <c r="D8" s="8">
        <v>10</v>
      </c>
      <c r="F8" s="1">
        <v>3</v>
      </c>
      <c r="G8" t="s">
        <v>276</v>
      </c>
      <c r="H8" s="8">
        <v>12</v>
      </c>
    </row>
    <row r="9" spans="2:8">
      <c r="B9" s="1">
        <v>4</v>
      </c>
      <c r="C9" t="s">
        <v>277</v>
      </c>
      <c r="D9" s="8">
        <v>8</v>
      </c>
      <c r="F9" s="1">
        <v>4</v>
      </c>
      <c r="G9" t="s">
        <v>278</v>
      </c>
      <c r="H9" s="8">
        <v>29</v>
      </c>
    </row>
    <row r="10" spans="2:8">
      <c r="B10" s="1">
        <v>5</v>
      </c>
      <c r="C10" t="s">
        <v>279</v>
      </c>
      <c r="D10" s="8">
        <v>12</v>
      </c>
      <c r="F10" s="1">
        <v>5</v>
      </c>
      <c r="G10" t="s">
        <v>280</v>
      </c>
      <c r="H10" s="8">
        <v>32</v>
      </c>
    </row>
    <row r="11" spans="2:8">
      <c r="B11" s="1">
        <v>6</v>
      </c>
      <c r="C11" t="s">
        <v>281</v>
      </c>
      <c r="D11" s="8">
        <v>14</v>
      </c>
      <c r="F11" s="1">
        <v>6</v>
      </c>
      <c r="G11" t="s">
        <v>282</v>
      </c>
      <c r="H11" s="8">
        <v>15</v>
      </c>
    </row>
    <row r="12" spans="2:8">
      <c r="B12" s="1">
        <v>7</v>
      </c>
      <c r="C12" t="s">
        <v>283</v>
      </c>
      <c r="D12" s="8">
        <v>15</v>
      </c>
      <c r="F12" s="1">
        <v>7</v>
      </c>
      <c r="G12" t="s">
        <v>284</v>
      </c>
      <c r="H12" s="8">
        <v>15</v>
      </c>
    </row>
    <row r="13" spans="2:8">
      <c r="B13" s="1">
        <v>8</v>
      </c>
      <c r="C13" t="s">
        <v>285</v>
      </c>
      <c r="D13" s="8">
        <v>8</v>
      </c>
      <c r="F13" s="1">
        <v>8</v>
      </c>
      <c r="G13" t="s">
        <v>286</v>
      </c>
      <c r="H13" s="8">
        <v>20</v>
      </c>
    </row>
    <row r="14" spans="2:8">
      <c r="B14" s="1">
        <v>9</v>
      </c>
      <c r="C14" t="s">
        <v>287</v>
      </c>
      <c r="D14" s="8">
        <v>20</v>
      </c>
      <c r="F14" s="1">
        <v>9</v>
      </c>
      <c r="G14" t="s">
        <v>288</v>
      </c>
      <c r="H14" s="8">
        <v>25</v>
      </c>
    </row>
    <row r="15" spans="2:8">
      <c r="B15" s="1">
        <v>10</v>
      </c>
      <c r="C15" t="s">
        <v>289</v>
      </c>
      <c r="D15" s="8">
        <v>23</v>
      </c>
      <c r="F15" s="1">
        <v>10</v>
      </c>
      <c r="G15" t="s">
        <v>290</v>
      </c>
      <c r="H15" s="8">
        <v>30</v>
      </c>
    </row>
    <row r="19" spans="2:6">
      <c r="B19" s="6" t="s">
        <v>291</v>
      </c>
      <c r="C19" s="6"/>
      <c r="D19" s="9">
        <f ca="1">NOW()</f>
        <v>45375.5900115741</v>
      </c>
      <c r="E19" s="9"/>
      <c r="F19" s="10"/>
    </row>
    <row r="20" spans="2:5">
      <c r="B20" s="6" t="s">
        <v>267</v>
      </c>
      <c r="C20" s="11"/>
      <c r="D20" s="11"/>
      <c r="E20" s="11"/>
    </row>
    <row r="21" spans="2:5">
      <c r="B21" s="6" t="s">
        <v>269</v>
      </c>
      <c r="C21" s="7" t="s">
        <v>116</v>
      </c>
      <c r="D21" s="7" t="s">
        <v>17</v>
      </c>
      <c r="E21" s="7" t="s">
        <v>78</v>
      </c>
    </row>
    <row r="22" spans="2:5">
      <c r="B22" s="1">
        <v>6</v>
      </c>
      <c r="C22" t="str">
        <f>VLOOKUP(B22,B6:D15,2,FALSE)</f>
        <v>Leitão</v>
      </c>
      <c r="D22">
        <v>4</v>
      </c>
      <c r="E22" s="8">
        <f>IF(D22&gt;0,(VLOOKUP(B22,B6:D15,3,FALSE))*D22)</f>
        <v>56</v>
      </c>
    </row>
    <row r="23" spans="2:5">
      <c r="B23" s="1">
        <v>3</v>
      </c>
      <c r="C23" t="str">
        <f>VLOOKUP(B23,B7:D16,2,FALSE)</f>
        <v>Carne de Porco</v>
      </c>
      <c r="D23">
        <v>1</v>
      </c>
      <c r="E23" s="8">
        <f>IF(D23&gt;0,(VLOOKUP(B23,B7:D16,3,FALSE))*D23)</f>
        <v>10</v>
      </c>
    </row>
    <row r="24" spans="2:5">
      <c r="B24" s="1">
        <v>4</v>
      </c>
      <c r="C24" t="str">
        <f>VLOOKUP(B24,B8:D17,2,FALSE)</f>
        <v>Carne Assada</v>
      </c>
      <c r="D24">
        <v>1</v>
      </c>
      <c r="E24" s="8">
        <f>IF(D24&gt;0,(VLOOKUP(B24,B8:D17,3,FALSE))*D24)</f>
        <v>8</v>
      </c>
    </row>
    <row r="25" spans="2:5">
      <c r="B25" s="1">
        <v>5</v>
      </c>
      <c r="C25" t="str">
        <f>VLOOKUP(B25,B9:D18,2,FALSE)</f>
        <v>Chanfana</v>
      </c>
      <c r="D25">
        <v>1</v>
      </c>
      <c r="E25" s="8">
        <f>IF(D25&gt;0,(VLOOKUP(B25,B9:D18,3,FALSE))*D25)</f>
        <v>12</v>
      </c>
    </row>
    <row r="26" spans="2:5">
      <c r="B26" s="1">
        <v>10</v>
      </c>
      <c r="C26" t="str">
        <f ca="1">VLOOKUP(B26,B10:D19,2,FALSE)</f>
        <v>Rojões</v>
      </c>
      <c r="D26">
        <v>1</v>
      </c>
      <c r="E26" s="8">
        <f ca="1">IF(D26&gt;0,(VLOOKUP(B26,B10:D19,3,FALSE))*D26)</f>
        <v>23</v>
      </c>
    </row>
    <row r="27" spans="2:5">
      <c r="B27" s="6" t="s">
        <v>292</v>
      </c>
      <c r="C27" s="11"/>
      <c r="D27" s="11"/>
      <c r="E27" s="11"/>
    </row>
    <row r="28" spans="2:5">
      <c r="B28" s="6" t="s">
        <v>269</v>
      </c>
      <c r="C28" s="7" t="s">
        <v>116</v>
      </c>
      <c r="D28" s="7" t="s">
        <v>17</v>
      </c>
      <c r="E28" s="7" t="s">
        <v>78</v>
      </c>
    </row>
    <row r="29" spans="2:5">
      <c r="B29" s="1">
        <v>8</v>
      </c>
      <c r="C29" t="str">
        <f>VLOOKUP(B29,F$6:H$15,2,FALSE)</f>
        <v>Bacalhau</v>
      </c>
      <c r="D29">
        <v>2</v>
      </c>
      <c r="E29" s="8">
        <f>IF(D29&gt;0,(VLOOKUP(B29,F$6:H$15,3,FALSE))*D29)</f>
        <v>40</v>
      </c>
    </row>
    <row r="30" spans="2:5">
      <c r="B30" s="1">
        <v>4</v>
      </c>
      <c r="C30" t="str">
        <f>VLOOKUP(B30,F$6:H$15,2,FALSE)</f>
        <v>Files Grelhados</v>
      </c>
      <c r="D30">
        <v>2</v>
      </c>
      <c r="E30" s="8">
        <f>IF(D30&gt;0,(VLOOKUP(B30,F$6:H$15,3,FALSE))*D30)</f>
        <v>58</v>
      </c>
    </row>
    <row r="31" spans="2:5">
      <c r="B31" s="1">
        <v>10</v>
      </c>
      <c r="C31" t="str">
        <f>VLOOKUP(B31,F$6:H$15,2,FALSE)</f>
        <v>Bacalhau na Brasa</v>
      </c>
      <c r="D31">
        <v>2</v>
      </c>
      <c r="E31" s="8">
        <f>IF(D31&gt;0,(VLOOKUP(B31,F$6:H$15,3,FALSE))*D31)</f>
        <v>60</v>
      </c>
    </row>
    <row r="32" spans="2:5">
      <c r="B32" s="1">
        <v>4</v>
      </c>
      <c r="C32" t="str">
        <f>VLOOKUP(B32,F$6:H$15,2,FALSE)</f>
        <v>Files Grelhados</v>
      </c>
      <c r="D32">
        <v>2</v>
      </c>
      <c r="E32" s="8">
        <f>IF(D32&gt;0,(VLOOKUP(B32,F$6:H$15,3,FALSE))*D32)</f>
        <v>58</v>
      </c>
    </row>
    <row r="33" spans="2:5">
      <c r="B33" s="1">
        <v>1</v>
      </c>
      <c r="C33" t="str">
        <f>VLOOKUP(B33,F$6:H$15,2,FALSE)</f>
        <v>Lulas</v>
      </c>
      <c r="D33">
        <v>2</v>
      </c>
      <c r="E33" s="8">
        <f>IF(D33&gt;0,(VLOOKUP(B33,F$6:H$15,3,FALSE))*D33)</f>
        <v>28</v>
      </c>
    </row>
    <row r="34" spans="2:5">
      <c r="B34" s="1">
        <v>2</v>
      </c>
      <c r="C34" t="str">
        <f>VLOOKUP(B34,F$6:H$15,2,FALSE)</f>
        <v>Pargo</v>
      </c>
      <c r="D34">
        <v>2</v>
      </c>
      <c r="E34" s="8">
        <f>IF(D34&gt;0,(VLOOKUP(B34,F$6:H$15,3,FALSE))*D34)</f>
        <v>24</v>
      </c>
    </row>
  </sheetData>
  <mergeCells count="8">
    <mergeCell ref="B2:H2"/>
    <mergeCell ref="C3:G3"/>
    <mergeCell ref="B4:D4"/>
    <mergeCell ref="F4:H4"/>
    <mergeCell ref="B19:C19"/>
    <mergeCell ref="D19:E19"/>
    <mergeCell ref="B20:E20"/>
    <mergeCell ref="B27:E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Vendas</vt:lpstr>
      <vt:lpstr>Vendas_02</vt:lpstr>
      <vt:lpstr>Planilha2</vt:lpstr>
      <vt:lpstr>Planilha3</vt:lpstr>
      <vt:lpstr>Financeiro</vt:lpstr>
      <vt:lpstr>Planilha5</vt:lpstr>
      <vt:lpstr>Planilha6</vt:lpstr>
      <vt:lpstr>Procv</vt:lpstr>
      <vt:lpstr>Gerenciamento Comissões</vt:lpstr>
      <vt:lpstr>ProcH</vt:lpstr>
      <vt:lpstr>F.Concat</vt:lpstr>
      <vt:lpstr>Func.pgto</vt:lpstr>
      <vt:lpstr>Fluxo de Caixa</vt:lpstr>
      <vt:lpstr>Relatório Vendas</vt:lpstr>
      <vt:lpstr>Folha de Pagamento</vt:lpstr>
      <vt:lpstr>Pedido de Compra</vt:lpstr>
      <vt:lpstr>Salário</vt:lpstr>
      <vt:lpstr>Comanda- Cardápio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2024-03-19T13:49:28Z</dcterms:created>
  <dcterms:modified xsi:type="dcterms:W3CDTF">2024-03-24T17:13:21Z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26A1229C22504FF2B18E580AFD01D111_11</vt:lpwstr>
  </property>
  <property fmtid="{D5CDD505-2E9C-101B-9397-08002B2CF9AE}" pid="3" name="KSOProductBuildVer">
    <vt:lpwstr>1046-12.2.0.13489</vt:lpwstr>
  </property>
</Properties>
</file>