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codeName="ThisWorkbook"/>
  <mc:AlternateContent xmlns:mc="http://schemas.openxmlformats.org/markup-compatibility/2006">
    <mc:Choice Requires="x15">
      <x15ac:absPath xmlns:x15ac="http://schemas.microsoft.com/office/spreadsheetml/2010/11/ac" url="C:\Users\Bledi\Desktop\TA\MTH 9814\Homework 2\Group 5\"/>
    </mc:Choice>
  </mc:AlternateContent>
  <xr:revisionPtr revIDLastSave="0" documentId="13_ncr:1_{16A7BBDF-B0AA-4D99-AE28-1C6B143F102A}" xr6:coauthVersionLast="37" xr6:coauthVersionMax="37" xr10:uidLastSave="{00000000-0000-0000-0000-000000000000}"/>
  <bookViews>
    <workbookView xWindow="0" yWindow="465" windowWidth="28800" windowHeight="16380" tabRatio="775" xr2:uid="{00000000-000D-0000-FFFF-FFFF00000000}"/>
  </bookViews>
  <sheets>
    <sheet name="Grade" sheetId="8" r:id="rId1"/>
    <sheet name="exercise_1" sheetId="1" r:id="rId2"/>
    <sheet name="exercise 2" sheetId="2" r:id="rId3"/>
    <sheet name="exercise 3" sheetId="4" r:id="rId4"/>
    <sheet name="exercise 4" sheetId="5" r:id="rId5"/>
    <sheet name="exercise 5" sheetId="6" r:id="rId6"/>
    <sheet name="exercise 6" sheetId="7" r:id="rId7"/>
    <sheet name="application 1" sheetId="3" r:id="rId8"/>
  </sheets>
  <definedNames>
    <definedName name="solver_adj" localSheetId="7" hidden="1">'application 1'!#REF!</definedName>
    <definedName name="solver_cvg" localSheetId="7" hidden="1">0.0001</definedName>
    <definedName name="solver_drv" localSheetId="7" hidden="1">1</definedName>
    <definedName name="solver_eng" localSheetId="7" hidden="1">1</definedName>
    <definedName name="solver_itr" localSheetId="7" hidden="1">2147483647</definedName>
    <definedName name="solver_lin" localSheetId="7" hidden="1">2</definedName>
    <definedName name="solver_mip" localSheetId="7" hidden="1">2147483647</definedName>
    <definedName name="solver_mni" localSheetId="7" hidden="1">30</definedName>
    <definedName name="solver_mrt" localSheetId="7" hidden="1">0.075</definedName>
    <definedName name="solver_msl" localSheetId="7" hidden="1">2</definedName>
    <definedName name="solver_neg" localSheetId="7" hidden="1">1</definedName>
    <definedName name="solver_nod" localSheetId="7" hidden="1">2147483647</definedName>
    <definedName name="solver_num" localSheetId="7" hidden="1">0</definedName>
    <definedName name="solver_opt" localSheetId="7" hidden="1">'application 1'!#REF!</definedName>
    <definedName name="solver_pre" localSheetId="7" hidden="1">0.000001</definedName>
    <definedName name="solver_rbv" localSheetId="7" hidden="1">1</definedName>
    <definedName name="solver_rlx" localSheetId="7" hidden="1">1</definedName>
    <definedName name="solver_rsd" localSheetId="7" hidden="1">0</definedName>
    <definedName name="solver_scl" localSheetId="7" hidden="1">2</definedName>
    <definedName name="solver_sho" localSheetId="7" hidden="1">2</definedName>
    <definedName name="solver_ssz" localSheetId="7" hidden="1">100</definedName>
    <definedName name="solver_tim" localSheetId="7" hidden="1">2147483647</definedName>
    <definedName name="solver_tol" localSheetId="7" hidden="1">0.01</definedName>
    <definedName name="solver_typ" localSheetId="7" hidden="1">3</definedName>
    <definedName name="solver_val" localSheetId="7" hidden="1">0</definedName>
    <definedName name="solver_ver" localSheetId="7" hidden="1">2</definedName>
  </definedNames>
  <calcPr calcId="179021" calcMode="manual"/>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K11" i="8" l="1"/>
  <c r="N37" i="3"/>
  <c r="D37" i="3"/>
  <c r="D40" i="3"/>
  <c r="D38" i="3"/>
  <c r="D13" i="3" s="1"/>
  <c r="C25" i="2" l="1"/>
  <c r="D25" i="2" s="1"/>
  <c r="F25" i="2" s="1"/>
  <c r="H24" i="2"/>
  <c r="E25" i="2" l="1"/>
  <c r="A44" i="1" l="1"/>
  <c r="A30" i="1"/>
  <c r="B12" i="1"/>
  <c r="B24" i="1" l="1"/>
  <c r="G24" i="2" l="1"/>
  <c r="G52" i="2"/>
  <c r="H52" i="2" s="1"/>
  <c r="C52" i="2"/>
  <c r="B52" i="2"/>
  <c r="E52" i="2"/>
  <c r="B53" i="2"/>
  <c r="C53" i="2" s="1"/>
  <c r="B42" i="2"/>
  <c r="B43" i="2" s="1"/>
  <c r="C42" i="2"/>
  <c r="D42" i="2" s="1"/>
  <c r="D52" i="2"/>
  <c r="G42" i="2"/>
  <c r="H42" i="2" s="1"/>
  <c r="B24" i="2"/>
  <c r="B25" i="2" s="1"/>
  <c r="C24" i="2"/>
  <c r="D24" i="2" s="1"/>
  <c r="D153" i="3"/>
  <c r="E153" i="3" s="1"/>
  <c r="D148" i="3"/>
  <c r="E148" i="3" s="1"/>
  <c r="D149" i="3"/>
  <c r="E149" i="3"/>
  <c r="D150" i="3"/>
  <c r="E150" i="3" s="1"/>
  <c r="D151" i="3"/>
  <c r="E151" i="3" s="1"/>
  <c r="D152" i="3"/>
  <c r="E152" i="3" s="1"/>
  <c r="D147" i="3"/>
  <c r="E147" i="3"/>
  <c r="P141" i="3"/>
  <c r="P135" i="3"/>
  <c r="P131" i="3"/>
  <c r="P127" i="3"/>
  <c r="P129" i="3"/>
  <c r="P125" i="3"/>
  <c r="P123" i="3"/>
  <c r="E103" i="3"/>
  <c r="E104" i="3"/>
  <c r="E105" i="3"/>
  <c r="E106" i="3"/>
  <c r="E107" i="3"/>
  <c r="E108" i="3"/>
  <c r="E109" i="3"/>
  <c r="E110" i="3"/>
  <c r="E111" i="3"/>
  <c r="E112" i="3"/>
  <c r="E113" i="3"/>
  <c r="E114" i="3"/>
  <c r="E115" i="3"/>
  <c r="E39" i="3"/>
  <c r="D39" i="3"/>
  <c r="E41" i="3"/>
  <c r="D41" i="3"/>
  <c r="F44" i="3" s="1"/>
  <c r="D42" i="3"/>
  <c r="E43" i="3"/>
  <c r="D43" i="3" s="1"/>
  <c r="D44" i="3"/>
  <c r="E45" i="3"/>
  <c r="D45" i="3"/>
  <c r="D46" i="3"/>
  <c r="E47" i="3"/>
  <c r="D47" i="3" s="1"/>
  <c r="E48" i="3"/>
  <c r="D48" i="3" s="1"/>
  <c r="E49" i="3"/>
  <c r="D49" i="3" s="1"/>
  <c r="D50" i="3"/>
  <c r="E51" i="3"/>
  <c r="D51" i="3"/>
  <c r="E52" i="3"/>
  <c r="D52" i="3"/>
  <c r="E53" i="3"/>
  <c r="D53" i="3" s="1"/>
  <c r="E54" i="3"/>
  <c r="D54" i="3"/>
  <c r="E55" i="3"/>
  <c r="D55" i="3"/>
  <c r="D56" i="3"/>
  <c r="E70" i="3"/>
  <c r="D70" i="3" s="1"/>
  <c r="E71" i="3"/>
  <c r="D71" i="3"/>
  <c r="E72" i="3"/>
  <c r="D72" i="3" s="1"/>
  <c r="E73" i="3"/>
  <c r="D73" i="3" s="1"/>
  <c r="E74" i="3"/>
  <c r="D74" i="3" s="1"/>
  <c r="E75" i="3"/>
  <c r="D75" i="3"/>
  <c r="E76" i="3"/>
  <c r="D76" i="3" s="1"/>
  <c r="E77" i="3"/>
  <c r="D77" i="3" s="1"/>
  <c r="E78" i="3"/>
  <c r="D78" i="3" s="1"/>
  <c r="E79" i="3"/>
  <c r="D79" i="3"/>
  <c r="E81" i="3"/>
  <c r="D81" i="3" s="1"/>
  <c r="E82" i="3"/>
  <c r="D82" i="3" s="1"/>
  <c r="E83" i="3"/>
  <c r="D83" i="3"/>
  <c r="E84" i="3"/>
  <c r="D84" i="3" s="1"/>
  <c r="E85" i="3"/>
  <c r="D85" i="3" s="1"/>
  <c r="E86" i="3"/>
  <c r="D86" i="3" s="1"/>
  <c r="E87" i="3"/>
  <c r="D87" i="3"/>
  <c r="E88" i="3"/>
  <c r="D88" i="3" s="1"/>
  <c r="E89" i="3"/>
  <c r="D89" i="3" s="1"/>
  <c r="O70" i="3"/>
  <c r="N70" i="3" s="1"/>
  <c r="M71" i="3"/>
  <c r="O71" i="3"/>
  <c r="N71" i="3"/>
  <c r="M72" i="3"/>
  <c r="O72" i="3"/>
  <c r="N72" i="3" s="1"/>
  <c r="O73" i="3"/>
  <c r="M74" i="3"/>
  <c r="O74" i="3"/>
  <c r="N74" i="3"/>
  <c r="O75" i="3"/>
  <c r="N76" i="3" s="1"/>
  <c r="N75" i="3"/>
  <c r="M76" i="3"/>
  <c r="O76" i="3"/>
  <c r="N77" i="3" s="1"/>
  <c r="O77" i="3"/>
  <c r="M78" i="3"/>
  <c r="O78" i="3" s="1"/>
  <c r="O79" i="3"/>
  <c r="M80" i="3"/>
  <c r="O80" i="3" s="1"/>
  <c r="N81" i="3" s="1"/>
  <c r="M81" i="3"/>
  <c r="O81" i="3" s="1"/>
  <c r="M82" i="3"/>
  <c r="O82" i="3" s="1"/>
  <c r="N83" i="3" s="1"/>
  <c r="O83" i="3"/>
  <c r="M84" i="3"/>
  <c r="O84" i="3" s="1"/>
  <c r="M85" i="3"/>
  <c r="O85" i="3" s="1"/>
  <c r="M86" i="3"/>
  <c r="O86" i="3" s="1"/>
  <c r="N87" i="3" s="1"/>
  <c r="M87" i="3"/>
  <c r="O87" i="3"/>
  <c r="N88" i="3" s="1"/>
  <c r="M88" i="3"/>
  <c r="O88" i="3" s="1"/>
  <c r="N89" i="3" s="1"/>
  <c r="O89" i="3"/>
  <c r="E98" i="3"/>
  <c r="E99" i="3"/>
  <c r="E100" i="3"/>
  <c r="E101" i="3"/>
  <c r="E102" i="3"/>
  <c r="E97" i="3"/>
  <c r="E96" i="3"/>
  <c r="C71" i="3"/>
  <c r="F71" i="3" s="1"/>
  <c r="O56" i="3"/>
  <c r="M19" i="3"/>
  <c r="O50" i="3"/>
  <c r="M18" i="3"/>
  <c r="O46" i="3"/>
  <c r="M17" i="3" s="1"/>
  <c r="O44" i="3"/>
  <c r="M16" i="3" s="1"/>
  <c r="O42" i="3"/>
  <c r="M15" i="3"/>
  <c r="O40" i="3"/>
  <c r="N41" i="3" s="1"/>
  <c r="M14" i="3"/>
  <c r="M38" i="3"/>
  <c r="O38" i="3" s="1"/>
  <c r="M51" i="3"/>
  <c r="O51" i="3" s="1"/>
  <c r="M52" i="3"/>
  <c r="O52" i="3"/>
  <c r="N53" i="3" s="1"/>
  <c r="M53" i="3"/>
  <c r="O53" i="3" s="1"/>
  <c r="N54" i="3" s="1"/>
  <c r="M54" i="3"/>
  <c r="O54" i="3"/>
  <c r="M55" i="3"/>
  <c r="O55" i="3" s="1"/>
  <c r="N56" i="3" s="1"/>
  <c r="O37" i="3"/>
  <c r="M39" i="3"/>
  <c r="O39" i="3"/>
  <c r="N40" i="3" s="1"/>
  <c r="M41" i="3"/>
  <c r="O41" i="3" s="1"/>
  <c r="N42" i="3" s="1"/>
  <c r="M43" i="3"/>
  <c r="O43" i="3"/>
  <c r="N43" i="3" s="1"/>
  <c r="M45" i="3"/>
  <c r="O45" i="3" s="1"/>
  <c r="M47" i="3"/>
  <c r="O47" i="3"/>
  <c r="N47" i="3" s="1"/>
  <c r="M48" i="3"/>
  <c r="O48" i="3" s="1"/>
  <c r="N49" i="3" s="1"/>
  <c r="M49" i="3"/>
  <c r="O49" i="3"/>
  <c r="N50" i="3"/>
  <c r="D19" i="3"/>
  <c r="D17" i="3"/>
  <c r="D16" i="3"/>
  <c r="D15" i="3"/>
  <c r="C38" i="3"/>
  <c r="F38" i="3" s="1"/>
  <c r="C13" i="3"/>
  <c r="B27" i="1"/>
  <c r="A5" i="1"/>
  <c r="A6" i="1"/>
  <c r="A4" i="1"/>
  <c r="F77" i="3" l="1"/>
  <c r="B44" i="2"/>
  <c r="C43" i="2"/>
  <c r="N80" i="3"/>
  <c r="P75" i="3"/>
  <c r="P71" i="3"/>
  <c r="F73" i="3"/>
  <c r="F75" i="3"/>
  <c r="E53" i="2"/>
  <c r="D53" i="2"/>
  <c r="F53" i="2" s="1"/>
  <c r="G53" i="2" s="1"/>
  <c r="H53" i="2" s="1"/>
  <c r="N39" i="3"/>
  <c r="P56" i="3" s="1"/>
  <c r="M13" i="3"/>
  <c r="N38" i="3"/>
  <c r="B26" i="2"/>
  <c r="N85" i="3"/>
  <c r="N84" i="3"/>
  <c r="N55" i="3"/>
  <c r="N52" i="3"/>
  <c r="N51" i="3"/>
  <c r="N86" i="3"/>
  <c r="N79" i="3"/>
  <c r="N78" i="3"/>
  <c r="N46" i="3"/>
  <c r="N45" i="3"/>
  <c r="N82" i="3"/>
  <c r="F42" i="3"/>
  <c r="B54" i="2"/>
  <c r="F46" i="3"/>
  <c r="D18" i="3"/>
  <c r="P42" i="3"/>
  <c r="F79" i="3"/>
  <c r="F40" i="3"/>
  <c r="F50" i="3"/>
  <c r="N48" i="3"/>
  <c r="E42" i="2"/>
  <c r="E80" i="3"/>
  <c r="D80" i="3" s="1"/>
  <c r="F83" i="3" s="1"/>
  <c r="F56" i="3"/>
  <c r="N73" i="3"/>
  <c r="P73" i="3" s="1"/>
  <c r="E24" i="2"/>
  <c r="N44" i="3"/>
  <c r="D14" i="3"/>
  <c r="P83" i="3" l="1"/>
  <c r="P50" i="3"/>
  <c r="F89" i="3"/>
  <c r="P77" i="3"/>
  <c r="P44" i="3"/>
  <c r="G25" i="2"/>
  <c r="H25" i="2" s="1"/>
  <c r="P89" i="3"/>
  <c r="C54" i="2"/>
  <c r="B55" i="2"/>
  <c r="C26" i="2"/>
  <c r="B27" i="2"/>
  <c r="P79" i="3"/>
  <c r="E43" i="2"/>
  <c r="D43" i="2"/>
  <c r="F43" i="2" s="1"/>
  <c r="G43" i="2" s="1"/>
  <c r="H43" i="2" s="1"/>
  <c r="P46" i="3"/>
  <c r="P40" i="3"/>
  <c r="P38" i="3"/>
  <c r="B45" i="2"/>
  <c r="C44" i="2"/>
  <c r="G30" i="2" l="1"/>
  <c r="B28" i="2"/>
  <c r="C28" i="2" s="1"/>
  <c r="C27" i="2"/>
  <c r="B46" i="2"/>
  <c r="C46" i="2" s="1"/>
  <c r="C45" i="2"/>
  <c r="D26" i="2"/>
  <c r="F26" i="2" s="1"/>
  <c r="G26" i="2" s="1"/>
  <c r="H26" i="2" s="1"/>
  <c r="A32" i="2" s="1"/>
  <c r="E26" i="2"/>
  <c r="B56" i="2"/>
  <c r="C56" i="2" s="1"/>
  <c r="C55" i="2"/>
  <c r="D54" i="2"/>
  <c r="F54" i="2" s="1"/>
  <c r="G54" i="2" s="1"/>
  <c r="H54" i="2" s="1"/>
  <c r="E54" i="2"/>
  <c r="E44" i="2"/>
  <c r="D44" i="2"/>
  <c r="F44" i="2" s="1"/>
  <c r="G44" i="2" s="1"/>
  <c r="H44" i="2" s="1"/>
  <c r="D27" i="2" l="1"/>
  <c r="F27" i="2" s="1"/>
  <c r="G27" i="2" s="1"/>
  <c r="H27" i="2" s="1"/>
  <c r="E27" i="2"/>
  <c r="D45" i="2"/>
  <c r="F45" i="2" s="1"/>
  <c r="G45" i="2" s="1"/>
  <c r="H45" i="2" s="1"/>
  <c r="E45" i="2"/>
  <c r="E28" i="2"/>
  <c r="D28" i="2"/>
  <c r="F28" i="2" s="1"/>
  <c r="G28" i="2" s="1"/>
  <c r="H28" i="2" s="1"/>
  <c r="E46" i="2"/>
  <c r="D46" i="2"/>
  <c r="D55" i="2"/>
  <c r="F55" i="2" s="1"/>
  <c r="G55" i="2" s="1"/>
  <c r="H55" i="2" s="1"/>
  <c r="E55" i="2"/>
  <c r="E56" i="2"/>
  <c r="A57" i="2" s="1"/>
  <c r="D56" i="2"/>
  <c r="F56" i="2" s="1"/>
  <c r="G56" i="2" s="1"/>
  <c r="H56" i="2" s="1"/>
  <c r="B38" i="2" l="1"/>
  <c r="B37" i="2"/>
  <c r="F46" i="2"/>
  <c r="G46" i="2" s="1"/>
  <c r="H46" i="2" s="1"/>
  <c r="A47" i="2" s="1"/>
  <c r="B59" i="2" l="1"/>
  <c r="B58" i="2"/>
</calcChain>
</file>

<file path=xl/sharedStrings.xml><?xml version="1.0" encoding="utf-8"?>
<sst xmlns="http://schemas.openxmlformats.org/spreadsheetml/2006/main" count="170" uniqueCount="114">
  <si>
    <t>t</t>
    <phoneticPr fontId="1" type="noConversion"/>
  </si>
  <si>
    <t>discount factor</t>
    <phoneticPr fontId="1" type="noConversion"/>
  </si>
  <si>
    <t>(a) What is the fair rate for an FRA on 3M LIBOR where the floating rate is observed in 3 months</t>
    <phoneticPr fontId="1" type="noConversion"/>
  </si>
  <si>
    <t>(b) What is the present value of an FRA on 3M LIBOR where the floating rate is</t>
  </si>
  <si>
    <t>observed in 6 months if you receive the fixed rate of 1% on a notional of $10 million?</t>
  </si>
  <si>
    <t>(Interpolate by assuming that the instantaneous forward rate is constant between time</t>
  </si>
  <si>
    <t>points.)</t>
  </si>
  <si>
    <t>month</t>
    <phoneticPr fontId="1" type="noConversion"/>
  </si>
  <si>
    <t>r(0.25,0.5)=</t>
    <phoneticPr fontId="1" type="noConversion"/>
  </si>
  <si>
    <t>t = 0.25</t>
    <phoneticPr fontId="1" type="noConversion"/>
  </si>
  <si>
    <t>T = 0.5</t>
    <phoneticPr fontId="1" type="noConversion"/>
  </si>
  <si>
    <t xml:space="preserve">t </t>
    <phoneticPr fontId="1" type="noConversion"/>
  </si>
  <si>
    <t>T</t>
    <phoneticPr fontId="1" type="noConversion"/>
  </si>
  <si>
    <t>r_k</t>
    <phoneticPr fontId="1" type="noConversion"/>
  </si>
  <si>
    <t>N</t>
    <phoneticPr fontId="1" type="noConversion"/>
  </si>
  <si>
    <t>N(million dollars)</t>
    <phoneticPr fontId="1" type="noConversion"/>
  </si>
  <si>
    <t>The FRA strike rate is set to be the same as the forward rate from three months to six months</t>
    <phoneticPr fontId="1" type="noConversion"/>
  </si>
  <si>
    <t>r(0.5,1)=</t>
    <phoneticPr fontId="1" type="noConversion"/>
  </si>
  <si>
    <t>Compute the constant forward rate</t>
    <phoneticPr fontId="1" type="noConversion"/>
  </si>
  <si>
    <t>Compute the discount factor at time T</t>
    <phoneticPr fontId="1" type="noConversion"/>
  </si>
  <si>
    <t>P(T)=</t>
    <phoneticPr fontId="1" type="noConversion"/>
  </si>
  <si>
    <t>Present value of an FRA(million dollars)</t>
    <phoneticPr fontId="1" type="noConversion"/>
  </si>
  <si>
    <t>(c) You encounter an FRA from 6M to 1Y where the fixed leg is quoted, as usual, as a</t>
  </si>
  <si>
    <t>simple rate of interest, but the floating rate is 3M LIBOR compounded over the term of</t>
  </si>
  <si>
    <t>Determine the fair fixed rate for this contract. Support your answer by showing how such</t>
  </si>
  <si>
    <t>a contract may be hedged or replicated.</t>
  </si>
  <si>
    <t>the FRA. That is, in 6M the 3M LIBOR rate r1 is observed, then in 9M the 3M LIBOR</t>
  </si>
  <si>
    <t>rate r2 is observed, and the floating amount paid on the terminating date is:</t>
  </si>
  <si>
    <t>t1</t>
    <phoneticPr fontId="1" type="noConversion"/>
  </si>
  <si>
    <t>The fair fixed rate is the same as the forward rate from t1 to T, expressed as a rate of simple interest</t>
    <phoneticPr fontId="1" type="noConversion"/>
  </si>
  <si>
    <t>r (continuous)</t>
  </si>
  <si>
    <t>…you are asked to report certain characteristics of an FRN with the following terms and</t>
  </si>
  <si>
    <t>conditions:</t>
  </si>
  <si>
    <t>principal: 100</t>
  </si>
  <si>
    <t>reset and coupon frequency: quarterly</t>
  </si>
  <si>
    <t>time to maturity: 1.2 years</t>
  </si>
  <si>
    <t>For the purposes of this question, disregard the possibility that the bond may default.</t>
  </si>
  <si>
    <t>Interpolate in the term structure of interest rates by assuming that the continuously</t>
  </si>
  <si>
    <t>compounded zero rates are linear, and that the rate is constant between 0 and 0.25 years.</t>
  </si>
  <si>
    <t>(a) What are the projected cash flows of the bond?</t>
  </si>
  <si>
    <t>N [(1+ r1Δt)(1+ r2Δt) −1]</t>
    <phoneticPr fontId="1" type="noConversion"/>
  </si>
  <si>
    <t>m</t>
    <phoneticPr fontId="1" type="noConversion"/>
  </si>
  <si>
    <t>s</t>
    <phoneticPr fontId="1" type="noConversion"/>
  </si>
  <si>
    <t>r</t>
    <phoneticPr fontId="1" type="noConversion"/>
  </si>
  <si>
    <t>cash_flow</t>
    <phoneticPr fontId="1" type="noConversion"/>
  </si>
  <si>
    <t>When the term structure of zero rates is…</t>
  </si>
  <si>
    <t>forward_rate</t>
    <phoneticPr fontId="1" type="noConversion"/>
  </si>
  <si>
    <t>discount_factor</t>
    <phoneticPr fontId="1" type="noConversion"/>
  </si>
  <si>
    <t>(b) What is the present value of the bond?</t>
  </si>
  <si>
    <t>(c) What is the bond’s duration? Its convexity? (Use the more general form for these</t>
  </si>
  <si>
    <t>analytics based on dollar duration.)</t>
  </si>
  <si>
    <t>floating rate margin: 2%</t>
    <phoneticPr fontId="1" type="noConversion"/>
  </si>
  <si>
    <t> Fixed-for-EONIA</t>
  </si>
  <si>
    <t>maturity (years)</t>
    <phoneticPr fontId="1" type="noConversion"/>
  </si>
  <si>
    <t>We observe the following market rates:</t>
  </si>
  <si>
    <t>par swap rate</t>
    <phoneticPr fontId="1" type="noConversion"/>
  </si>
  <si>
    <t>df</t>
    <phoneticPr fontId="1" type="noConversion"/>
  </si>
  <si>
    <t> Fixed-for-6M EURIBOR</t>
  </si>
  <si>
    <t>Assume that the continuously compounded spot rate is constant from now to the 1-year</t>
  </si>
  <si>
    <t>maturity; interpolate linearly in the continuously compounded spot rates for cash flows</t>
  </si>
  <si>
    <t>between the maturities given above. The output of this step should be a set of discount</t>
  </si>
  <si>
    <t>factors at the maturities corresponding to the market quotes above, with the final known</t>
  </si>
  <si>
    <t>point at 10 years.</t>
  </si>
  <si>
    <t>We buy the bond at this point.</t>
    <phoneticPr fontId="1" type="noConversion"/>
  </si>
  <si>
    <t>zero_rate</t>
    <phoneticPr fontId="1" type="noConversion"/>
  </si>
  <si>
    <t>zero_rate+spread</t>
    <phoneticPr fontId="1" type="noConversion"/>
  </si>
  <si>
    <t>pay_rate</t>
    <phoneticPr fontId="1" type="noConversion"/>
  </si>
  <si>
    <t>n</t>
    <phoneticPr fontId="1" type="noConversion"/>
  </si>
  <si>
    <t>D</t>
    <phoneticPr fontId="1" type="noConversion"/>
  </si>
  <si>
    <t>C</t>
    <phoneticPr fontId="1" type="noConversion"/>
  </si>
  <si>
    <t>error</t>
    <phoneticPr fontId="1" type="noConversion"/>
  </si>
  <si>
    <t>General formula:</t>
    <phoneticPr fontId="1" type="noConversion"/>
  </si>
  <si>
    <t>For these swaps, the 6M EURIBOR curve you solve for will be used to determine the</t>
  </si>
  <si>
    <t>forward rates appropriate to the floating leg, while the EONIA curve you generated in</t>
  </si>
  <si>
    <t>part (a) above will be used to discount all cash flows. The output of this step should be a</t>
  </si>
  <si>
    <t>set of discount factors at the maturities corresponding to the market quotes above, just as</t>
  </si>
  <si>
    <t>in the EONIA step.</t>
  </si>
  <si>
    <t>EURIBOR curve. We observe the following market rates:</t>
    <phoneticPr fontId="1" type="noConversion"/>
  </si>
  <si>
    <t>EURIBOR_rate</t>
    <phoneticPr fontId="1" type="noConversion"/>
  </si>
  <si>
    <t>EONIA_rate</t>
    <phoneticPr fontId="1" type="noConversion"/>
  </si>
  <si>
    <t>error(floating leg - fixed leg = 0)</t>
    <phoneticPr fontId="1" type="noConversion"/>
  </si>
  <si>
    <t>while keeping the EURIBOR swap rates unchanged. This will give you a different 6M</t>
  </si>
  <si>
    <t>we left our 6M EURIBOR discounting curve unchanged and recalculated the EURIBOR</t>
  </si>
  <si>
    <t>par swap rates after a 1bp shock up to the EONIA rates?</t>
  </si>
  <si>
    <t>EURIBOR curve. Was the result what you expected? What do you think would happen if</t>
    <phoneticPr fontId="1" type="noConversion"/>
  </si>
  <si>
    <t>EURIBOR curve</t>
  </si>
  <si>
    <t>df</t>
  </si>
  <si>
    <t>df(before shock)</t>
    <phoneticPr fontId="1" type="noConversion"/>
  </si>
  <si>
    <t>df(after shock)</t>
    <phoneticPr fontId="1" type="noConversion"/>
  </si>
  <si>
    <t>after-before(bps)</t>
    <phoneticPr fontId="1" type="noConversion"/>
  </si>
  <si>
    <t>part-1</t>
    <phoneticPr fontId="1" type="noConversion"/>
  </si>
  <si>
    <t xml:space="preserve"> a shock upward of 1bp in all EONIA rates (The EURIBOR curve changes)</t>
    <phoneticPr fontId="1" type="noConversion"/>
  </si>
  <si>
    <t>part-2</t>
    <phoneticPr fontId="1" type="noConversion"/>
  </si>
  <si>
    <t xml:space="preserve"> a shock upward of 1bp in all EONIA rates (The EURIBOR curve unchanges)</t>
    <phoneticPr fontId="1" type="noConversion"/>
  </si>
  <si>
    <t>par swap rate(before shock)</t>
    <phoneticPr fontId="1" type="noConversion"/>
  </si>
  <si>
    <t>par swap rate(after shock)</t>
    <phoneticPr fontId="1" type="noConversion"/>
  </si>
  <si>
    <t>Using your calculator, show the result of a shock upward of 1bp in all EONIA rates</t>
    <phoneticPr fontId="1" type="noConversion"/>
  </si>
  <si>
    <t>(c)</t>
    <phoneticPr fontId="1" type="noConversion"/>
  </si>
  <si>
    <t>calculator:</t>
    <phoneticPr fontId="1" type="noConversion"/>
  </si>
  <si>
    <t>results:</t>
    <phoneticPr fontId="1" type="noConversion"/>
  </si>
  <si>
    <t>maturity (years)</t>
  </si>
  <si>
    <t>par swap rate</t>
  </si>
  <si>
    <t>EONIA_rate</t>
  </si>
  <si>
    <t>error</t>
  </si>
  <si>
    <t>The first step is to use fixed-for EONIA swaps to determine the discounting curve.</t>
    <phoneticPr fontId="1" type="noConversion"/>
  </si>
  <si>
    <t>(a)</t>
    <phoneticPr fontId="1" type="noConversion"/>
  </si>
  <si>
    <t>The second step is to use fixed-for 6M EURIBOR swaps to determine a 6M</t>
    <phoneticPr fontId="1" type="noConversion"/>
  </si>
  <si>
    <t>(b)</t>
    <phoneticPr fontId="1" type="noConversion"/>
  </si>
  <si>
    <t>most recent reset rate: 0.0145</t>
    <phoneticPr fontId="1" type="noConversion"/>
  </si>
  <si>
    <t>present value</t>
    <phoneticPr fontId="1" type="noConversion"/>
  </si>
  <si>
    <t>Problem</t>
  </si>
  <si>
    <t>Weight</t>
  </si>
  <si>
    <t>Score per problem</t>
  </si>
  <si>
    <t>Grade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</si>
</sst>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_ "/>
    <numFmt numFmtId="165" formatCode="0.00000000_ "/>
  </numFmts>
  <fonts count="8" x14ac:knownFonts="1">
    <font>
      <sz val="12"/>
      <color theme="1"/>
      <name val="DengXian"/>
      <family val="2"/>
      <charset val="134"/>
      <scheme val="minor"/>
    </font>
    <font>
      <sz val="9"/>
      <name val="DengXian"/>
      <family val="2"/>
      <charset val="134"/>
      <scheme val="minor"/>
    </font>
    <font>
      <sz val="12"/>
      <color theme="1"/>
      <name val="Helvetica"/>
    </font>
    <font>
      <sz val="12"/>
      <color theme="1"/>
      <name val="Times New Roman"/>
      <family val="1"/>
    </font>
    <font>
      <b/>
      <sz val="12"/>
      <color theme="1"/>
      <name val="Times New Roman"/>
      <family val="1"/>
    </font>
    <font>
      <b/>
      <sz val="12"/>
      <color theme="1"/>
      <name val="Helvetica"/>
    </font>
    <font>
      <sz val="12"/>
      <color theme="1"/>
      <name val="DengXian"/>
      <family val="2"/>
      <charset val="134"/>
      <scheme val="minor"/>
    </font>
    <font>
      <b/>
      <sz val="12"/>
      <color rgb="FFFF0000"/>
      <name val="DengXian"/>
      <scheme val="minor"/>
    </font>
  </fonts>
  <fills count="3">
    <fill>
      <patternFill patternType="none"/>
    </fill>
    <fill>
      <patternFill patternType="gray125"/>
    </fill>
    <fill>
      <patternFill patternType="solid">
        <fgColor rgb="FFFFFF00"/>
        <bgColor indexed="64"/>
      </patternFill>
    </fill>
  </fills>
  <borders count="12">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9" fontId="6" fillId="0" borderId="0" applyFont="0" applyFill="0" applyBorder="0" applyAlignment="0" applyProtection="0"/>
  </cellStyleXfs>
  <cellXfs count="43">
    <xf numFmtId="0" fontId="0" fillId="0" borderId="0" xfId="0"/>
    <xf numFmtId="0" fontId="2" fillId="0" borderId="0" xfId="0" applyFont="1"/>
    <xf numFmtId="0" fontId="3" fillId="0" borderId="0" xfId="0" applyFont="1"/>
    <xf numFmtId="0" fontId="3" fillId="0" borderId="0" xfId="0" applyNumberFormat="1" applyFont="1"/>
    <xf numFmtId="0" fontId="3" fillId="0" borderId="0" xfId="0" applyFont="1" applyAlignment="1">
      <alignment horizontal="left"/>
    </xf>
    <xf numFmtId="0" fontId="4" fillId="0" borderId="0" xfId="0" applyFont="1"/>
    <xf numFmtId="0" fontId="3" fillId="2" borderId="0" xfId="0" applyFont="1" applyFill="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0" xfId="0" applyFont="1" applyAlignment="1">
      <alignment wrapText="1"/>
    </xf>
    <xf numFmtId="0" fontId="3" fillId="0" borderId="0" xfId="0" applyFont="1" applyFill="1"/>
    <xf numFmtId="0" fontId="3" fillId="0" borderId="7" xfId="0" applyFont="1" applyBorder="1"/>
    <xf numFmtId="0" fontId="3" fillId="0" borderId="0" xfId="0" applyFont="1" applyBorder="1"/>
    <xf numFmtId="0" fontId="3" fillId="0" borderId="8" xfId="0" applyFont="1" applyBorder="1"/>
    <xf numFmtId="0" fontId="3" fillId="0" borderId="1" xfId="0" applyFont="1" applyBorder="1" applyAlignment="1">
      <alignment wrapText="1"/>
    </xf>
    <xf numFmtId="0" fontId="3" fillId="0" borderId="7" xfId="0" applyFont="1" applyBorder="1" applyAlignment="1">
      <alignment wrapText="1"/>
    </xf>
    <xf numFmtId="0" fontId="3" fillId="0" borderId="3" xfId="0" applyFont="1" applyBorder="1" applyAlignment="1">
      <alignment wrapText="1"/>
    </xf>
    <xf numFmtId="0" fontId="3" fillId="0" borderId="0" xfId="0" applyFont="1" applyBorder="1" applyAlignment="1">
      <alignment wrapText="1"/>
    </xf>
    <xf numFmtId="0" fontId="3" fillId="0" borderId="0" xfId="0" applyFont="1" applyFill="1" applyBorder="1"/>
    <xf numFmtId="164" fontId="3" fillId="0" borderId="0" xfId="0" applyNumberFormat="1" applyFont="1" applyBorder="1"/>
    <xf numFmtId="0" fontId="3" fillId="0" borderId="4" xfId="0" applyFont="1" applyBorder="1" applyAlignment="1">
      <alignment wrapText="1"/>
    </xf>
    <xf numFmtId="0" fontId="3" fillId="0" borderId="5" xfId="0" applyFont="1" applyBorder="1" applyAlignment="1">
      <alignment wrapText="1"/>
    </xf>
    <xf numFmtId="164" fontId="3" fillId="0" borderId="8" xfId="0" applyNumberFormat="1" applyFont="1" applyBorder="1"/>
    <xf numFmtId="0" fontId="3" fillId="0" borderId="8" xfId="0" applyFont="1" applyFill="1" applyBorder="1"/>
    <xf numFmtId="0" fontId="3" fillId="0" borderId="9" xfId="0" applyFont="1" applyBorder="1" applyAlignment="1">
      <alignment wrapText="1"/>
    </xf>
    <xf numFmtId="0" fontId="3" fillId="0" borderId="10" xfId="0" applyFont="1" applyBorder="1" applyAlignment="1">
      <alignment wrapText="1"/>
    </xf>
    <xf numFmtId="0" fontId="3" fillId="0" borderId="10" xfId="0" applyFont="1" applyBorder="1"/>
    <xf numFmtId="0" fontId="3" fillId="0" borderId="11" xfId="0" applyFont="1" applyBorder="1"/>
    <xf numFmtId="0" fontId="3" fillId="0" borderId="11" xfId="0" applyFont="1" applyBorder="1" applyAlignment="1">
      <alignment wrapText="1"/>
    </xf>
    <xf numFmtId="0" fontId="3" fillId="2" borderId="4" xfId="0" applyFont="1" applyFill="1" applyBorder="1"/>
    <xf numFmtId="0" fontId="3" fillId="2" borderId="6" xfId="0" applyFont="1" applyFill="1" applyBorder="1"/>
    <xf numFmtId="0" fontId="3" fillId="2" borderId="0" xfId="0" applyFont="1" applyFill="1" applyBorder="1"/>
    <xf numFmtId="0" fontId="3" fillId="2" borderId="8" xfId="0" applyFont="1" applyFill="1" applyBorder="1"/>
    <xf numFmtId="165" fontId="3" fillId="2" borderId="0" xfId="0" applyNumberFormat="1" applyFont="1" applyFill="1" applyBorder="1"/>
    <xf numFmtId="165" fontId="3" fillId="2" borderId="8" xfId="0" applyNumberFormat="1" applyFont="1" applyFill="1" applyBorder="1"/>
    <xf numFmtId="0" fontId="5" fillId="0" borderId="0" xfId="0" applyFont="1"/>
    <xf numFmtId="9" fontId="0" fillId="0" borderId="0" xfId="1" applyFont="1"/>
    <xf numFmtId="9" fontId="0" fillId="0" borderId="0" xfId="1" applyNumberFormat="1" applyFont="1"/>
    <xf numFmtId="10" fontId="7" fillId="0" borderId="0" xfId="1" applyNumberFormat="1" applyFont="1"/>
  </cellXfs>
  <cellStyles count="2">
    <cellStyle name="Normal" xfId="0" builtinId="0"/>
    <cellStyle name="Percent"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1" Type="http://schemas.openxmlformats.org/officeDocument/2006/relationships/image" Target="../media/image6.jpeg"/></Relationships>
</file>

<file path=xl/drawings/_rels/drawing7.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xdr:from>
      <xdr:col>0</xdr:col>
      <xdr:colOff>142875</xdr:colOff>
      <xdr:row>1</xdr:row>
      <xdr:rowOff>161925</xdr:rowOff>
    </xdr:from>
    <xdr:to>
      <xdr:col>6</xdr:col>
      <xdr:colOff>666750</xdr:colOff>
      <xdr:row>7</xdr:row>
      <xdr:rowOff>19050</xdr:rowOff>
    </xdr:to>
    <xdr:sp macro="" textlink="">
      <xdr:nvSpPr>
        <xdr:cNvPr id="2" name="TextBox 1">
          <a:extLst>
            <a:ext uri="{FF2B5EF4-FFF2-40B4-BE49-F238E27FC236}">
              <a16:creationId xmlns:a16="http://schemas.microsoft.com/office/drawing/2014/main" id="{787931ED-DBD6-4F42-B52E-DA06B46AAEA7}"/>
            </a:ext>
          </a:extLst>
        </xdr:cNvPr>
        <xdr:cNvSpPr txBox="1"/>
      </xdr:nvSpPr>
      <xdr:spPr>
        <a:xfrm>
          <a:off x="142875" y="361950"/>
          <a:ext cx="4638675" cy="1057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Problem</a:t>
          </a:r>
          <a:r>
            <a:rPr lang="en-US" sz="1100" b="1" baseline="0"/>
            <a:t> 1 comments:</a:t>
          </a:r>
        </a:p>
        <a:p>
          <a:endParaRPr lang="en-US" sz="1100" baseline="0"/>
        </a:p>
        <a:p>
          <a:r>
            <a:rPr lang="en-US" sz="1100" baseline="0"/>
            <a:t>Very clear explanation and the answers are correct.</a:t>
          </a:r>
        </a:p>
        <a:p>
          <a:endParaRPr lang="en-US" sz="1100" baseline="0"/>
        </a:p>
        <a:p>
          <a:r>
            <a:rPr lang="en-US" sz="1100" b="1" baseline="0">
              <a:solidFill>
                <a:srgbClr val="FF0000"/>
              </a:solidFill>
            </a:rPr>
            <a:t>Grade:  100%</a:t>
          </a:r>
          <a:endParaRPr lang="en-US" sz="1100" b="1">
            <a:solidFill>
              <a:srgbClr val="FF0000"/>
            </a:solidFill>
          </a:endParaRPr>
        </a:p>
      </xdr:txBody>
    </xdr:sp>
    <xdr:clientData/>
  </xdr:twoCellAnchor>
  <xdr:twoCellAnchor>
    <xdr:from>
      <xdr:col>0</xdr:col>
      <xdr:colOff>152400</xdr:colOff>
      <xdr:row>9</xdr:row>
      <xdr:rowOff>104775</xdr:rowOff>
    </xdr:from>
    <xdr:to>
      <xdr:col>6</xdr:col>
      <xdr:colOff>609600</xdr:colOff>
      <xdr:row>21</xdr:row>
      <xdr:rowOff>47625</xdr:rowOff>
    </xdr:to>
    <xdr:sp macro="" textlink="">
      <xdr:nvSpPr>
        <xdr:cNvPr id="3" name="TextBox 2">
          <a:extLst>
            <a:ext uri="{FF2B5EF4-FFF2-40B4-BE49-F238E27FC236}">
              <a16:creationId xmlns:a16="http://schemas.microsoft.com/office/drawing/2014/main" id="{9380F0A9-3C1C-4C8A-A468-9C887CF694C7}"/>
            </a:ext>
          </a:extLst>
        </xdr:cNvPr>
        <xdr:cNvSpPr txBox="1"/>
      </xdr:nvSpPr>
      <xdr:spPr>
        <a:xfrm>
          <a:off x="152400" y="1905000"/>
          <a:ext cx="4572000" cy="2343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Problem</a:t>
          </a:r>
          <a:r>
            <a:rPr lang="en-US" sz="1100" b="1" baseline="0"/>
            <a:t> 2 comments:</a:t>
          </a:r>
        </a:p>
        <a:p>
          <a:endParaRPr lang="en-US" sz="1100" baseline="0"/>
        </a:p>
        <a:p>
          <a:r>
            <a:rPr lang="en-US" sz="1100" baseline="0"/>
            <a:t>1. Part a): the calculations are not correct. After digging into your calculations, I saw that you are adding the margin to the zero rate. You should add the margin to the float. This illustrates that the concept is not correctly understood; there is deduction for this.</a:t>
          </a:r>
        </a:p>
        <a:p>
          <a:r>
            <a:rPr lang="en-US" sz="1100" baseline="0"/>
            <a:t>2. Part b): The answer is not correct. No penalty for this since it is a consequence of the part a.</a:t>
          </a:r>
        </a:p>
        <a:p>
          <a:r>
            <a:rPr lang="en-US" sz="1100" baseline="0"/>
            <a:t>3. Part c): Contigent on part a being correct, this seems correct.</a:t>
          </a:r>
        </a:p>
        <a:p>
          <a:endParaRPr lang="en-US" sz="1100" baseline="0"/>
        </a:p>
        <a:p>
          <a:r>
            <a:rPr lang="en-US" sz="1100" b="1" baseline="0">
              <a:solidFill>
                <a:srgbClr val="FF0000"/>
              </a:solidFill>
            </a:rPr>
            <a:t>Grade: 80%</a:t>
          </a:r>
        </a:p>
        <a:p>
          <a:endParaRPr lang="en-US" sz="1100" baseline="0"/>
        </a:p>
        <a:p>
          <a:endParaRPr lang="en-US" sz="1100"/>
        </a:p>
      </xdr:txBody>
    </xdr:sp>
    <xdr:clientData/>
  </xdr:twoCellAnchor>
  <xdr:twoCellAnchor>
    <xdr:from>
      <xdr:col>0</xdr:col>
      <xdr:colOff>190499</xdr:colOff>
      <xdr:row>22</xdr:row>
      <xdr:rowOff>104776</xdr:rowOff>
    </xdr:from>
    <xdr:to>
      <xdr:col>6</xdr:col>
      <xdr:colOff>619124</xdr:colOff>
      <xdr:row>26</xdr:row>
      <xdr:rowOff>190500</xdr:rowOff>
    </xdr:to>
    <xdr:sp macro="" textlink="">
      <xdr:nvSpPr>
        <xdr:cNvPr id="4" name="TextBox 3">
          <a:extLst>
            <a:ext uri="{FF2B5EF4-FFF2-40B4-BE49-F238E27FC236}">
              <a16:creationId xmlns:a16="http://schemas.microsoft.com/office/drawing/2014/main" id="{2D9A77FE-FE3F-4C80-946B-EB654F3A9429}"/>
            </a:ext>
          </a:extLst>
        </xdr:cNvPr>
        <xdr:cNvSpPr txBox="1"/>
      </xdr:nvSpPr>
      <xdr:spPr>
        <a:xfrm>
          <a:off x="190499" y="4505326"/>
          <a:ext cx="4543425" cy="885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Problem 3 comments:</a:t>
          </a:r>
        </a:p>
        <a:p>
          <a:r>
            <a:rPr lang="en-US" sz="1100" b="0"/>
            <a:t>1.</a:t>
          </a:r>
          <a:r>
            <a:rPr lang="en-US" sz="1100" b="0" baseline="0"/>
            <a:t> Write more ligibly</a:t>
          </a:r>
        </a:p>
        <a:p>
          <a:r>
            <a:rPr lang="en-US" sz="1100" b="0" baseline="0"/>
            <a:t>2. You have not specified how do you solve for the values</a:t>
          </a:r>
          <a:endParaRPr lang="en-US" sz="1100" b="0"/>
        </a:p>
        <a:p>
          <a:r>
            <a:rPr lang="en-US" sz="1100" b="1">
              <a:solidFill>
                <a:srgbClr val="FF0000"/>
              </a:solidFill>
            </a:rPr>
            <a:t>Score: 85%</a:t>
          </a:r>
        </a:p>
      </xdr:txBody>
    </xdr:sp>
    <xdr:clientData/>
  </xdr:twoCellAnchor>
  <xdr:twoCellAnchor>
    <xdr:from>
      <xdr:col>0</xdr:col>
      <xdr:colOff>200025</xdr:colOff>
      <xdr:row>27</xdr:row>
      <xdr:rowOff>200024</xdr:rowOff>
    </xdr:from>
    <xdr:to>
      <xdr:col>6</xdr:col>
      <xdr:colOff>676275</xdr:colOff>
      <xdr:row>32</xdr:row>
      <xdr:rowOff>142874</xdr:rowOff>
    </xdr:to>
    <xdr:sp macro="" textlink="">
      <xdr:nvSpPr>
        <xdr:cNvPr id="5" name="TextBox 4">
          <a:extLst>
            <a:ext uri="{FF2B5EF4-FFF2-40B4-BE49-F238E27FC236}">
              <a16:creationId xmlns:a16="http://schemas.microsoft.com/office/drawing/2014/main" id="{951C506B-EEDF-49B1-9824-09DE0ACBCD6F}"/>
            </a:ext>
          </a:extLst>
        </xdr:cNvPr>
        <xdr:cNvSpPr txBox="1"/>
      </xdr:nvSpPr>
      <xdr:spPr>
        <a:xfrm>
          <a:off x="200025" y="5600699"/>
          <a:ext cx="4591050" cy="942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Problem 4 comments:</a:t>
          </a:r>
        </a:p>
        <a:p>
          <a:r>
            <a:rPr lang="en-US" sz="1100" b="0"/>
            <a:t>1. Same comments as in problem 3 (no penalty</a:t>
          </a:r>
          <a:r>
            <a:rPr lang="en-US" sz="1100" b="0" baseline="0"/>
            <a:t> since you were penalized in problem 3</a:t>
          </a:r>
          <a:r>
            <a:rPr lang="en-US" sz="1100" b="0"/>
            <a:t>)</a:t>
          </a:r>
        </a:p>
        <a:p>
          <a:r>
            <a:rPr lang="en-US" sz="1100" b="1">
              <a:solidFill>
                <a:srgbClr val="FF0000"/>
              </a:solidFill>
            </a:rPr>
            <a:t>Score: 100%</a:t>
          </a:r>
        </a:p>
      </xdr:txBody>
    </xdr:sp>
    <xdr:clientData/>
  </xdr:twoCellAnchor>
  <xdr:twoCellAnchor>
    <xdr:from>
      <xdr:col>0</xdr:col>
      <xdr:colOff>238125</xdr:colOff>
      <xdr:row>33</xdr:row>
      <xdr:rowOff>114300</xdr:rowOff>
    </xdr:from>
    <xdr:to>
      <xdr:col>6</xdr:col>
      <xdr:colOff>657225</xdr:colOff>
      <xdr:row>38</xdr:row>
      <xdr:rowOff>57150</xdr:rowOff>
    </xdr:to>
    <xdr:sp macro="" textlink="">
      <xdr:nvSpPr>
        <xdr:cNvPr id="7" name="TextBox 6">
          <a:extLst>
            <a:ext uri="{FF2B5EF4-FFF2-40B4-BE49-F238E27FC236}">
              <a16:creationId xmlns:a16="http://schemas.microsoft.com/office/drawing/2014/main" id="{36AE35E3-D12A-4DDD-9085-27FC227A1434}"/>
            </a:ext>
          </a:extLst>
        </xdr:cNvPr>
        <xdr:cNvSpPr txBox="1"/>
      </xdr:nvSpPr>
      <xdr:spPr>
        <a:xfrm>
          <a:off x="238125" y="6715125"/>
          <a:ext cx="4533900" cy="942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Problem 5 comments:</a:t>
          </a:r>
        </a:p>
        <a:p>
          <a:r>
            <a:rPr lang="en-US" sz="1100" b="0"/>
            <a:t>1. Same comments as in problem 3 (no penalty</a:t>
          </a:r>
          <a:r>
            <a:rPr lang="en-US" sz="1100" b="0" baseline="0"/>
            <a:t> since you were penalized in problem 3</a:t>
          </a:r>
          <a:r>
            <a:rPr lang="en-US" sz="1100" b="0"/>
            <a:t>)</a:t>
          </a:r>
        </a:p>
        <a:p>
          <a:r>
            <a:rPr lang="en-US" sz="1100" b="1">
              <a:solidFill>
                <a:srgbClr val="FF0000"/>
              </a:solidFill>
            </a:rPr>
            <a:t>Score: 100%</a:t>
          </a:r>
        </a:p>
      </xdr:txBody>
    </xdr:sp>
    <xdr:clientData/>
  </xdr:twoCellAnchor>
  <xdr:twoCellAnchor>
    <xdr:from>
      <xdr:col>0</xdr:col>
      <xdr:colOff>285749</xdr:colOff>
      <xdr:row>39</xdr:row>
      <xdr:rowOff>47625</xdr:rowOff>
    </xdr:from>
    <xdr:to>
      <xdr:col>6</xdr:col>
      <xdr:colOff>657224</xdr:colOff>
      <xdr:row>43</xdr:row>
      <xdr:rowOff>190500</xdr:rowOff>
    </xdr:to>
    <xdr:sp macro="" textlink="">
      <xdr:nvSpPr>
        <xdr:cNvPr id="8" name="TextBox 7">
          <a:extLst>
            <a:ext uri="{FF2B5EF4-FFF2-40B4-BE49-F238E27FC236}">
              <a16:creationId xmlns:a16="http://schemas.microsoft.com/office/drawing/2014/main" id="{14130F48-1B43-4D42-8582-DF5D89F1F930}"/>
            </a:ext>
          </a:extLst>
        </xdr:cNvPr>
        <xdr:cNvSpPr txBox="1"/>
      </xdr:nvSpPr>
      <xdr:spPr>
        <a:xfrm>
          <a:off x="285749" y="7848600"/>
          <a:ext cx="4486275" cy="942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Problem 6 comments:</a:t>
          </a:r>
        </a:p>
        <a:p>
          <a:r>
            <a:rPr lang="en-US" sz="1100" b="0"/>
            <a:t>1. Same comments as in problem 3 (no penalty</a:t>
          </a:r>
          <a:r>
            <a:rPr lang="en-US" sz="1100" b="0" baseline="0"/>
            <a:t> since you were penalized in problem 3</a:t>
          </a:r>
          <a:r>
            <a:rPr lang="en-US" sz="1100" b="0"/>
            <a:t>)</a:t>
          </a:r>
        </a:p>
        <a:p>
          <a:r>
            <a:rPr lang="en-US" sz="1100" b="1">
              <a:solidFill>
                <a:srgbClr val="FF0000"/>
              </a:solidFill>
            </a:rPr>
            <a:t>Score: 100%</a:t>
          </a:r>
        </a:p>
      </xdr:txBody>
    </xdr:sp>
    <xdr:clientData/>
  </xdr:twoCellAnchor>
  <xdr:twoCellAnchor>
    <xdr:from>
      <xdr:col>0</xdr:col>
      <xdr:colOff>280986</xdr:colOff>
      <xdr:row>45</xdr:row>
      <xdr:rowOff>14286</xdr:rowOff>
    </xdr:from>
    <xdr:to>
      <xdr:col>6</xdr:col>
      <xdr:colOff>666750</xdr:colOff>
      <xdr:row>53</xdr:row>
      <xdr:rowOff>95249</xdr:rowOff>
    </xdr:to>
    <xdr:sp macro="" textlink="">
      <xdr:nvSpPr>
        <xdr:cNvPr id="9" name="TextBox 8">
          <a:extLst>
            <a:ext uri="{FF2B5EF4-FFF2-40B4-BE49-F238E27FC236}">
              <a16:creationId xmlns:a16="http://schemas.microsoft.com/office/drawing/2014/main" id="{3C99FEB8-304D-4CD4-A5BE-DF65B4B81A76}"/>
            </a:ext>
          </a:extLst>
        </xdr:cNvPr>
        <xdr:cNvSpPr txBox="1"/>
      </xdr:nvSpPr>
      <xdr:spPr>
        <a:xfrm>
          <a:off x="280986" y="9015411"/>
          <a:ext cx="4500564" cy="16811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Application comments:</a:t>
          </a:r>
        </a:p>
        <a:p>
          <a:r>
            <a:rPr lang="en-US" sz="1100"/>
            <a:t>1.</a:t>
          </a:r>
          <a:r>
            <a:rPr lang="en-US" sz="1100" baseline="0"/>
            <a:t> It is better (generic, neatter, less prone to errors) to construct this in a modular form (i.e. via VBA), although not required. For instance, you could create a function that accepts a 2 dimensional range containing the tenors and the swap rates. Using this function, you can return any discount factor. With that being said, the solution seems reasonable and with relatively clear explanation.</a:t>
          </a:r>
        </a:p>
        <a:p>
          <a:r>
            <a:rPr lang="en-US" sz="1100" b="1" baseline="0">
              <a:solidFill>
                <a:srgbClr val="FF0000"/>
              </a:solidFill>
            </a:rPr>
            <a:t>Score: 90%</a:t>
          </a:r>
          <a:r>
            <a:rPr lang="en-US" sz="1100" baseline="0"/>
            <a:t>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12701</xdr:colOff>
      <xdr:row>64</xdr:row>
      <xdr:rowOff>60889</xdr:rowOff>
    </xdr:from>
    <xdr:to>
      <xdr:col>8</xdr:col>
      <xdr:colOff>593272</xdr:colOff>
      <xdr:row>87</xdr:row>
      <xdr:rowOff>119286</xdr:rowOff>
    </xdr:to>
    <xdr:pic>
      <xdr:nvPicPr>
        <xdr:cNvPr id="2" name="图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rot="16200000">
          <a:off x="1820467" y="11025694"/>
          <a:ext cx="4648540" cy="8264071"/>
        </a:xfrm>
        <a:prstGeom prst="rect">
          <a:avLst/>
        </a:prstGeom>
      </xdr:spPr>
    </xdr:pic>
    <xdr:clientData/>
  </xdr:twoCellAnchor>
  <xdr:twoCellAnchor editAs="oneCell">
    <xdr:from>
      <xdr:col>0</xdr:col>
      <xdr:colOff>56243</xdr:colOff>
      <xdr:row>88</xdr:row>
      <xdr:rowOff>58258</xdr:rowOff>
    </xdr:from>
    <xdr:to>
      <xdr:col>8</xdr:col>
      <xdr:colOff>634201</xdr:colOff>
      <xdr:row>109</xdr:row>
      <xdr:rowOff>26893</xdr:rowOff>
    </xdr:to>
    <xdr:pic>
      <xdr:nvPicPr>
        <xdr:cNvPr id="3" name="图片 2">
          <a:extLst>
            <a:ext uri="{FF2B5EF4-FFF2-40B4-BE49-F238E27FC236}">
              <a16:creationId xmlns:a16="http://schemas.microsoft.com/office/drawing/2014/main" id="{00000000-0008-0000-0000-000003000000}"/>
            </a:ext>
          </a:extLst>
        </xdr:cNvPr>
        <xdr:cNvPicPr>
          <a:picLocks noChangeAspect="1"/>
        </xdr:cNvPicPr>
      </xdr:nvPicPr>
      <xdr:blipFill rotWithShape="1">
        <a:blip xmlns:r="http://schemas.openxmlformats.org/officeDocument/2006/relationships" r:embed="rId2"/>
        <a:srcRect l="19065"/>
        <a:stretch/>
      </xdr:blipFill>
      <xdr:spPr>
        <a:xfrm rot="16200000">
          <a:off x="2507951" y="14962221"/>
          <a:ext cx="4110329" cy="901374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10</xdr:col>
      <xdr:colOff>279400</xdr:colOff>
      <xdr:row>28</xdr:row>
      <xdr:rowOff>179070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hqprint">
          <a:extLst>
            <a:ext uri="{28A0092B-C50C-407E-A947-70E740481C1C}">
              <a14:useLocalDpi xmlns:a14="http://schemas.microsoft.com/office/drawing/2010/main" val="0"/>
            </a:ext>
          </a:extLst>
        </a:blip>
        <a:stretch>
          <a:fillRect/>
        </a:stretch>
      </xdr:blipFill>
      <xdr:spPr>
        <a:xfrm>
          <a:off x="701040" y="571500"/>
          <a:ext cx="6588760" cy="494157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9</xdr:col>
      <xdr:colOff>26670</xdr:colOff>
      <xdr:row>25</xdr:row>
      <xdr:rowOff>35243</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hqprint">
          <a:extLst>
            <a:ext uri="{28A0092B-C50C-407E-A947-70E740481C1C}">
              <a14:useLocalDpi xmlns:a14="http://schemas.microsoft.com/office/drawing/2010/main" val="0"/>
            </a:ext>
          </a:extLst>
        </a:blip>
        <a:stretch>
          <a:fillRect/>
        </a:stretch>
      </xdr:blipFill>
      <xdr:spPr>
        <a:xfrm>
          <a:off x="701040" y="571500"/>
          <a:ext cx="5634990" cy="422624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3</xdr:row>
      <xdr:rowOff>1</xdr:rowOff>
    </xdr:from>
    <xdr:to>
      <xdr:col>10</xdr:col>
      <xdr:colOff>353348</xdr:colOff>
      <xdr:row>18</xdr:row>
      <xdr:rowOff>152401</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hqprint">
          <a:extLst>
            <a:ext uri="{28A0092B-C50C-407E-A947-70E740481C1C}">
              <a14:useLocalDpi xmlns:a14="http://schemas.microsoft.com/office/drawing/2010/main" val="0"/>
            </a:ext>
          </a:extLst>
        </a:blip>
        <a:stretch>
          <a:fillRect/>
        </a:stretch>
      </xdr:blipFill>
      <xdr:spPr>
        <a:xfrm>
          <a:off x="701040" y="571501"/>
          <a:ext cx="6662708" cy="30099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11</xdr:col>
      <xdr:colOff>71120</xdr:colOff>
      <xdr:row>29</xdr:row>
      <xdr:rowOff>167640</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hqprint">
          <a:extLst>
            <a:ext uri="{28A0092B-C50C-407E-A947-70E740481C1C}">
              <a14:useLocalDpi xmlns:a14="http://schemas.microsoft.com/office/drawing/2010/main" val="0"/>
            </a:ext>
          </a:extLst>
        </a:blip>
        <a:stretch>
          <a:fillRect/>
        </a:stretch>
      </xdr:blipFill>
      <xdr:spPr>
        <a:xfrm>
          <a:off x="701040" y="381000"/>
          <a:ext cx="7081520" cy="53111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818583</xdr:colOff>
      <xdr:row>20</xdr:row>
      <xdr:rowOff>116416</xdr:rowOff>
    </xdr:from>
    <xdr:to>
      <xdr:col>4</xdr:col>
      <xdr:colOff>551111</xdr:colOff>
      <xdr:row>26</xdr:row>
      <xdr:rowOff>105833</xdr:rowOff>
    </xdr:to>
    <xdr:pic>
      <xdr:nvPicPr>
        <xdr:cNvPr id="2" name="图片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hqprint">
          <a:extLst>
            <a:ext uri="{28A0092B-C50C-407E-A947-70E740481C1C}">
              <a14:useLocalDpi xmlns:a14="http://schemas.microsoft.com/office/drawing/2010/main" val="0"/>
            </a:ext>
          </a:extLst>
        </a:blip>
        <a:stretch>
          <a:fillRect/>
        </a:stretch>
      </xdr:blipFill>
      <xdr:spPr>
        <a:xfrm rot="16200000">
          <a:off x="1759055" y="3197611"/>
          <a:ext cx="1195917" cy="3076861"/>
        </a:xfrm>
        <a:prstGeom prst="rect">
          <a:avLst/>
        </a:prstGeom>
      </xdr:spPr>
    </xdr:pic>
    <xdr:clientData/>
  </xdr:twoCellAnchor>
  <xdr:twoCellAnchor editAs="oneCell">
    <xdr:from>
      <xdr:col>1</xdr:col>
      <xdr:colOff>3666</xdr:colOff>
      <xdr:row>27</xdr:row>
      <xdr:rowOff>200102</xdr:rowOff>
    </xdr:from>
    <xdr:to>
      <xdr:col>7</xdr:col>
      <xdr:colOff>179917</xdr:colOff>
      <xdr:row>32</xdr:row>
      <xdr:rowOff>92567</xdr:rowOff>
    </xdr:to>
    <xdr:pic>
      <xdr:nvPicPr>
        <xdr:cNvPr id="3" name="图片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cstate="hqprint">
          <a:extLst>
            <a:ext uri="{28A0092B-C50C-407E-A947-70E740481C1C}">
              <a14:useLocalDpi xmlns:a14="http://schemas.microsoft.com/office/drawing/2010/main" val="0"/>
            </a:ext>
          </a:extLst>
        </a:blip>
        <a:stretch>
          <a:fillRect/>
        </a:stretch>
      </xdr:blipFill>
      <xdr:spPr>
        <a:xfrm rot="16200000">
          <a:off x="3204142" y="3254376"/>
          <a:ext cx="897882" cy="5647834"/>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16205-C193-4EB1-8EE1-0C682C5C314D}">
  <dimension ref="I2:K11"/>
  <sheetViews>
    <sheetView tabSelected="1" zoomScale="130" zoomScaleNormal="130" workbookViewId="0">
      <selection activeCell="K22" sqref="K22"/>
    </sheetView>
  </sheetViews>
  <sheetFormatPr defaultRowHeight="15.75" x14ac:dyDescent="0.25"/>
  <cols>
    <col min="9" max="9" width="8" bestFit="1" customWidth="1"/>
    <col min="10" max="10" width="7.125" bestFit="1" customWidth="1"/>
    <col min="11" max="11" width="16.5" bestFit="1" customWidth="1"/>
  </cols>
  <sheetData>
    <row r="2" spans="9:11" x14ac:dyDescent="0.25">
      <c r="I2" t="s">
        <v>110</v>
      </c>
      <c r="J2" t="s">
        <v>111</v>
      </c>
      <c r="K2" t="s">
        <v>112</v>
      </c>
    </row>
    <row r="3" spans="9:11" x14ac:dyDescent="0.25">
      <c r="I3">
        <v>1</v>
      </c>
      <c r="J3" s="40">
        <v>0.15</v>
      </c>
      <c r="K3" s="41">
        <v>1</v>
      </c>
    </row>
    <row r="4" spans="9:11" x14ac:dyDescent="0.25">
      <c r="I4">
        <v>2</v>
      </c>
      <c r="J4" s="40">
        <v>0.15</v>
      </c>
      <c r="K4" s="41">
        <v>0.8</v>
      </c>
    </row>
    <row r="5" spans="9:11" x14ac:dyDescent="0.25">
      <c r="I5">
        <v>3</v>
      </c>
      <c r="J5" s="40">
        <v>0.15</v>
      </c>
      <c r="K5" s="41">
        <v>0.85</v>
      </c>
    </row>
    <row r="6" spans="9:11" x14ac:dyDescent="0.25">
      <c r="I6">
        <v>4</v>
      </c>
      <c r="J6" s="40">
        <v>0.15</v>
      </c>
      <c r="K6" s="41">
        <v>1</v>
      </c>
    </row>
    <row r="7" spans="9:11" x14ac:dyDescent="0.25">
      <c r="I7">
        <v>5</v>
      </c>
      <c r="J7" s="40">
        <v>0.1</v>
      </c>
      <c r="K7" s="41">
        <v>1</v>
      </c>
    </row>
    <row r="8" spans="9:11" x14ac:dyDescent="0.25">
      <c r="I8">
        <v>6</v>
      </c>
      <c r="J8" s="40">
        <v>0.15</v>
      </c>
      <c r="K8" s="41">
        <v>1</v>
      </c>
    </row>
    <row r="9" spans="9:11" x14ac:dyDescent="0.25">
      <c r="I9">
        <v>7</v>
      </c>
      <c r="J9" s="40">
        <v>0.15</v>
      </c>
      <c r="K9" s="41">
        <v>0.9</v>
      </c>
    </row>
    <row r="11" spans="9:11" x14ac:dyDescent="0.25">
      <c r="J11" t="s">
        <v>113</v>
      </c>
      <c r="K11" s="42">
        <f>SUMPRODUCT(J3:J9,K3:K9)</f>
        <v>0.9325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工作表1"/>
  <dimension ref="A2:F44"/>
  <sheetViews>
    <sheetView topLeftCell="A34" zoomScale="116" zoomScaleNormal="85" zoomScalePageLayoutView="140" workbookViewId="0">
      <selection activeCell="A44" sqref="A44"/>
    </sheetView>
  </sheetViews>
  <sheetFormatPr defaultColWidth="10.875" defaultRowHeight="15.75" x14ac:dyDescent="0.25"/>
  <cols>
    <col min="1" max="1" width="13.125" style="2" customWidth="1"/>
    <col min="2" max="2" width="14.375" style="2" bestFit="1" customWidth="1"/>
    <col min="3" max="3" width="14.375" style="2" customWidth="1"/>
    <col min="4" max="4" width="15.625" style="2" customWidth="1"/>
    <col min="5" max="16384" width="10.875" style="2"/>
  </cols>
  <sheetData>
    <row r="2" spans="1:6" x14ac:dyDescent="0.25">
      <c r="A2" s="2" t="s">
        <v>7</v>
      </c>
      <c r="B2" s="3" t="s">
        <v>0</v>
      </c>
      <c r="C2" s="3" t="s">
        <v>1</v>
      </c>
      <c r="D2" s="3"/>
    </row>
    <row r="3" spans="1:6" x14ac:dyDescent="0.25">
      <c r="A3" s="2">
        <v>0</v>
      </c>
      <c r="B3" s="3">
        <v>0</v>
      </c>
      <c r="C3" s="3">
        <v>1</v>
      </c>
    </row>
    <row r="4" spans="1:6" x14ac:dyDescent="0.25">
      <c r="A4" s="2">
        <f>B4*12</f>
        <v>3</v>
      </c>
      <c r="B4" s="3">
        <v>0.25</v>
      </c>
      <c r="C4" s="3">
        <v>0.99782972000000003</v>
      </c>
    </row>
    <row r="5" spans="1:6" x14ac:dyDescent="0.25">
      <c r="A5" s="2">
        <f t="shared" ref="A5:A6" si="0">B5*12</f>
        <v>6</v>
      </c>
      <c r="B5" s="3">
        <v>0.5</v>
      </c>
      <c r="C5" s="3">
        <v>0.99484518499999997</v>
      </c>
    </row>
    <row r="6" spans="1:6" x14ac:dyDescent="0.25">
      <c r="A6" s="2">
        <f t="shared" si="0"/>
        <v>12</v>
      </c>
      <c r="B6" s="3">
        <v>1</v>
      </c>
      <c r="C6" s="3">
        <v>0.98743938899999995</v>
      </c>
    </row>
    <row r="8" spans="1:6" x14ac:dyDescent="0.25">
      <c r="A8" s="5" t="s">
        <v>2</v>
      </c>
    </row>
    <row r="10" spans="1:6" x14ac:dyDescent="0.25">
      <c r="A10" s="2" t="s">
        <v>16</v>
      </c>
    </row>
    <row r="11" spans="1:6" x14ac:dyDescent="0.25">
      <c r="A11" s="2" t="s">
        <v>9</v>
      </c>
      <c r="B11" s="2" t="s">
        <v>10</v>
      </c>
    </row>
    <row r="12" spans="1:6" x14ac:dyDescent="0.25">
      <c r="A12" s="2" t="s">
        <v>8</v>
      </c>
      <c r="B12" s="6">
        <f>(C4/C5-1)/(B5-B4)</f>
        <v>1.1999997768497472E-2</v>
      </c>
    </row>
    <row r="15" spans="1:6" x14ac:dyDescent="0.25">
      <c r="A15" s="5" t="s">
        <v>3</v>
      </c>
      <c r="B15" s="5"/>
      <c r="C15" s="5"/>
      <c r="D15" s="5"/>
      <c r="E15" s="5"/>
      <c r="F15" s="5"/>
    </row>
    <row r="16" spans="1:6" x14ac:dyDescent="0.25">
      <c r="A16" s="5" t="s">
        <v>4</v>
      </c>
      <c r="B16" s="5"/>
      <c r="C16" s="5"/>
      <c r="D16" s="5"/>
      <c r="E16" s="5"/>
      <c r="F16" s="5"/>
    </row>
    <row r="17" spans="1:6" x14ac:dyDescent="0.25">
      <c r="A17" s="5" t="s">
        <v>5</v>
      </c>
      <c r="B17" s="5"/>
      <c r="C17" s="5"/>
      <c r="D17" s="5"/>
      <c r="E17" s="5"/>
      <c r="F17" s="5"/>
    </row>
    <row r="18" spans="1:6" x14ac:dyDescent="0.25">
      <c r="A18" s="5" t="s">
        <v>6</v>
      </c>
      <c r="B18" s="5"/>
      <c r="C18" s="5"/>
      <c r="D18" s="5"/>
      <c r="E18" s="5"/>
      <c r="F18" s="5"/>
    </row>
    <row r="20" spans="1:6" x14ac:dyDescent="0.25">
      <c r="A20" s="4" t="s">
        <v>11</v>
      </c>
      <c r="B20" s="4" t="s">
        <v>12</v>
      </c>
      <c r="C20" s="2" t="s">
        <v>13</v>
      </c>
      <c r="D20" s="2" t="s">
        <v>15</v>
      </c>
    </row>
    <row r="21" spans="1:6" x14ac:dyDescent="0.25">
      <c r="A21" s="4">
        <v>0.5</v>
      </c>
      <c r="B21" s="4">
        <v>0.75</v>
      </c>
      <c r="C21" s="2">
        <v>0.01</v>
      </c>
      <c r="D21" s="2">
        <v>10</v>
      </c>
    </row>
    <row r="22" spans="1:6" x14ac:dyDescent="0.25">
      <c r="A22" s="4"/>
      <c r="B22" s="4"/>
    </row>
    <row r="23" spans="1:6" x14ac:dyDescent="0.25">
      <c r="A23" s="2" t="s">
        <v>18</v>
      </c>
    </row>
    <row r="24" spans="1:6" x14ac:dyDescent="0.25">
      <c r="A24" s="2" t="s">
        <v>17</v>
      </c>
      <c r="B24" s="2">
        <f>-(LN(C6)-LN(C5))/(B6-B5)</f>
        <v>1.4944030848438507E-2</v>
      </c>
    </row>
    <row r="26" spans="1:6" x14ac:dyDescent="0.25">
      <c r="A26" s="2" t="s">
        <v>19</v>
      </c>
    </row>
    <row r="27" spans="1:6" x14ac:dyDescent="0.25">
      <c r="A27" s="2" t="s">
        <v>20</v>
      </c>
      <c r="B27" s="2">
        <f>C5*EXP(-B24*(B21-A21))</f>
        <v>0.99113536998030294</v>
      </c>
    </row>
    <row r="29" spans="1:6" x14ac:dyDescent="0.25">
      <c r="A29" s="2" t="s">
        <v>21</v>
      </c>
    </row>
    <row r="30" spans="1:6" x14ac:dyDescent="0.25">
      <c r="A30" s="6">
        <f>D21*B27*(C21-B24)*(B21-A21)</f>
        <v>-1.2250509610402829E-2</v>
      </c>
    </row>
    <row r="33" spans="1:2" x14ac:dyDescent="0.25">
      <c r="A33" s="2" t="s">
        <v>22</v>
      </c>
    </row>
    <row r="34" spans="1:2" x14ac:dyDescent="0.25">
      <c r="A34" s="2" t="s">
        <v>23</v>
      </c>
    </row>
    <row r="35" spans="1:2" x14ac:dyDescent="0.25">
      <c r="A35" s="2" t="s">
        <v>26</v>
      </c>
    </row>
    <row r="36" spans="1:2" x14ac:dyDescent="0.25">
      <c r="A36" s="2" t="s">
        <v>27</v>
      </c>
    </row>
    <row r="37" spans="1:2" x14ac:dyDescent="0.25">
      <c r="A37" s="2" t="s">
        <v>40</v>
      </c>
    </row>
    <row r="38" spans="1:2" x14ac:dyDescent="0.25">
      <c r="A38" s="2" t="s">
        <v>24</v>
      </c>
    </row>
    <row r="39" spans="1:2" x14ac:dyDescent="0.25">
      <c r="A39" s="2" t="s">
        <v>25</v>
      </c>
    </row>
    <row r="41" spans="1:2" x14ac:dyDescent="0.25">
      <c r="A41" s="2" t="s">
        <v>28</v>
      </c>
      <c r="B41" s="2" t="s">
        <v>12</v>
      </c>
    </row>
    <row r="42" spans="1:2" x14ac:dyDescent="0.25">
      <c r="A42" s="2">
        <v>0.5</v>
      </c>
      <c r="B42" s="2">
        <v>1</v>
      </c>
    </row>
    <row r="43" spans="1:2" x14ac:dyDescent="0.25">
      <c r="A43" s="2" t="s">
        <v>29</v>
      </c>
    </row>
    <row r="44" spans="1:2" x14ac:dyDescent="0.25">
      <c r="A44" s="6">
        <f>(C5/C6-1)/(B42-A42)</f>
        <v>1.5000001179819478E-2</v>
      </c>
    </row>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工作表2"/>
  <dimension ref="A1:I59"/>
  <sheetViews>
    <sheetView topLeftCell="A25" zoomScale="85" zoomScaleNormal="85" zoomScalePageLayoutView="130" workbookViewId="0">
      <selection activeCell="J33" sqref="J33"/>
    </sheetView>
  </sheetViews>
  <sheetFormatPr defaultColWidth="10.875" defaultRowHeight="15.75" x14ac:dyDescent="0.25"/>
  <cols>
    <col min="1" max="1" width="10.875" style="2"/>
    <col min="2" max="2" width="12.125" style="2" customWidth="1"/>
    <col min="3" max="4" width="15.5" style="2" customWidth="1"/>
    <col min="5" max="5" width="14" style="2" customWidth="1"/>
    <col min="6" max="16384" width="10.875" style="2"/>
  </cols>
  <sheetData>
    <row r="1" spans="1:8" x14ac:dyDescent="0.25">
      <c r="A1" s="2" t="s">
        <v>45</v>
      </c>
    </row>
    <row r="2" spans="1:8" x14ac:dyDescent="0.25">
      <c r="B2" s="2" t="s">
        <v>0</v>
      </c>
      <c r="D2" s="2" t="s">
        <v>30</v>
      </c>
    </row>
    <row r="3" spans="1:8" x14ac:dyDescent="0.25">
      <c r="B3" s="2">
        <v>0.25</v>
      </c>
      <c r="D3" s="2">
        <v>1.2E-2</v>
      </c>
    </row>
    <row r="4" spans="1:8" x14ac:dyDescent="0.25">
      <c r="B4" s="2">
        <v>0.5</v>
      </c>
      <c r="D4" s="2">
        <v>1.55E-2</v>
      </c>
    </row>
    <row r="5" spans="1:8" x14ac:dyDescent="0.25">
      <c r="B5" s="2">
        <v>1</v>
      </c>
      <c r="D5" s="2">
        <v>1.7999999999999999E-2</v>
      </c>
    </row>
    <row r="6" spans="1:8" x14ac:dyDescent="0.25">
      <c r="B6" s="2">
        <v>2</v>
      </c>
      <c r="D6" s="2">
        <v>0.02</v>
      </c>
    </row>
    <row r="8" spans="1:8" x14ac:dyDescent="0.25">
      <c r="A8" s="2" t="s">
        <v>31</v>
      </c>
    </row>
    <row r="9" spans="1:8" x14ac:dyDescent="0.25">
      <c r="A9" s="2" t="s">
        <v>32</v>
      </c>
    </row>
    <row r="10" spans="1:8" x14ac:dyDescent="0.25">
      <c r="A10" s="2" t="s">
        <v>33</v>
      </c>
      <c r="F10" s="7" t="s">
        <v>14</v>
      </c>
      <c r="G10" s="15"/>
      <c r="H10" s="8">
        <v>100</v>
      </c>
    </row>
    <row r="11" spans="1:8" x14ac:dyDescent="0.25">
      <c r="A11" s="2" t="s">
        <v>34</v>
      </c>
      <c r="F11" s="9" t="s">
        <v>41</v>
      </c>
      <c r="G11" s="16"/>
      <c r="H11" s="10">
        <v>4</v>
      </c>
    </row>
    <row r="12" spans="1:8" x14ac:dyDescent="0.25">
      <c r="A12" s="2" t="s">
        <v>35</v>
      </c>
      <c r="F12" s="9" t="s">
        <v>12</v>
      </c>
      <c r="G12" s="16"/>
      <c r="H12" s="10">
        <v>1.2</v>
      </c>
    </row>
    <row r="13" spans="1:8" x14ac:dyDescent="0.25">
      <c r="A13" s="2" t="s">
        <v>51</v>
      </c>
      <c r="F13" s="9" t="s">
        <v>42</v>
      </c>
      <c r="G13" s="16"/>
      <c r="H13" s="10">
        <v>0.02</v>
      </c>
    </row>
    <row r="14" spans="1:8" x14ac:dyDescent="0.25">
      <c r="A14" s="2" t="s">
        <v>108</v>
      </c>
      <c r="F14" s="11" t="s">
        <v>43</v>
      </c>
      <c r="G14" s="17"/>
      <c r="H14" s="12">
        <v>1.4500000000000001E-2</v>
      </c>
    </row>
    <row r="16" spans="1:8" x14ac:dyDescent="0.25">
      <c r="A16" s="2" t="s">
        <v>36</v>
      </c>
    </row>
    <row r="17" spans="1:9" x14ac:dyDescent="0.25">
      <c r="A17" s="2" t="s">
        <v>37</v>
      </c>
    </row>
    <row r="18" spans="1:9" x14ac:dyDescent="0.25">
      <c r="A18" s="2" t="s">
        <v>38</v>
      </c>
    </row>
    <row r="20" spans="1:9" x14ac:dyDescent="0.25">
      <c r="A20" s="2" t="s">
        <v>39</v>
      </c>
    </row>
    <row r="21" spans="1:9" x14ac:dyDescent="0.25">
      <c r="A21" s="7" t="s">
        <v>67</v>
      </c>
      <c r="B21" s="15" t="s">
        <v>0</v>
      </c>
      <c r="C21" s="15" t="s">
        <v>64</v>
      </c>
      <c r="D21" s="15" t="s">
        <v>65</v>
      </c>
      <c r="E21" s="15" t="s">
        <v>47</v>
      </c>
      <c r="F21" s="15" t="s">
        <v>46</v>
      </c>
      <c r="G21" s="15" t="s">
        <v>66</v>
      </c>
      <c r="H21" s="8" t="s">
        <v>44</v>
      </c>
    </row>
    <row r="22" spans="1:9" x14ac:dyDescent="0.25">
      <c r="A22" s="9"/>
      <c r="B22" s="16">
        <v>-0.05</v>
      </c>
      <c r="C22" s="16"/>
      <c r="D22" s="16"/>
      <c r="E22" s="16"/>
      <c r="F22" s="16"/>
      <c r="G22" s="16"/>
      <c r="H22" s="10"/>
    </row>
    <row r="23" spans="1:9" x14ac:dyDescent="0.25">
      <c r="A23" s="9">
        <v>0</v>
      </c>
      <c r="B23" s="16">
        <v>0</v>
      </c>
      <c r="C23" s="16"/>
      <c r="D23" s="16"/>
      <c r="E23" s="16">
        <v>1</v>
      </c>
      <c r="F23" s="16"/>
      <c r="G23" s="16"/>
      <c r="H23" s="10"/>
      <c r="I23" s="2" t="s">
        <v>63</v>
      </c>
    </row>
    <row r="24" spans="1:9" x14ac:dyDescent="0.25">
      <c r="A24" s="9">
        <v>1</v>
      </c>
      <c r="B24" s="16">
        <f>B22+0.25</f>
        <v>0.2</v>
      </c>
      <c r="C24" s="16">
        <f>0.012</f>
        <v>1.2E-2</v>
      </c>
      <c r="D24" s="16">
        <f>C24+$H$13</f>
        <v>3.2000000000000001E-2</v>
      </c>
      <c r="E24" s="16">
        <f>EXP(-C24*B24)</f>
        <v>0.99760287769738176</v>
      </c>
      <c r="F24" s="16">
        <v>3.4500000000000003E-2</v>
      </c>
      <c r="G24" s="16">
        <f>F24</f>
        <v>3.4500000000000003E-2</v>
      </c>
      <c r="H24" s="33">
        <f>$H$10*G24*0.25</f>
        <v>0.86250000000000004</v>
      </c>
    </row>
    <row r="25" spans="1:9" x14ac:dyDescent="0.25">
      <c r="A25" s="9">
        <v>2</v>
      </c>
      <c r="B25" s="16">
        <f t="shared" ref="B25:B28" si="0">B24+0.25</f>
        <v>0.45</v>
      </c>
      <c r="C25" s="16">
        <f>($D$4-$D$3)/($B$4-$B$3)*(B25-$B$3)+$D$3</f>
        <v>1.4800000000000001E-2</v>
      </c>
      <c r="D25" s="16">
        <f>C25+$H$13</f>
        <v>3.4799999999999998E-2</v>
      </c>
      <c r="E25" s="16">
        <f>EXP(-C25*B25)</f>
        <v>0.99336212864715068</v>
      </c>
      <c r="F25" s="16">
        <f>(D25*B25-D24*B24)/(B25-B24)</f>
        <v>3.7040000000000003E-2</v>
      </c>
      <c r="G25" s="16">
        <f>F25</f>
        <v>3.7040000000000003E-2</v>
      </c>
      <c r="H25" s="33">
        <f>$H$10*G25*0.25</f>
        <v>0.92600000000000005</v>
      </c>
    </row>
    <row r="26" spans="1:9" x14ac:dyDescent="0.25">
      <c r="A26" s="9">
        <v>3</v>
      </c>
      <c r="B26" s="16">
        <f t="shared" si="0"/>
        <v>0.7</v>
      </c>
      <c r="C26" s="16">
        <f>($D$5-$D$4)/($B$5-$B$4)*(B26-$B$4)+$D$4</f>
        <v>1.6500000000000001E-2</v>
      </c>
      <c r="D26" s="16">
        <f>C26+$H$13</f>
        <v>3.6500000000000005E-2</v>
      </c>
      <c r="E26" s="16">
        <f t="shared" ref="E26:E28" si="1">EXP(-C26*B26)</f>
        <v>0.98851644518998738</v>
      </c>
      <c r="F26" s="16">
        <f>(D26*B26-D25*B25)/(B26-B25)</f>
        <v>3.9560000000000019E-2</v>
      </c>
      <c r="G26" s="16">
        <f>F26</f>
        <v>3.9560000000000019E-2</v>
      </c>
      <c r="H26" s="33">
        <f>$H$10*G26*0.25</f>
        <v>0.98900000000000043</v>
      </c>
    </row>
    <row r="27" spans="1:9" x14ac:dyDescent="0.25">
      <c r="A27" s="9">
        <v>4</v>
      </c>
      <c r="B27" s="16">
        <f t="shared" si="0"/>
        <v>0.95</v>
      </c>
      <c r="C27" s="16">
        <f>($D$5-$D$4)/($B$5-$B$4)*(B27-$B$4)+$D$4</f>
        <v>1.7749999999999998E-2</v>
      </c>
      <c r="D27" s="16">
        <f>C27+$H$13</f>
        <v>3.7749999999999999E-2</v>
      </c>
      <c r="E27" s="16">
        <f t="shared" si="1"/>
        <v>0.98327887618575305</v>
      </c>
      <c r="F27" s="16">
        <f>(D27*B27-D26*B26)/(B27-B26)</f>
        <v>4.1249999999999981E-2</v>
      </c>
      <c r="G27" s="16">
        <f>F27</f>
        <v>4.1249999999999981E-2</v>
      </c>
      <c r="H27" s="33">
        <f>$H$10*G27*0.25</f>
        <v>1.0312499999999996</v>
      </c>
    </row>
    <row r="28" spans="1:9" x14ac:dyDescent="0.25">
      <c r="A28" s="11">
        <v>5</v>
      </c>
      <c r="B28" s="17">
        <f t="shared" si="0"/>
        <v>1.2</v>
      </c>
      <c r="C28" s="17">
        <f>($D$6-$D$5)/($B$6-$B$5)*(B28-$B$5)+$D$5</f>
        <v>1.84E-2</v>
      </c>
      <c r="D28" s="17">
        <f>C28+$H$13</f>
        <v>3.8400000000000004E-2</v>
      </c>
      <c r="E28" s="17">
        <f t="shared" si="1"/>
        <v>0.97816197896269119</v>
      </c>
      <c r="F28" s="17">
        <f>(D28*B28-D27*B27)/(B28-B27)</f>
        <v>4.0870000000000017E-2</v>
      </c>
      <c r="G28" s="17">
        <f>F28</f>
        <v>4.0870000000000017E-2</v>
      </c>
      <c r="H28" s="34">
        <f>$H$10*G28*0.25+H10</f>
        <v>101.02175</v>
      </c>
    </row>
    <row r="29" spans="1:9" x14ac:dyDescent="0.25">
      <c r="H29" s="14"/>
    </row>
    <row r="30" spans="1:9" x14ac:dyDescent="0.25">
      <c r="G30" s="2">
        <f>H25*E25</f>
        <v>0.91985333112726153</v>
      </c>
      <c r="I30" s="14"/>
    </row>
    <row r="31" spans="1:9" x14ac:dyDescent="0.25">
      <c r="A31" s="2" t="s">
        <v>48</v>
      </c>
      <c r="I31" s="14"/>
    </row>
    <row r="32" spans="1:9" x14ac:dyDescent="0.25">
      <c r="A32" s="6">
        <f>SUMPRODUCT(H24:H28,E24:E28)</f>
        <v>102.58756981677494</v>
      </c>
      <c r="I32" s="14"/>
    </row>
    <row r="33" spans="1:9" x14ac:dyDescent="0.25">
      <c r="I33" s="14"/>
    </row>
    <row r="34" spans="1:9" x14ac:dyDescent="0.25">
      <c r="I34" s="14"/>
    </row>
    <row r="35" spans="1:9" x14ac:dyDescent="0.25">
      <c r="A35" s="2" t="s">
        <v>49</v>
      </c>
      <c r="I35" s="14"/>
    </row>
    <row r="36" spans="1:9" x14ac:dyDescent="0.25">
      <c r="A36" s="2" t="s">
        <v>50</v>
      </c>
      <c r="I36" s="14"/>
    </row>
    <row r="37" spans="1:9" hidden="1" x14ac:dyDescent="0.25">
      <c r="A37" s="6" t="s">
        <v>68</v>
      </c>
      <c r="B37" s="6">
        <f>-1/A32*(-SUMPRODUCT(E24:E28,B24:B28,H24:H28))</f>
        <v>1.1776518202754263</v>
      </c>
      <c r="I37" s="14"/>
    </row>
    <row r="38" spans="1:9" hidden="1" x14ac:dyDescent="0.25">
      <c r="A38" s="6" t="s">
        <v>69</v>
      </c>
      <c r="B38" s="6">
        <f>1/A32*SUMPRODUCT(E24:E28,B24:B28,B24:B28,H24:H28)</f>
        <v>1.402795560774976</v>
      </c>
      <c r="I38" s="14"/>
    </row>
    <row r="39" spans="1:9" x14ac:dyDescent="0.25">
      <c r="A39" s="7" t="s">
        <v>67</v>
      </c>
      <c r="B39" s="15" t="s">
        <v>0</v>
      </c>
      <c r="C39" s="15" t="s">
        <v>64</v>
      </c>
      <c r="D39" s="15" t="s">
        <v>65</v>
      </c>
      <c r="E39" s="15" t="s">
        <v>47</v>
      </c>
      <c r="F39" s="15" t="s">
        <v>46</v>
      </c>
      <c r="G39" s="15" t="s">
        <v>66</v>
      </c>
      <c r="H39" s="8" t="s">
        <v>44</v>
      </c>
    </row>
    <row r="40" spans="1:9" x14ac:dyDescent="0.25">
      <c r="A40" s="9"/>
      <c r="B40" s="16">
        <v>-0.05</v>
      </c>
      <c r="C40" s="16"/>
      <c r="D40" s="16"/>
      <c r="E40" s="16"/>
      <c r="F40" s="16"/>
      <c r="G40" s="16"/>
      <c r="H40" s="10"/>
    </row>
    <row r="41" spans="1:9" x14ac:dyDescent="0.25">
      <c r="A41" s="9">
        <v>0</v>
      </c>
      <c r="B41" s="16">
        <v>0</v>
      </c>
      <c r="C41" s="16"/>
      <c r="D41" s="16"/>
      <c r="E41" s="16">
        <v>1</v>
      </c>
      <c r="F41" s="16"/>
      <c r="G41" s="16"/>
      <c r="H41" s="10"/>
    </row>
    <row r="42" spans="1:9" x14ac:dyDescent="0.25">
      <c r="A42" s="9">
        <v>1</v>
      </c>
      <c r="B42" s="16">
        <f>B40+0.25</f>
        <v>0.2</v>
      </c>
      <c r="C42" s="16">
        <f>0.012+0.0001</f>
        <v>1.21E-2</v>
      </c>
      <c r="D42" s="16">
        <f>C42+$H$13</f>
        <v>3.2100000000000004E-2</v>
      </c>
      <c r="E42" s="16">
        <f>EXP(-C42*B42)</f>
        <v>0.99758292583934705</v>
      </c>
      <c r="F42" s="16">
        <v>3.4599999999999999E-2</v>
      </c>
      <c r="G42" s="16">
        <f>F42</f>
        <v>3.4599999999999999E-2</v>
      </c>
      <c r="H42" s="33">
        <f>$H$10*G42*0.25</f>
        <v>0.86499999999999999</v>
      </c>
    </row>
    <row r="43" spans="1:9" x14ac:dyDescent="0.25">
      <c r="A43" s="9">
        <v>2</v>
      </c>
      <c r="B43" s="16">
        <f t="shared" ref="B43:B46" si="2">B42+0.25</f>
        <v>0.45</v>
      </c>
      <c r="C43" s="16">
        <f>($D$4-$D$3)/($B$4-$B$3)*(B43-$B$3)+$D$3+0.0001</f>
        <v>1.49E-2</v>
      </c>
      <c r="D43" s="16">
        <f>C43+$H$13</f>
        <v>3.49E-2</v>
      </c>
      <c r="E43" s="16">
        <f t="shared" ref="E43:E46" si="3">EXP(-C43*B43)</f>
        <v>0.99331742835712566</v>
      </c>
      <c r="F43" s="16">
        <f>(D43*B43-D42*B42)/(B43-B42)</f>
        <v>3.7139999999999992E-2</v>
      </c>
      <c r="G43" s="16">
        <f>F43</f>
        <v>3.7139999999999992E-2</v>
      </c>
      <c r="H43" s="33">
        <f>$H$10*G43*0.25</f>
        <v>0.92849999999999977</v>
      </c>
    </row>
    <row r="44" spans="1:9" x14ac:dyDescent="0.25">
      <c r="A44" s="9">
        <v>3</v>
      </c>
      <c r="B44" s="16">
        <f t="shared" si="2"/>
        <v>0.7</v>
      </c>
      <c r="C44" s="16">
        <f>($D$5-$D$4)/($B$5-$B$4)*(B44-$B$4)+$D$4+0.0001</f>
        <v>1.66E-2</v>
      </c>
      <c r="D44" s="16">
        <f>C44+$H$13</f>
        <v>3.6600000000000001E-2</v>
      </c>
      <c r="E44" s="16">
        <f t="shared" si="3"/>
        <v>0.98844725146063284</v>
      </c>
      <c r="F44" s="16">
        <f>(D44*B44-D43*B43)/(B44-B43)</f>
        <v>3.9660000000000008E-2</v>
      </c>
      <c r="G44" s="16">
        <f>F44</f>
        <v>3.9660000000000008E-2</v>
      </c>
      <c r="H44" s="33">
        <f>$H$10*G44*0.25</f>
        <v>0.99150000000000016</v>
      </c>
    </row>
    <row r="45" spans="1:9" x14ac:dyDescent="0.25">
      <c r="A45" s="9">
        <v>4</v>
      </c>
      <c r="B45" s="16">
        <f t="shared" si="2"/>
        <v>0.95</v>
      </c>
      <c r="C45" s="16">
        <f>($D$5-$D$4)/($B$5-$B$4)*(B45-$B$4)+$D$4+0.0001</f>
        <v>1.7849999999999998E-2</v>
      </c>
      <c r="D45" s="16">
        <f>C45+$H$13</f>
        <v>3.7849999999999995E-2</v>
      </c>
      <c r="E45" s="16">
        <f t="shared" si="3"/>
        <v>0.98318546912942084</v>
      </c>
      <c r="F45" s="16">
        <f>(D45*B45-D44*B44)/(B45-B44)</f>
        <v>4.1349999999999984E-2</v>
      </c>
      <c r="G45" s="16">
        <f>F45</f>
        <v>4.1349999999999984E-2</v>
      </c>
      <c r="H45" s="33">
        <f>$H$10*G45*0.25</f>
        <v>1.0337499999999995</v>
      </c>
    </row>
    <row r="46" spans="1:9" x14ac:dyDescent="0.25">
      <c r="A46" s="11">
        <v>5</v>
      </c>
      <c r="B46" s="17">
        <f t="shared" si="2"/>
        <v>1.2</v>
      </c>
      <c r="C46" s="17">
        <f>($D$6-$D$5)/($B$6-$B$5)*(B46-$B$5)+$D$5+0.0001</f>
        <v>1.8499999999999999E-2</v>
      </c>
      <c r="D46" s="17">
        <f>C46+$H$13</f>
        <v>3.85E-2</v>
      </c>
      <c r="E46" s="17">
        <f t="shared" si="3"/>
        <v>0.9780446065677002</v>
      </c>
      <c r="F46" s="17">
        <f>(D46*B46-D45*B45)/(B46-B45)</f>
        <v>4.0970000000000006E-2</v>
      </c>
      <c r="G46" s="17">
        <f>F46</f>
        <v>4.0970000000000006E-2</v>
      </c>
      <c r="H46" s="34">
        <f>$H$10*G46*0.25+H10</f>
        <v>101.02424999999999</v>
      </c>
    </row>
    <row r="47" spans="1:9" x14ac:dyDescent="0.25">
      <c r="A47" s="2">
        <f>SUMPRODUCT(E42:E46,H42:H46)</f>
        <v>102.58784073666337</v>
      </c>
      <c r="B47" s="2" t="s">
        <v>109</v>
      </c>
    </row>
    <row r="49" spans="1:8" x14ac:dyDescent="0.25">
      <c r="A49" s="7" t="s">
        <v>67</v>
      </c>
      <c r="B49" s="15" t="s">
        <v>0</v>
      </c>
      <c r="C49" s="15" t="s">
        <v>64</v>
      </c>
      <c r="D49" s="15" t="s">
        <v>65</v>
      </c>
      <c r="E49" s="15" t="s">
        <v>47</v>
      </c>
      <c r="F49" s="15" t="s">
        <v>46</v>
      </c>
      <c r="G49" s="15" t="s">
        <v>66</v>
      </c>
      <c r="H49" s="8" t="s">
        <v>44</v>
      </c>
    </row>
    <row r="50" spans="1:8" x14ac:dyDescent="0.25">
      <c r="A50" s="9"/>
      <c r="B50" s="16">
        <v>-0.05</v>
      </c>
      <c r="C50" s="16"/>
      <c r="D50" s="16"/>
      <c r="E50" s="16"/>
      <c r="F50" s="16"/>
      <c r="G50" s="16"/>
      <c r="H50" s="10"/>
    </row>
    <row r="51" spans="1:8" x14ac:dyDescent="0.25">
      <c r="A51" s="9">
        <v>0</v>
      </c>
      <c r="B51" s="16">
        <v>0</v>
      </c>
      <c r="C51" s="16"/>
      <c r="D51" s="16"/>
      <c r="E51" s="16">
        <v>1</v>
      </c>
      <c r="F51" s="16"/>
      <c r="G51" s="16"/>
      <c r="H51" s="10"/>
    </row>
    <row r="52" spans="1:8" x14ac:dyDescent="0.25">
      <c r="A52" s="9">
        <v>1</v>
      </c>
      <c r="B52" s="16">
        <f>B50+0.25</f>
        <v>0.2</v>
      </c>
      <c r="C52" s="16">
        <f>0.012-0.0001</f>
        <v>1.1900000000000001E-2</v>
      </c>
      <c r="D52" s="16">
        <f>C52+$H$13</f>
        <v>3.1899999999999998E-2</v>
      </c>
      <c r="E52" s="16">
        <f>EXP(-C52*B52)</f>
        <v>0.99762282995445761</v>
      </c>
      <c r="F52" s="16">
        <v>3.44E-2</v>
      </c>
      <c r="G52" s="16">
        <f>F52</f>
        <v>3.44E-2</v>
      </c>
      <c r="H52" s="33">
        <f>$H$10*G52*0.25</f>
        <v>0.86</v>
      </c>
    </row>
    <row r="53" spans="1:8" x14ac:dyDescent="0.25">
      <c r="A53" s="9">
        <v>2</v>
      </c>
      <c r="B53" s="16">
        <f t="shared" ref="B53:B56" si="4">B52+0.25</f>
        <v>0.45</v>
      </c>
      <c r="C53" s="16">
        <f>($D$4-$D$3)/($B$4-$B$3)*(B53-$B$3)+$D$3-0.0001</f>
        <v>1.4700000000000001E-2</v>
      </c>
      <c r="D53" s="16">
        <f>C53+$H$13</f>
        <v>3.4700000000000002E-2</v>
      </c>
      <c r="E53" s="16">
        <f t="shared" ref="E53:E56" si="5">EXP(-C53*B53)</f>
        <v>0.99340683094873405</v>
      </c>
      <c r="F53" s="16">
        <f>(D53*B53-D52*B52)/(B53-B52)</f>
        <v>3.6940000000000001E-2</v>
      </c>
      <c r="G53" s="16">
        <f>F53</f>
        <v>3.6940000000000001E-2</v>
      </c>
      <c r="H53" s="33">
        <f>$H$10*G53*0.25</f>
        <v>0.92349999999999999</v>
      </c>
    </row>
    <row r="54" spans="1:8" x14ac:dyDescent="0.25">
      <c r="A54" s="9">
        <v>3</v>
      </c>
      <c r="B54" s="16">
        <f t="shared" si="4"/>
        <v>0.7</v>
      </c>
      <c r="C54" s="16">
        <f>($D$5-$D$4)/($B$5-$B$4)*(B54-$B$4)+$D$4-0.0001</f>
        <v>1.6400000000000001E-2</v>
      </c>
      <c r="D54" s="16">
        <f>C54+$H$13</f>
        <v>3.6400000000000002E-2</v>
      </c>
      <c r="E54" s="16">
        <f t="shared" si="5"/>
        <v>0.98858564376307245</v>
      </c>
      <c r="F54" s="16">
        <f>(D54*B54-D53*B53)/(B54-B53)</f>
        <v>3.9460000000000002E-2</v>
      </c>
      <c r="G54" s="16">
        <f>F54</f>
        <v>3.9460000000000002E-2</v>
      </c>
      <c r="H54" s="33">
        <f>$H$10*G54*0.25</f>
        <v>0.98650000000000004</v>
      </c>
    </row>
    <row r="55" spans="1:8" x14ac:dyDescent="0.25">
      <c r="A55" s="9">
        <v>4</v>
      </c>
      <c r="B55" s="16">
        <f t="shared" si="4"/>
        <v>0.95</v>
      </c>
      <c r="C55" s="16">
        <f>($D$5-$D$4)/($B$5-$B$4)*(B55-$B$4)+$D$4-0.0001</f>
        <v>1.7649999999999999E-2</v>
      </c>
      <c r="D55" s="16">
        <f>C55+$H$13</f>
        <v>3.7650000000000003E-2</v>
      </c>
      <c r="E55" s="16">
        <f t="shared" si="5"/>
        <v>0.98337229211617716</v>
      </c>
      <c r="F55" s="16">
        <f>(D55*B55-D54*B54)/(B55-B54)</f>
        <v>4.1150000000000006E-2</v>
      </c>
      <c r="G55" s="16">
        <f>F55</f>
        <v>4.1150000000000006E-2</v>
      </c>
      <c r="H55" s="33">
        <f>$H$10*G55*0.25</f>
        <v>1.0287500000000001</v>
      </c>
    </row>
    <row r="56" spans="1:8" x14ac:dyDescent="0.25">
      <c r="A56" s="11">
        <v>5</v>
      </c>
      <c r="B56" s="17">
        <f t="shared" si="4"/>
        <v>1.2</v>
      </c>
      <c r="C56" s="17">
        <f>($D$6-$D$5)/($B$6-$B$5)*(B56-$B$5)+$D$5-0.0001</f>
        <v>1.83E-2</v>
      </c>
      <c r="D56" s="17">
        <f>C56+$H$13</f>
        <v>3.8300000000000001E-2</v>
      </c>
      <c r="E56" s="17">
        <f t="shared" si="5"/>
        <v>0.9782793654432147</v>
      </c>
      <c r="F56" s="17">
        <f>(D56*B56-D55*B55)/(B56-B55)</f>
        <v>4.0770000000000001E-2</v>
      </c>
      <c r="G56" s="17">
        <f>F56</f>
        <v>4.0770000000000001E-2</v>
      </c>
      <c r="H56" s="34">
        <f>$H$10*G56*0.25+H10</f>
        <v>101.01925</v>
      </c>
    </row>
    <row r="57" spans="1:8" x14ac:dyDescent="0.25">
      <c r="A57" s="2">
        <f>SUMPRODUCT(E52:E56,H52:H56)</f>
        <v>102.58729861277824</v>
      </c>
      <c r="B57" s="2" t="s">
        <v>109</v>
      </c>
    </row>
    <row r="58" spans="1:8" x14ac:dyDescent="0.25">
      <c r="A58" s="6" t="s">
        <v>68</v>
      </c>
      <c r="B58" s="6">
        <f>(A57-A47)/0.0002/A32</f>
        <v>-2.642249378232599E-2</v>
      </c>
    </row>
    <row r="59" spans="1:8" x14ac:dyDescent="0.25">
      <c r="A59" s="6" t="s">
        <v>69</v>
      </c>
      <c r="B59" s="6">
        <f>(A57-2*A32+A47)/(0.0001*0.0001*A32)</f>
        <v>-0.27694220878505388</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M24" sqref="M24"/>
    </sheetView>
  </sheetViews>
  <sheetFormatPr defaultRowHeight="15.75" x14ac:dyDescent="0.25"/>
  <sheetData/>
  <phoneticPr fontId="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topLeftCell="A2" workbookViewId="0">
      <selection activeCell="K18" sqref="K18"/>
    </sheetView>
  </sheetViews>
  <sheetFormatPr defaultRowHeight="15.75" x14ac:dyDescent="0.25"/>
  <sheetData/>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topLeftCell="B1" workbookViewId="0">
      <selection activeCell="H23" sqref="H23"/>
    </sheetView>
  </sheetViews>
  <sheetFormatPr defaultRowHeight="15.75" x14ac:dyDescent="0.25"/>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topLeftCell="A7" zoomScale="142" workbookViewId="0">
      <selection activeCell="I39" sqref="I39"/>
    </sheetView>
  </sheetViews>
  <sheetFormatPr defaultRowHeight="15.75" x14ac:dyDescent="0.25"/>
  <sheetData/>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工作表3"/>
  <dimension ref="A1:Q153"/>
  <sheetViews>
    <sheetView topLeftCell="A88" zoomScaleNormal="100" zoomScalePageLayoutView="120" workbookViewId="0">
      <selection activeCell="N49" sqref="N49"/>
    </sheetView>
  </sheetViews>
  <sheetFormatPr defaultColWidth="10.875" defaultRowHeight="15.75" x14ac:dyDescent="0.25"/>
  <cols>
    <col min="1" max="2" width="10.875" style="2"/>
    <col min="3" max="3" width="10.375" style="2" customWidth="1"/>
    <col min="4" max="4" width="12" style="2" bestFit="1" customWidth="1"/>
    <col min="5" max="5" width="13.625" style="2" customWidth="1"/>
    <col min="6" max="6" width="12.375" style="2" customWidth="1"/>
    <col min="7" max="7" width="12.875" style="2" bestFit="1" customWidth="1"/>
    <col min="8" max="12" width="10.875" style="2"/>
    <col min="13" max="13" width="13.5" style="2" customWidth="1"/>
    <col min="14" max="14" width="15.5" style="2" customWidth="1"/>
    <col min="15" max="16" width="12.5" style="2" bestFit="1" customWidth="1"/>
    <col min="17" max="16384" width="10.875" style="2"/>
  </cols>
  <sheetData>
    <row r="1" spans="1:16" x14ac:dyDescent="0.25">
      <c r="B1" s="1" t="s">
        <v>58</v>
      </c>
      <c r="J1" s="1" t="s">
        <v>72</v>
      </c>
    </row>
    <row r="2" spans="1:16" x14ac:dyDescent="0.25">
      <c r="B2" s="1" t="s">
        <v>59</v>
      </c>
      <c r="J2" s="1" t="s">
        <v>73</v>
      </c>
    </row>
    <row r="3" spans="1:16" x14ac:dyDescent="0.25">
      <c r="B3" s="1" t="s">
        <v>60</v>
      </c>
      <c r="J3" s="1" t="s">
        <v>74</v>
      </c>
    </row>
    <row r="4" spans="1:16" x14ac:dyDescent="0.25">
      <c r="B4" s="1" t="s">
        <v>61</v>
      </c>
      <c r="J4" s="1" t="s">
        <v>75</v>
      </c>
    </row>
    <row r="5" spans="1:16" x14ac:dyDescent="0.25">
      <c r="B5" s="1" t="s">
        <v>62</v>
      </c>
      <c r="J5" s="1" t="s">
        <v>76</v>
      </c>
    </row>
    <row r="7" spans="1:16" x14ac:dyDescent="0.25">
      <c r="A7" s="5" t="s">
        <v>105</v>
      </c>
      <c r="B7" s="39" t="s">
        <v>104</v>
      </c>
      <c r="I7" s="5" t="s">
        <v>107</v>
      </c>
      <c r="J7" s="39" t="s">
        <v>106</v>
      </c>
    </row>
    <row r="8" spans="1:16" x14ac:dyDescent="0.25">
      <c r="A8" s="5"/>
      <c r="B8" s="39" t="s">
        <v>54</v>
      </c>
      <c r="I8" s="5"/>
      <c r="J8" s="39" t="s">
        <v>77</v>
      </c>
    </row>
    <row r="9" spans="1:16" x14ac:dyDescent="0.25">
      <c r="B9" s="1"/>
      <c r="J9" s="1"/>
    </row>
    <row r="10" spans="1:16" x14ac:dyDescent="0.25">
      <c r="B10" s="2" t="s">
        <v>52</v>
      </c>
      <c r="K10" s="1" t="s">
        <v>57</v>
      </c>
    </row>
    <row r="11" spans="1:16" ht="31.5" x14ac:dyDescent="0.25">
      <c r="B11" s="18" t="s">
        <v>53</v>
      </c>
      <c r="C11" s="19" t="s">
        <v>55</v>
      </c>
      <c r="D11" s="8" t="s">
        <v>56</v>
      </c>
      <c r="K11" s="18" t="s">
        <v>53</v>
      </c>
      <c r="L11" s="19" t="s">
        <v>55</v>
      </c>
      <c r="M11" s="8" t="s">
        <v>56</v>
      </c>
    </row>
    <row r="12" spans="1:16" x14ac:dyDescent="0.25">
      <c r="B12" s="20">
        <v>0</v>
      </c>
      <c r="C12" s="21"/>
      <c r="D12" s="10">
        <v>1</v>
      </c>
      <c r="K12" s="20">
        <v>0</v>
      </c>
      <c r="L12" s="21"/>
      <c r="M12" s="10">
        <v>1</v>
      </c>
    </row>
    <row r="13" spans="1:16" x14ac:dyDescent="0.25">
      <c r="B13" s="9">
        <v>1</v>
      </c>
      <c r="C13" s="23">
        <f>-0.366%</f>
        <v>-3.6600000000000001E-3</v>
      </c>
      <c r="D13" s="33">
        <f>D38</f>
        <v>1.0036700343831431</v>
      </c>
      <c r="K13" s="9">
        <v>1</v>
      </c>
      <c r="L13" s="23">
        <v>-2.5000000000000001E-3</v>
      </c>
      <c r="M13" s="33">
        <f>O38</f>
        <v>1.0025031276057952</v>
      </c>
    </row>
    <row r="14" spans="1:16" x14ac:dyDescent="0.25">
      <c r="B14" s="9">
        <v>2</v>
      </c>
      <c r="C14" s="23">
        <v>-2.7499999999999998E-3</v>
      </c>
      <c r="D14" s="33">
        <f>D40</f>
        <v>1.0055215028620517</v>
      </c>
      <c r="E14" s="13"/>
      <c r="K14" s="9">
        <v>2</v>
      </c>
      <c r="L14" s="23">
        <v>-1.6000000000000001E-3</v>
      </c>
      <c r="M14" s="33">
        <f>O40</f>
        <v>1.0032074565807414</v>
      </c>
    </row>
    <row r="15" spans="1:16" x14ac:dyDescent="0.25">
      <c r="B15" s="9">
        <v>3</v>
      </c>
      <c r="C15" s="23">
        <v>-1.6000000000000001E-3</v>
      </c>
      <c r="D15" s="33">
        <f>D42</f>
        <v>1.0048209038214464</v>
      </c>
      <c r="K15" s="9">
        <v>3</v>
      </c>
      <c r="L15" s="23">
        <v>-4.0000000000000002E-4</v>
      </c>
      <c r="M15" s="33">
        <f>O42</f>
        <v>1.0012056727238534</v>
      </c>
    </row>
    <row r="16" spans="1:16" x14ac:dyDescent="0.25">
      <c r="B16" s="9">
        <v>4</v>
      </c>
      <c r="C16" s="23">
        <v>-3.5E-4</v>
      </c>
      <c r="D16" s="33">
        <f>D44</f>
        <v>1.0014049009849952</v>
      </c>
      <c r="K16" s="9">
        <v>4</v>
      </c>
      <c r="L16" s="23">
        <v>1E-3</v>
      </c>
      <c r="M16" s="33">
        <f>O44</f>
        <v>0.9960041170669266</v>
      </c>
      <c r="P16" s="1"/>
    </row>
    <row r="17" spans="2:17" x14ac:dyDescent="0.25">
      <c r="B17" s="9">
        <v>5</v>
      </c>
      <c r="C17" s="23">
        <v>1.4999999999999999E-4</v>
      </c>
      <c r="D17" s="33">
        <f>D46</f>
        <v>0.99924816397123439</v>
      </c>
      <c r="K17" s="9">
        <v>5</v>
      </c>
      <c r="L17" s="23">
        <v>2.5000000000000001E-3</v>
      </c>
      <c r="M17" s="33">
        <f>O46</f>
        <v>0.9875496886939471</v>
      </c>
      <c r="P17" s="1"/>
    </row>
    <row r="18" spans="2:17" x14ac:dyDescent="0.25">
      <c r="B18" s="9">
        <v>7</v>
      </c>
      <c r="C18" s="23">
        <v>2.7499999999999998E-3</v>
      </c>
      <c r="D18" s="33">
        <f>D50</f>
        <v>0.98077117153423232</v>
      </c>
      <c r="K18" s="9">
        <v>7</v>
      </c>
      <c r="L18" s="23">
        <v>5.1999999999999998E-3</v>
      </c>
      <c r="M18" s="33">
        <f>O50</f>
        <v>0.9640186549220201</v>
      </c>
      <c r="P18" s="1"/>
    </row>
    <row r="19" spans="2:17" x14ac:dyDescent="0.25">
      <c r="B19" s="11">
        <v>10</v>
      </c>
      <c r="C19" s="26">
        <v>6.6E-3</v>
      </c>
      <c r="D19" s="34">
        <f>D56</f>
        <v>0.93492805205880147</v>
      </c>
      <c r="K19" s="11">
        <v>10</v>
      </c>
      <c r="L19" s="26">
        <v>8.8999999999999999E-3</v>
      </c>
      <c r="M19" s="34">
        <f>O56</f>
        <v>0.91346710166256617</v>
      </c>
      <c r="P19" s="1"/>
    </row>
    <row r="20" spans="2:17" x14ac:dyDescent="0.25">
      <c r="Q20" s="1"/>
    </row>
    <row r="21" spans="2:17" x14ac:dyDescent="0.25">
      <c r="Q21" s="1"/>
    </row>
    <row r="22" spans="2:17" x14ac:dyDescent="0.25">
      <c r="Q22" s="1"/>
    </row>
    <row r="23" spans="2:17" x14ac:dyDescent="0.25">
      <c r="Q23" s="1"/>
    </row>
    <row r="24" spans="2:17" x14ac:dyDescent="0.25">
      <c r="Q24" s="1"/>
    </row>
    <row r="28" spans="2:17" x14ac:dyDescent="0.25">
      <c r="B28" s="2" t="s">
        <v>71</v>
      </c>
    </row>
    <row r="35" spans="2:16" ht="47.25" x14ac:dyDescent="0.25">
      <c r="B35" s="28" t="s">
        <v>53</v>
      </c>
      <c r="C35" s="29" t="s">
        <v>55</v>
      </c>
      <c r="D35" s="30" t="s">
        <v>56</v>
      </c>
      <c r="E35" s="30" t="s">
        <v>79</v>
      </c>
      <c r="F35" s="31" t="s">
        <v>70</v>
      </c>
      <c r="K35" s="28" t="s">
        <v>53</v>
      </c>
      <c r="L35" s="29" t="s">
        <v>55</v>
      </c>
      <c r="M35" s="30" t="s">
        <v>78</v>
      </c>
      <c r="N35" s="30" t="s">
        <v>46</v>
      </c>
      <c r="O35" s="30" t="s">
        <v>56</v>
      </c>
      <c r="P35" s="32" t="s">
        <v>80</v>
      </c>
    </row>
    <row r="36" spans="2:16" x14ac:dyDescent="0.25">
      <c r="B36" s="20">
        <v>0</v>
      </c>
      <c r="C36" s="21"/>
      <c r="D36" s="16">
        <v>1</v>
      </c>
      <c r="E36" s="16"/>
      <c r="F36" s="10"/>
      <c r="K36" s="18">
        <v>0</v>
      </c>
      <c r="L36" s="19"/>
      <c r="M36" s="15"/>
      <c r="N36" s="15"/>
      <c r="O36" s="15">
        <v>1</v>
      </c>
      <c r="P36" s="8"/>
    </row>
    <row r="37" spans="2:16" x14ac:dyDescent="0.25">
      <c r="B37" s="20">
        <v>0.5</v>
      </c>
      <c r="C37" s="16"/>
      <c r="D37" s="22">
        <f>EXP(-E37*B37)</f>
        <v>1.0018333366299721</v>
      </c>
      <c r="E37" s="16">
        <v>-3.6633162391520899E-3</v>
      </c>
      <c r="F37" s="10"/>
      <c r="K37" s="20">
        <v>0.5</v>
      </c>
      <c r="L37" s="16"/>
      <c r="M37" s="16">
        <v>-2.5000000000000005E-3</v>
      </c>
      <c r="N37" s="16">
        <f>1/(K37-K36)*(LN(O36)-LN(O37))</f>
        <v>-2.5000000000001102E-3</v>
      </c>
      <c r="O37" s="16">
        <f>EXP(-M37*K37)</f>
        <v>1.0012507815756226</v>
      </c>
      <c r="P37" s="10"/>
    </row>
    <row r="38" spans="2:16" x14ac:dyDescent="0.25">
      <c r="B38" s="9">
        <v>1</v>
      </c>
      <c r="C38" s="23">
        <f>-0.366%</f>
        <v>-3.6600000000000001E-3</v>
      </c>
      <c r="D38" s="22">
        <f>EXP(-E38*B38)</f>
        <v>1.0036700343831431</v>
      </c>
      <c r="E38" s="16">
        <v>-3.6633162391520859E-3</v>
      </c>
      <c r="F38" s="24">
        <f>(1-C38/2*EXP(-0.5*E38))/(1+C38/2)-EXP(-E38)</f>
        <v>3.6853252227686539E-8</v>
      </c>
      <c r="K38" s="9">
        <v>1</v>
      </c>
      <c r="L38" s="23">
        <v>-2.5000000000000001E-3</v>
      </c>
      <c r="M38" s="16">
        <f>M37</f>
        <v>-2.5000000000000005E-3</v>
      </c>
      <c r="N38" s="16">
        <f>1/(K38-K37)*(LN(O37)-LN(O38))</f>
        <v>-2.5000000000000903E-3</v>
      </c>
      <c r="O38" s="16">
        <f t="shared" ref="O38:O56" si="0">EXP(-M38*K38)</f>
        <v>1.0025031276057952</v>
      </c>
      <c r="P38" s="24">
        <f>N37/2*D37+N38/2*D38+D38-L38/2*(D37+D38)-D38</f>
        <v>0</v>
      </c>
    </row>
    <row r="39" spans="2:16" x14ac:dyDescent="0.25">
      <c r="B39" s="9">
        <v>1.5</v>
      </c>
      <c r="C39" s="16"/>
      <c r="D39" s="22">
        <f>EXP(-E39*B39)</f>
        <v>1.0048239533755845</v>
      </c>
      <c r="E39" s="16">
        <f>(E38+E40)/2</f>
        <v>-3.2082369308566983E-3</v>
      </c>
      <c r="F39" s="10"/>
      <c r="K39" s="9">
        <v>1.5</v>
      </c>
      <c r="L39" s="16"/>
      <c r="M39" s="16">
        <f>(M40-M38)/(K40-K38)*(K39-K38)+M38</f>
        <v>-2.0505809161727364E-3</v>
      </c>
      <c r="N39" s="16">
        <f t="shared" ref="N39:N56" si="1">1/(K39-K38)*(LN(O38)-LN(O39))</f>
        <v>-1.1517427485180183E-3</v>
      </c>
      <c r="O39" s="16">
        <f t="shared" si="0"/>
        <v>1.0030806067204752</v>
      </c>
      <c r="P39" s="10"/>
    </row>
    <row r="40" spans="2:16" x14ac:dyDescent="0.25">
      <c r="B40" s="20">
        <v>2</v>
      </c>
      <c r="C40" s="23">
        <v>-2.7499999999999998E-3</v>
      </c>
      <c r="D40" s="22">
        <f>EXP(-E40*B40)</f>
        <v>1.0055215028620517</v>
      </c>
      <c r="E40" s="16">
        <v>-2.7531576225613107E-3</v>
      </c>
      <c r="F40" s="10">
        <f>C40/2*(D37+D38+D39+D40)+D40-1</f>
        <v>-2.8927541806389456E-7</v>
      </c>
      <c r="K40" s="20">
        <v>2</v>
      </c>
      <c r="L40" s="23">
        <v>-1.6000000000000001E-3</v>
      </c>
      <c r="M40" s="16">
        <v>-1.6011618323454723E-3</v>
      </c>
      <c r="N40" s="16">
        <f t="shared" si="1"/>
        <v>-2.529045808637026E-4</v>
      </c>
      <c r="O40" s="16">
        <f t="shared" si="0"/>
        <v>1.0032074565807414</v>
      </c>
      <c r="P40" s="10">
        <f>0.5*(SUMPRODUCT(D37:D40,N37:N40))+D40-(L40/2*SUM(D37:D40)+D40)</f>
        <v>0</v>
      </c>
    </row>
    <row r="41" spans="2:16" x14ac:dyDescent="0.25">
      <c r="B41" s="20">
        <v>2.5</v>
      </c>
      <c r="C41" s="16"/>
      <c r="D41" s="22">
        <f t="shared" ref="D41:D56" si="2">EXP(-E41*B41)</f>
        <v>1.005460183320243</v>
      </c>
      <c r="E41" s="16">
        <f>(E42-E40)/(B42-B40)*(B41-B40)+E40</f>
        <v>-2.178132224251401E-3</v>
      </c>
      <c r="F41" s="10"/>
      <c r="K41" s="20">
        <v>2.5</v>
      </c>
      <c r="L41" s="16"/>
      <c r="M41" s="16">
        <f>(M42-M40)/(K42-K40)*(K41-K40)+M40</f>
        <v>-1.0014053302018332E-3</v>
      </c>
      <c r="N41" s="16">
        <f t="shared" si="1"/>
        <v>1.3976206783727074E-3</v>
      </c>
      <c r="O41" s="16">
        <f t="shared" si="0"/>
        <v>1.0025066497317889</v>
      </c>
      <c r="P41" s="10"/>
    </row>
    <row r="42" spans="2:16" x14ac:dyDescent="0.25">
      <c r="B42" s="9">
        <v>3</v>
      </c>
      <c r="C42" s="23">
        <v>-1.6000000000000001E-3</v>
      </c>
      <c r="D42" s="22">
        <f t="shared" si="2"/>
        <v>1.0048209038214464</v>
      </c>
      <c r="E42" s="16">
        <v>-1.6031068259414916E-3</v>
      </c>
      <c r="F42" s="10">
        <f>C42/2*SUM(D37:D42)+D42-1</f>
        <v>-1.1006751066133802E-10</v>
      </c>
      <c r="K42" s="9">
        <v>3</v>
      </c>
      <c r="L42" s="23">
        <v>-4.0000000000000002E-4</v>
      </c>
      <c r="M42" s="16">
        <v>-4.0164882805819417E-4</v>
      </c>
      <c r="N42" s="16">
        <f t="shared" si="1"/>
        <v>2.5971336826601612E-3</v>
      </c>
      <c r="O42" s="16">
        <f t="shared" si="0"/>
        <v>1.0012056727238534</v>
      </c>
      <c r="P42" s="10">
        <f>0.5*(SUMPRODUCT($D$37:D42,$N$37:N42))+D42-(L42/2*SUM($D$37:D42)+D42)</f>
        <v>0</v>
      </c>
    </row>
    <row r="43" spans="2:16" x14ac:dyDescent="0.25">
      <c r="B43" s="9">
        <v>3.5</v>
      </c>
      <c r="C43" s="16"/>
      <c r="D43" s="22">
        <f t="shared" si="2"/>
        <v>1.0034255034460713</v>
      </c>
      <c r="E43" s="16">
        <f>(E42+E44)/2</f>
        <v>-9.770427923382354E-4</v>
      </c>
      <c r="F43" s="10"/>
      <c r="K43" s="9">
        <v>3.5</v>
      </c>
      <c r="L43" s="16"/>
      <c r="M43" s="16">
        <f>(M44-M42)/(K44-K42)*(K43-K42)+M42</f>
        <v>2.9966156156468332E-4</v>
      </c>
      <c r="N43" s="16">
        <f t="shared" si="1"/>
        <v>4.5075238993019379E-3</v>
      </c>
      <c r="O43" s="16">
        <f t="shared" si="0"/>
        <v>0.99895173434922901</v>
      </c>
      <c r="P43" s="10"/>
    </row>
    <row r="44" spans="2:16" x14ac:dyDescent="0.25">
      <c r="B44" s="20">
        <v>4</v>
      </c>
      <c r="C44" s="23">
        <v>-3.5E-4</v>
      </c>
      <c r="D44" s="22">
        <f t="shared" si="2"/>
        <v>1.0014049009849952</v>
      </c>
      <c r="E44" s="16">
        <v>-3.5097875873497941E-4</v>
      </c>
      <c r="F44" s="10">
        <f>C44/2*SUM($D$37:D44)+D44-1</f>
        <v>-5.170707988444434E-7</v>
      </c>
      <c r="K44" s="20">
        <v>4</v>
      </c>
      <c r="L44" s="23">
        <v>1E-3</v>
      </c>
      <c r="M44" s="16">
        <v>1.0009719511875608E-3</v>
      </c>
      <c r="N44" s="16">
        <f t="shared" si="1"/>
        <v>5.910144678547515E-3</v>
      </c>
      <c r="O44" s="16">
        <f t="shared" si="0"/>
        <v>0.9960041170669266</v>
      </c>
      <c r="P44" s="10">
        <f>0.5*(SUMPRODUCT($D$37:D44,$N$37:N44))+D44-(L44/2*SUM($D$37:D44)+D44)</f>
        <v>0</v>
      </c>
    </row>
    <row r="45" spans="2:16" x14ac:dyDescent="0.25">
      <c r="B45" s="20">
        <v>4.5</v>
      </c>
      <c r="C45" s="16"/>
      <c r="D45" s="22">
        <f t="shared" si="2"/>
        <v>1.0004513505755399</v>
      </c>
      <c r="E45" s="16">
        <f>(E44+E46)/2</f>
        <v>-1.0027749944620365E-4</v>
      </c>
      <c r="F45" s="10"/>
      <c r="K45" s="20">
        <v>4.5</v>
      </c>
      <c r="L45" s="16"/>
      <c r="M45" s="16">
        <f>(M46-M44)/(K46-K44)*(K45-K44)+M44</f>
        <v>1.7533325563932555E-3</v>
      </c>
      <c r="N45" s="16">
        <f t="shared" si="1"/>
        <v>7.7722173980389712E-3</v>
      </c>
      <c r="O45" s="16">
        <f t="shared" si="0"/>
        <v>0.99214104781845947</v>
      </c>
      <c r="P45" s="10"/>
    </row>
    <row r="46" spans="2:16" x14ac:dyDescent="0.25">
      <c r="B46" s="9">
        <v>5</v>
      </c>
      <c r="C46" s="23">
        <v>1.4999999999999999E-4</v>
      </c>
      <c r="D46" s="22">
        <f t="shared" si="2"/>
        <v>0.99924816397123439</v>
      </c>
      <c r="E46" s="16">
        <v>1.5042375984257212E-4</v>
      </c>
      <c r="F46" s="10">
        <f>C46/2*SUM($D$37:D46)+D46-1</f>
        <v>4.6345873716546748E-7</v>
      </c>
      <c r="K46" s="9">
        <v>5</v>
      </c>
      <c r="L46" s="23">
        <v>2.5000000000000001E-3</v>
      </c>
      <c r="M46" s="16">
        <v>2.5056931615989502E-3</v>
      </c>
      <c r="N46" s="16">
        <f t="shared" si="1"/>
        <v>9.2769386084502019E-3</v>
      </c>
      <c r="O46" s="16">
        <f t="shared" si="0"/>
        <v>0.9875496886939471</v>
      </c>
      <c r="P46" s="10">
        <f>0.5*(SUMPRODUCT($D$37:D46,$N$37:N46))+D46-(L46/2*SUM($D$37:D46)+D46)</f>
        <v>0</v>
      </c>
    </row>
    <row r="47" spans="2:16" x14ac:dyDescent="0.25">
      <c r="B47" s="9">
        <v>5.5</v>
      </c>
      <c r="C47" s="16"/>
      <c r="D47" s="22">
        <f t="shared" si="2"/>
        <v>0.99557544115154784</v>
      </c>
      <c r="E47" s="16">
        <f>($E$50-$E$46)/($B$50-$B$46)*(B47-$B$46)+$E$46</f>
        <v>8.0625021416200573E-4</v>
      </c>
      <c r="F47" s="10"/>
      <c r="K47" s="9">
        <v>5.5</v>
      </c>
      <c r="L47" s="16"/>
      <c r="M47" s="16">
        <f>($M$50-$M$46)/($K$50-$K$46)*(K47-$K$46)+$M$46</f>
        <v>3.1880067633410615E-3</v>
      </c>
      <c r="N47" s="16">
        <f t="shared" si="1"/>
        <v>1.0011142780762015E-2</v>
      </c>
      <c r="O47" s="16">
        <f t="shared" si="0"/>
        <v>0.98261878950520343</v>
      </c>
      <c r="P47" s="10"/>
    </row>
    <row r="48" spans="2:16" x14ac:dyDescent="0.25">
      <c r="B48" s="20">
        <v>6</v>
      </c>
      <c r="C48" s="16"/>
      <c r="D48" s="22">
        <f t="shared" si="2"/>
        <v>0.99126590574710816</v>
      </c>
      <c r="E48" s="16">
        <f>($E$50-$E$46)/($B$50-$B$46)*(B48-$B$46)+$E$46</f>
        <v>1.4620766684814393E-3</v>
      </c>
      <c r="F48" s="10"/>
      <c r="K48" s="20">
        <v>6</v>
      </c>
      <c r="L48" s="16"/>
      <c r="M48" s="16">
        <f t="shared" ref="M48:M49" si="3">($M$50-$M$46)/($K$50-$K$46)*(K48-$K$46)+$M$46</f>
        <v>3.8703203650831725E-3</v>
      </c>
      <c r="N48" s="16">
        <f t="shared" si="1"/>
        <v>1.1375769984246539E-2</v>
      </c>
      <c r="O48" s="16">
        <f t="shared" si="0"/>
        <v>0.97704563160522961</v>
      </c>
      <c r="P48" s="10"/>
    </row>
    <row r="49" spans="1:16" x14ac:dyDescent="0.25">
      <c r="B49" s="20">
        <v>6.5</v>
      </c>
      <c r="C49" s="16"/>
      <c r="D49" s="22">
        <f t="shared" si="2"/>
        <v>0.98632795285216512</v>
      </c>
      <c r="E49" s="16">
        <f>($E$50-$E$46)/($B$50-$B$46)*(B49-$B$46)+$E$46</f>
        <v>2.1179031228008727E-3</v>
      </c>
      <c r="F49" s="10"/>
      <c r="K49" s="20">
        <v>6.5</v>
      </c>
      <c r="L49" s="16"/>
      <c r="M49" s="16">
        <f t="shared" si="3"/>
        <v>4.5526339668252834E-3</v>
      </c>
      <c r="N49" s="16">
        <f t="shared" si="1"/>
        <v>1.274039718773054E-2</v>
      </c>
      <c r="O49" s="16">
        <f t="shared" si="0"/>
        <v>0.97084143884683161</v>
      </c>
      <c r="P49" s="10"/>
    </row>
    <row r="50" spans="1:16" x14ac:dyDescent="0.25">
      <c r="B50" s="9">
        <v>7</v>
      </c>
      <c r="C50" s="23">
        <v>2.7499999999999998E-3</v>
      </c>
      <c r="D50" s="22">
        <f t="shared" si="2"/>
        <v>0.98077117153423232</v>
      </c>
      <c r="E50" s="16">
        <v>2.7737295771203064E-3</v>
      </c>
      <c r="F50" s="10">
        <f>C50/2*SUM($D$37:D50)+D50-1</f>
        <v>-3.0468665368488246E-9</v>
      </c>
      <c r="K50" s="9">
        <v>7</v>
      </c>
      <c r="L50" s="23">
        <v>5.1999999999999998E-3</v>
      </c>
      <c r="M50" s="16">
        <v>5.2349475685673948E-3</v>
      </c>
      <c r="N50" s="16">
        <f t="shared" si="1"/>
        <v>1.4105024391214922E-2</v>
      </c>
      <c r="O50" s="16">
        <f t="shared" si="0"/>
        <v>0.9640186549220201</v>
      </c>
      <c r="P50" s="10">
        <f>0.5*(SUMPRODUCT($D$37:D50,$N$37:N50))+D50-(L50/2*SUM($D$37:D50)+D50)</f>
        <v>0</v>
      </c>
    </row>
    <row r="51" spans="1:16" x14ac:dyDescent="0.25">
      <c r="B51" s="9">
        <v>7.5</v>
      </c>
      <c r="C51" s="16"/>
      <c r="D51" s="22">
        <f t="shared" si="2"/>
        <v>0.97458209279124819</v>
      </c>
      <c r="E51" s="16">
        <f>($E$56-$E$50)/($B$56-$B$50)*(B51-$B$50)+$E$50</f>
        <v>3.4328696863329027E-3</v>
      </c>
      <c r="F51" s="10"/>
      <c r="K51" s="9">
        <v>7.5</v>
      </c>
      <c r="L51" s="16"/>
      <c r="M51" s="16">
        <f>($M$56-$M$50)/($K$56-$K$50)*(K51-$K$50)+$M$50</f>
        <v>5.870921595777033E-3</v>
      </c>
      <c r="N51" s="16">
        <f t="shared" si="1"/>
        <v>1.4774557976711941E-2</v>
      </c>
      <c r="O51" s="16">
        <f t="shared" si="0"/>
        <v>0.95692341967592787</v>
      </c>
      <c r="P51" s="10"/>
    </row>
    <row r="52" spans="1:16" x14ac:dyDescent="0.25">
      <c r="B52" s="20">
        <v>8</v>
      </c>
      <c r="C52" s="16"/>
      <c r="D52" s="22">
        <f t="shared" si="2"/>
        <v>0.96779394764795434</v>
      </c>
      <c r="E52" s="16">
        <f>($E$56-$E$50)/($B$56-$B$50)*(B52-$B$50)+$E$50</f>
        <v>4.092009795545499E-3</v>
      </c>
      <c r="F52" s="10"/>
      <c r="K52" s="20">
        <v>8</v>
      </c>
      <c r="L52" s="16"/>
      <c r="M52" s="16">
        <f t="shared" ref="M52:M55" si="4">($M$56-$M$50)/($K$56-$K$50)*(K52-$K$50)+$M$50</f>
        <v>6.5068956229866705E-3</v>
      </c>
      <c r="N52" s="16">
        <f t="shared" si="1"/>
        <v>1.6046506031131169E-2</v>
      </c>
      <c r="O52" s="16">
        <f t="shared" si="0"/>
        <v>0.94927649857570129</v>
      </c>
      <c r="P52" s="10"/>
    </row>
    <row r="53" spans="1:16" x14ac:dyDescent="0.25">
      <c r="B53" s="20">
        <v>8.5</v>
      </c>
      <c r="C53" s="16"/>
      <c r="D53" s="22">
        <f t="shared" si="2"/>
        <v>0.96041982328756914</v>
      </c>
      <c r="E53" s="16">
        <f>($E$56-$E$50)/($B$56-$B$50)*(B53-$B$50)+$E$50</f>
        <v>4.7511499047580962E-3</v>
      </c>
      <c r="F53" s="10"/>
      <c r="K53" s="20">
        <v>8.5</v>
      </c>
      <c r="L53" s="16"/>
      <c r="M53" s="16">
        <f t="shared" si="4"/>
        <v>7.1428696501963087E-3</v>
      </c>
      <c r="N53" s="16">
        <f t="shared" si="1"/>
        <v>1.7318454085550591E-2</v>
      </c>
      <c r="O53" s="16">
        <f t="shared" si="0"/>
        <v>0.94109198477081502</v>
      </c>
      <c r="P53" s="10"/>
    </row>
    <row r="54" spans="1:16" x14ac:dyDescent="0.25">
      <c r="B54" s="9">
        <v>9</v>
      </c>
      <c r="C54" s="16"/>
      <c r="D54" s="22">
        <f t="shared" si="2"/>
        <v>0.95247386552594882</v>
      </c>
      <c r="E54" s="16">
        <f>($E$56-$E$50)/($B$56-$B$50)*(B54-$B$50)+$E$50</f>
        <v>5.4102900139706925E-3</v>
      </c>
      <c r="F54" s="10"/>
      <c r="K54" s="9">
        <v>9</v>
      </c>
      <c r="L54" s="16"/>
      <c r="M54" s="16">
        <f t="shared" si="4"/>
        <v>7.7788436774059461E-3</v>
      </c>
      <c r="N54" s="16">
        <f t="shared" si="1"/>
        <v>1.8590402139969764E-2</v>
      </c>
      <c r="O54" s="16">
        <f t="shared" si="0"/>
        <v>0.93238487540481751</v>
      </c>
      <c r="P54" s="10"/>
    </row>
    <row r="55" spans="1:16" x14ac:dyDescent="0.25">
      <c r="B55" s="9">
        <v>9.5</v>
      </c>
      <c r="C55" s="16"/>
      <c r="D55" s="22">
        <f t="shared" si="2"/>
        <v>0.94397123361138313</v>
      </c>
      <c r="E55" s="16">
        <f>($E$56-$E$50)/($B$56-$B$50)*(B55-$B$50)+$E$50</f>
        <v>6.0694301231832889E-3</v>
      </c>
      <c r="F55" s="10"/>
      <c r="K55" s="9">
        <v>9.5</v>
      </c>
      <c r="L55" s="16"/>
      <c r="M55" s="16">
        <f t="shared" si="4"/>
        <v>8.4148177046155844E-3</v>
      </c>
      <c r="N55" s="16">
        <f t="shared" si="1"/>
        <v>1.9862350194388978E-2</v>
      </c>
      <c r="O55" s="16">
        <f t="shared" si="0"/>
        <v>0.92317102585448652</v>
      </c>
      <c r="P55" s="10"/>
    </row>
    <row r="56" spans="1:16" x14ac:dyDescent="0.25">
      <c r="B56" s="25">
        <v>10</v>
      </c>
      <c r="C56" s="26">
        <v>6.6E-3</v>
      </c>
      <c r="D56" s="27">
        <f t="shared" si="2"/>
        <v>0.93492805205880147</v>
      </c>
      <c r="E56" s="17">
        <v>6.7285702323958852E-3</v>
      </c>
      <c r="F56" s="12">
        <f>C56/2*SUM($D$37:D56)+D56-1</f>
        <v>-9.1865903772969659E-9</v>
      </c>
      <c r="K56" s="25">
        <v>10</v>
      </c>
      <c r="L56" s="26">
        <v>8.8999999999999999E-3</v>
      </c>
      <c r="M56" s="17">
        <v>9.0507917318252227E-3</v>
      </c>
      <c r="N56" s="17">
        <f t="shared" si="1"/>
        <v>2.1134298248808359E-2</v>
      </c>
      <c r="O56" s="17">
        <f t="shared" si="0"/>
        <v>0.91346710166256617</v>
      </c>
      <c r="P56" s="12">
        <f>0.5*(SUMPRODUCT($D$37:D56,$N$37:N56))+D56-(L56/2*SUM($D$37:D56)+D56)</f>
        <v>0</v>
      </c>
    </row>
    <row r="60" spans="1:16" x14ac:dyDescent="0.25">
      <c r="A60" s="5" t="s">
        <v>97</v>
      </c>
      <c r="B60" s="1" t="s">
        <v>96</v>
      </c>
    </row>
    <row r="61" spans="1:16" x14ac:dyDescent="0.25">
      <c r="B61" s="1" t="s">
        <v>81</v>
      </c>
    </row>
    <row r="62" spans="1:16" x14ac:dyDescent="0.25">
      <c r="B62" s="1" t="s">
        <v>84</v>
      </c>
    </row>
    <row r="63" spans="1:16" x14ac:dyDescent="0.25">
      <c r="B63" s="1" t="s">
        <v>82</v>
      </c>
    </row>
    <row r="64" spans="1:16" x14ac:dyDescent="0.25">
      <c r="B64" s="1" t="s">
        <v>83</v>
      </c>
    </row>
    <row r="65" spans="1:16" x14ac:dyDescent="0.25">
      <c r="B65" s="1"/>
    </row>
    <row r="66" spans="1:16" x14ac:dyDescent="0.25">
      <c r="A66" s="5" t="s">
        <v>90</v>
      </c>
      <c r="B66" s="5" t="s">
        <v>91</v>
      </c>
    </row>
    <row r="67" spans="1:16" x14ac:dyDescent="0.25">
      <c r="A67" s="5"/>
      <c r="B67" s="5" t="s">
        <v>98</v>
      </c>
    </row>
    <row r="68" spans="1:16" ht="47.25" x14ac:dyDescent="0.25">
      <c r="B68" s="28" t="s">
        <v>53</v>
      </c>
      <c r="C68" s="29" t="s">
        <v>55</v>
      </c>
      <c r="D68" s="30" t="s">
        <v>56</v>
      </c>
      <c r="E68" s="30" t="s">
        <v>79</v>
      </c>
      <c r="F68" s="31" t="s">
        <v>70</v>
      </c>
      <c r="K68" s="28" t="s">
        <v>53</v>
      </c>
      <c r="L68" s="29" t="s">
        <v>55</v>
      </c>
      <c r="M68" s="30" t="s">
        <v>78</v>
      </c>
      <c r="N68" s="30" t="s">
        <v>46</v>
      </c>
      <c r="O68" s="30" t="s">
        <v>56</v>
      </c>
      <c r="P68" s="32" t="s">
        <v>80</v>
      </c>
    </row>
    <row r="69" spans="1:16" x14ac:dyDescent="0.25">
      <c r="B69" s="18">
        <v>0</v>
      </c>
      <c r="C69" s="19"/>
      <c r="D69" s="15">
        <v>1</v>
      </c>
      <c r="E69" s="15"/>
      <c r="F69" s="8"/>
      <c r="K69" s="18">
        <v>0</v>
      </c>
      <c r="L69" s="19"/>
      <c r="M69" s="15"/>
      <c r="N69" s="15"/>
      <c r="O69" s="15">
        <v>1</v>
      </c>
      <c r="P69" s="8"/>
    </row>
    <row r="70" spans="1:16" x14ac:dyDescent="0.25">
      <c r="B70" s="20">
        <v>0.5</v>
      </c>
      <c r="C70" s="16"/>
      <c r="D70" s="22">
        <f t="shared" ref="D70:D89" si="5">EXP(-E70*B70)</f>
        <v>1.0017832462154115</v>
      </c>
      <c r="E70" s="16">
        <f>E37+0.0001</f>
        <v>-3.56331623915209E-3</v>
      </c>
      <c r="F70" s="10"/>
      <c r="K70" s="20">
        <v>0.5</v>
      </c>
      <c r="L70" s="16"/>
      <c r="M70" s="16">
        <v>-2.4999999999997247E-3</v>
      </c>
      <c r="N70" s="16">
        <f>1/(K70-K69)*(LN(O69)-LN(O70))</f>
        <v>-2.499999999999667E-3</v>
      </c>
      <c r="O70" s="16">
        <f>EXP(-M70*K70)</f>
        <v>1.0012507815756224</v>
      </c>
      <c r="P70" s="10"/>
    </row>
    <row r="71" spans="1:16" x14ac:dyDescent="0.25">
      <c r="B71" s="9">
        <v>1</v>
      </c>
      <c r="C71" s="23">
        <f>-0.366%</f>
        <v>-3.6600000000000001E-3</v>
      </c>
      <c r="D71" s="22">
        <f t="shared" si="5"/>
        <v>1.0035696723978877</v>
      </c>
      <c r="E71" s="16">
        <f t="shared" ref="E71:E89" si="6">E38+0.0001</f>
        <v>-3.5633162391520861E-3</v>
      </c>
      <c r="F71" s="24">
        <f>(1-C71/2*EXP(-0.5*E71))/(1+C71/2)-EXP(-E71)</f>
        <v>1.0030700499363832E-4</v>
      </c>
      <c r="K71" s="9">
        <v>1</v>
      </c>
      <c r="L71" s="23">
        <v>-2.5000000000000001E-3</v>
      </c>
      <c r="M71" s="16">
        <f>M70</f>
        <v>-2.4999999999997247E-3</v>
      </c>
      <c r="N71" s="16">
        <f>1/(K71-K70)*(LN(O70)-LN(O71))</f>
        <v>-2.4999999999996479E-3</v>
      </c>
      <c r="O71" s="16">
        <f t="shared" ref="O71:O89" si="7">EXP(-M71*K71)</f>
        <v>1.0025031276057947</v>
      </c>
      <c r="P71" s="24">
        <f>N70/2*D70+N71/2*D71+D71-L71/2*(D70+D71)-D71</f>
        <v>0</v>
      </c>
    </row>
    <row r="72" spans="1:16" x14ac:dyDescent="0.25">
      <c r="B72" s="9">
        <v>1.5</v>
      </c>
      <c r="C72" s="16"/>
      <c r="D72" s="22">
        <f t="shared" si="5"/>
        <v>1.0046732410862824</v>
      </c>
      <c r="E72" s="16">
        <f t="shared" si="6"/>
        <v>-3.1082369308566985E-3</v>
      </c>
      <c r="F72" s="10"/>
      <c r="K72" s="9">
        <v>1.5</v>
      </c>
      <c r="L72" s="16"/>
      <c r="M72" s="16">
        <f>(M73-M71)/(K73-K71)*(K72-K71)+M71</f>
        <v>-2.0505556655992796E-3</v>
      </c>
      <c r="N72" s="16">
        <f t="shared" ref="N72:N89" si="8">1/(K72-K71)*(LN(O71)-LN(O72))</f>
        <v>-1.1516669967987173E-3</v>
      </c>
      <c r="O72" s="16">
        <f t="shared" si="7"/>
        <v>1.0030805687279352</v>
      </c>
      <c r="P72" s="10"/>
    </row>
    <row r="73" spans="1:16" x14ac:dyDescent="0.25">
      <c r="B73" s="20">
        <v>2</v>
      </c>
      <c r="C73" s="23">
        <v>-2.7499999999999998E-3</v>
      </c>
      <c r="D73" s="22">
        <f t="shared" si="5"/>
        <v>1.0053204186705686</v>
      </c>
      <c r="E73" s="16">
        <f t="shared" si="6"/>
        <v>-2.6531576225613108E-3</v>
      </c>
      <c r="F73" s="10">
        <f>C73/2*(D70+D71+D72+D73)+D73-1</f>
        <v>-2.0068287469032775E-4</v>
      </c>
      <c r="K73" s="20">
        <v>2</v>
      </c>
      <c r="L73" s="23">
        <v>-1.6000000000000001E-3</v>
      </c>
      <c r="M73" s="16">
        <v>-1.6011113311988345E-3</v>
      </c>
      <c r="N73" s="16">
        <f t="shared" si="8"/>
        <v>-2.5277832799714631E-4</v>
      </c>
      <c r="O73" s="16">
        <f t="shared" si="7"/>
        <v>1.0032073552544927</v>
      </c>
      <c r="P73" s="10">
        <f>0.5*(SUMPRODUCT(D70:D73,N70:N73))+D73-(L73/2*SUM(D70:D73)+D73)</f>
        <v>0</v>
      </c>
    </row>
    <row r="74" spans="1:16" x14ac:dyDescent="0.25">
      <c r="B74" s="20">
        <v>2.5</v>
      </c>
      <c r="C74" s="16"/>
      <c r="D74" s="22">
        <f t="shared" si="5"/>
        <v>1.0052088496924254</v>
      </c>
      <c r="E74" s="16">
        <f t="shared" si="6"/>
        <v>-2.0781322242514012E-3</v>
      </c>
      <c r="F74" s="10"/>
      <c r="K74" s="20">
        <v>2.5</v>
      </c>
      <c r="L74" s="16"/>
      <c r="M74" s="16">
        <f>(M75-M73)/(K75-K73)*(K74-K73)+M73</f>
        <v>-1.001300842757142E-3</v>
      </c>
      <c r="N74" s="16">
        <f t="shared" si="8"/>
        <v>1.3979411110096804E-3</v>
      </c>
      <c r="O74" s="16">
        <f t="shared" si="7"/>
        <v>1.0025063878584277</v>
      </c>
      <c r="P74" s="10"/>
    </row>
    <row r="75" spans="1:16" x14ac:dyDescent="0.25">
      <c r="B75" s="9">
        <v>3</v>
      </c>
      <c r="C75" s="23">
        <v>-1.6000000000000001E-3</v>
      </c>
      <c r="D75" s="22">
        <f t="shared" si="5"/>
        <v>1.0045195027627192</v>
      </c>
      <c r="E75" s="16">
        <f t="shared" si="6"/>
        <v>-1.5031068259414916E-3</v>
      </c>
      <c r="F75" s="10">
        <f>C75/2*SUM(D70:D75)+D75-1</f>
        <v>-3.0055718194110792E-4</v>
      </c>
      <c r="K75" s="9">
        <v>3</v>
      </c>
      <c r="L75" s="23">
        <v>-4.0000000000000002E-4</v>
      </c>
      <c r="M75" s="16">
        <v>-4.0149035431544938E-4</v>
      </c>
      <c r="N75" s="16">
        <f t="shared" si="8"/>
        <v>2.5975620878929627E-3</v>
      </c>
      <c r="O75" s="16">
        <f t="shared" si="7"/>
        <v>1.0012051967295359</v>
      </c>
      <c r="P75" s="10">
        <f>0.5*(SUMPRODUCT($D$70:D75,$N$70:N75))+D75-(L75/2*SUM($D$70:D75)+D75)</f>
        <v>0</v>
      </c>
    </row>
    <row r="76" spans="1:16" x14ac:dyDescent="0.25">
      <c r="B76" s="9">
        <v>3.5</v>
      </c>
      <c r="C76" s="16"/>
      <c r="D76" s="22">
        <f t="shared" si="5"/>
        <v>1.0030743659725074</v>
      </c>
      <c r="E76" s="16">
        <f t="shared" si="6"/>
        <v>-8.7704279233823536E-4</v>
      </c>
      <c r="F76" s="10"/>
      <c r="K76" s="9">
        <v>3.5</v>
      </c>
      <c r="L76" s="16"/>
      <c r="M76" s="16">
        <f>(M77-M75)/(K77-K75)*(K76-K75)+M75</f>
        <v>2.9990758534053849E-4</v>
      </c>
      <c r="N76" s="16">
        <f t="shared" si="8"/>
        <v>4.508295223276379E-3</v>
      </c>
      <c r="O76" s="16">
        <f t="shared" si="7"/>
        <v>0.99895087416902784</v>
      </c>
      <c r="P76" s="10"/>
    </row>
    <row r="77" spans="1:16" x14ac:dyDescent="0.25">
      <c r="B77" s="20">
        <v>4</v>
      </c>
      <c r="C77" s="23">
        <v>-3.5E-4</v>
      </c>
      <c r="D77" s="22">
        <f t="shared" si="5"/>
        <v>1.0010044191263128</v>
      </c>
      <c r="E77" s="16">
        <f t="shared" si="6"/>
        <v>-2.5097875873497942E-4</v>
      </c>
      <c r="F77" s="10">
        <f>C77/2*SUM($D$37:D77)+D77-1</f>
        <v>-4.0264674049000915E-3</v>
      </c>
      <c r="K77" s="20">
        <v>4</v>
      </c>
      <c r="L77" s="23">
        <v>1E-3</v>
      </c>
      <c r="M77" s="16">
        <v>1.0013055249965264E-3</v>
      </c>
      <c r="N77" s="16">
        <f t="shared" si="8"/>
        <v>5.9110911025882966E-3</v>
      </c>
      <c r="O77" s="16">
        <f t="shared" si="7"/>
        <v>0.9960027881042649</v>
      </c>
      <c r="P77" s="10">
        <f>0.5*(SUMPRODUCT($D$70:D77,$N$70:N77))+D77-(L77/2*SUM($D$70:D77)+D77)</f>
        <v>0</v>
      </c>
    </row>
    <row r="78" spans="1:16" x14ac:dyDescent="0.25">
      <c r="B78" s="20">
        <v>4.5</v>
      </c>
      <c r="C78" s="16"/>
      <c r="D78" s="22">
        <f t="shared" si="5"/>
        <v>1.0000012487482877</v>
      </c>
      <c r="E78" s="16">
        <f t="shared" si="6"/>
        <v>-2.7749944620364387E-7</v>
      </c>
      <c r="F78" s="10"/>
      <c r="K78" s="20">
        <v>4.5</v>
      </c>
      <c r="L78" s="16"/>
      <c r="M78" s="16">
        <f>(M79-M77)/(K79-K77)*(K78-K77)+M77</f>
        <v>1.7537852858976054E-3</v>
      </c>
      <c r="N78" s="16">
        <f t="shared" si="8"/>
        <v>7.7736233731063708E-3</v>
      </c>
      <c r="O78" s="16">
        <f t="shared" si="7"/>
        <v>0.99213902654865671</v>
      </c>
      <c r="P78" s="10"/>
    </row>
    <row r="79" spans="1:16" x14ac:dyDescent="0.25">
      <c r="B79" s="9">
        <v>5</v>
      </c>
      <c r="C79" s="23">
        <v>1.4999999999999999E-4</v>
      </c>
      <c r="D79" s="22">
        <f t="shared" si="5"/>
        <v>0.99874866477445423</v>
      </c>
      <c r="E79" s="16">
        <f t="shared" si="6"/>
        <v>2.5042375984257211E-4</v>
      </c>
      <c r="F79" s="10">
        <f>C79/2*SUM($D$37:D79)+D79-1</f>
        <v>1.0546652456311367E-3</v>
      </c>
      <c r="K79" s="9">
        <v>5</v>
      </c>
      <c r="L79" s="23">
        <v>2.5000000000000001E-3</v>
      </c>
      <c r="M79" s="16">
        <v>2.5062650467986844E-3</v>
      </c>
      <c r="N79" s="16">
        <f t="shared" si="8"/>
        <v>9.2785828949083007E-3</v>
      </c>
      <c r="O79" s="16">
        <f t="shared" si="7"/>
        <v>0.98754686487272958</v>
      </c>
      <c r="P79" s="10">
        <f>0.5*(SUMPRODUCT($D$70:D79,$N$70:N79))+D79-(L79/2*SUM($D$70:D79)+D79)</f>
        <v>0</v>
      </c>
    </row>
    <row r="80" spans="1:16" x14ac:dyDescent="0.25">
      <c r="B80" s="9">
        <v>5.5</v>
      </c>
      <c r="C80" s="16"/>
      <c r="D80" s="22">
        <f t="shared" si="5"/>
        <v>0.99502802521209721</v>
      </c>
      <c r="E80" s="16">
        <f t="shared" si="6"/>
        <v>9.0625021416200578E-4</v>
      </c>
      <c r="F80" s="10"/>
      <c r="K80" s="9">
        <v>5.5</v>
      </c>
      <c r="L80" s="16"/>
      <c r="M80" s="16">
        <f>($M$83-$M$79)/($K$83-$K$79)*(K80-$K$79)+$M$79</f>
        <v>3.1887152188099935E-3</v>
      </c>
      <c r="N80" s="16">
        <f t="shared" si="8"/>
        <v>1.0013216938923031E-2</v>
      </c>
      <c r="O80" s="16">
        <f t="shared" si="7"/>
        <v>0.9826149607335587</v>
      </c>
      <c r="P80" s="10"/>
    </row>
    <row r="81" spans="2:16" x14ac:dyDescent="0.25">
      <c r="B81" s="20">
        <v>6</v>
      </c>
      <c r="C81" s="16"/>
      <c r="D81" s="22">
        <f t="shared" si="5"/>
        <v>0.99067132459584273</v>
      </c>
      <c r="E81" s="16">
        <f t="shared" si="6"/>
        <v>1.5620766684814394E-3</v>
      </c>
      <c r="F81" s="10"/>
      <c r="K81" s="20">
        <v>6</v>
      </c>
      <c r="L81" s="16"/>
      <c r="M81" s="16">
        <f t="shared" ref="M81:M82" si="9">($M$83-$M$79)/($K$83-$K$79)*(K81-$K$79)+$M$79</f>
        <v>3.8711653908213022E-3</v>
      </c>
      <c r="N81" s="16">
        <f t="shared" si="8"/>
        <v>1.137811728294582E-2</v>
      </c>
      <c r="O81" s="16">
        <f t="shared" si="7"/>
        <v>0.9770406778455516</v>
      </c>
      <c r="P81" s="10"/>
    </row>
    <row r="82" spans="2:16" x14ac:dyDescent="0.25">
      <c r="B82" s="20">
        <v>6.5</v>
      </c>
      <c r="C82" s="16"/>
      <c r="D82" s="22">
        <f t="shared" si="5"/>
        <v>0.9856870479994535</v>
      </c>
      <c r="E82" s="16">
        <f t="shared" si="6"/>
        <v>2.2179031228008726E-3</v>
      </c>
      <c r="F82" s="10"/>
      <c r="K82" s="20">
        <v>6.5</v>
      </c>
      <c r="L82" s="16"/>
      <c r="M82" s="16">
        <f t="shared" si="9"/>
        <v>4.5536155628326108E-3</v>
      </c>
      <c r="N82" s="16">
        <f t="shared" si="8"/>
        <v>1.274301762696825E-2</v>
      </c>
      <c r="O82" s="16">
        <f t="shared" si="7"/>
        <v>0.97083524453507186</v>
      </c>
      <c r="P82" s="10"/>
    </row>
    <row r="83" spans="2:16" x14ac:dyDescent="0.25">
      <c r="B83" s="9">
        <v>7</v>
      </c>
      <c r="C83" s="23">
        <v>2.7499999999999998E-3</v>
      </c>
      <c r="D83" s="22">
        <f t="shared" si="5"/>
        <v>0.98008487194703786</v>
      </c>
      <c r="E83" s="16">
        <f t="shared" si="6"/>
        <v>2.8737295771203062E-3</v>
      </c>
      <c r="F83" s="10">
        <f>C83/2*SUM($D$37:D83)+D83-1</f>
        <v>2.7794820247859731E-2</v>
      </c>
      <c r="K83" s="9">
        <v>7</v>
      </c>
      <c r="L83" s="23">
        <v>5.1999999999999998E-3</v>
      </c>
      <c r="M83" s="16">
        <v>5.2360657348439199E-3</v>
      </c>
      <c r="N83" s="16">
        <f t="shared" si="8"/>
        <v>1.4107917970991021E-2</v>
      </c>
      <c r="O83" s="16">
        <f t="shared" si="7"/>
        <v>0.96401110941950097</v>
      </c>
      <c r="P83" s="10">
        <f>0.5*(SUMPRODUCT($D$70:D83,$N$70:N83))+D83-(L83/2*SUM($D$70:D83)+D83)</f>
        <v>0</v>
      </c>
    </row>
    <row r="84" spans="2:16" x14ac:dyDescent="0.25">
      <c r="B84" s="9">
        <v>7.5</v>
      </c>
      <c r="C84" s="16"/>
      <c r="D84" s="22">
        <f t="shared" si="5"/>
        <v>0.97385143025435594</v>
      </c>
      <c r="E84" s="16">
        <f t="shared" si="6"/>
        <v>3.5328696863329025E-3</v>
      </c>
      <c r="F84" s="10"/>
      <c r="K84" s="9">
        <v>7.5</v>
      </c>
      <c r="L84" s="16"/>
      <c r="M84" s="16">
        <f>($M$89-$M$83)/($K$89-$K$83)*(K84-$K$83)+$M$83</f>
        <v>5.8722192328002814E-3</v>
      </c>
      <c r="N84" s="16">
        <f t="shared" si="8"/>
        <v>1.4778368204189388E-2</v>
      </c>
      <c r="O84" s="16">
        <f t="shared" si="7"/>
        <v>0.95691410667681287</v>
      </c>
      <c r="P84" s="10"/>
    </row>
    <row r="85" spans="2:16" x14ac:dyDescent="0.25">
      <c r="B85" s="20">
        <v>8</v>
      </c>
      <c r="C85" s="16"/>
      <c r="D85" s="22">
        <f t="shared" si="5"/>
        <v>0.96702002210133065</v>
      </c>
      <c r="E85" s="16">
        <f t="shared" si="6"/>
        <v>4.1920097955454993E-3</v>
      </c>
      <c r="F85" s="10"/>
      <c r="K85" s="20">
        <v>8</v>
      </c>
      <c r="L85" s="16"/>
      <c r="M85" s="16">
        <f t="shared" ref="M85:M88" si="10">($M$89-$M$83)/($K$89-$K$83)*(K85-$K$83)+$M$83</f>
        <v>6.5083727307566437E-3</v>
      </c>
      <c r="N85" s="16">
        <f t="shared" si="8"/>
        <v>1.6050675200101991E-2</v>
      </c>
      <c r="O85" s="16">
        <f t="shared" si="7"/>
        <v>0.94926528117244346</v>
      </c>
      <c r="P85" s="10"/>
    </row>
    <row r="86" spans="2:16" x14ac:dyDescent="0.25">
      <c r="B86" s="20">
        <v>8.5</v>
      </c>
      <c r="C86" s="16"/>
      <c r="D86" s="22">
        <f t="shared" si="5"/>
        <v>0.95960381329115374</v>
      </c>
      <c r="E86" s="16">
        <f t="shared" si="6"/>
        <v>4.8511499047580965E-3</v>
      </c>
      <c r="F86" s="10"/>
      <c r="K86" s="20">
        <v>8.5</v>
      </c>
      <c r="L86" s="16"/>
      <c r="M86" s="16">
        <f t="shared" si="10"/>
        <v>7.1445262287130051E-3</v>
      </c>
      <c r="N86" s="16">
        <f t="shared" si="8"/>
        <v>1.7322982196014663E-2</v>
      </c>
      <c r="O86" s="16">
        <f t="shared" si="7"/>
        <v>0.9410787334256151</v>
      </c>
      <c r="P86" s="10"/>
    </row>
    <row r="87" spans="2:16" x14ac:dyDescent="0.25">
      <c r="B87" s="9">
        <v>9</v>
      </c>
      <c r="C87" s="16"/>
      <c r="D87" s="22">
        <f t="shared" si="5"/>
        <v>0.95161702468319143</v>
      </c>
      <c r="E87" s="16">
        <f t="shared" si="6"/>
        <v>5.5102900139706928E-3</v>
      </c>
      <c r="F87" s="10"/>
      <c r="K87" s="9">
        <v>9</v>
      </c>
      <c r="L87" s="16"/>
      <c r="M87" s="16">
        <f t="shared" si="10"/>
        <v>7.7806797266693675E-3</v>
      </c>
      <c r="N87" s="16">
        <f t="shared" si="8"/>
        <v>1.8595289191927655E-2</v>
      </c>
      <c r="O87" s="16">
        <f t="shared" si="7"/>
        <v>0.93236946839104062</v>
      </c>
      <c r="P87" s="10"/>
    </row>
    <row r="88" spans="2:16" x14ac:dyDescent="0.25">
      <c r="B88" s="9">
        <v>9.5</v>
      </c>
      <c r="C88" s="16"/>
      <c r="D88" s="22">
        <f t="shared" si="5"/>
        <v>0.94307488677161389</v>
      </c>
      <c r="E88" s="16">
        <f t="shared" si="6"/>
        <v>6.1694301231832891E-3</v>
      </c>
      <c r="F88" s="10"/>
      <c r="K88" s="9">
        <v>9.5</v>
      </c>
      <c r="L88" s="16"/>
      <c r="M88" s="16">
        <f t="shared" si="10"/>
        <v>8.4168332246257298E-3</v>
      </c>
      <c r="N88" s="16">
        <f t="shared" si="8"/>
        <v>1.9867596187840342E-2</v>
      </c>
      <c r="O88" s="16">
        <f t="shared" si="7"/>
        <v>0.92315334966179763</v>
      </c>
      <c r="P88" s="10"/>
    </row>
    <row r="89" spans="2:16" x14ac:dyDescent="0.25">
      <c r="B89" s="25">
        <v>10</v>
      </c>
      <c r="C89" s="26">
        <v>6.6E-3</v>
      </c>
      <c r="D89" s="27">
        <f t="shared" si="5"/>
        <v>0.93399359131498627</v>
      </c>
      <c r="E89" s="17">
        <f t="shared" si="6"/>
        <v>6.8285702323958855E-3</v>
      </c>
      <c r="F89" s="12">
        <f>C89/2*SUM($D$37:D89)+D89-1</f>
        <v>6.7403697772733473E-2</v>
      </c>
      <c r="K89" s="25">
        <v>10</v>
      </c>
      <c r="L89" s="26">
        <v>8.8999999999999999E-3</v>
      </c>
      <c r="M89" s="17">
        <v>9.0529867225820904E-3</v>
      </c>
      <c r="N89" s="17">
        <f t="shared" si="8"/>
        <v>2.1139903183752945E-2</v>
      </c>
      <c r="O89" s="17">
        <f t="shared" si="7"/>
        <v>0.91344705136416948</v>
      </c>
      <c r="P89" s="12">
        <f>0.5*(SUMPRODUCT($D$70:D89,$N$70:N89))+D89-(L89/2*SUM($D$70:D89)+D89)</f>
        <v>0</v>
      </c>
    </row>
    <row r="92" spans="2:16" x14ac:dyDescent="0.25">
      <c r="B92" s="5" t="s">
        <v>99</v>
      </c>
      <c r="C92" s="5"/>
      <c r="D92" s="5"/>
    </row>
    <row r="93" spans="2:16" x14ac:dyDescent="0.25">
      <c r="B93" s="2" t="s">
        <v>85</v>
      </c>
    </row>
    <row r="94" spans="2:16" ht="31.5" x14ac:dyDescent="0.25">
      <c r="B94" s="18" t="s">
        <v>53</v>
      </c>
      <c r="C94" s="19" t="s">
        <v>87</v>
      </c>
      <c r="D94" s="19" t="s">
        <v>88</v>
      </c>
      <c r="E94" s="8" t="s">
        <v>89</v>
      </c>
    </row>
    <row r="95" spans="2:16" x14ac:dyDescent="0.25">
      <c r="B95" s="20">
        <v>0</v>
      </c>
      <c r="C95" s="16">
        <v>1</v>
      </c>
      <c r="D95" s="16">
        <v>1</v>
      </c>
      <c r="E95" s="10"/>
    </row>
    <row r="96" spans="2:16" x14ac:dyDescent="0.25">
      <c r="B96" s="20">
        <v>0.5</v>
      </c>
      <c r="C96" s="16">
        <v>1.0012507815756226</v>
      </c>
      <c r="D96" s="35">
        <v>1.0012507815756224</v>
      </c>
      <c r="E96" s="10">
        <f>D96-C96</f>
        <v>0</v>
      </c>
    </row>
    <row r="97" spans="2:5" x14ac:dyDescent="0.25">
      <c r="B97" s="9">
        <v>1</v>
      </c>
      <c r="C97" s="16">
        <v>1.0025031276057952</v>
      </c>
      <c r="D97" s="35">
        <v>1.0025031276057947</v>
      </c>
      <c r="E97" s="10">
        <f>(D97-C97)*10000</f>
        <v>-4.4408920985006262E-12</v>
      </c>
    </row>
    <row r="98" spans="2:5" x14ac:dyDescent="0.25">
      <c r="B98" s="9">
        <v>1.5</v>
      </c>
      <c r="C98" s="16">
        <v>1.0030806067204752</v>
      </c>
      <c r="D98" s="35">
        <v>1.0030805687279352</v>
      </c>
      <c r="E98" s="10">
        <f t="shared" ref="E98:E115" si="11">(D98-C98)*10000</f>
        <v>-3.7992540002917963E-4</v>
      </c>
    </row>
    <row r="99" spans="2:5" x14ac:dyDescent="0.25">
      <c r="B99" s="20">
        <v>2</v>
      </c>
      <c r="C99" s="16">
        <v>1.0032074565807414</v>
      </c>
      <c r="D99" s="35">
        <v>1.0032073552544927</v>
      </c>
      <c r="E99" s="10">
        <f t="shared" si="11"/>
        <v>-1.013262487248312E-3</v>
      </c>
    </row>
    <row r="100" spans="2:5" x14ac:dyDescent="0.25">
      <c r="B100" s="20">
        <v>2.5</v>
      </c>
      <c r="C100" s="16">
        <v>1.0025066497317889</v>
      </c>
      <c r="D100" s="35">
        <v>1.0025063878584277</v>
      </c>
      <c r="E100" s="10">
        <f t="shared" si="11"/>
        <v>-2.6187336121807903E-3</v>
      </c>
    </row>
    <row r="101" spans="2:5" x14ac:dyDescent="0.25">
      <c r="B101" s="9">
        <v>3</v>
      </c>
      <c r="C101" s="16">
        <v>1.0012056727238534</v>
      </c>
      <c r="D101" s="35">
        <v>1.0012051967295359</v>
      </c>
      <c r="E101" s="10">
        <f t="shared" si="11"/>
        <v>-4.7599431751699228E-3</v>
      </c>
    </row>
    <row r="102" spans="2:5" x14ac:dyDescent="0.25">
      <c r="B102" s="9">
        <v>3.5</v>
      </c>
      <c r="C102" s="16">
        <v>0.99895173434922901</v>
      </c>
      <c r="D102" s="35">
        <v>0.99895087416902784</v>
      </c>
      <c r="E102" s="10">
        <f t="shared" si="11"/>
        <v>-8.6018020117872851E-3</v>
      </c>
    </row>
    <row r="103" spans="2:5" x14ac:dyDescent="0.25">
      <c r="B103" s="20">
        <v>4</v>
      </c>
      <c r="C103" s="16">
        <v>0.9960041170669266</v>
      </c>
      <c r="D103" s="35">
        <v>0.9960027881042649</v>
      </c>
      <c r="E103" s="10">
        <f t="shared" si="11"/>
        <v>-1.3289626616952432E-2</v>
      </c>
    </row>
    <row r="104" spans="2:5" x14ac:dyDescent="0.25">
      <c r="B104" s="20">
        <v>4.5</v>
      </c>
      <c r="C104" s="16">
        <v>0.99214104781845947</v>
      </c>
      <c r="D104" s="35">
        <v>0.99213902654865671</v>
      </c>
      <c r="E104" s="10">
        <f t="shared" si="11"/>
        <v>-2.0212698027544107E-2</v>
      </c>
    </row>
    <row r="105" spans="2:5" x14ac:dyDescent="0.25">
      <c r="B105" s="9">
        <v>5</v>
      </c>
      <c r="C105" s="16">
        <v>0.9875496886939471</v>
      </c>
      <c r="D105" s="35">
        <v>0.98754686487272958</v>
      </c>
      <c r="E105" s="10">
        <f t="shared" si="11"/>
        <v>-2.8238212175235589E-2</v>
      </c>
    </row>
    <row r="106" spans="2:5" x14ac:dyDescent="0.25">
      <c r="B106" s="9">
        <v>5.5</v>
      </c>
      <c r="C106" s="16">
        <v>0.98261878950520343</v>
      </c>
      <c r="D106" s="35">
        <v>0.9826149607335587</v>
      </c>
      <c r="E106" s="10">
        <f t="shared" si="11"/>
        <v>-3.82877164473161E-2</v>
      </c>
    </row>
    <row r="107" spans="2:5" x14ac:dyDescent="0.25">
      <c r="B107" s="20">
        <v>6</v>
      </c>
      <c r="C107" s="16">
        <v>0.97704563160522961</v>
      </c>
      <c r="D107" s="35">
        <v>0.9770406778455516</v>
      </c>
      <c r="E107" s="10">
        <f t="shared" si="11"/>
        <v>-4.9537596780169224E-2</v>
      </c>
    </row>
    <row r="108" spans="2:5" x14ac:dyDescent="0.25">
      <c r="B108" s="20">
        <v>6.5</v>
      </c>
      <c r="C108" s="16">
        <v>0.97084143884683161</v>
      </c>
      <c r="D108" s="35">
        <v>0.97083524453507186</v>
      </c>
      <c r="E108" s="10">
        <f t="shared" si="11"/>
        <v>-6.1943117597440533E-2</v>
      </c>
    </row>
    <row r="109" spans="2:5" x14ac:dyDescent="0.25">
      <c r="B109" s="9">
        <v>7</v>
      </c>
      <c r="C109" s="16">
        <v>0.9640186549220201</v>
      </c>
      <c r="D109" s="35">
        <v>0.96401110941950097</v>
      </c>
      <c r="E109" s="10">
        <f t="shared" si="11"/>
        <v>-7.5455025191351055E-2</v>
      </c>
    </row>
    <row r="110" spans="2:5" x14ac:dyDescent="0.25">
      <c r="B110" s="9">
        <v>7.5</v>
      </c>
      <c r="C110" s="16">
        <v>0.95692341967592787</v>
      </c>
      <c r="D110" s="35">
        <v>0.95691410667681287</v>
      </c>
      <c r="E110" s="10">
        <f t="shared" si="11"/>
        <v>-9.3129991149965008E-2</v>
      </c>
    </row>
    <row r="111" spans="2:5" x14ac:dyDescent="0.25">
      <c r="B111" s="20">
        <v>8</v>
      </c>
      <c r="C111" s="16">
        <v>0.94927649857570129</v>
      </c>
      <c r="D111" s="35">
        <v>0.94926528117244346</v>
      </c>
      <c r="E111" s="10">
        <f t="shared" si="11"/>
        <v>-0.11217403257823833</v>
      </c>
    </row>
    <row r="112" spans="2:5" x14ac:dyDescent="0.25">
      <c r="B112" s="20">
        <v>8.5</v>
      </c>
      <c r="C112" s="16">
        <v>0.94109198477081502</v>
      </c>
      <c r="D112" s="35">
        <v>0.9410787334256151</v>
      </c>
      <c r="E112" s="10">
        <f t="shared" si="11"/>
        <v>-0.13251345199916109</v>
      </c>
    </row>
    <row r="113" spans="1:16" x14ac:dyDescent="0.25">
      <c r="B113" s="9">
        <v>9</v>
      </c>
      <c r="C113" s="16">
        <v>0.93238487540481751</v>
      </c>
      <c r="D113" s="35">
        <v>0.93236946839104062</v>
      </c>
      <c r="E113" s="10">
        <f t="shared" si="11"/>
        <v>-0.15407013776891354</v>
      </c>
    </row>
    <row r="114" spans="1:16" x14ac:dyDescent="0.25">
      <c r="B114" s="9">
        <v>9.5</v>
      </c>
      <c r="C114" s="16">
        <v>0.92317102585448652</v>
      </c>
      <c r="D114" s="35">
        <v>0.92315334966179763</v>
      </c>
      <c r="E114" s="10">
        <f t="shared" si="11"/>
        <v>-0.17676192688886871</v>
      </c>
    </row>
    <row r="115" spans="1:16" x14ac:dyDescent="0.25">
      <c r="B115" s="25">
        <v>10</v>
      </c>
      <c r="C115" s="17">
        <v>0.91346710166256617</v>
      </c>
      <c r="D115" s="36">
        <v>0.91344705136416948</v>
      </c>
      <c r="E115" s="12">
        <f t="shared" si="11"/>
        <v>-0.20050298396689925</v>
      </c>
    </row>
    <row r="118" spans="1:16" x14ac:dyDescent="0.25">
      <c r="A118" s="5" t="s">
        <v>92</v>
      </c>
      <c r="B118" s="5" t="s">
        <v>93</v>
      </c>
    </row>
    <row r="119" spans="1:16" x14ac:dyDescent="0.25">
      <c r="B119" s="5" t="s">
        <v>98</v>
      </c>
    </row>
    <row r="120" spans="1:16" ht="47.25" x14ac:dyDescent="0.25">
      <c r="B120" s="2" t="s">
        <v>100</v>
      </c>
      <c r="C120" s="2" t="s">
        <v>101</v>
      </c>
      <c r="D120" s="2" t="s">
        <v>86</v>
      </c>
      <c r="E120" s="2" t="s">
        <v>102</v>
      </c>
      <c r="F120" s="2" t="s">
        <v>103</v>
      </c>
      <c r="K120" s="28" t="s">
        <v>53</v>
      </c>
      <c r="L120" s="29" t="s">
        <v>55</v>
      </c>
      <c r="M120" s="30" t="s">
        <v>78</v>
      </c>
      <c r="N120" s="30" t="s">
        <v>46</v>
      </c>
      <c r="O120" s="30" t="s">
        <v>56</v>
      </c>
      <c r="P120" s="32" t="s">
        <v>80</v>
      </c>
    </row>
    <row r="121" spans="1:16" x14ac:dyDescent="0.25">
      <c r="B121" s="2">
        <v>0</v>
      </c>
      <c r="D121" s="2">
        <v>1</v>
      </c>
      <c r="K121" s="18">
        <v>0</v>
      </c>
      <c r="L121" s="19"/>
      <c r="M121" s="15"/>
      <c r="N121" s="15"/>
      <c r="O121" s="15">
        <v>1</v>
      </c>
      <c r="P121" s="8"/>
    </row>
    <row r="122" spans="1:16" x14ac:dyDescent="0.25">
      <c r="B122" s="2">
        <v>0.5</v>
      </c>
      <c r="D122" s="2">
        <v>1.0017832462154115</v>
      </c>
      <c r="E122" s="2">
        <v>-3.5633162391520861E-3</v>
      </c>
      <c r="K122" s="20">
        <v>0.5</v>
      </c>
      <c r="L122" s="16"/>
      <c r="M122" s="16">
        <v>-2.5000000000000005E-3</v>
      </c>
      <c r="N122" s="16">
        <v>-2.5000000000001102E-3</v>
      </c>
      <c r="O122" s="16">
        <v>1.0012507815756226</v>
      </c>
      <c r="P122" s="10"/>
    </row>
    <row r="123" spans="1:16" x14ac:dyDescent="0.25">
      <c r="B123" s="2">
        <v>1</v>
      </c>
      <c r="C123" s="2">
        <v>-3.6600000000000001E-3</v>
      </c>
      <c r="D123" s="2">
        <v>1.0035696723978877</v>
      </c>
      <c r="E123" s="2">
        <v>-3.5633162391520861E-3</v>
      </c>
      <c r="F123" s="2">
        <v>1.0030700499363832E-4</v>
      </c>
      <c r="K123" s="9">
        <v>1</v>
      </c>
      <c r="L123" s="23">
        <v>-2.5000000000001132E-3</v>
      </c>
      <c r="M123" s="16">
        <v>-2.5000000000000005E-3</v>
      </c>
      <c r="N123" s="16">
        <v>-2.5000000000000903E-3</v>
      </c>
      <c r="O123" s="16">
        <v>1.0025031276057952</v>
      </c>
      <c r="P123" s="24">
        <f>N122/2*D122+N123/2*D123+D123-L123/2*(D122+D123)-D123</f>
        <v>0</v>
      </c>
    </row>
    <row r="124" spans="1:16" x14ac:dyDescent="0.25">
      <c r="B124" s="2">
        <v>1.5</v>
      </c>
      <c r="D124" s="2">
        <v>1.0046732410862824</v>
      </c>
      <c r="E124" s="2">
        <v>-3.1082369308566985E-3</v>
      </c>
      <c r="K124" s="9">
        <v>1.5</v>
      </c>
      <c r="L124" s="16"/>
      <c r="M124" s="16">
        <v>-2.0505809161727364E-3</v>
      </c>
      <c r="N124" s="16">
        <v>-1.1517427485180183E-3</v>
      </c>
      <c r="O124" s="16">
        <v>1.0030806067204752</v>
      </c>
      <c r="P124" s="10"/>
    </row>
    <row r="125" spans="1:16" x14ac:dyDescent="0.25">
      <c r="B125" s="2">
        <v>2</v>
      </c>
      <c r="C125" s="2">
        <v>-2.7499999999999998E-3</v>
      </c>
      <c r="D125" s="2">
        <v>1.0053204186705686</v>
      </c>
      <c r="E125" s="2">
        <v>-2.6531576225613108E-3</v>
      </c>
      <c r="F125" s="2">
        <v>-2.0068287469032775E-4</v>
      </c>
      <c r="K125" s="20">
        <v>2</v>
      </c>
      <c r="L125" s="23">
        <v>-1.6000505635829221E-3</v>
      </c>
      <c r="M125" s="16">
        <v>-1.6011618323454723E-3</v>
      </c>
      <c r="N125" s="16">
        <v>-2.529045808637026E-4</v>
      </c>
      <c r="O125" s="16">
        <v>1.0032074565807414</v>
      </c>
      <c r="P125" s="10">
        <f>0.5*(SUMPRODUCT(D122:D125,N122:N125))+D125-(L125/2*SUM(D122:D125)+D125)</f>
        <v>0</v>
      </c>
    </row>
    <row r="126" spans="1:16" x14ac:dyDescent="0.25">
      <c r="B126" s="2">
        <v>2.5</v>
      </c>
      <c r="D126" s="2">
        <v>1.0052088496924254</v>
      </c>
      <c r="E126" s="2">
        <v>-2.0781322242514012E-3</v>
      </c>
      <c r="K126" s="20">
        <v>2.5</v>
      </c>
      <c r="L126" s="16"/>
      <c r="M126" s="16">
        <v>-1.0014053302018332E-3</v>
      </c>
      <c r="N126" s="16">
        <v>1.3976206783727074E-3</v>
      </c>
      <c r="O126" s="16">
        <v>1.0025066497317889</v>
      </c>
      <c r="P126" s="10"/>
    </row>
    <row r="127" spans="1:16" x14ac:dyDescent="0.25">
      <c r="B127" s="2">
        <v>3</v>
      </c>
      <c r="C127" s="2">
        <v>-1.6000000000000001E-3</v>
      </c>
      <c r="D127" s="2">
        <v>1.0045195027627192</v>
      </c>
      <c r="E127" s="2">
        <v>-1.5031068259414916E-3</v>
      </c>
      <c r="F127" s="2">
        <v>-3.0055718194110792E-4</v>
      </c>
      <c r="K127" s="9">
        <v>3</v>
      </c>
      <c r="L127" s="23">
        <v>-4.0015858283187766E-4</v>
      </c>
      <c r="M127" s="16">
        <v>-4.0164882805819417E-4</v>
      </c>
      <c r="N127" s="16">
        <v>2.5971336826601612E-3</v>
      </c>
      <c r="O127" s="16">
        <v>1.0012056727238534</v>
      </c>
      <c r="P127" s="10">
        <f>0.5*(SUMPRODUCT($D$122:D127,$N$122:N127))+D127-(L127/2*SUM($D$122:D127)+D127)</f>
        <v>0</v>
      </c>
    </row>
    <row r="128" spans="1:16" x14ac:dyDescent="0.25">
      <c r="B128" s="2">
        <v>3.5</v>
      </c>
      <c r="D128" s="2">
        <v>1.0030743659725074</v>
      </c>
      <c r="E128" s="2">
        <v>-8.7704279233823536E-4</v>
      </c>
      <c r="K128" s="9">
        <v>3.5</v>
      </c>
      <c r="L128" s="16"/>
      <c r="M128" s="16">
        <v>2.9966156156468332E-4</v>
      </c>
      <c r="N128" s="16">
        <v>4.5075238993019379E-3</v>
      </c>
      <c r="O128" s="16">
        <v>0.99895173434922901</v>
      </c>
      <c r="P128" s="10"/>
    </row>
    <row r="129" spans="2:16" x14ac:dyDescent="0.25">
      <c r="B129" s="2">
        <v>4</v>
      </c>
      <c r="C129" s="2">
        <v>-3.5E-4</v>
      </c>
      <c r="D129" s="2">
        <v>1.0010044191263128</v>
      </c>
      <c r="E129" s="2">
        <v>-2.5097875873497942E-4</v>
      </c>
      <c r="F129" s="2">
        <v>-4.0264674049000915E-3</v>
      </c>
      <c r="K129" s="20">
        <v>4</v>
      </c>
      <c r="L129" s="23">
        <v>9.9966664688538875E-4</v>
      </c>
      <c r="M129" s="16">
        <v>1.0009719511875608E-3</v>
      </c>
      <c r="N129" s="16">
        <v>5.910144678547515E-3</v>
      </c>
      <c r="O129" s="16">
        <v>0.9960041170669266</v>
      </c>
      <c r="P129" s="10">
        <f>0.5*(SUMPRODUCT(D122:D129,$N$122:N129))+D129-(L129/2*SUM($D$122:D129)+D129)</f>
        <v>0</v>
      </c>
    </row>
    <row r="130" spans="2:16" x14ac:dyDescent="0.25">
      <c r="B130" s="2">
        <v>4.5</v>
      </c>
      <c r="D130" s="2">
        <v>1.0000012487482877</v>
      </c>
      <c r="E130" s="2">
        <v>-2.7749944620364387E-7</v>
      </c>
      <c r="K130" s="20">
        <v>4.5</v>
      </c>
      <c r="L130" s="16"/>
      <c r="M130" s="16">
        <v>1.7533325563932555E-3</v>
      </c>
      <c r="N130" s="16">
        <v>7.7722173980389712E-3</v>
      </c>
      <c r="O130" s="16">
        <v>0.99214104781845947</v>
      </c>
      <c r="P130" s="10"/>
    </row>
    <row r="131" spans="2:16" x14ac:dyDescent="0.25">
      <c r="B131" s="2">
        <v>5</v>
      </c>
      <c r="C131" s="2">
        <v>1.4999999999999999E-4</v>
      </c>
      <c r="D131" s="2">
        <v>0.99874866477445423</v>
      </c>
      <c r="E131" s="2">
        <v>2.5042375984257211E-4</v>
      </c>
      <c r="F131" s="2">
        <v>1.0546652456311367E-3</v>
      </c>
      <c r="K131" s="9">
        <v>5</v>
      </c>
      <c r="L131" s="23">
        <v>2.4994291180553407E-3</v>
      </c>
      <c r="M131" s="16">
        <v>2.5056931615989502E-3</v>
      </c>
      <c r="N131" s="16">
        <v>9.2769386084502019E-3</v>
      </c>
      <c r="O131" s="16">
        <v>0.9875496886939471</v>
      </c>
      <c r="P131" s="10">
        <f>0.5*(SUMPRODUCT($D$122:D131,$N$122:N131))+D131-(L131/2*SUM($D$122:D131)+D131)</f>
        <v>0</v>
      </c>
    </row>
    <row r="132" spans="2:16" x14ac:dyDescent="0.25">
      <c r="B132" s="2">
        <v>5.5</v>
      </c>
      <c r="D132" s="2">
        <v>0.99502802521209721</v>
      </c>
      <c r="E132" s="2">
        <v>9.0625021416200578E-4</v>
      </c>
      <c r="K132" s="9">
        <v>5.5</v>
      </c>
      <c r="L132" s="16"/>
      <c r="M132" s="16">
        <v>3.1880067633410615E-3</v>
      </c>
      <c r="N132" s="16">
        <v>1.0011142780762015E-2</v>
      </c>
      <c r="O132" s="16">
        <v>0.98261878950520343</v>
      </c>
      <c r="P132" s="10"/>
    </row>
    <row r="133" spans="2:16" x14ac:dyDescent="0.25">
      <c r="B133" s="2">
        <v>6</v>
      </c>
      <c r="D133" s="2">
        <v>0.99067132459584273</v>
      </c>
      <c r="E133" s="2">
        <v>1.5620766684814394E-3</v>
      </c>
      <c r="K133" s="20">
        <v>6</v>
      </c>
      <c r="L133" s="16"/>
      <c r="M133" s="16">
        <v>3.8703203650831725E-3</v>
      </c>
      <c r="N133" s="16">
        <v>1.1375769984246539E-2</v>
      </c>
      <c r="O133" s="16">
        <v>0.97704563160522961</v>
      </c>
      <c r="P133" s="10"/>
    </row>
    <row r="134" spans="2:16" x14ac:dyDescent="0.25">
      <c r="B134" s="2">
        <v>6.5</v>
      </c>
      <c r="D134" s="2">
        <v>0.9856870479994535</v>
      </c>
      <c r="E134" s="2">
        <v>2.2179031228008726E-3</v>
      </c>
      <c r="K134" s="20">
        <v>6.5</v>
      </c>
      <c r="L134" s="16"/>
      <c r="M134" s="16">
        <v>4.5526339668252834E-3</v>
      </c>
      <c r="N134" s="16">
        <v>1.274039718773054E-2</v>
      </c>
      <c r="O134" s="16">
        <v>0.97084143884683161</v>
      </c>
      <c r="P134" s="10"/>
    </row>
    <row r="135" spans="2:16" x14ac:dyDescent="0.25">
      <c r="B135" s="2">
        <v>7</v>
      </c>
      <c r="C135" s="2">
        <v>2.7499999999999998E-3</v>
      </c>
      <c r="D135" s="2">
        <v>0.98008487194703786</v>
      </c>
      <c r="E135" s="2">
        <v>2.8737295771203062E-3</v>
      </c>
      <c r="F135" s="2">
        <v>2.7794820247859731E-2</v>
      </c>
      <c r="K135" s="9">
        <v>7</v>
      </c>
      <c r="L135" s="23">
        <v>5.1988888714245007E-3</v>
      </c>
      <c r="M135" s="16">
        <v>5.2349475685673948E-3</v>
      </c>
      <c r="N135" s="16">
        <v>1.4105024391214922E-2</v>
      </c>
      <c r="O135" s="16">
        <v>0.9640186549220201</v>
      </c>
      <c r="P135" s="10">
        <f>0.5*(SUMPRODUCT($D$122:D135,$N$122:N135))+D135-(L135/2*SUM($D$122:D135)+D135)</f>
        <v>0</v>
      </c>
    </row>
    <row r="136" spans="2:16" x14ac:dyDescent="0.25">
      <c r="B136" s="2">
        <v>7.5</v>
      </c>
      <c r="D136" s="2">
        <v>0.97385143025435594</v>
      </c>
      <c r="E136" s="2">
        <v>3.5328696863329025E-3</v>
      </c>
      <c r="K136" s="9">
        <v>7.5</v>
      </c>
      <c r="L136" s="16"/>
      <c r="M136" s="16">
        <v>5.870921595777033E-3</v>
      </c>
      <c r="N136" s="16">
        <v>1.4774557976711941E-2</v>
      </c>
      <c r="O136" s="16">
        <v>0.95692341967592787</v>
      </c>
      <c r="P136" s="10"/>
    </row>
    <row r="137" spans="2:16" x14ac:dyDescent="0.25">
      <c r="B137" s="2">
        <v>8</v>
      </c>
      <c r="D137" s="2">
        <v>0.96702002210133065</v>
      </c>
      <c r="E137" s="2">
        <v>4.1920097955454993E-3</v>
      </c>
      <c r="K137" s="20">
        <v>8</v>
      </c>
      <c r="L137" s="16"/>
      <c r="M137" s="16">
        <v>6.5068956229866705E-3</v>
      </c>
      <c r="N137" s="16">
        <v>1.6046506031131169E-2</v>
      </c>
      <c r="O137" s="16">
        <v>0.94927649857570129</v>
      </c>
      <c r="P137" s="10"/>
    </row>
    <row r="138" spans="2:16" x14ac:dyDescent="0.25">
      <c r="B138" s="2">
        <v>8.5</v>
      </c>
      <c r="D138" s="2">
        <v>0.95960381329115374</v>
      </c>
      <c r="E138" s="2">
        <v>4.8511499047580965E-3</v>
      </c>
      <c r="K138" s="20">
        <v>8.5</v>
      </c>
      <c r="L138" s="16"/>
      <c r="M138" s="16">
        <v>7.1428696501963087E-3</v>
      </c>
      <c r="N138" s="16">
        <v>1.7318454085550591E-2</v>
      </c>
      <c r="O138" s="16">
        <v>0.94109198477081502</v>
      </c>
      <c r="P138" s="10"/>
    </row>
    <row r="139" spans="2:16" x14ac:dyDescent="0.25">
      <c r="B139" s="2">
        <v>9</v>
      </c>
      <c r="D139" s="2">
        <v>0.95161702468319143</v>
      </c>
      <c r="E139" s="2">
        <v>5.5102900139706928E-3</v>
      </c>
      <c r="K139" s="9">
        <v>9</v>
      </c>
      <c r="L139" s="16"/>
      <c r="M139" s="16">
        <v>7.7788436774059461E-3</v>
      </c>
      <c r="N139" s="16">
        <v>1.8590402139969764E-2</v>
      </c>
      <c r="O139" s="16">
        <v>0.93238487540481751</v>
      </c>
      <c r="P139" s="10"/>
    </row>
    <row r="140" spans="2:16" x14ac:dyDescent="0.25">
      <c r="B140" s="2">
        <v>9.5</v>
      </c>
      <c r="D140" s="2">
        <v>0.94307488677161389</v>
      </c>
      <c r="E140" s="2">
        <v>6.1694301231832891E-3</v>
      </c>
      <c r="K140" s="9">
        <v>9.5</v>
      </c>
      <c r="L140" s="16"/>
      <c r="M140" s="16">
        <v>8.4148177046155844E-3</v>
      </c>
      <c r="N140" s="16">
        <v>1.9862350194388978E-2</v>
      </c>
      <c r="O140" s="16">
        <v>0.92317102585448652</v>
      </c>
      <c r="P140" s="10"/>
    </row>
    <row r="141" spans="2:16" x14ac:dyDescent="0.25">
      <c r="B141" s="2">
        <v>10</v>
      </c>
      <c r="C141" s="2">
        <v>6.6E-3</v>
      </c>
      <c r="D141" s="2">
        <v>0.93399359131498627</v>
      </c>
      <c r="E141" s="2">
        <v>6.8285702323958855E-3</v>
      </c>
      <c r="F141" s="2">
        <v>6.7403697772733473E-2</v>
      </c>
      <c r="K141" s="25">
        <v>10</v>
      </c>
      <c r="L141" s="26">
        <v>8.8978459444732927E-3</v>
      </c>
      <c r="M141" s="17">
        <v>9.0507917318252227E-3</v>
      </c>
      <c r="N141" s="17">
        <v>2.1134298248808359E-2</v>
      </c>
      <c r="O141" s="17">
        <v>0.91346710166256617</v>
      </c>
      <c r="P141" s="10">
        <f>0.5*(SUMPRODUCT($D$122:D141,$N$122:N141))+D141-(L141/2*SUM($D$122:D141)+D141)</f>
        <v>0</v>
      </c>
    </row>
    <row r="144" spans="2:16" x14ac:dyDescent="0.25">
      <c r="B144" s="5" t="s">
        <v>99</v>
      </c>
    </row>
    <row r="145" spans="2:5" x14ac:dyDescent="0.25">
      <c r="B145" s="1" t="s">
        <v>57</v>
      </c>
    </row>
    <row r="146" spans="2:5" ht="47.25" x14ac:dyDescent="0.25">
      <c r="B146" s="18" t="s">
        <v>53</v>
      </c>
      <c r="C146" s="19" t="s">
        <v>94</v>
      </c>
      <c r="D146" s="19" t="s">
        <v>95</v>
      </c>
      <c r="E146" s="8" t="s">
        <v>89</v>
      </c>
    </row>
    <row r="147" spans="2:5" x14ac:dyDescent="0.25">
      <c r="B147" s="9">
        <v>1</v>
      </c>
      <c r="C147" s="23">
        <v>-2.5000000000000001E-3</v>
      </c>
      <c r="D147" s="37">
        <f>L123</f>
        <v>-2.5000000000001132E-3</v>
      </c>
      <c r="E147" s="10">
        <f>(D147-C147)*10000</f>
        <v>-1.1319070680748666E-12</v>
      </c>
    </row>
    <row r="148" spans="2:5" x14ac:dyDescent="0.25">
      <c r="B148" s="9">
        <v>2</v>
      </c>
      <c r="C148" s="23">
        <v>-1.6000000000000001E-3</v>
      </c>
      <c r="D148" s="37">
        <f>L125</f>
        <v>-1.6000505635829221E-3</v>
      </c>
      <c r="E148" s="10">
        <f t="shared" ref="E148:E152" si="12">(D148-C148)*10000</f>
        <v>-5.0563582922004066E-4</v>
      </c>
    </row>
    <row r="149" spans="2:5" x14ac:dyDescent="0.25">
      <c r="B149" s="9">
        <v>3</v>
      </c>
      <c r="C149" s="23">
        <v>-4.0000000000000002E-4</v>
      </c>
      <c r="D149" s="37">
        <f>L127</f>
        <v>-4.0015858283187766E-4</v>
      </c>
      <c r="E149" s="10">
        <f t="shared" si="12"/>
        <v>-1.5858283187764359E-3</v>
      </c>
    </row>
    <row r="150" spans="2:5" x14ac:dyDescent="0.25">
      <c r="B150" s="9">
        <v>4</v>
      </c>
      <c r="C150" s="23">
        <v>1E-3</v>
      </c>
      <c r="D150" s="37">
        <f>L129</f>
        <v>9.9966664688538875E-4</v>
      </c>
      <c r="E150" s="10">
        <f t="shared" si="12"/>
        <v>-3.3335311461126643E-3</v>
      </c>
    </row>
    <row r="151" spans="2:5" x14ac:dyDescent="0.25">
      <c r="B151" s="9">
        <v>5</v>
      </c>
      <c r="C151" s="23">
        <v>2.5000000000000001E-3</v>
      </c>
      <c r="D151" s="37">
        <f>L131</f>
        <v>2.4994291180553407E-3</v>
      </c>
      <c r="E151" s="10">
        <f t="shared" si="12"/>
        <v>-5.7088194465931483E-3</v>
      </c>
    </row>
    <row r="152" spans="2:5" x14ac:dyDescent="0.25">
      <c r="B152" s="9">
        <v>7</v>
      </c>
      <c r="C152" s="23">
        <v>5.1999999999999998E-3</v>
      </c>
      <c r="D152" s="37">
        <f>L135</f>
        <v>5.1988888714245007E-3</v>
      </c>
      <c r="E152" s="10">
        <f t="shared" si="12"/>
        <v>-1.1111285754990263E-2</v>
      </c>
    </row>
    <row r="153" spans="2:5" x14ac:dyDescent="0.25">
      <c r="B153" s="11">
        <v>10</v>
      </c>
      <c r="C153" s="26">
        <v>8.8999999999999999E-3</v>
      </c>
      <c r="D153" s="38">
        <f>L141</f>
        <v>8.8978459444732927E-3</v>
      </c>
      <c r="E153" s="12">
        <f>(D153-C153)*10000</f>
        <v>-2.1540555267072353E-2</v>
      </c>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Grade</vt:lpstr>
      <vt:lpstr>exercise_1</vt:lpstr>
      <vt:lpstr>exercise 2</vt:lpstr>
      <vt:lpstr>exercise 3</vt:lpstr>
      <vt:lpstr>exercise 4</vt:lpstr>
      <vt:lpstr>exercise 5</vt:lpstr>
      <vt:lpstr>exercise 6</vt:lpstr>
      <vt:lpstr>application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Wenxin Shi</dc:creator>
  <cp:lastModifiedBy>Bledi</cp:lastModifiedBy>
  <dcterms:created xsi:type="dcterms:W3CDTF">2018-09-18T18:09:42Z</dcterms:created>
  <dcterms:modified xsi:type="dcterms:W3CDTF">2018-10-12T16:18:25Z</dcterms:modified>
</cp:coreProperties>
</file>