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stu\Downloads\"/>
    </mc:Choice>
  </mc:AlternateContent>
  <xr:revisionPtr revIDLastSave="0" documentId="13_ncr:1_{A98F2197-153B-4368-9A4E-9B56DCB7C267}" xr6:coauthVersionLast="47" xr6:coauthVersionMax="47" xr10:uidLastSave="{00000000-0000-0000-0000-000000000000}"/>
  <bookViews>
    <workbookView xWindow="-108" yWindow="-108" windowWidth="23256" windowHeight="12456" firstSheet="6" activeTab="13" xr2:uid="{AE484D81-D21A-48BF-BDCF-B95095800E79}"/>
  </bookViews>
  <sheets>
    <sheet name="DCF&gt;" sheetId="3" r:id="rId1"/>
    <sheet name="WACC" sheetId="1" r:id="rId2"/>
    <sheet name="Data&gt;" sheetId="2" r:id="rId3"/>
    <sheet name="Beta Regression" sheetId="4" r:id="rId4"/>
    <sheet name="Beta Comps" sheetId="5" r:id="rId5"/>
    <sheet name="RM" sheetId="6" r:id="rId6"/>
    <sheet name="Intrinsic growth" sheetId="12" r:id="rId7"/>
    <sheet name="Comps_val" sheetId="14" r:id="rId8"/>
    <sheet name="DCF" sheetId="13" r:id="rId9"/>
    <sheet name="Football Feild" sheetId="15" r:id="rId10"/>
    <sheet name="Raw FS" sheetId="11" r:id="rId11"/>
    <sheet name="Historical" sheetId="8" r:id="rId12"/>
    <sheet name="Data Room&gt;" sheetId="10" r:id="rId13"/>
    <sheet name="Data Sheet" sheetId="9" r:id="rId14"/>
  </sheets>
  <externalReferences>
    <externalReference r:id="rId15"/>
    <externalReference r:id="rId16"/>
  </externalReferences>
  <definedNames>
    <definedName name="_xlnm._FilterDatabase" localSheetId="3" hidden="1">'Beta Regression'!$O$7:$P$113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4" l="1"/>
  <c r="AA10" i="4"/>
  <c r="M15" i="14"/>
  <c r="L15" i="14"/>
  <c r="K15" i="14"/>
  <c r="G15" i="14"/>
  <c r="E15" i="14"/>
  <c r="D15" i="14"/>
  <c r="B15" i="14"/>
  <c r="M14" i="14"/>
  <c r="L14" i="14"/>
  <c r="K14" i="14"/>
  <c r="G14" i="14"/>
  <c r="E14" i="14"/>
  <c r="D14" i="14"/>
  <c r="B14" i="14"/>
  <c r="M13" i="14"/>
  <c r="L13" i="14"/>
  <c r="K13" i="14"/>
  <c r="G13" i="14"/>
  <c r="E13" i="14"/>
  <c r="F13" i="14" s="1"/>
  <c r="D13" i="14"/>
  <c r="B13" i="14"/>
  <c r="M12" i="14"/>
  <c r="L12" i="14"/>
  <c r="K12" i="14"/>
  <c r="G12" i="14"/>
  <c r="E12" i="14"/>
  <c r="F12" i="14" s="1"/>
  <c r="D12" i="14"/>
  <c r="B12" i="14"/>
  <c r="M11" i="14"/>
  <c r="L11" i="14"/>
  <c r="K11" i="14"/>
  <c r="G11" i="14"/>
  <c r="E11" i="14"/>
  <c r="D11" i="14"/>
  <c r="B11" i="14"/>
  <c r="M10" i="14"/>
  <c r="L10" i="14"/>
  <c r="K10" i="14"/>
  <c r="G10" i="14"/>
  <c r="E10" i="14"/>
  <c r="D10" i="14"/>
  <c r="B10" i="14"/>
  <c r="M9" i="14"/>
  <c r="L9" i="14"/>
  <c r="K9" i="14"/>
  <c r="G9" i="14"/>
  <c r="Q27" i="14" s="1"/>
  <c r="E9" i="14"/>
  <c r="O29" i="14" s="1"/>
  <c r="D9" i="14"/>
  <c r="B9" i="14"/>
  <c r="F11" i="14" l="1"/>
  <c r="F15" i="14"/>
  <c r="F10" i="14"/>
  <c r="H10" i="14" s="1"/>
  <c r="F14" i="14"/>
  <c r="H14" i="14" s="1"/>
  <c r="H12" i="14"/>
  <c r="Q12" i="14"/>
  <c r="H13" i="14"/>
  <c r="Q13" i="14"/>
  <c r="H11" i="14"/>
  <c r="Q11" i="14"/>
  <c r="H15" i="14"/>
  <c r="Q15" i="14"/>
  <c r="P29" i="14"/>
  <c r="F9" i="14"/>
  <c r="O27" i="14"/>
  <c r="Q29" i="14"/>
  <c r="P27" i="14"/>
  <c r="Q10" i="14" l="1"/>
  <c r="Q14" i="14"/>
  <c r="O15" i="14"/>
  <c r="P15" i="14"/>
  <c r="O12" i="14"/>
  <c r="P12" i="14"/>
  <c r="H9" i="14"/>
  <c r="Q9" i="14"/>
  <c r="O11" i="14"/>
  <c r="P11" i="14"/>
  <c r="O10" i="14"/>
  <c r="P10" i="14"/>
  <c r="O13" i="14"/>
  <c r="P13" i="14"/>
  <c r="O14" i="14"/>
  <c r="P14" i="14"/>
  <c r="Q20" i="14" l="1"/>
  <c r="Q28" i="14" s="1"/>
  <c r="Q21" i="14"/>
  <c r="Q22" i="14"/>
  <c r="Q18" i="14"/>
  <c r="Q17" i="14"/>
  <c r="Q19" i="14"/>
  <c r="O9" i="14"/>
  <c r="P9" i="14"/>
  <c r="P21" i="14" l="1"/>
  <c r="P17" i="14"/>
  <c r="P19" i="14"/>
  <c r="P20" i="14"/>
  <c r="P26" i="14" s="1"/>
  <c r="P28" i="14" s="1"/>
  <c r="P31" i="14" s="1"/>
  <c r="P33" i="14" s="1"/>
  <c r="P22" i="14"/>
  <c r="P18" i="14"/>
  <c r="O22" i="14"/>
  <c r="O20" i="14"/>
  <c r="O26" i="14" s="1"/>
  <c r="O28" i="14" s="1"/>
  <c r="O31" i="14" s="1"/>
  <c r="O33" i="14" s="1"/>
  <c r="O21" i="14"/>
  <c r="O17" i="14"/>
  <c r="O18" i="14"/>
  <c r="O19" i="14"/>
  <c r="Q31" i="14"/>
  <c r="Q33" i="14" s="1"/>
  <c r="Q26" i="14"/>
  <c r="D43" i="13"/>
  <c r="D41" i="13"/>
  <c r="D40" i="13"/>
  <c r="D29" i="13"/>
  <c r="H16" i="13"/>
  <c r="I16" i="13" s="1"/>
  <c r="XFD22" i="13"/>
  <c r="F21" i="13"/>
  <c r="XFD21" i="13" s="1"/>
  <c r="K66" i="12"/>
  <c r="K65" i="12"/>
  <c r="F12" i="13"/>
  <c r="J16" i="13" l="1"/>
  <c r="G12" i="13"/>
  <c r="H12" i="13" s="1"/>
  <c r="I12" i="13" s="1"/>
  <c r="J12" i="13" s="1"/>
  <c r="K12" i="13" s="1"/>
  <c r="G8" i="13"/>
  <c r="H8" i="13" s="1"/>
  <c r="I8" i="13" s="1"/>
  <c r="J8" i="13" s="1"/>
  <c r="K8" i="13" s="1"/>
  <c r="K33" i="9"/>
  <c r="F6" i="13" s="1"/>
  <c r="J33" i="9"/>
  <c r="I33" i="9"/>
  <c r="H33" i="9"/>
  <c r="G33" i="9"/>
  <c r="F33" i="9"/>
  <c r="E33" i="9"/>
  <c r="D33" i="9"/>
  <c r="C33" i="9"/>
  <c r="B33" i="9"/>
  <c r="K58" i="12"/>
  <c r="J58" i="12"/>
  <c r="I58" i="12"/>
  <c r="H58" i="12"/>
  <c r="G58" i="12"/>
  <c r="K43" i="12"/>
  <c r="J43" i="12"/>
  <c r="I43" i="12"/>
  <c r="H43" i="12"/>
  <c r="G43" i="12"/>
  <c r="K41" i="12"/>
  <c r="J41" i="12"/>
  <c r="I41" i="12"/>
  <c r="H41" i="12"/>
  <c r="G41" i="12"/>
  <c r="K32" i="12"/>
  <c r="J32" i="12"/>
  <c r="I32" i="12"/>
  <c r="H32" i="12"/>
  <c r="G32" i="12"/>
  <c r="K30" i="12"/>
  <c r="J30" i="12"/>
  <c r="I30" i="12"/>
  <c r="H30" i="12"/>
  <c r="G30" i="12"/>
  <c r="K29" i="12"/>
  <c r="J29" i="12"/>
  <c r="I29" i="12"/>
  <c r="H29" i="12"/>
  <c r="G29" i="12"/>
  <c r="K28" i="12"/>
  <c r="J28" i="12"/>
  <c r="I28" i="12"/>
  <c r="H28" i="12"/>
  <c r="G28" i="12"/>
  <c r="K27" i="12"/>
  <c r="J27" i="12"/>
  <c r="I27" i="12"/>
  <c r="H27" i="12"/>
  <c r="G27" i="12"/>
  <c r="K26" i="12"/>
  <c r="J26" i="12"/>
  <c r="I26" i="12"/>
  <c r="H26" i="12"/>
  <c r="G26" i="12"/>
  <c r="K25" i="12"/>
  <c r="J25" i="12"/>
  <c r="I25" i="12"/>
  <c r="H25" i="12"/>
  <c r="G25" i="12"/>
  <c r="K24" i="12"/>
  <c r="J24" i="12"/>
  <c r="I24" i="12"/>
  <c r="H24" i="12"/>
  <c r="G24" i="12"/>
  <c r="K23" i="12"/>
  <c r="J23" i="12"/>
  <c r="I23" i="12"/>
  <c r="H23" i="12"/>
  <c r="G23" i="12"/>
  <c r="K22" i="12"/>
  <c r="J22" i="12"/>
  <c r="I22" i="12"/>
  <c r="H22" i="12"/>
  <c r="G22" i="12"/>
  <c r="B30" i="12"/>
  <c r="B29" i="12"/>
  <c r="B28" i="12"/>
  <c r="B27" i="12"/>
  <c r="B26" i="12"/>
  <c r="B25" i="12"/>
  <c r="B24" i="12"/>
  <c r="B23" i="12"/>
  <c r="B22" i="12"/>
  <c r="K16" i="12"/>
  <c r="J16" i="12"/>
  <c r="I16" i="12"/>
  <c r="H16" i="12"/>
  <c r="G16" i="12"/>
  <c r="K15" i="12"/>
  <c r="J15" i="12"/>
  <c r="I15" i="12"/>
  <c r="H15" i="12"/>
  <c r="G15" i="12"/>
  <c r="K14" i="12"/>
  <c r="J14" i="12"/>
  <c r="I14" i="12"/>
  <c r="H14" i="12"/>
  <c r="G14" i="12"/>
  <c r="B16" i="12"/>
  <c r="B15" i="12"/>
  <c r="B14" i="12"/>
  <c r="K10" i="12"/>
  <c r="J10" i="12"/>
  <c r="I10" i="12"/>
  <c r="H10" i="12"/>
  <c r="G10" i="12"/>
  <c r="K9" i="12"/>
  <c r="J9" i="12"/>
  <c r="I9" i="12"/>
  <c r="H9" i="12"/>
  <c r="G9" i="12"/>
  <c r="K8" i="12"/>
  <c r="J8" i="12"/>
  <c r="I8" i="12"/>
  <c r="H8" i="12"/>
  <c r="G8" i="12"/>
  <c r="K7" i="12"/>
  <c r="J7" i="12"/>
  <c r="I7" i="12"/>
  <c r="H7" i="12"/>
  <c r="G7" i="12"/>
  <c r="B10" i="12"/>
  <c r="B9" i="12"/>
  <c r="B8" i="12"/>
  <c r="B7" i="12"/>
  <c r="K4" i="12"/>
  <c r="F4" i="13" s="1"/>
  <c r="G4" i="13" s="1"/>
  <c r="H4" i="13" s="1"/>
  <c r="I4" i="13" s="1"/>
  <c r="J4" i="13" s="1"/>
  <c r="K4" i="13" s="1"/>
  <c r="J4" i="12"/>
  <c r="I4" i="12"/>
  <c r="H4" i="12"/>
  <c r="G4" i="12"/>
  <c r="N30" i="11"/>
  <c r="M30" i="11"/>
  <c r="L30" i="11"/>
  <c r="K30" i="11"/>
  <c r="J30" i="11"/>
  <c r="I30" i="11"/>
  <c r="H30" i="11"/>
  <c r="G30" i="11"/>
  <c r="F30" i="11"/>
  <c r="E30" i="11"/>
  <c r="D30" i="11"/>
  <c r="C30" i="11"/>
  <c r="E1" i="9"/>
  <c r="B6" i="9"/>
  <c r="B2" i="8"/>
  <c r="C3" i="8"/>
  <c r="D3" i="8"/>
  <c r="E3" i="8"/>
  <c r="F3" i="8"/>
  <c r="G3" i="8"/>
  <c r="H3" i="8"/>
  <c r="I3" i="8"/>
  <c r="J3" i="8"/>
  <c r="K3" i="8"/>
  <c r="L3" i="8"/>
  <c r="C5" i="8"/>
  <c r="D5" i="8"/>
  <c r="E5" i="8"/>
  <c r="E6" i="8" s="1"/>
  <c r="F5" i="8"/>
  <c r="G5" i="8"/>
  <c r="H5" i="8"/>
  <c r="I5" i="8"/>
  <c r="J5" i="8"/>
  <c r="K5" i="8"/>
  <c r="L5" i="8"/>
  <c r="M5" i="8"/>
  <c r="M21" i="8" s="1"/>
  <c r="C8" i="8"/>
  <c r="D8" i="8"/>
  <c r="D11" i="8" s="1"/>
  <c r="D12" i="8" s="1"/>
  <c r="E8" i="8"/>
  <c r="F8" i="8"/>
  <c r="G8" i="8"/>
  <c r="G11" i="8" s="1"/>
  <c r="H8" i="8"/>
  <c r="H11" i="8" s="1"/>
  <c r="H17" i="8" s="1"/>
  <c r="I8" i="8"/>
  <c r="J8" i="8"/>
  <c r="K8" i="8"/>
  <c r="L8" i="8"/>
  <c r="M8" i="8"/>
  <c r="H9" i="8"/>
  <c r="L9" i="8"/>
  <c r="L11" i="8"/>
  <c r="L12" i="8" s="1"/>
  <c r="C14" i="8"/>
  <c r="D14" i="8"/>
  <c r="D15" i="8" s="1"/>
  <c r="E14" i="8"/>
  <c r="F14" i="8"/>
  <c r="G14" i="8"/>
  <c r="H14" i="8"/>
  <c r="H15" i="8" s="1"/>
  <c r="I14" i="8"/>
  <c r="J14" i="8"/>
  <c r="K14" i="8"/>
  <c r="K15" i="8" s="1"/>
  <c r="L14" i="8"/>
  <c r="L15" i="8" s="1"/>
  <c r="C20" i="8"/>
  <c r="D20" i="8"/>
  <c r="D21" i="8" s="1"/>
  <c r="E20" i="8"/>
  <c r="F20" i="8"/>
  <c r="G20" i="8"/>
  <c r="H20" i="8"/>
  <c r="H21" i="8" s="1"/>
  <c r="I20" i="8"/>
  <c r="J20" i="8"/>
  <c r="K20" i="8"/>
  <c r="L20" i="8"/>
  <c r="L21" i="8" s="1"/>
  <c r="M20" i="8"/>
  <c r="I21" i="8"/>
  <c r="C23" i="8"/>
  <c r="D23" i="8"/>
  <c r="D24" i="8" s="1"/>
  <c r="E23" i="8"/>
  <c r="F23" i="8"/>
  <c r="G23" i="8"/>
  <c r="H23" i="8"/>
  <c r="I23" i="8"/>
  <c r="J23" i="8"/>
  <c r="K23" i="8"/>
  <c r="L23" i="8"/>
  <c r="L24" i="8" s="1"/>
  <c r="M23" i="8"/>
  <c r="F24" i="8"/>
  <c r="H24" i="8"/>
  <c r="C29" i="8"/>
  <c r="D29" i="8"/>
  <c r="E29" i="8"/>
  <c r="F29" i="8"/>
  <c r="G29" i="8"/>
  <c r="H29" i="8"/>
  <c r="I29" i="8"/>
  <c r="J29" i="8"/>
  <c r="K29" i="8"/>
  <c r="L29" i="8"/>
  <c r="M29" i="8"/>
  <c r="C35" i="8"/>
  <c r="D35" i="8"/>
  <c r="E35" i="8"/>
  <c r="E40" i="8" s="1"/>
  <c r="F35" i="8"/>
  <c r="F40" i="8" s="1"/>
  <c r="G35" i="8"/>
  <c r="H35" i="8"/>
  <c r="I35" i="8"/>
  <c r="J35" i="8"/>
  <c r="J40" i="8" s="1"/>
  <c r="K35" i="8"/>
  <c r="K40" i="8" s="1"/>
  <c r="L35" i="8"/>
  <c r="C40" i="8"/>
  <c r="D40" i="8"/>
  <c r="G40" i="8"/>
  <c r="H40" i="8"/>
  <c r="I40" i="8"/>
  <c r="L40" i="8"/>
  <c r="C46" i="8"/>
  <c r="D46" i="8"/>
  <c r="E46" i="8"/>
  <c r="F46" i="8"/>
  <c r="G46" i="8"/>
  <c r="H46" i="8"/>
  <c r="I46" i="8"/>
  <c r="J46" i="8"/>
  <c r="K46" i="8"/>
  <c r="L46" i="8"/>
  <c r="C47" i="8"/>
  <c r="D47" i="8"/>
  <c r="E47" i="8"/>
  <c r="F47" i="8"/>
  <c r="G47" i="8"/>
  <c r="H47" i="8"/>
  <c r="I47" i="8"/>
  <c r="J47" i="8"/>
  <c r="K47" i="8"/>
  <c r="L47" i="8"/>
  <c r="C48" i="8"/>
  <c r="D48" i="8"/>
  <c r="E48" i="8"/>
  <c r="F48" i="8"/>
  <c r="G48" i="8"/>
  <c r="H48" i="8"/>
  <c r="I48" i="8"/>
  <c r="J48" i="8"/>
  <c r="K48" i="8"/>
  <c r="L48" i="8"/>
  <c r="C49" i="8"/>
  <c r="D49" i="8"/>
  <c r="E49" i="8"/>
  <c r="F49" i="8"/>
  <c r="G49" i="8"/>
  <c r="H49" i="8"/>
  <c r="I49" i="8"/>
  <c r="J49" i="8"/>
  <c r="K49" i="8"/>
  <c r="L49" i="8"/>
  <c r="C50" i="8"/>
  <c r="D50" i="8"/>
  <c r="E50" i="8"/>
  <c r="F50" i="8"/>
  <c r="G50" i="8"/>
  <c r="H50" i="8"/>
  <c r="I50" i="8"/>
  <c r="J50" i="8"/>
  <c r="K50" i="8"/>
  <c r="L50" i="8"/>
  <c r="C52" i="8"/>
  <c r="D52" i="8"/>
  <c r="E52" i="8"/>
  <c r="F52" i="8"/>
  <c r="G52" i="8"/>
  <c r="H52" i="8"/>
  <c r="I52" i="8"/>
  <c r="J52" i="8"/>
  <c r="K52" i="8"/>
  <c r="L52" i="8"/>
  <c r="C53" i="8"/>
  <c r="D53" i="8"/>
  <c r="E53" i="8"/>
  <c r="F53" i="8"/>
  <c r="G53" i="8"/>
  <c r="H53" i="8"/>
  <c r="I53" i="8"/>
  <c r="J53" i="8"/>
  <c r="K53" i="8"/>
  <c r="L53" i="8"/>
  <c r="L56" i="8" s="1"/>
  <c r="C54" i="8"/>
  <c r="D54" i="8"/>
  <c r="E54" i="8"/>
  <c r="F54" i="8"/>
  <c r="G54" i="8"/>
  <c r="H54" i="8"/>
  <c r="I54" i="8"/>
  <c r="J54" i="8"/>
  <c r="K54" i="8"/>
  <c r="L54" i="8"/>
  <c r="C55" i="8"/>
  <c r="D55" i="8"/>
  <c r="E55" i="8"/>
  <c r="F55" i="8"/>
  <c r="G55" i="8"/>
  <c r="H55" i="8"/>
  <c r="I55" i="8"/>
  <c r="J55" i="8"/>
  <c r="K55" i="8"/>
  <c r="L55" i="8"/>
  <c r="C58" i="8"/>
  <c r="D58" i="8"/>
  <c r="E58" i="8"/>
  <c r="F58" i="8"/>
  <c r="G58" i="8"/>
  <c r="H58" i="8"/>
  <c r="I58" i="8"/>
  <c r="J58" i="8"/>
  <c r="K58" i="8"/>
  <c r="L58" i="8"/>
  <c r="C59" i="8"/>
  <c r="D59" i="8"/>
  <c r="E59" i="8"/>
  <c r="F59" i="8"/>
  <c r="G59" i="8"/>
  <c r="H59" i="8"/>
  <c r="H61" i="8" s="1"/>
  <c r="I59" i="8"/>
  <c r="J59" i="8"/>
  <c r="K59" i="8"/>
  <c r="L59" i="8"/>
  <c r="L61" i="8" s="1"/>
  <c r="C60" i="8"/>
  <c r="D60" i="8"/>
  <c r="E60" i="8"/>
  <c r="F60" i="8"/>
  <c r="G60" i="8"/>
  <c r="H60" i="8"/>
  <c r="I60" i="8"/>
  <c r="J60" i="8"/>
  <c r="K60" i="8"/>
  <c r="L60" i="8"/>
  <c r="C69" i="8"/>
  <c r="D69" i="8"/>
  <c r="E69" i="8"/>
  <c r="F69" i="8"/>
  <c r="G69" i="8"/>
  <c r="H69" i="8"/>
  <c r="I69" i="8"/>
  <c r="J69" i="8"/>
  <c r="K69" i="8"/>
  <c r="L69" i="8"/>
  <c r="M69" i="8"/>
  <c r="C70" i="8"/>
  <c r="D70" i="8"/>
  <c r="E70" i="8"/>
  <c r="F70" i="8"/>
  <c r="G70" i="8"/>
  <c r="H70" i="8"/>
  <c r="I70" i="8"/>
  <c r="J70" i="8"/>
  <c r="K70" i="8"/>
  <c r="L70" i="8"/>
  <c r="M70" i="8"/>
  <c r="C71" i="8"/>
  <c r="D71" i="8"/>
  <c r="E71" i="8"/>
  <c r="F71" i="8"/>
  <c r="G71" i="8"/>
  <c r="H71" i="8"/>
  <c r="I71" i="8"/>
  <c r="J71" i="8"/>
  <c r="K71" i="8"/>
  <c r="L71" i="8"/>
  <c r="M71" i="8"/>
  <c r="C72" i="8"/>
  <c r="D72" i="8"/>
  <c r="E72" i="8"/>
  <c r="F72" i="8"/>
  <c r="G72" i="8"/>
  <c r="H72" i="8"/>
  <c r="I72" i="8"/>
  <c r="J72" i="8"/>
  <c r="K72" i="8"/>
  <c r="L72" i="8"/>
  <c r="M72" i="8"/>
  <c r="C73" i="8"/>
  <c r="D73" i="8"/>
  <c r="E73" i="8"/>
  <c r="F73" i="8"/>
  <c r="G73" i="8"/>
  <c r="H73" i="8"/>
  <c r="I73" i="8"/>
  <c r="J73" i="8"/>
  <c r="K73" i="8"/>
  <c r="L73" i="8"/>
  <c r="M73" i="8"/>
  <c r="C74" i="8"/>
  <c r="D74" i="8"/>
  <c r="E74" i="8"/>
  <c r="F74" i="8"/>
  <c r="G74" i="8"/>
  <c r="H74" i="8"/>
  <c r="I74" i="8"/>
  <c r="J74" i="8"/>
  <c r="K74" i="8"/>
  <c r="L74" i="8"/>
  <c r="M74" i="8"/>
  <c r="C75" i="8"/>
  <c r="D75" i="8"/>
  <c r="E75" i="8"/>
  <c r="F75" i="8"/>
  <c r="G75" i="8"/>
  <c r="H75" i="8"/>
  <c r="I75" i="8"/>
  <c r="J75" i="8"/>
  <c r="K75" i="8"/>
  <c r="L75" i="8"/>
  <c r="M75" i="8"/>
  <c r="C76" i="8"/>
  <c r="D76" i="8"/>
  <c r="E76" i="8"/>
  <c r="F76" i="8"/>
  <c r="G76" i="8"/>
  <c r="H76" i="8"/>
  <c r="I76" i="8"/>
  <c r="J76" i="8"/>
  <c r="K76" i="8"/>
  <c r="L76" i="8"/>
  <c r="M76" i="8"/>
  <c r="C80" i="8"/>
  <c r="D80" i="8"/>
  <c r="E80" i="8"/>
  <c r="F80" i="8"/>
  <c r="G80" i="8"/>
  <c r="H80" i="8"/>
  <c r="I80" i="8"/>
  <c r="J80" i="8"/>
  <c r="K80" i="8"/>
  <c r="L80" i="8"/>
  <c r="M80" i="8"/>
  <c r="C81" i="8"/>
  <c r="D81" i="8"/>
  <c r="E81" i="8"/>
  <c r="F81" i="8"/>
  <c r="G81" i="8"/>
  <c r="H81" i="8"/>
  <c r="I81" i="8"/>
  <c r="J81" i="8"/>
  <c r="K81" i="8"/>
  <c r="L81" i="8"/>
  <c r="M81" i="8"/>
  <c r="C82" i="8"/>
  <c r="C91" i="8" s="1"/>
  <c r="D82" i="8"/>
  <c r="E82" i="8"/>
  <c r="F82" i="8"/>
  <c r="G82" i="8"/>
  <c r="H82" i="8"/>
  <c r="I82" i="8"/>
  <c r="J82" i="8"/>
  <c r="K82" i="8"/>
  <c r="L82" i="8"/>
  <c r="M82" i="8"/>
  <c r="C83" i="8"/>
  <c r="D83" i="8"/>
  <c r="E83" i="8"/>
  <c r="F83" i="8"/>
  <c r="G83" i="8"/>
  <c r="H83" i="8"/>
  <c r="I83" i="8"/>
  <c r="J83" i="8"/>
  <c r="K83" i="8"/>
  <c r="L83" i="8"/>
  <c r="M83" i="8"/>
  <c r="C84" i="8"/>
  <c r="D84" i="8"/>
  <c r="E84" i="8"/>
  <c r="F84" i="8"/>
  <c r="G84" i="8"/>
  <c r="H84" i="8"/>
  <c r="I84" i="8"/>
  <c r="J84" i="8"/>
  <c r="K84" i="8"/>
  <c r="L84" i="8"/>
  <c r="M84" i="8"/>
  <c r="C85" i="8"/>
  <c r="D85" i="8"/>
  <c r="E85" i="8"/>
  <c r="F85" i="8"/>
  <c r="G85" i="8"/>
  <c r="H85" i="8"/>
  <c r="I85" i="8"/>
  <c r="J85" i="8"/>
  <c r="K85" i="8"/>
  <c r="L85" i="8"/>
  <c r="M85" i="8"/>
  <c r="C86" i="8"/>
  <c r="D86" i="8"/>
  <c r="E86" i="8"/>
  <c r="F86" i="8"/>
  <c r="G86" i="8"/>
  <c r="H86" i="8"/>
  <c r="I86" i="8"/>
  <c r="J86" i="8"/>
  <c r="K86" i="8"/>
  <c r="L86" i="8"/>
  <c r="M86" i="8"/>
  <c r="C87" i="8"/>
  <c r="D87" i="8"/>
  <c r="E87" i="8"/>
  <c r="F87" i="8"/>
  <c r="G87" i="8"/>
  <c r="H87" i="8"/>
  <c r="I87" i="8"/>
  <c r="J87" i="8"/>
  <c r="K87" i="8"/>
  <c r="L87" i="8"/>
  <c r="M87" i="8"/>
  <c r="C88" i="8"/>
  <c r="D88" i="8"/>
  <c r="E88" i="8"/>
  <c r="F88" i="8"/>
  <c r="G88" i="8"/>
  <c r="H88" i="8"/>
  <c r="I88" i="8"/>
  <c r="J88" i="8"/>
  <c r="K88" i="8"/>
  <c r="L88" i="8"/>
  <c r="M88" i="8"/>
  <c r="C89" i="8"/>
  <c r="D89" i="8"/>
  <c r="E89" i="8"/>
  <c r="F89" i="8"/>
  <c r="G89" i="8"/>
  <c r="H89" i="8"/>
  <c r="I89" i="8"/>
  <c r="J89" i="8"/>
  <c r="K89" i="8"/>
  <c r="L89" i="8"/>
  <c r="M89" i="8"/>
  <c r="C90" i="8"/>
  <c r="D90" i="8"/>
  <c r="E90" i="8"/>
  <c r="F90" i="8"/>
  <c r="G90" i="8"/>
  <c r="H90" i="8"/>
  <c r="I90" i="8"/>
  <c r="J90" i="8"/>
  <c r="K90" i="8"/>
  <c r="L90" i="8"/>
  <c r="M90" i="8"/>
  <c r="C94" i="8"/>
  <c r="D94" i="8"/>
  <c r="E94" i="8"/>
  <c r="F94" i="8"/>
  <c r="G94" i="8"/>
  <c r="H94" i="8"/>
  <c r="I94" i="8"/>
  <c r="J94" i="8"/>
  <c r="K94" i="8"/>
  <c r="L94" i="8"/>
  <c r="M94" i="8"/>
  <c r="C95" i="8"/>
  <c r="D95" i="8"/>
  <c r="E95" i="8"/>
  <c r="F95" i="8"/>
  <c r="G95" i="8"/>
  <c r="H95" i="8"/>
  <c r="I95" i="8"/>
  <c r="J95" i="8"/>
  <c r="K95" i="8"/>
  <c r="L95" i="8"/>
  <c r="M95" i="8"/>
  <c r="C96" i="8"/>
  <c r="D96" i="8"/>
  <c r="E96" i="8"/>
  <c r="F96" i="8"/>
  <c r="G96" i="8"/>
  <c r="H96" i="8"/>
  <c r="I96" i="8"/>
  <c r="J96" i="8"/>
  <c r="K96" i="8"/>
  <c r="L96" i="8"/>
  <c r="M96" i="8"/>
  <c r="C97" i="8"/>
  <c r="D97" i="8"/>
  <c r="E97" i="8"/>
  <c r="F97" i="8"/>
  <c r="G97" i="8"/>
  <c r="H97" i="8"/>
  <c r="I97" i="8"/>
  <c r="J97" i="8"/>
  <c r="K97" i="8"/>
  <c r="L97" i="8"/>
  <c r="M97" i="8"/>
  <c r="C98" i="8"/>
  <c r="D98" i="8"/>
  <c r="E98" i="8"/>
  <c r="F98" i="8"/>
  <c r="G98" i="8"/>
  <c r="H98" i="8"/>
  <c r="I98" i="8"/>
  <c r="J98" i="8"/>
  <c r="K98" i="8"/>
  <c r="L98" i="8"/>
  <c r="M98" i="8"/>
  <c r="C99" i="8"/>
  <c r="D99" i="8"/>
  <c r="E99" i="8"/>
  <c r="F99" i="8"/>
  <c r="G99" i="8"/>
  <c r="H99" i="8"/>
  <c r="I99" i="8"/>
  <c r="J99" i="8"/>
  <c r="K99" i="8"/>
  <c r="L99" i="8"/>
  <c r="M99" i="8"/>
  <c r="C100" i="8"/>
  <c r="D100" i="8"/>
  <c r="E100" i="8"/>
  <c r="F100" i="8"/>
  <c r="G100" i="8"/>
  <c r="H100" i="8"/>
  <c r="I100" i="8"/>
  <c r="J100" i="8"/>
  <c r="K100" i="8"/>
  <c r="L100" i="8"/>
  <c r="M100" i="8"/>
  <c r="C101" i="8"/>
  <c r="D101" i="8"/>
  <c r="E101" i="8"/>
  <c r="F101" i="8"/>
  <c r="G101" i="8"/>
  <c r="H101" i="8"/>
  <c r="I101" i="8"/>
  <c r="J101" i="8"/>
  <c r="K101" i="8"/>
  <c r="L101" i="8"/>
  <c r="M101" i="8"/>
  <c r="F10" i="13" l="1"/>
  <c r="F14" i="13" s="1"/>
  <c r="G6" i="13"/>
  <c r="K16" i="13"/>
  <c r="F91" i="8"/>
  <c r="G91" i="8"/>
  <c r="H102" i="8"/>
  <c r="J77" i="8"/>
  <c r="K91" i="8"/>
  <c r="K77" i="8"/>
  <c r="D56" i="8"/>
  <c r="D102" i="8"/>
  <c r="H56" i="8"/>
  <c r="D9" i="8"/>
  <c r="M24" i="8"/>
  <c r="I24" i="8"/>
  <c r="E24" i="8"/>
  <c r="G31" i="12"/>
  <c r="G33" i="12" s="1"/>
  <c r="K31" i="12"/>
  <c r="K33" i="12" s="1"/>
  <c r="J31" i="12"/>
  <c r="J33" i="12" s="1"/>
  <c r="H31" i="12"/>
  <c r="H33" i="12" s="1"/>
  <c r="I31" i="12"/>
  <c r="I33" i="12" s="1"/>
  <c r="K17" i="12"/>
  <c r="I17" i="12"/>
  <c r="G17" i="12"/>
  <c r="J17" i="12"/>
  <c r="H17" i="12"/>
  <c r="G11" i="12"/>
  <c r="K11" i="12"/>
  <c r="H11" i="12"/>
  <c r="I11" i="12"/>
  <c r="J11" i="12"/>
  <c r="I15" i="8"/>
  <c r="E15" i="8"/>
  <c r="H12" i="8"/>
  <c r="M6" i="8"/>
  <c r="E21" i="8"/>
  <c r="D17" i="8"/>
  <c r="I6" i="8"/>
  <c r="L17" i="8"/>
  <c r="E61" i="8"/>
  <c r="K61" i="8"/>
  <c r="G61" i="8"/>
  <c r="C61" i="8"/>
  <c r="G17" i="8"/>
  <c r="G12" i="8"/>
  <c r="K6" i="8"/>
  <c r="L6" i="8"/>
  <c r="K11" i="8"/>
  <c r="G6" i="8"/>
  <c r="H6" i="8"/>
  <c r="G24" i="8"/>
  <c r="G15" i="8"/>
  <c r="G9" i="8"/>
  <c r="C11" i="8"/>
  <c r="C24" i="8"/>
  <c r="C102" i="8"/>
  <c r="J102" i="8"/>
  <c r="F102" i="8"/>
  <c r="M102" i="8"/>
  <c r="I102" i="8"/>
  <c r="E102" i="8"/>
  <c r="L102" i="8"/>
  <c r="G77" i="8"/>
  <c r="C77" i="8"/>
  <c r="F77" i="8"/>
  <c r="I61" i="8"/>
  <c r="D61" i="8"/>
  <c r="D63" i="8" s="1"/>
  <c r="D65" i="8" s="1"/>
  <c r="J61" i="8"/>
  <c r="F61" i="8"/>
  <c r="L63" i="8"/>
  <c r="L65" i="8" s="1"/>
  <c r="D6" i="8"/>
  <c r="J6" i="8"/>
  <c r="J21" i="8"/>
  <c r="J11" i="8"/>
  <c r="J24" i="8"/>
  <c r="F6" i="8"/>
  <c r="F21" i="8"/>
  <c r="F11" i="8"/>
  <c r="K102" i="8"/>
  <c r="K104" i="8" s="1"/>
  <c r="K24" i="8"/>
  <c r="J15" i="8"/>
  <c r="F15" i="8"/>
  <c r="C9" i="8"/>
  <c r="J9" i="8"/>
  <c r="F9" i="8"/>
  <c r="K21" i="8"/>
  <c r="G21" i="8"/>
  <c r="C21" i="8"/>
  <c r="C15" i="8"/>
  <c r="K9" i="8"/>
  <c r="G102" i="8"/>
  <c r="J91" i="8"/>
  <c r="M91" i="8"/>
  <c r="I91" i="8"/>
  <c r="E91" i="8"/>
  <c r="L91" i="8"/>
  <c r="H91" i="8"/>
  <c r="D91" i="8"/>
  <c r="H63" i="8"/>
  <c r="H65" i="8" s="1"/>
  <c r="K56" i="8"/>
  <c r="K63" i="8" s="1"/>
  <c r="K65" i="8" s="1"/>
  <c r="G56" i="8"/>
  <c r="C56" i="8"/>
  <c r="I56" i="8"/>
  <c r="M11" i="8"/>
  <c r="M9" i="8"/>
  <c r="I11" i="8"/>
  <c r="I9" i="8"/>
  <c r="E11" i="8"/>
  <c r="E9" i="8"/>
  <c r="M77" i="8"/>
  <c r="I77" i="8"/>
  <c r="E77" i="8"/>
  <c r="L77" i="8"/>
  <c r="H77" i="8"/>
  <c r="D77" i="8"/>
  <c r="E56" i="8"/>
  <c r="J56" i="8"/>
  <c r="J63" i="8" s="1"/>
  <c r="J65" i="8" s="1"/>
  <c r="F56" i="8"/>
  <c r="H18" i="8"/>
  <c r="H26" i="8"/>
  <c r="G36" i="12" s="1"/>
  <c r="G46" i="12" s="1"/>
  <c r="G48" i="12" s="1"/>
  <c r="G10" i="13" l="1"/>
  <c r="G14" i="13" s="1"/>
  <c r="H6" i="13"/>
  <c r="M104" i="8"/>
  <c r="J104" i="8"/>
  <c r="K19" i="12"/>
  <c r="I19" i="12"/>
  <c r="G19" i="12"/>
  <c r="G35" i="12" s="1"/>
  <c r="G38" i="12" s="1"/>
  <c r="J19" i="12"/>
  <c r="H19" i="12"/>
  <c r="D18" i="8"/>
  <c r="D26" i="8"/>
  <c r="L18" i="8"/>
  <c r="L26" i="8"/>
  <c r="K36" i="12" s="1"/>
  <c r="K46" i="12" s="1"/>
  <c r="K48" i="12" s="1"/>
  <c r="H30" i="8"/>
  <c r="H32" i="8"/>
  <c r="H27" i="8"/>
  <c r="L104" i="8"/>
  <c r="I12" i="8"/>
  <c r="I17" i="8"/>
  <c r="C17" i="8"/>
  <c r="C12" i="8"/>
  <c r="K17" i="8"/>
  <c r="K12" i="8"/>
  <c r="E63" i="8"/>
  <c r="E65" i="8" s="1"/>
  <c r="E104" i="8"/>
  <c r="I63" i="8"/>
  <c r="I65" i="8" s="1"/>
  <c r="F104" i="8"/>
  <c r="D104" i="8"/>
  <c r="I104" i="8"/>
  <c r="E12" i="8"/>
  <c r="E17" i="8"/>
  <c r="M12" i="8"/>
  <c r="M17" i="8"/>
  <c r="C63" i="8"/>
  <c r="C65" i="8" s="1"/>
  <c r="F12" i="8"/>
  <c r="F17" i="8"/>
  <c r="C104" i="8"/>
  <c r="G18" i="8"/>
  <c r="G26" i="8"/>
  <c r="F63" i="8"/>
  <c r="F65" i="8" s="1"/>
  <c r="H104" i="8"/>
  <c r="G63" i="8"/>
  <c r="G65" i="8" s="1"/>
  <c r="J12" i="8"/>
  <c r="J17" i="8"/>
  <c r="G104" i="8"/>
  <c r="I6" i="13" l="1"/>
  <c r="H10" i="13"/>
  <c r="H14" i="13" s="1"/>
  <c r="K35" i="12"/>
  <c r="K38" i="12" s="1"/>
  <c r="K61" i="12" s="1"/>
  <c r="K44" i="12"/>
  <c r="K50" i="12" s="1"/>
  <c r="K52" i="12" s="1"/>
  <c r="K60" i="12" s="1"/>
  <c r="H35" i="12"/>
  <c r="H44" i="12"/>
  <c r="H50" i="12" s="1"/>
  <c r="J35" i="12"/>
  <c r="J44" i="12"/>
  <c r="J50" i="12" s="1"/>
  <c r="I35" i="12"/>
  <c r="I44" i="12"/>
  <c r="I50" i="12" s="1"/>
  <c r="I52" i="12" s="1"/>
  <c r="I60" i="12" s="1"/>
  <c r="L30" i="8"/>
  <c r="L27" i="8"/>
  <c r="L32" i="8"/>
  <c r="D30" i="8"/>
  <c r="D27" i="8"/>
  <c r="D32" i="8"/>
  <c r="J26" i="8"/>
  <c r="I36" i="12" s="1"/>
  <c r="I46" i="12" s="1"/>
  <c r="I48" i="12" s="1"/>
  <c r="J18" i="8"/>
  <c r="G27" i="8"/>
  <c r="G30" i="8"/>
  <c r="G32" i="8"/>
  <c r="C18" i="8"/>
  <c r="C26" i="8"/>
  <c r="F26" i="8"/>
  <c r="F18" i="8"/>
  <c r="I26" i="8"/>
  <c r="H36" i="12" s="1"/>
  <c r="H46" i="12" s="1"/>
  <c r="H48" i="12" s="1"/>
  <c r="I18" i="8"/>
  <c r="H37" i="8"/>
  <c r="H33" i="8"/>
  <c r="M26" i="8"/>
  <c r="M18" i="8"/>
  <c r="E26" i="8"/>
  <c r="E18" i="8"/>
  <c r="K18" i="8"/>
  <c r="K26" i="8"/>
  <c r="J36" i="12" s="1"/>
  <c r="J46" i="12" s="1"/>
  <c r="J48" i="12" s="1"/>
  <c r="J6" i="13" l="1"/>
  <c r="I10" i="13"/>
  <c r="I14" i="13" s="1"/>
  <c r="I38" i="12"/>
  <c r="I61" i="12" s="1"/>
  <c r="I63" i="12" s="1"/>
  <c r="H38" i="12"/>
  <c r="H61" i="12" s="1"/>
  <c r="J52" i="12"/>
  <c r="J60" i="12" s="1"/>
  <c r="K63" i="12"/>
  <c r="H52" i="12"/>
  <c r="H60" i="12" s="1"/>
  <c r="J38" i="12"/>
  <c r="J61" i="12" s="1"/>
  <c r="K55" i="12"/>
  <c r="L33" i="8"/>
  <c r="L37" i="8"/>
  <c r="D37" i="8"/>
  <c r="D41" i="8" s="1"/>
  <c r="D43" i="8" s="1"/>
  <c r="D33" i="8"/>
  <c r="K27" i="8"/>
  <c r="K30" i="8"/>
  <c r="K32" i="8"/>
  <c r="F27" i="8"/>
  <c r="F32" i="8"/>
  <c r="F30" i="8"/>
  <c r="G33" i="8"/>
  <c r="G37" i="8"/>
  <c r="I32" i="8"/>
  <c r="I27" i="8"/>
  <c r="I30" i="8"/>
  <c r="H38" i="8"/>
  <c r="H41" i="8"/>
  <c r="H43" i="8" s="1"/>
  <c r="C27" i="8"/>
  <c r="C30" i="8"/>
  <c r="C32" i="8"/>
  <c r="E32" i="8"/>
  <c r="E27" i="8"/>
  <c r="E30" i="8"/>
  <c r="M32" i="8"/>
  <c r="M33" i="8" s="1"/>
  <c r="M27" i="8"/>
  <c r="M30" i="8"/>
  <c r="J27" i="8"/>
  <c r="J32" i="8"/>
  <c r="J30" i="8"/>
  <c r="K6" i="13" l="1"/>
  <c r="K10" i="13" s="1"/>
  <c r="K14" i="13" s="1"/>
  <c r="J10" i="13"/>
  <c r="J14" i="13" s="1"/>
  <c r="J63" i="12"/>
  <c r="H63" i="12"/>
  <c r="K54" i="12"/>
  <c r="L41" i="8"/>
  <c r="L43" i="8"/>
  <c r="I37" i="8"/>
  <c r="I33" i="8"/>
  <c r="K33" i="8"/>
  <c r="K37" i="8"/>
  <c r="C33" i="8"/>
  <c r="C37" i="8"/>
  <c r="F33" i="8"/>
  <c r="F37" i="8"/>
  <c r="G38" i="8" s="1"/>
  <c r="G41" i="8"/>
  <c r="G43" i="8" s="1"/>
  <c r="E37" i="8"/>
  <c r="E33" i="8"/>
  <c r="J33" i="8"/>
  <c r="J37" i="8"/>
  <c r="D27" i="13" l="1"/>
  <c r="E38" i="8"/>
  <c r="E41" i="8"/>
  <c r="E43" i="8" s="1"/>
  <c r="J41" i="8"/>
  <c r="J43" i="8" s="1"/>
  <c r="J38" i="8"/>
  <c r="K38" i="8"/>
  <c r="K41" i="8"/>
  <c r="K43" i="8" s="1"/>
  <c r="L38" i="8"/>
  <c r="F38" i="8"/>
  <c r="F41" i="8"/>
  <c r="F43" i="8" s="1"/>
  <c r="I38" i="8"/>
  <c r="I41" i="8"/>
  <c r="I43" i="8" s="1"/>
  <c r="C41" i="8"/>
  <c r="C43" i="8" s="1"/>
  <c r="D38" i="8"/>
  <c r="F6" i="6"/>
  <c r="F8" i="6" s="1"/>
  <c r="K25" i="1" s="1"/>
  <c r="I13" i="1"/>
  <c r="F13" i="1"/>
  <c r="F14" i="1"/>
  <c r="F15" i="1"/>
  <c r="F16" i="1"/>
  <c r="H16" i="1" s="1"/>
  <c r="F12" i="1"/>
  <c r="C34" i="1" s="1"/>
  <c r="E13" i="1"/>
  <c r="H13" i="1" s="1"/>
  <c r="E14" i="1"/>
  <c r="H14" i="1" s="1"/>
  <c r="E15" i="1"/>
  <c r="E16" i="1"/>
  <c r="E12" i="1"/>
  <c r="I12" i="1" s="1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15" i="1" l="1"/>
  <c r="H12" i="1"/>
  <c r="C33" i="1"/>
  <c r="I16" i="1"/>
  <c r="I14" i="1"/>
  <c r="H15" i="1"/>
  <c r="W11" i="4"/>
  <c r="I18" i="1" l="1"/>
  <c r="E33" i="1" s="1"/>
  <c r="K43" i="1" s="1"/>
  <c r="W13" i="4"/>
  <c r="S112" i="4" l="1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C35" i="1"/>
  <c r="D33" i="1" s="1"/>
  <c r="K34" i="1"/>
  <c r="E34" i="1"/>
  <c r="K40" i="1" s="1"/>
  <c r="E26" i="1"/>
  <c r="K42" i="1" s="1"/>
  <c r="G19" i="1"/>
  <c r="G18" i="1"/>
  <c r="AA8" i="4" l="1"/>
  <c r="AA9" i="4"/>
  <c r="D4" i="4"/>
  <c r="J12" i="1" s="1"/>
  <c r="S4" i="4"/>
  <c r="P4" i="4"/>
  <c r="J16" i="1" s="1"/>
  <c r="K16" i="1" s="1"/>
  <c r="G4" i="4"/>
  <c r="J13" i="1" s="1"/>
  <c r="K13" i="1" s="1"/>
  <c r="J4" i="4"/>
  <c r="J14" i="1" s="1"/>
  <c r="M4" i="4"/>
  <c r="J15" i="1" s="1"/>
  <c r="K15" i="1" s="1"/>
  <c r="D35" i="1"/>
  <c r="E37" i="1"/>
  <c r="K33" i="1" s="1"/>
  <c r="H19" i="1"/>
  <c r="D34" i="1"/>
  <c r="D37" i="1" s="1"/>
  <c r="I19" i="1"/>
  <c r="H18" i="1"/>
  <c r="K12" i="1" l="1"/>
  <c r="K18" i="1" s="1"/>
  <c r="J18" i="1"/>
  <c r="J19" i="1"/>
  <c r="K19" i="1"/>
  <c r="K32" i="1" s="1"/>
  <c r="K35" i="1" s="1"/>
  <c r="K26" i="1" s="1"/>
  <c r="K27" i="1" s="1"/>
  <c r="K39" i="1" s="1"/>
  <c r="K45" i="1" s="1"/>
  <c r="F23" i="13" s="1"/>
  <c r="XFD23" i="13" l="1"/>
  <c r="G17" i="13"/>
  <c r="G19" i="13" s="1"/>
  <c r="H17" i="13"/>
  <c r="H19" i="13" s="1"/>
  <c r="D28" i="13"/>
  <c r="D31" i="13" s="1"/>
  <c r="D37" i="13" s="1"/>
  <c r="I17" i="13"/>
  <c r="I19" i="13" s="1"/>
  <c r="J17" i="13"/>
  <c r="J19" i="13" s="1"/>
  <c r="K17" i="13"/>
  <c r="K19" i="13" s="1"/>
  <c r="D36" i="13" l="1"/>
  <c r="D38" i="13" s="1"/>
  <c r="D42" i="13" s="1"/>
  <c r="D45" i="13" s="1"/>
  <c r="D48" i="13" s="1"/>
  <c r="G26" i="13" l="1"/>
</calcChain>
</file>

<file path=xl/sharedStrings.xml><?xml version="1.0" encoding="utf-8"?>
<sst xmlns="http://schemas.openxmlformats.org/spreadsheetml/2006/main" count="477" uniqueCount="344">
  <si>
    <t>Hind. Unilever</t>
  </si>
  <si>
    <t>India</t>
  </si>
  <si>
    <t>Nestle India</t>
  </si>
  <si>
    <t>Britannia Inds.</t>
  </si>
  <si>
    <t>Godrej Consumer</t>
  </si>
  <si>
    <t>Dabur India</t>
  </si>
  <si>
    <t>DCF Modelling (WACC)</t>
  </si>
  <si>
    <t xml:space="preserve">Weighted Average Cost of Capital </t>
  </si>
  <si>
    <t>All figures are in inr unless stated otherwise</t>
  </si>
  <si>
    <t xml:space="preserve">Peer Comps </t>
  </si>
  <si>
    <t>Name of the Comp</t>
  </si>
  <si>
    <t>Country</t>
  </si>
  <si>
    <t>Total Debt</t>
  </si>
  <si>
    <t>Total Equity</t>
  </si>
  <si>
    <t>Debt/</t>
  </si>
  <si>
    <t>Capital</t>
  </si>
  <si>
    <t>Levered</t>
  </si>
  <si>
    <t xml:space="preserve">Unlevered </t>
  </si>
  <si>
    <t>Equity</t>
  </si>
  <si>
    <r>
      <t xml:space="preserve">Tax Rate </t>
    </r>
    <r>
      <rPr>
        <vertAlign val="superscript"/>
        <sz val="11"/>
        <color theme="1"/>
        <rFont val="Calibri"/>
        <family val="2"/>
      </rPr>
      <t>1</t>
    </r>
  </si>
  <si>
    <r>
      <t xml:space="preserve">Beta </t>
    </r>
    <r>
      <rPr>
        <vertAlign val="superscript"/>
        <sz val="11"/>
        <color theme="1"/>
        <rFont val="Calibri"/>
        <family val="2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</si>
  <si>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</si>
  <si>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t>Average</t>
  </si>
  <si>
    <t>Median</t>
  </si>
  <si>
    <t>Cost of Debt</t>
  </si>
  <si>
    <t>Pre Tax Cost of Debt</t>
  </si>
  <si>
    <t>Tax Rate</t>
  </si>
  <si>
    <t>Post Tax Cost of Debt</t>
  </si>
  <si>
    <t>Cost of Equity</t>
  </si>
  <si>
    <t>Risk Free Rate</t>
  </si>
  <si>
    <t>Equity Risk Preium</t>
  </si>
  <si>
    <r>
      <t xml:space="preserve">Levere Beta </t>
    </r>
    <r>
      <rPr>
        <vertAlign val="superscript"/>
        <sz val="11"/>
        <color theme="1"/>
        <rFont val="Calibri"/>
        <family val="2"/>
      </rPr>
      <t>4</t>
    </r>
  </si>
  <si>
    <t>Capital Structure</t>
  </si>
  <si>
    <t>Current</t>
  </si>
  <si>
    <t>Target</t>
  </si>
  <si>
    <t>Market Capitalization</t>
  </si>
  <si>
    <t>Total Capital</t>
  </si>
  <si>
    <t>Comp Median Unlivered Beta</t>
  </si>
  <si>
    <t>Target Debt/Eqiuty</t>
  </si>
  <si>
    <t>Levered Beta</t>
  </si>
  <si>
    <t>Debt/Equity</t>
  </si>
  <si>
    <t>Weighted Average Cost of Capital</t>
  </si>
  <si>
    <t>Notes</t>
  </si>
  <si>
    <t>1. Tax rate reffered as marginal tax rate for the country</t>
  </si>
  <si>
    <t>2. Levered beta is based on 5 year monthly data</t>
  </si>
  <si>
    <t>3. Unlevered Beta = Levered Beta/(1+(1-Tax Rate)*D/E ratio)</t>
  </si>
  <si>
    <t>4. Levered Beta = Unlevered Beta*(1+(1-Tax Rate)*D/E ratio)</t>
  </si>
  <si>
    <t>Beta Calculation</t>
  </si>
  <si>
    <t>Regression Beta</t>
  </si>
  <si>
    <t>Date</t>
  </si>
  <si>
    <t>Closeing Price</t>
  </si>
  <si>
    <t xml:space="preserve"> Return</t>
  </si>
  <si>
    <t>NIFTY Weekly Returns</t>
  </si>
  <si>
    <t>Beta 2</t>
  </si>
  <si>
    <t>Beta 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</si>
  <si>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</si>
  <si>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</si>
  <si>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</si>
  <si>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</si>
  <si>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</si>
  <si>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</si>
  <si>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</si>
  <si>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</si>
  <si>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</si>
  <si>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</si>
  <si>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</si>
  <si>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</si>
  <si>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</si>
  <si>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</si>
  <si>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</si>
  <si>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</si>
  <si>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</si>
  <si>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</si>
  <si>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</si>
  <si>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</si>
  <si>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</si>
  <si>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</si>
  <si>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</si>
  <si>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</si>
  <si>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</si>
  <si>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Drifting</t>
  </si>
  <si>
    <t>Levered Raw Beta</t>
  </si>
  <si>
    <t>Raw Beta Weight</t>
  </si>
  <si>
    <t>Market Beta</t>
  </si>
  <si>
    <t>Market Beta Weight</t>
  </si>
  <si>
    <t>Adjusted Beta</t>
  </si>
  <si>
    <t>Beta</t>
  </si>
  <si>
    <t>S.No.</t>
  </si>
  <si>
    <t>Name</t>
  </si>
  <si>
    <t>Debt / Eq</t>
  </si>
  <si>
    <t>Return on Markets</t>
  </si>
  <si>
    <t>Year</t>
  </si>
  <si>
    <t>Annual</t>
  </si>
  <si>
    <t>Dividend Yeild</t>
  </si>
  <si>
    <t>Total Market Return</t>
  </si>
  <si>
    <t>Equity Weight</t>
  </si>
  <si>
    <t>Debt Weight</t>
  </si>
  <si>
    <t>WACC</t>
  </si>
  <si>
    <t>Net Cash Flow</t>
  </si>
  <si>
    <t>Cash From Financing Activities</t>
  </si>
  <si>
    <t>Other financing items</t>
  </si>
  <si>
    <t>Financial liabilities</t>
  </si>
  <si>
    <t>Dividends paid</t>
  </si>
  <si>
    <t>Interest paid fin</t>
  </si>
  <si>
    <t>Repayment of borrowings</t>
  </si>
  <si>
    <t>Proceeds from borrowings</t>
  </si>
  <si>
    <t>Redemption of debentures</t>
  </si>
  <si>
    <t>Proceeds from shares</t>
  </si>
  <si>
    <t>Financing Activities</t>
  </si>
  <si>
    <t>Cash from Investing Activities</t>
  </si>
  <si>
    <t>Other investing items</t>
  </si>
  <si>
    <t>Inter corporate deposits</t>
  </si>
  <si>
    <t>Acquisition of companies</t>
  </si>
  <si>
    <t>Redemp n Canc of Shares</t>
  </si>
  <si>
    <t>Investment in group cos</t>
  </si>
  <si>
    <t>Dividends received</t>
  </si>
  <si>
    <t>Interest received</t>
  </si>
  <si>
    <t>Investments sold</t>
  </si>
  <si>
    <t>Investments purchased</t>
  </si>
  <si>
    <t>Fixed assets sold</t>
  </si>
  <si>
    <t>Fixed assets purchased</t>
  </si>
  <si>
    <t>Investing Activities</t>
  </si>
  <si>
    <t>Cash from Operating Activities</t>
  </si>
  <si>
    <t>Direct taxes</t>
  </si>
  <si>
    <t>Working capital changes</t>
  </si>
  <si>
    <t>Other WC items</t>
  </si>
  <si>
    <t>Loans Advances</t>
  </si>
  <si>
    <t>Payables</t>
  </si>
  <si>
    <t>Inventory</t>
  </si>
  <si>
    <t>Receivables</t>
  </si>
  <si>
    <t>Profit from operations</t>
  </si>
  <si>
    <t>Operating Activities</t>
  </si>
  <si>
    <t>Cash Flow Statement</t>
  </si>
  <si>
    <t>#</t>
  </si>
  <si>
    <t>Check</t>
  </si>
  <si>
    <t>Total Asset</t>
  </si>
  <si>
    <t>Total Current Asset</t>
  </si>
  <si>
    <t>Cash &amp; Bank</t>
  </si>
  <si>
    <t>Total Non Current Assets</t>
  </si>
  <si>
    <t>Other Assets</t>
  </si>
  <si>
    <t>Investments</t>
  </si>
  <si>
    <t>Capital Work in Progress</t>
  </si>
  <si>
    <t>Fixed Assets Net Block</t>
  </si>
  <si>
    <t xml:space="preserve"> Total Liabilities </t>
  </si>
  <si>
    <t>Other Liabilities</t>
  </si>
  <si>
    <t>Borrowings</t>
  </si>
  <si>
    <t>Reserves</t>
  </si>
  <si>
    <t>Equity Share Capital</t>
  </si>
  <si>
    <t>Balance Sheet</t>
  </si>
  <si>
    <t>Reatined Earning</t>
  </si>
  <si>
    <t>Dididend Payout Ratio</t>
  </si>
  <si>
    <t>Dididend per Share</t>
  </si>
  <si>
    <t>EPS growth rate</t>
  </si>
  <si>
    <t>Earning per Share</t>
  </si>
  <si>
    <t xml:space="preserve">No of Equity Shares </t>
  </si>
  <si>
    <t>Net Margin</t>
  </si>
  <si>
    <t xml:space="preserve">Net Profit </t>
  </si>
  <si>
    <t>Effective Tax</t>
  </si>
  <si>
    <t>Tax</t>
  </si>
  <si>
    <t>EBT % of Sales</t>
  </si>
  <si>
    <t>Earning Before Tax</t>
  </si>
  <si>
    <t>Depriciation % of Sales</t>
  </si>
  <si>
    <t xml:space="preserve">Depriciation </t>
  </si>
  <si>
    <t>Interest % of Sales</t>
  </si>
  <si>
    <t xml:space="preserve">Interest </t>
  </si>
  <si>
    <t>EBITDA % of Sales</t>
  </si>
  <si>
    <t>EBITDA</t>
  </si>
  <si>
    <t>S&amp;G % of sales</t>
  </si>
  <si>
    <t>-</t>
  </si>
  <si>
    <t>Selling &amp; General Expenses</t>
  </si>
  <si>
    <t>Gross Margin</t>
  </si>
  <si>
    <t>Gross Profit</t>
  </si>
  <si>
    <t>COGS % of Sales</t>
  </si>
  <si>
    <t>COGS</t>
  </si>
  <si>
    <t>Sales Growth</t>
  </si>
  <si>
    <t>Sales</t>
  </si>
  <si>
    <t>Income Statement</t>
  </si>
  <si>
    <t>LTM</t>
  </si>
  <si>
    <t>Years</t>
  </si>
  <si>
    <t>Adjusted Equity Shares in Cr</t>
  </si>
  <si>
    <t>DERIVED:</t>
  </si>
  <si>
    <t>PRICE:</t>
  </si>
  <si>
    <t>Cash from Financing Activity</t>
  </si>
  <si>
    <t>Cash from Investing Activity</t>
  </si>
  <si>
    <t>Cash from Operating Activity</t>
  </si>
  <si>
    <t>Report Date</t>
  </si>
  <si>
    <t>CASH FLOW:</t>
  </si>
  <si>
    <t>Face value</t>
  </si>
  <si>
    <t>New Bonus Shares</t>
  </si>
  <si>
    <t>No. of Equity Shares</t>
  </si>
  <si>
    <t>Net Block</t>
  </si>
  <si>
    <t>BALANCE SHEET</t>
  </si>
  <si>
    <t>Operating Profit</t>
  </si>
  <si>
    <t>Net profit</t>
  </si>
  <si>
    <t>Profit before tax</t>
  </si>
  <si>
    <t>Interest</t>
  </si>
  <si>
    <t>Depreciation</t>
  </si>
  <si>
    <t>Other Income</t>
  </si>
  <si>
    <t>Expenses</t>
  </si>
  <si>
    <t>Quarters</t>
  </si>
  <si>
    <t>Dividend Amount</t>
  </si>
  <si>
    <t>Other Expenses</t>
  </si>
  <si>
    <t>Selling and admin</t>
  </si>
  <si>
    <t>Employee Cost</t>
  </si>
  <si>
    <t>Other Mfr. Exp</t>
  </si>
  <si>
    <t>Power and Fuel</t>
  </si>
  <si>
    <t>Change in Inventory</t>
  </si>
  <si>
    <t>Raw Material Cost</t>
  </si>
  <si>
    <t>PROFIT &amp; LOSS</t>
  </si>
  <si>
    <t>Current Price</t>
  </si>
  <si>
    <t>Face Value</t>
  </si>
  <si>
    <t>Number of shares</t>
  </si>
  <si>
    <t>META</t>
  </si>
  <si>
    <t>CURRENT VERSION</t>
  </si>
  <si>
    <t>PLEASE DO NOT MAKE ANY CHANGES TO THIS SHEET</t>
  </si>
  <si>
    <t>LATEST VERSION</t>
  </si>
  <si>
    <t>ASIAN PAINTS LTD</t>
  </si>
  <si>
    <t>COMPANY NAME</t>
  </si>
  <si>
    <t>Equity Capital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</si>
  <si>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</si>
  <si>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</si>
  <si>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</si>
  <si>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</si>
  <si>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</si>
  <si>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</si>
  <si>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</si>
  <si>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</si>
  <si>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Total Liabilities</t>
  </si>
  <si>
    <t>Fixed Assets 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</si>
  <si>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</si>
  <si>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</si>
  <si>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</si>
  <si>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</si>
  <si>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</si>
  <si>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</si>
  <si>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</si>
  <si>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</si>
  <si>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</si>
  <si>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</si>
  <si>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</si>
  <si>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Inventories</t>
  </si>
  <si>
    <t>Trade receivables +</t>
  </si>
  <si>
    <t>Cash Equivalents</t>
  </si>
  <si>
    <t>Short term loans</t>
  </si>
  <si>
    <t>Other asset items</t>
  </si>
  <si>
    <t>Total Assets</t>
  </si>
  <si>
    <t>Particulars</t>
  </si>
  <si>
    <t>Borrowings </t>
  </si>
  <si>
    <t>Other Liabilities </t>
  </si>
  <si>
    <t>Other Assets </t>
  </si>
  <si>
    <t>Calculation of ROIC</t>
  </si>
  <si>
    <t>Intrinsic Growth</t>
  </si>
  <si>
    <t>Current Assets</t>
  </si>
  <si>
    <t>Total Current Assets</t>
  </si>
  <si>
    <t>Current Liabilities</t>
  </si>
  <si>
    <t>Total Current Liabilities</t>
  </si>
  <si>
    <t xml:space="preserve">Net Working Capital </t>
  </si>
  <si>
    <t>Non Current Assets</t>
  </si>
  <si>
    <t>Accumulated Depriciation</t>
  </si>
  <si>
    <t>Net Non Current Assets</t>
  </si>
  <si>
    <t>Invested Capital</t>
  </si>
  <si>
    <t>EBIT</t>
  </si>
  <si>
    <t>ROIC</t>
  </si>
  <si>
    <t>Calculation of Reinvestment Rate</t>
  </si>
  <si>
    <t>Cash from Operating Activity -</t>
  </si>
  <si>
    <t>Cash from Investing Activity -</t>
  </si>
  <si>
    <t>Cash from Financing Activity -</t>
  </si>
  <si>
    <t>Net Capex</t>
  </si>
  <si>
    <t>Change in Working Capital</t>
  </si>
  <si>
    <t>Marginal Tax Rate</t>
  </si>
  <si>
    <t>EBIT(1-T)</t>
  </si>
  <si>
    <t>Reinvestment</t>
  </si>
  <si>
    <t>Reinvestment Rate</t>
  </si>
  <si>
    <t>4 year average</t>
  </si>
  <si>
    <t>4 year median</t>
  </si>
  <si>
    <t>Calculation of Growth Rate</t>
  </si>
  <si>
    <t>DCF</t>
  </si>
  <si>
    <t>Calculation of PV of FCFF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</si>
  <si>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</si>
  <si>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</si>
  <si>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</si>
  <si>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</si>
  <si>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</si>
  <si>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</si>
  <si>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</si>
  <si>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Calculation of Terminal Value</t>
  </si>
  <si>
    <t>FCFF(n+1)</t>
  </si>
  <si>
    <t>Terminal Growth Rate</t>
  </si>
  <si>
    <t>Terminal Value</t>
  </si>
  <si>
    <t>PV of Terminal Value</t>
  </si>
  <si>
    <t>Value of Operating Assets</t>
  </si>
  <si>
    <t>Add: Cash</t>
  </si>
  <si>
    <t>Less: Debt</t>
  </si>
  <si>
    <t>Calculation of Equity Value per Share</t>
  </si>
  <si>
    <t>Value of Equity</t>
  </si>
  <si>
    <t>No. of Share</t>
  </si>
  <si>
    <t>Equity Value per Share</t>
  </si>
  <si>
    <t>Share Price</t>
  </si>
  <si>
    <t xml:space="preserve">Discount/Premium </t>
  </si>
  <si>
    <t>Relative Valuation</t>
  </si>
  <si>
    <t>Amount in crores</t>
  </si>
  <si>
    <t>Compareable Company Valuation</t>
  </si>
  <si>
    <t>Market Data</t>
  </si>
  <si>
    <t xml:space="preserve">Financials </t>
  </si>
  <si>
    <t>Valuation</t>
  </si>
  <si>
    <t>Company</t>
  </si>
  <si>
    <t>Ticker</t>
  </si>
  <si>
    <t>Shares O/S</t>
  </si>
  <si>
    <t>Equity Value</t>
  </si>
  <si>
    <t>Net Debt</t>
  </si>
  <si>
    <t>Enterprise Value</t>
  </si>
  <si>
    <t>Revenue</t>
  </si>
  <si>
    <t>Net Income</t>
  </si>
  <si>
    <t>EV/Revenue</t>
  </si>
  <si>
    <t>EV/EBITDA</t>
  </si>
  <si>
    <t>P/E</t>
  </si>
  <si>
    <t>High</t>
  </si>
  <si>
    <t>75th percentile</t>
  </si>
  <si>
    <t>25th Percentile</t>
  </si>
  <si>
    <t>Low</t>
  </si>
  <si>
    <t>Asian Paints Compareable Valuation</t>
  </si>
  <si>
    <t>Implied Enterprice Value</t>
  </si>
  <si>
    <t xml:space="preserve">Net Debt </t>
  </si>
  <si>
    <t>Implied Market Value</t>
  </si>
  <si>
    <t>Implied Value Per Share</t>
  </si>
  <si>
    <t>OpenLow</t>
  </si>
  <si>
    <t>OpenHigh</t>
  </si>
  <si>
    <t>Comps</t>
  </si>
  <si>
    <t>DCF Bear</t>
  </si>
  <si>
    <t>DCF Base</t>
  </si>
  <si>
    <t>DCF Bull</t>
  </si>
  <si>
    <t>52W H/L</t>
  </si>
  <si>
    <t>Football Field Analysis -Data</t>
  </si>
  <si>
    <r>
      <t>CMP </t>
    </r>
    <r>
      <rPr>
        <sz val="11"/>
        <color rgb="FF737373"/>
        <rFont val="Arial"/>
        <family val="2"/>
      </rPr>
      <t>Rs.</t>
    </r>
  </si>
  <si>
    <r>
      <t>Mar Cap </t>
    </r>
    <r>
      <rPr>
        <sz val="11"/>
        <color rgb="FF737373"/>
        <rFont val="Arial"/>
        <family val="2"/>
      </rPr>
      <t>Rs.Cr.</t>
    </r>
  </si>
  <si>
    <r>
      <t>Debt </t>
    </r>
    <r>
      <rPr>
        <sz val="11"/>
        <color rgb="FF737373"/>
        <rFont val="Arial"/>
        <family val="2"/>
      </rPr>
      <t>Rs.Cr.</t>
    </r>
  </si>
  <si>
    <t>Asian Paints</t>
  </si>
  <si>
    <t>Berger Paints</t>
  </si>
  <si>
    <t>Kansai Nerolac</t>
  </si>
  <si>
    <t>Akzo Nobel</t>
  </si>
  <si>
    <t>Indigo Paints</t>
  </si>
  <si>
    <t xml:space="preserve">Berger Paints Weekly Returns </t>
  </si>
  <si>
    <t>Asian Paints Weekly Returns</t>
  </si>
  <si>
    <t xml:space="preserve">Beta 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</si>
</sst>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#,##0.0"/>
    <numFmt numFmtId="165" formatCode="&quot;₹&quot;\ #,##0.00;\(&quot;₹&quot;\ #,##0.00\);\-"/>
    <numFmt numFmtId="166" formatCode="&quot;₹&quot;\ #,##0.00"/>
    <numFmt numFmtId="167" formatCode="_(* #,##0.00_);_(* \(#,##0.00\);_(* &quot;-&quot;??_);_(@_)"/>
    <numFmt numFmtId="168" formatCode="[$-409]mmm\-yy;@"/>
    <numFmt numFmtId="169" formatCode="mmm/yy&quot;A&quot;"/>
    <numFmt numFmtId="170" formatCode="mmm/yy&quot;F&quot;"/>
    <numFmt numFmtId="171" formatCode="0.000"/>
    <numFmt numFmtId="172" formatCode="0.00&quot;x&quot;"/>
    <numFmt numFmtId="173" formatCode="0.0"/>
  </numFmts>
  <fonts count="2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i/>
      <sz val="10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rgb="FF3333FF"/>
      <name val="calibri"/>
      <family val="2"/>
    </font>
    <font>
      <b/>
      <sz val="11"/>
      <color theme="0"/>
      <name val="calibri"/>
      <family val="2"/>
    </font>
    <font>
      <i/>
      <sz val="11"/>
      <color theme="1"/>
      <name val="calibri"/>
      <family val="2"/>
    </font>
    <font>
      <i/>
      <sz val="9"/>
      <color theme="1"/>
      <name val="calibri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u/>
      <sz val="11"/>
      <color theme="10"/>
      <name val="calibri"/>
      <family val="2"/>
    </font>
    <font>
      <sz val="11"/>
      <color theme="0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2222F"/>
      <name val="Arial"/>
      <family val="2"/>
    </font>
    <font>
      <b/>
      <sz val="11"/>
      <color rgb="FF22222F"/>
      <name val="Arial"/>
      <family val="2"/>
    </font>
    <font>
      <b/>
      <sz val="11"/>
      <color theme="0"/>
      <name val="Arial"/>
      <family val="2"/>
    </font>
    <font>
      <i/>
      <sz val="11"/>
      <color rgb="FF3333FF"/>
      <name val="calibri"/>
      <family val="2"/>
    </font>
    <font>
      <sz val="11"/>
      <color rgb="FF22222F"/>
      <name val="Arial"/>
      <family val="2"/>
    </font>
    <font>
      <sz val="11"/>
      <color theme="0" tint="-4.9989318521683403E-2"/>
      <name val="calibri"/>
      <family val="2"/>
    </font>
    <font>
      <sz val="11"/>
      <color rgb="FF22222F"/>
      <name val="Arial"/>
      <family val="2"/>
    </font>
    <font>
      <sz val="11"/>
      <color rgb="FF73737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theme="8" tint="-0.2499465926084170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medium">
        <color theme="7" tint="-0.24994659260841701"/>
      </top>
      <bottom/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0" fillId="5" borderId="0" applyNumberForma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50">
    <xf numFmtId="0" fontId="0" fillId="0" borderId="0" xfId="0"/>
    <xf numFmtId="10" fontId="0" fillId="0" borderId="0" xfId="0" applyNumberForma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7" fillId="0" borderId="0" xfId="0" applyFont="1"/>
    <xf numFmtId="2" fontId="0" fillId="2" borderId="0" xfId="0" applyNumberFormat="1" applyFill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10" fontId="0" fillId="0" borderId="3" xfId="0" applyNumberFormat="1" applyBorder="1"/>
    <xf numFmtId="10" fontId="0" fillId="0" borderId="4" xfId="0" applyNumberForma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2" fontId="0" fillId="0" borderId="3" xfId="0" applyNumberFormat="1" applyBorder="1"/>
    <xf numFmtId="2" fontId="0" fillId="0" borderId="4" xfId="0" applyNumberFormat="1" applyBorder="1"/>
    <xf numFmtId="2" fontId="7" fillId="0" borderId="0" xfId="0" applyNumberFormat="1" applyFont="1"/>
    <xf numFmtId="9" fontId="0" fillId="0" borderId="0" xfId="0" applyNumberFormat="1"/>
    <xf numFmtId="0" fontId="0" fillId="0" borderId="5" xfId="0" applyBorder="1"/>
    <xf numFmtId="10" fontId="0" fillId="0" borderId="5" xfId="0" applyNumberFormat="1" applyBorder="1"/>
    <xf numFmtId="0" fontId="2" fillId="0" borderId="4" xfId="0" applyFont="1" applyBorder="1" applyAlignment="1">
      <alignment horizontal="right"/>
    </xf>
    <xf numFmtId="10" fontId="7" fillId="0" borderId="0" xfId="0" applyNumberFormat="1" applyFont="1"/>
    <xf numFmtId="9" fontId="7" fillId="0" borderId="0" xfId="0" applyNumberFormat="1" applyFont="1"/>
    <xf numFmtId="10" fontId="0" fillId="0" borderId="0" xfId="1" applyNumberFormat="1" applyFont="1"/>
    <xf numFmtId="10" fontId="0" fillId="0" borderId="5" xfId="1" applyNumberFormat="1" applyFont="1" applyBorder="1"/>
    <xf numFmtId="10" fontId="0" fillId="2" borderId="0" xfId="0" applyNumberFormat="1" applyFill="1"/>
    <xf numFmtId="2" fontId="0" fillId="0" borderId="0" xfId="0" applyNumberFormat="1"/>
    <xf numFmtId="10" fontId="0" fillId="2" borderId="5" xfId="0" applyNumberFormat="1" applyFill="1" applyBorder="1"/>
    <xf numFmtId="2" fontId="0" fillId="2" borderId="5" xfId="0" applyNumberFormat="1" applyFill="1" applyBorder="1"/>
    <xf numFmtId="4" fontId="7" fillId="0" borderId="0" xfId="0" applyNumberFormat="1" applyFont="1"/>
    <xf numFmtId="4" fontId="0" fillId="0" borderId="5" xfId="0" applyNumberFormat="1" applyBorder="1"/>
    <xf numFmtId="0" fontId="2" fillId="0" borderId="0" xfId="0" applyFont="1"/>
    <xf numFmtId="0" fontId="10" fillId="0" borderId="0" xfId="0" applyFont="1" applyAlignment="1">
      <alignment vertical="top"/>
    </xf>
    <xf numFmtId="14" fontId="0" fillId="0" borderId="0" xfId="0" applyNumberFormat="1" applyAlignment="1">
      <alignment horizontal="left"/>
    </xf>
    <xf numFmtId="4" fontId="0" fillId="0" borderId="0" xfId="0" applyNumberFormat="1"/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8" fillId="0" borderId="0" xfId="0" applyFont="1"/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Continuous"/>
    </xf>
    <xf numFmtId="0" fontId="0" fillId="0" borderId="0" xfId="0" applyAlignment="1">
      <alignment horizontal="left"/>
    </xf>
    <xf numFmtId="164" fontId="7" fillId="0" borderId="0" xfId="0" applyNumberFormat="1" applyFont="1"/>
    <xf numFmtId="10" fontId="7" fillId="0" borderId="0" xfId="0" applyNumberFormat="1" applyFont="1" applyAlignment="1">
      <alignment vertical="top"/>
    </xf>
    <xf numFmtId="10" fontId="0" fillId="2" borderId="0" xfId="1" applyNumberFormat="1" applyFont="1" applyFill="1" applyAlignment="1"/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right" vertical="center" wrapText="1"/>
    </xf>
    <xf numFmtId="0" fontId="13" fillId="3" borderId="0" xfId="2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 wrapText="1"/>
    </xf>
    <xf numFmtId="0" fontId="2" fillId="2" borderId="0" xfId="0" applyFont="1" applyFill="1"/>
    <xf numFmtId="10" fontId="0" fillId="4" borderId="0" xfId="1" applyNumberFormat="1" applyFont="1" applyFill="1" applyBorder="1"/>
    <xf numFmtId="10" fontId="2" fillId="2" borderId="0" xfId="0" applyNumberFormat="1" applyFont="1" applyFill="1"/>
    <xf numFmtId="0" fontId="15" fillId="0" borderId="0" xfId="3"/>
    <xf numFmtId="165" fontId="15" fillId="0" borderId="8" xfId="3" applyNumberFormat="1" applyBorder="1"/>
    <xf numFmtId="0" fontId="16" fillId="0" borderId="8" xfId="3" applyFont="1" applyBorder="1"/>
    <xf numFmtId="165" fontId="15" fillId="0" borderId="0" xfId="3" applyNumberFormat="1"/>
    <xf numFmtId="0" fontId="16" fillId="0" borderId="0" xfId="3" applyFont="1"/>
    <xf numFmtId="0" fontId="15" fillId="6" borderId="0" xfId="3" applyFill="1"/>
    <xf numFmtId="0" fontId="16" fillId="6" borderId="0" xfId="3" applyFont="1" applyFill="1"/>
    <xf numFmtId="43" fontId="0" fillId="0" borderId="0" xfId="4" applyFont="1" applyBorder="1"/>
    <xf numFmtId="43" fontId="15" fillId="0" borderId="0" xfId="4" applyFont="1" applyBorder="1"/>
    <xf numFmtId="0" fontId="16" fillId="0" borderId="8" xfId="3" applyFont="1" applyBorder="1" applyAlignment="1">
      <alignment wrapText="1"/>
    </xf>
    <xf numFmtId="0" fontId="15" fillId="0" borderId="0" xfId="3" applyAlignment="1">
      <alignment wrapText="1"/>
    </xf>
    <xf numFmtId="10" fontId="0" fillId="0" borderId="0" xfId="5" applyNumberFormat="1" applyFont="1"/>
    <xf numFmtId="10" fontId="17" fillId="0" borderId="0" xfId="5" applyNumberFormat="1" applyFont="1"/>
    <xf numFmtId="165" fontId="16" fillId="0" borderId="8" xfId="3" applyNumberFormat="1" applyFont="1" applyBorder="1"/>
    <xf numFmtId="166" fontId="15" fillId="0" borderId="0" xfId="3" applyNumberFormat="1" applyAlignment="1">
      <alignment horizontal="right"/>
    </xf>
    <xf numFmtId="166" fontId="15" fillId="0" borderId="0" xfId="3" applyNumberFormat="1"/>
    <xf numFmtId="166" fontId="16" fillId="0" borderId="8" xfId="3" applyNumberFormat="1" applyFont="1" applyBorder="1"/>
    <xf numFmtId="0" fontId="17" fillId="0" borderId="0" xfId="3" applyFont="1" applyAlignment="1">
      <alignment horizontal="right"/>
    </xf>
    <xf numFmtId="0" fontId="17" fillId="0" borderId="0" xfId="3" applyFont="1"/>
    <xf numFmtId="167" fontId="0" fillId="0" borderId="0" xfId="4" applyNumberFormat="1" applyFont="1" applyBorder="1"/>
    <xf numFmtId="43" fontId="16" fillId="0" borderId="0" xfId="4" applyFont="1" applyBorder="1"/>
    <xf numFmtId="168" fontId="19" fillId="0" borderId="0" xfId="4" applyNumberFormat="1" applyFont="1" applyFill="1" applyBorder="1"/>
    <xf numFmtId="168" fontId="18" fillId="7" borderId="0" xfId="3" applyNumberFormat="1" applyFont="1" applyFill="1" applyAlignment="1">
      <alignment horizontal="center"/>
    </xf>
    <xf numFmtId="168" fontId="18" fillId="7" borderId="0" xfId="4" applyNumberFormat="1" applyFont="1" applyFill="1" applyBorder="1"/>
    <xf numFmtId="3" fontId="11" fillId="3" borderId="0" xfId="0" applyNumberFormat="1" applyFont="1" applyFill="1" applyAlignment="1">
      <alignment horizontal="right" vertical="center" wrapText="1"/>
    </xf>
    <xf numFmtId="0" fontId="21" fillId="3" borderId="0" xfId="0" applyFont="1" applyFill="1" applyAlignment="1">
      <alignment horizontal="left" vertical="center"/>
    </xf>
    <xf numFmtId="3" fontId="21" fillId="3" borderId="0" xfId="0" applyNumberFormat="1" applyFont="1" applyFill="1" applyAlignment="1">
      <alignment horizontal="right" vertical="center" wrapText="1"/>
    </xf>
    <xf numFmtId="0" fontId="8" fillId="8" borderId="0" xfId="0" applyFont="1" applyFill="1"/>
    <xf numFmtId="17" fontId="23" fillId="8" borderId="0" xfId="0" applyNumberFormat="1" applyFont="1" applyFill="1" applyAlignment="1">
      <alignment horizontal="right" vertical="center" wrapText="1"/>
    </xf>
    <xf numFmtId="17" fontId="23" fillId="0" borderId="0" xfId="0" applyNumberFormat="1" applyFont="1" applyAlignment="1">
      <alignment horizontal="right" vertical="center" wrapText="1"/>
    </xf>
    <xf numFmtId="0" fontId="22" fillId="3" borderId="0" xfId="0" applyFont="1" applyFill="1" applyAlignment="1">
      <alignment horizontal="left" vertical="center"/>
    </xf>
    <xf numFmtId="0" fontId="14" fillId="8" borderId="0" xfId="0" applyFont="1" applyFill="1"/>
    <xf numFmtId="0" fontId="4" fillId="8" borderId="0" xfId="0" applyFont="1" applyFill="1"/>
    <xf numFmtId="17" fontId="8" fillId="8" borderId="0" xfId="0" applyNumberFormat="1" applyFont="1" applyFill="1"/>
    <xf numFmtId="3" fontId="0" fillId="0" borderId="0" xfId="0" applyNumberFormat="1"/>
    <xf numFmtId="0" fontId="2" fillId="0" borderId="9" xfId="0" applyFont="1" applyBorder="1"/>
    <xf numFmtId="0" fontId="0" fillId="0" borderId="9" xfId="0" applyBorder="1"/>
    <xf numFmtId="3" fontId="0" fillId="0" borderId="9" xfId="0" applyNumberFormat="1" applyBorder="1"/>
    <xf numFmtId="3" fontId="2" fillId="0" borderId="0" xfId="0" applyNumberFormat="1" applyFont="1"/>
    <xf numFmtId="9" fontId="24" fillId="0" borderId="0" xfId="0" applyNumberFormat="1" applyFont="1"/>
    <xf numFmtId="10" fontId="2" fillId="0" borderId="0" xfId="1" applyNumberFormat="1" applyFont="1"/>
    <xf numFmtId="10" fontId="2" fillId="0" borderId="0" xfId="0" applyNumberFormat="1" applyFont="1"/>
    <xf numFmtId="0" fontId="9" fillId="0" borderId="0" xfId="0" applyFont="1"/>
    <xf numFmtId="169" fontId="8" fillId="8" borderId="0" xfId="0" applyNumberFormat="1" applyFont="1" applyFill="1"/>
    <xf numFmtId="170" fontId="8" fillId="8" borderId="0" xfId="0" applyNumberFormat="1" applyFont="1" applyFill="1"/>
    <xf numFmtId="43" fontId="0" fillId="0" borderId="0" xfId="0" applyNumberFormat="1"/>
    <xf numFmtId="10" fontId="24" fillId="0" borderId="0" xfId="0" applyNumberFormat="1" applyFont="1"/>
    <xf numFmtId="0" fontId="25" fillId="3" borderId="0" xfId="0" applyFont="1" applyFill="1" applyAlignment="1">
      <alignment horizontal="left" vertical="center"/>
    </xf>
    <xf numFmtId="3" fontId="25" fillId="3" borderId="0" xfId="0" applyNumberFormat="1" applyFont="1" applyFill="1" applyAlignment="1">
      <alignment horizontal="right" vertical="center" wrapText="1"/>
    </xf>
    <xf numFmtId="0" fontId="25" fillId="3" borderId="0" xfId="0" applyFont="1" applyFill="1" applyAlignment="1">
      <alignment horizontal="right" vertical="center" wrapText="1"/>
    </xf>
    <xf numFmtId="0" fontId="0" fillId="0" borderId="10" xfId="0" applyBorder="1"/>
    <xf numFmtId="0" fontId="0" fillId="9" borderId="0" xfId="0" applyFill="1"/>
    <xf numFmtId="10" fontId="0" fillId="9" borderId="0" xfId="0" applyNumberFormat="1" applyFill="1"/>
    <xf numFmtId="0" fontId="24" fillId="0" borderId="0" xfId="0" applyFont="1"/>
    <xf numFmtId="171" fontId="0" fillId="0" borderId="0" xfId="0" applyNumberFormat="1"/>
    <xf numFmtId="43" fontId="0" fillId="0" borderId="10" xfId="0" applyNumberFormat="1" applyBorder="1"/>
    <xf numFmtId="43" fontId="0" fillId="0" borderId="0" xfId="8" applyFont="1"/>
    <xf numFmtId="43" fontId="2" fillId="0" borderId="0" xfId="0" applyNumberFormat="1" applyFont="1"/>
    <xf numFmtId="2" fontId="0" fillId="0" borderId="10" xfId="0" applyNumberFormat="1" applyBorder="1"/>
    <xf numFmtId="172" fontId="0" fillId="0" borderId="0" xfId="0" applyNumberFormat="1"/>
    <xf numFmtId="0" fontId="2" fillId="0" borderId="10" xfId="0" applyFont="1" applyBorder="1"/>
    <xf numFmtId="2" fontId="2" fillId="0" borderId="10" xfId="0" applyNumberFormat="1" applyFont="1" applyBorder="1"/>
    <xf numFmtId="43" fontId="14" fillId="0" borderId="0" xfId="0" applyNumberFormat="1" applyFont="1"/>
    <xf numFmtId="9" fontId="2" fillId="0" borderId="0" xfId="0" applyNumberFormat="1" applyFont="1"/>
    <xf numFmtId="173" fontId="0" fillId="0" borderId="0" xfId="0" applyNumberFormat="1"/>
    <xf numFmtId="0" fontId="14" fillId="0" borderId="0" xfId="0" applyFont="1"/>
    <xf numFmtId="0" fontId="0" fillId="8" borderId="0" xfId="0" applyFill="1"/>
    <xf numFmtId="0" fontId="10" fillId="0" borderId="0" xfId="0" applyFont="1"/>
    <xf numFmtId="0" fontId="0" fillId="0" borderId="11" xfId="0" applyBorder="1"/>
    <xf numFmtId="0" fontId="26" fillId="8" borderId="0" xfId="0" applyFont="1" applyFill="1"/>
    <xf numFmtId="0" fontId="26" fillId="8" borderId="0" xfId="0" applyFont="1" applyFill="1" applyAlignment="1">
      <alignment wrapText="1"/>
    </xf>
    <xf numFmtId="2" fontId="0" fillId="9" borderId="0" xfId="0" applyNumberFormat="1" applyFill="1"/>
    <xf numFmtId="172" fontId="0" fillId="9" borderId="0" xfId="0" applyNumberFormat="1" applyFill="1"/>
    <xf numFmtId="0" fontId="2" fillId="9" borderId="0" xfId="0" applyFont="1" applyFill="1"/>
    <xf numFmtId="172" fontId="2" fillId="9" borderId="0" xfId="0" applyNumberFormat="1" applyFont="1" applyFill="1"/>
    <xf numFmtId="2" fontId="2" fillId="9" borderId="0" xfId="0" applyNumberFormat="1" applyFont="1" applyFill="1"/>
    <xf numFmtId="0" fontId="0" fillId="0" borderId="0" xfId="0" applyAlignment="1">
      <alignment horizontal="center" vertical="center"/>
    </xf>
    <xf numFmtId="173" fontId="0" fillId="9" borderId="0" xfId="0" applyNumberFormat="1" applyFill="1"/>
    <xf numFmtId="0" fontId="4" fillId="8" borderId="0" xfId="0" applyFont="1" applyFill="1" applyAlignment="1">
      <alignment horizontal="center"/>
    </xf>
    <xf numFmtId="0" fontId="26" fillId="8" borderId="12" xfId="0" applyFont="1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43" fontId="13" fillId="0" borderId="0" xfId="7" applyNumberFormat="1" applyBorder="1" applyAlignment="1" applyProtection="1">
      <alignment horizontal="center"/>
    </xf>
    <xf numFmtId="43" fontId="18" fillId="5" borderId="0" xfId="6" applyNumberFormat="1" applyFont="1" applyBorder="1" applyAlignment="1">
      <alignment horizontal="center"/>
    </xf>
    <xf numFmtId="0" fontId="27" fillId="3" borderId="0" xfId="0" applyFont="1" applyFill="1" applyAlignment="1">
      <alignment horizontal="left" vertical="center"/>
    </xf>
    <xf numFmtId="0" fontId="27" fillId="3" borderId="0" xfId="0" applyFont="1" applyFill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4" fillId="0" borderId="0" xfId="0" applyFont="1" applyFill="1" applyAlignment="1"/>
    <xf numFmtId="0" fontId="0" fillId="0" borderId="0" xfId="0" applyFill="1"/>
    <xf numFmtId="2" fontId="0" fillId="0" borderId="0" xfId="0" applyNumberFormat="1" applyFill="1"/>
    <xf numFmtId="0" fontId="8" fillId="8" borderId="0" xfId="0" applyFont="1" applyFill="1" applyAlignment="1">
      <alignment horizontal="center"/>
    </xf>
    <xf numFmtId="0" fontId="4" fillId="8" borderId="0" xfId="0" applyFont="1" applyFill="1" applyAlignment="1"/>
    <xf numFmtId="0" fontId="3" fillId="10" borderId="0" xfId="0" applyFont="1" applyFill="1"/>
    <xf numFmtId="0" fontId="0" fillId="10" borderId="0" xfId="0" applyFill="1"/>
    <xf numFmtId="0" fontId="18" fillId="8" borderId="0" xfId="3" applyFont="1" applyFill="1" applyAlignment="1">
      <alignment horizontal="center"/>
    </xf>
    <xf numFmtId="0" fontId="18" fillId="8" borderId="0" xfId="3" applyFont="1" applyFill="1"/>
    <xf numFmtId="17" fontId="18" fillId="8" borderId="0" xfId="3" applyNumberFormat="1" applyFont="1" applyFill="1"/>
    <xf numFmtId="17" fontId="18" fillId="8" borderId="0" xfId="3" applyNumberFormat="1" applyFont="1" applyFill="1" applyAlignment="1">
      <alignment horizontal="right"/>
    </xf>
  </cellXfs>
  <cellStyles count="9">
    <cellStyle name="Accent6 2" xfId="6" xr:uid="{92557653-747F-498C-AD4C-31F9E1E99B3B}"/>
    <cellStyle name="Comma" xfId="8" builtinId="3"/>
    <cellStyle name="Comma 2" xfId="4" xr:uid="{8CCF0E32-CA4C-420F-96E3-20D711865A67}"/>
    <cellStyle name="Hyperlink" xfId="2" builtinId="8"/>
    <cellStyle name="Hyperlink 2" xfId="7" xr:uid="{D9FF8C86-5EB8-4EF6-ADC0-3EF9B68984BD}"/>
    <cellStyle name="Normal" xfId="0" builtinId="0"/>
    <cellStyle name="Normal 2" xfId="3" xr:uid="{0BF691E1-A454-4811-94C2-72C3C6F41F5D}"/>
    <cellStyle name="Percent" xfId="1" builtinId="5"/>
    <cellStyle name="Percent 2" xfId="5" xr:uid="{5C0CC67A-6A4E-418E-B083-42B0B2CA70E9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4">
                    <a:lumMod val="75000"/>
                  </a:schemeClr>
                </a:solidFill>
              </a:rPr>
              <a:t>Football</a:t>
            </a:r>
            <a:r>
              <a:rPr lang="en-US" b="1" baseline="0">
                <a:solidFill>
                  <a:schemeClr val="accent4">
                    <a:lumMod val="75000"/>
                  </a:schemeClr>
                </a:solidFill>
              </a:rPr>
              <a:t> Field Analysis-Valuation Summery (Rs)</a:t>
            </a:r>
            <a:endParaRPr lang="en-US" b="1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229111986001744E-2"/>
          <c:y val="0.1181606023919239"/>
          <c:w val="0.87764129483814524"/>
          <c:h val="0.79413906694321135"/>
        </c:manualLayout>
      </c:layout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Feild'!$L$8:$L$12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Feild'!$N$8:$N$12</c:f>
              <c:numCache>
                <c:formatCode>0.0</c:formatCode>
                <c:ptCount val="5"/>
                <c:pt idx="0" formatCode="General">
                  <c:v>1894.1853912669774</c:v>
                </c:pt>
                <c:pt idx="1">
                  <c:v>433.33615470797378</c:v>
                </c:pt>
                <c:pt idx="2" formatCode="General">
                  <c:v>620.22579486774134</c:v>
                </c:pt>
                <c:pt idx="3">
                  <c:v>954.45998695263336</c:v>
                </c:pt>
                <c:pt idx="4" formatCode="#,##0.00">
                  <c:v>2670.1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E-4F88-AF00-DE69C2B1076F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Feild'!$L$8:$L$12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Feild'!$O$8:$O$12</c:f>
              <c:numCache>
                <c:formatCode>0.0</c:formatCode>
                <c:ptCount val="5"/>
                <c:pt idx="0" formatCode="General">
                  <c:v>1894.1853912669774</c:v>
                </c:pt>
                <c:pt idx="1">
                  <c:v>433.33615470797378</c:v>
                </c:pt>
                <c:pt idx="2" formatCode="General">
                  <c:v>620.22579486774134</c:v>
                </c:pt>
                <c:pt idx="3">
                  <c:v>954.45998695263336</c:v>
                </c:pt>
                <c:pt idx="4" formatCode="#,##0.00">
                  <c:v>2670.1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2E-4F88-AF00-DE69C2B1076F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Feild'!$L$8:$L$12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Feild'!$P$8:$P$12</c:f>
              <c:numCache>
                <c:formatCode>0.0</c:formatCode>
                <c:ptCount val="5"/>
                <c:pt idx="0" formatCode="General">
                  <c:v>2529.0353841818505</c:v>
                </c:pt>
                <c:pt idx="1">
                  <c:v>524.53282535078915</c:v>
                </c:pt>
                <c:pt idx="2" formatCode="General">
                  <c:v>1020.9221568620974</c:v>
                </c:pt>
                <c:pt idx="3">
                  <c:v>1540.3497107056401</c:v>
                </c:pt>
                <c:pt idx="4" formatCode="#,##0.00">
                  <c:v>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2E-4F88-AF00-DE69C2B1076F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72E-4F88-AF00-DE69C2B1076F}"/>
                </c:ext>
              </c:extLst>
            </c:dLbl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72E-4F88-AF00-DE69C2B1076F}"/>
                </c:ext>
              </c:extLst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72E-4F88-AF00-DE69C2B1076F}"/>
                </c:ext>
              </c:extLst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72E-4F88-AF00-DE69C2B1076F}"/>
                </c:ext>
              </c:extLst>
            </c:dLbl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72E-4F88-AF00-DE69C2B1076F}"/>
                </c:ext>
              </c:extLst>
            </c:dLbl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Feild'!$L$8:$L$12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Feild'!$Q$8:$Q$12</c:f>
              <c:numCache>
                <c:formatCode>0.0</c:formatCode>
                <c:ptCount val="5"/>
                <c:pt idx="0" formatCode="General">
                  <c:v>2529.0353841818505</c:v>
                </c:pt>
                <c:pt idx="1">
                  <c:v>524.53282535078915</c:v>
                </c:pt>
                <c:pt idx="2" formatCode="General">
                  <c:v>1020.9221568620974</c:v>
                </c:pt>
                <c:pt idx="3">
                  <c:v>1540.3497107056401</c:v>
                </c:pt>
                <c:pt idx="4" formatCode="#,##0.00">
                  <c:v>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2E-4F88-AF00-DE69C2B10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accent4">
                  <a:lumMod val="7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13043199"/>
        <c:axId val="113016799"/>
      </c:stockChart>
      <c:catAx>
        <c:axId val="11304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16799"/>
        <c:crosses val="autoZero"/>
        <c:auto val="1"/>
        <c:lblAlgn val="ctr"/>
        <c:lblOffset val="100"/>
        <c:noMultiLvlLbl val="0"/>
      </c:catAx>
      <c:valAx>
        <c:axId val="113016799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289560</xdr:colOff>
      <xdr:row>3</xdr:row>
      <xdr:rowOff>118110</xdr:rowOff>
    </xdr:from>
    <xdr:to>
      <xdr:col>10</xdr:col>
      <xdr:colOff>289560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D931F-0CF3-3802-21E0-C46A273F1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</xdr:colOff>
      <xdr:row>17</xdr:row>
      <xdr:rowOff>7620</xdr:rowOff>
    </xdr:from>
    <xdr:to>
      <xdr:col>10</xdr:col>
      <xdr:colOff>91440</xdr:colOff>
      <xdr:row>17</xdr:row>
      <xdr:rowOff>7620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A7A29B9-DFC5-C845-49BC-B8ACADF57549}"/>
            </a:ext>
          </a:extLst>
        </xdr:cNvPr>
        <xdr:cNvCxnSpPr/>
      </xdr:nvCxnSpPr>
      <xdr:spPr>
        <a:xfrm>
          <a:off x="891540" y="3116580"/>
          <a:ext cx="4815840" cy="0"/>
        </a:xfrm>
        <a:prstGeom prst="line">
          <a:avLst/>
        </a:prstGeom>
        <a:ln>
          <a:solidFill>
            <a:srgbClr val="00B050"/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\Financial%20modelling\Relative%20Valuation.xlsx" TargetMode="External"/><Relationship Id="rId1" Type="http://schemas.openxmlformats.org/officeDocument/2006/relationships/externalLinkPath" Target="file:///D:\EXCEL\Financial%20modelling\Relative%20Valu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\Financial%20modelling\Tata_Motors_FS_Analysis.xlsx" TargetMode="External"/><Relationship Id="rId1" Type="http://schemas.openxmlformats.org/officeDocument/2006/relationships/externalLinkPath" Target="file:///D:\EXCEL\Financial%20modelling\Tata_Motors_FS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s_val"/>
      <sheetName val="Data"/>
    </sheetNames>
    <sheetDataSet>
      <sheetData sheetId="0" refreshError="1"/>
      <sheetData sheetId="1">
        <row r="3">
          <cell r="C3" t="str">
            <v>Asian Paints</v>
          </cell>
          <cell r="D3">
            <v>2890.85</v>
          </cell>
          <cell r="E3">
            <v>95.92</v>
          </cell>
          <cell r="I3">
            <v>1390.3700000000001</v>
          </cell>
          <cell r="K3">
            <v>35494.730000000003</v>
          </cell>
          <cell r="L3">
            <v>8403.86</v>
          </cell>
          <cell r="M3">
            <v>5557.69</v>
          </cell>
        </row>
        <row r="4">
          <cell r="C4" t="str">
            <v>Berger Paints</v>
          </cell>
          <cell r="D4">
            <v>502.2</v>
          </cell>
          <cell r="E4">
            <v>116.58</v>
          </cell>
          <cell r="I4">
            <v>302.64</v>
          </cell>
          <cell r="K4">
            <v>11198.92</v>
          </cell>
          <cell r="L4">
            <v>1966.02</v>
          </cell>
          <cell r="M4">
            <v>1169.82</v>
          </cell>
        </row>
        <row r="5">
          <cell r="C5" t="str">
            <v>Kansai Nerolac</v>
          </cell>
          <cell r="D5">
            <v>274.14999999999998</v>
          </cell>
          <cell r="E5">
            <v>80.84</v>
          </cell>
          <cell r="I5">
            <v>16.470000000000027</v>
          </cell>
          <cell r="K5">
            <v>7801.44</v>
          </cell>
          <cell r="L5">
            <v>1078.31</v>
          </cell>
          <cell r="M5">
            <v>1175.8599999999999</v>
          </cell>
        </row>
        <row r="6">
          <cell r="C6" t="str">
            <v>Akzo Nobel</v>
          </cell>
          <cell r="D6">
            <v>2918.45</v>
          </cell>
          <cell r="E6">
            <v>4.55</v>
          </cell>
          <cell r="I6">
            <v>-462.80000000000007</v>
          </cell>
          <cell r="K6">
            <v>3961.6</v>
          </cell>
          <cell r="L6">
            <v>667.9</v>
          </cell>
          <cell r="M6">
            <v>426.7</v>
          </cell>
        </row>
        <row r="7">
          <cell r="C7" t="str">
            <v>Indigo Paints</v>
          </cell>
          <cell r="D7">
            <v>1363.1</v>
          </cell>
          <cell r="E7">
            <v>4.76</v>
          </cell>
          <cell r="I7">
            <v>-15.830000000000002</v>
          </cell>
          <cell r="K7">
            <v>1254.8599999999999</v>
          </cell>
          <cell r="L7">
            <v>246.13</v>
          </cell>
          <cell r="M7">
            <v>148.65</v>
          </cell>
        </row>
        <row r="8">
          <cell r="C8" t="str">
            <v>Shalimar Paints</v>
          </cell>
          <cell r="D8">
            <v>144.37</v>
          </cell>
          <cell r="E8">
            <v>8.3699999999999992</v>
          </cell>
          <cell r="I8">
            <v>49.699999999999996</v>
          </cell>
          <cell r="K8">
            <v>534.91</v>
          </cell>
          <cell r="L8">
            <v>-46.05</v>
          </cell>
          <cell r="M8">
            <v>-73.849999999999994</v>
          </cell>
        </row>
        <row r="9">
          <cell r="C9" t="str">
            <v>Retina Paints</v>
          </cell>
          <cell r="D9">
            <v>80</v>
          </cell>
          <cell r="E9">
            <v>1.39</v>
          </cell>
          <cell r="I9">
            <v>6.09</v>
          </cell>
          <cell r="K9">
            <v>11.66</v>
          </cell>
          <cell r="L9">
            <v>2.02</v>
          </cell>
          <cell r="M9">
            <v>0.74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s &gt;"/>
      <sheetName val="Ratio Analysis"/>
      <sheetName val="Forecasting"/>
      <sheetName val="Data&gt;"/>
      <sheetName val="Cash_Flow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E4">
            <v>43397</v>
          </cell>
          <cell r="F4">
            <v>38626</v>
          </cell>
          <cell r="G4">
            <v>28840</v>
          </cell>
          <cell r="H4">
            <v>33312</v>
          </cell>
          <cell r="I4">
            <v>28771</v>
          </cell>
          <cell r="J4">
            <v>23352</v>
          </cell>
          <cell r="K4">
            <v>31198</v>
          </cell>
          <cell r="L4">
            <v>26943</v>
          </cell>
          <cell r="M4">
            <v>41694</v>
          </cell>
          <cell r="N4">
            <v>65106</v>
          </cell>
        </row>
        <row r="5">
          <cell r="E5">
            <v>-3179</v>
          </cell>
          <cell r="F5">
            <v>-2223</v>
          </cell>
          <cell r="G5">
            <v>-4152</v>
          </cell>
          <cell r="H5">
            <v>-10688</v>
          </cell>
          <cell r="I5">
            <v>-9109</v>
          </cell>
          <cell r="J5">
            <v>9950</v>
          </cell>
          <cell r="K5">
            <v>-5505</v>
          </cell>
          <cell r="L5">
            <v>185</v>
          </cell>
          <cell r="M5">
            <v>-2213</v>
          </cell>
          <cell r="N5">
            <v>-1151</v>
          </cell>
        </row>
        <row r="6">
          <cell r="E6">
            <v>-3692</v>
          </cell>
          <cell r="F6">
            <v>-5743</v>
          </cell>
          <cell r="G6">
            <v>-6621</v>
          </cell>
          <cell r="H6">
            <v>-3560</v>
          </cell>
          <cell r="I6">
            <v>2069</v>
          </cell>
          <cell r="J6">
            <v>2326</v>
          </cell>
          <cell r="K6">
            <v>3814</v>
          </cell>
          <cell r="L6">
            <v>472</v>
          </cell>
          <cell r="M6">
            <v>-5665</v>
          </cell>
          <cell r="N6">
            <v>-7265</v>
          </cell>
        </row>
        <row r="7">
          <cell r="E7">
            <v>3598</v>
          </cell>
          <cell r="F7">
            <v>3947</v>
          </cell>
          <cell r="G7">
            <v>9301</v>
          </cell>
          <cell r="H7">
            <v>7320</v>
          </cell>
          <cell r="I7">
            <v>-4692</v>
          </cell>
          <cell r="J7">
            <v>-8085</v>
          </cell>
          <cell r="K7">
            <v>5748</v>
          </cell>
          <cell r="L7">
            <v>-7012</v>
          </cell>
          <cell r="M7">
            <v>6945</v>
          </cell>
          <cell r="N7">
            <v>13706</v>
          </cell>
        </row>
        <row r="8">
          <cell r="E8">
            <v>0</v>
          </cell>
          <cell r="F8">
            <v>-520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-3083</v>
          </cell>
        </row>
        <row r="9">
          <cell r="E9">
            <v>-398</v>
          </cell>
          <cell r="F9">
            <v>5852</v>
          </cell>
          <cell r="G9">
            <v>4727</v>
          </cell>
          <cell r="H9">
            <v>494</v>
          </cell>
          <cell r="I9">
            <v>4512</v>
          </cell>
          <cell r="J9">
            <v>875</v>
          </cell>
          <cell r="K9">
            <v>-4150</v>
          </cell>
          <cell r="L9">
            <v>-4396</v>
          </cell>
          <cell r="M9">
            <v>-2194</v>
          </cell>
          <cell r="N9">
            <v>5118</v>
          </cell>
        </row>
        <row r="10">
          <cell r="E10">
            <v>-3672</v>
          </cell>
          <cell r="F10">
            <v>1313</v>
          </cell>
          <cell r="G10">
            <v>3254</v>
          </cell>
          <cell r="H10">
            <v>-6434</v>
          </cell>
          <cell r="I10">
            <v>-7221</v>
          </cell>
          <cell r="J10">
            <v>5065</v>
          </cell>
          <cell r="K10">
            <v>-93</v>
          </cell>
          <cell r="L10">
            <v>-10750</v>
          </cell>
          <cell r="M10">
            <v>-3127</v>
          </cell>
          <cell r="N10">
            <v>7325</v>
          </cell>
        </row>
        <row r="11">
          <cell r="E11">
            <v>-4194</v>
          </cell>
          <cell r="F11">
            <v>-2040</v>
          </cell>
          <cell r="G11">
            <v>-1895</v>
          </cell>
          <cell r="H11">
            <v>-3021</v>
          </cell>
          <cell r="I11">
            <v>-2659</v>
          </cell>
          <cell r="J11">
            <v>-1785</v>
          </cell>
          <cell r="K11">
            <v>-2105</v>
          </cell>
          <cell r="L11">
            <v>-1910</v>
          </cell>
          <cell r="M11">
            <v>-3179</v>
          </cell>
          <cell r="N11">
            <v>-4516</v>
          </cell>
        </row>
        <row r="13">
          <cell r="E13">
            <v>-31962</v>
          </cell>
          <cell r="F13">
            <v>-31503</v>
          </cell>
          <cell r="G13">
            <v>-16072</v>
          </cell>
          <cell r="H13">
            <v>-35079</v>
          </cell>
          <cell r="I13">
            <v>-35304</v>
          </cell>
          <cell r="J13">
            <v>-29702</v>
          </cell>
          <cell r="K13">
            <v>-20205</v>
          </cell>
          <cell r="L13">
            <v>-15168</v>
          </cell>
          <cell r="M13">
            <v>-19230</v>
          </cell>
          <cell r="N13">
            <v>-31414</v>
          </cell>
        </row>
        <row r="14">
          <cell r="E14">
            <v>74</v>
          </cell>
          <cell r="F14">
            <v>59</v>
          </cell>
          <cell r="G14">
            <v>53</v>
          </cell>
          <cell r="H14">
            <v>30</v>
          </cell>
          <cell r="I14">
            <v>67</v>
          </cell>
          <cell r="J14">
            <v>171</v>
          </cell>
          <cell r="K14">
            <v>351</v>
          </cell>
          <cell r="L14">
            <v>230</v>
          </cell>
          <cell r="M14">
            <v>285</v>
          </cell>
          <cell r="N14">
            <v>231</v>
          </cell>
        </row>
        <row r="15">
          <cell r="E15">
            <v>-5461</v>
          </cell>
          <cell r="F15">
            <v>-4728</v>
          </cell>
          <cell r="G15">
            <v>-6</v>
          </cell>
          <cell r="H15">
            <v>-329</v>
          </cell>
          <cell r="I15">
            <v>-130</v>
          </cell>
          <cell r="J15">
            <v>-1439</v>
          </cell>
          <cell r="K15">
            <v>-7530</v>
          </cell>
          <cell r="L15">
            <v>-3008</v>
          </cell>
          <cell r="M15">
            <v>-50</v>
          </cell>
          <cell r="N15">
            <v>-5567</v>
          </cell>
        </row>
        <row r="16">
          <cell r="E16">
            <v>42</v>
          </cell>
          <cell r="F16">
            <v>89</v>
          </cell>
          <cell r="G16">
            <v>1965</v>
          </cell>
          <cell r="H16">
            <v>2381</v>
          </cell>
          <cell r="I16">
            <v>5644</v>
          </cell>
          <cell r="J16">
            <v>21</v>
          </cell>
          <cell r="K16">
            <v>226</v>
          </cell>
          <cell r="L16">
            <v>104</v>
          </cell>
          <cell r="M16">
            <v>6895</v>
          </cell>
          <cell r="N16">
            <v>10820</v>
          </cell>
        </row>
        <row r="17">
          <cell r="E17">
            <v>698</v>
          </cell>
          <cell r="F17">
            <v>731</v>
          </cell>
          <cell r="G17">
            <v>638</v>
          </cell>
          <cell r="H17">
            <v>690</v>
          </cell>
          <cell r="I17">
            <v>761</v>
          </cell>
          <cell r="J17">
            <v>1104</v>
          </cell>
          <cell r="K17">
            <v>428</v>
          </cell>
          <cell r="L17">
            <v>653</v>
          </cell>
          <cell r="M17">
            <v>973</v>
          </cell>
          <cell r="N17">
            <v>2493</v>
          </cell>
        </row>
        <row r="18">
          <cell r="E18">
            <v>80</v>
          </cell>
          <cell r="F18">
            <v>58</v>
          </cell>
          <cell r="G18">
            <v>620</v>
          </cell>
          <cell r="H18">
            <v>1797</v>
          </cell>
          <cell r="I18">
            <v>232</v>
          </cell>
          <cell r="J18">
            <v>21</v>
          </cell>
          <cell r="K18">
            <v>18</v>
          </cell>
          <cell r="L18">
            <v>32</v>
          </cell>
          <cell r="M18">
            <v>46</v>
          </cell>
          <cell r="N18">
            <v>96</v>
          </cell>
        </row>
        <row r="19">
          <cell r="E19">
            <v>-160</v>
          </cell>
          <cell r="F19">
            <v>0</v>
          </cell>
          <cell r="G19">
            <v>-107</v>
          </cell>
          <cell r="H19">
            <v>-4</v>
          </cell>
          <cell r="I19">
            <v>-9</v>
          </cell>
          <cell r="J19">
            <v>-606</v>
          </cell>
          <cell r="K19">
            <v>-10</v>
          </cell>
          <cell r="L19">
            <v>0</v>
          </cell>
          <cell r="M19">
            <v>0</v>
          </cell>
          <cell r="N19">
            <v>0</v>
          </cell>
        </row>
        <row r="20">
          <cell r="E20">
            <v>0</v>
          </cell>
          <cell r="F20">
            <v>0</v>
          </cell>
          <cell r="G20">
            <v>0</v>
          </cell>
          <cell r="H20">
            <v>14</v>
          </cell>
          <cell r="I20">
            <v>533</v>
          </cell>
          <cell r="J20">
            <v>0</v>
          </cell>
          <cell r="K20">
            <v>0</v>
          </cell>
          <cell r="L20">
            <v>0</v>
          </cell>
          <cell r="M20">
            <v>19</v>
          </cell>
          <cell r="N20">
            <v>108</v>
          </cell>
        </row>
        <row r="21">
          <cell r="E21">
            <v>0</v>
          </cell>
          <cell r="F21">
            <v>-111</v>
          </cell>
          <cell r="G21">
            <v>0</v>
          </cell>
          <cell r="H21">
            <v>0</v>
          </cell>
          <cell r="I21">
            <v>-8</v>
          </cell>
          <cell r="J21">
            <v>-27</v>
          </cell>
          <cell r="K21">
            <v>0</v>
          </cell>
          <cell r="L21">
            <v>-98</v>
          </cell>
          <cell r="M21">
            <v>0</v>
          </cell>
          <cell r="N21">
            <v>0</v>
          </cell>
        </row>
        <row r="22"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-24</v>
          </cell>
        </row>
        <row r="23">
          <cell r="E23">
            <v>456</v>
          </cell>
          <cell r="F23">
            <v>-1289</v>
          </cell>
          <cell r="G23">
            <v>-26663</v>
          </cell>
          <cell r="H23">
            <v>5360</v>
          </cell>
          <cell r="I23">
            <v>7335</v>
          </cell>
          <cell r="J23">
            <v>-2659</v>
          </cell>
          <cell r="K23">
            <v>1051</v>
          </cell>
          <cell r="L23">
            <v>12813</v>
          </cell>
          <cell r="M23">
            <v>-4357</v>
          </cell>
          <cell r="N23">
            <v>429</v>
          </cell>
        </row>
        <row r="25">
          <cell r="E25">
            <v>0</v>
          </cell>
          <cell r="F25">
            <v>7433</v>
          </cell>
          <cell r="G25">
            <v>5</v>
          </cell>
          <cell r="H25">
            <v>0</v>
          </cell>
          <cell r="I25">
            <v>0</v>
          </cell>
          <cell r="J25">
            <v>3889</v>
          </cell>
          <cell r="K25">
            <v>2603</v>
          </cell>
          <cell r="L25">
            <v>19</v>
          </cell>
          <cell r="M25">
            <v>20</v>
          </cell>
          <cell r="N25">
            <v>82</v>
          </cell>
        </row>
        <row r="26">
          <cell r="E26">
            <v>-744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E27">
            <v>36363</v>
          </cell>
          <cell r="F27">
            <v>19519</v>
          </cell>
          <cell r="G27">
            <v>33390</v>
          </cell>
          <cell r="H27">
            <v>37482</v>
          </cell>
          <cell r="I27">
            <v>51128</v>
          </cell>
          <cell r="J27">
            <v>38297</v>
          </cell>
          <cell r="K27">
            <v>46641</v>
          </cell>
          <cell r="L27">
            <v>46578</v>
          </cell>
          <cell r="M27">
            <v>43934</v>
          </cell>
          <cell r="N27">
            <v>21824</v>
          </cell>
        </row>
        <row r="28">
          <cell r="E28">
            <v>-23332</v>
          </cell>
          <cell r="F28">
            <v>-24924</v>
          </cell>
          <cell r="G28">
            <v>-21732</v>
          </cell>
          <cell r="H28">
            <v>-29964</v>
          </cell>
          <cell r="I28">
            <v>-35198</v>
          </cell>
          <cell r="J28">
            <v>-29847</v>
          </cell>
          <cell r="K28">
            <v>-29709</v>
          </cell>
          <cell r="L28">
            <v>-42816</v>
          </cell>
          <cell r="M28">
            <v>-62557</v>
          </cell>
          <cell r="N28">
            <v>-50325</v>
          </cell>
        </row>
        <row r="29">
          <cell r="E29">
            <v>-6307</v>
          </cell>
          <cell r="F29">
            <v>-5716</v>
          </cell>
          <cell r="G29">
            <v>-5336</v>
          </cell>
          <cell r="H29">
            <v>-5411</v>
          </cell>
          <cell r="I29">
            <v>-7005</v>
          </cell>
          <cell r="J29">
            <v>-7518</v>
          </cell>
          <cell r="K29">
            <v>-8123</v>
          </cell>
          <cell r="L29">
            <v>-9251</v>
          </cell>
          <cell r="M29">
            <v>-9336</v>
          </cell>
          <cell r="N29">
            <v>-9332</v>
          </cell>
        </row>
        <row r="30">
          <cell r="E30">
            <v>-720</v>
          </cell>
          <cell r="F30">
            <v>-108</v>
          </cell>
          <cell r="G30">
            <v>-121</v>
          </cell>
          <cell r="H30">
            <v>-96</v>
          </cell>
          <cell r="I30">
            <v>-95</v>
          </cell>
          <cell r="J30">
            <v>-57</v>
          </cell>
          <cell r="K30">
            <v>-30</v>
          </cell>
          <cell r="L30">
            <v>-100</v>
          </cell>
          <cell r="M30">
            <v>-141</v>
          </cell>
          <cell r="N30">
            <v>-289</v>
          </cell>
        </row>
        <row r="31"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-1346</v>
          </cell>
          <cell r="K31">
            <v>-1477</v>
          </cell>
          <cell r="L31">
            <v>-1559</v>
          </cell>
          <cell r="M31">
            <v>-1517</v>
          </cell>
          <cell r="N31">
            <v>-3848</v>
          </cell>
        </row>
        <row r="32">
          <cell r="E32">
            <v>-57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-29</v>
          </cell>
          <cell r="K32">
            <v>0</v>
          </cell>
          <cell r="L32">
            <v>3750</v>
          </cell>
          <cell r="M32">
            <v>3355</v>
          </cell>
          <cell r="N32">
            <v>4884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er.in/company/KANSAINER/consolidated/" TargetMode="External"/><Relationship Id="rId2" Type="http://schemas.openxmlformats.org/officeDocument/2006/relationships/hyperlink" Target="https://www.screener.in/company/BERGEPAINT/consolidated/" TargetMode="External"/><Relationship Id="rId1" Type="http://schemas.openxmlformats.org/officeDocument/2006/relationships/hyperlink" Target="https://www.screener.in/company/ASIANPAINT/consolidated/" TargetMode="External"/><Relationship Id="rId5" Type="http://schemas.openxmlformats.org/officeDocument/2006/relationships/hyperlink" Target="https://www.screener.in/company/INDIGOPNTS/" TargetMode="External"/><Relationship Id="rId4" Type="http://schemas.openxmlformats.org/officeDocument/2006/relationships/hyperlink" Target="https://www.screener.in/company/AKZOINDIA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559B-CF99-421B-BBCA-A43FA78BBD73}">
  <dimension ref="A1"/>
  <sheetViews>
    <sheetView workbookViewId="0">
      <selection activeCell="C22" sqref="C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D061-FEBD-472F-BD7F-3C3A24DF43D8}">
  <dimension ref="B1:K4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4.4" x14ac:dyDescent="0.3"/>
  <cols>
    <col min="1" max="1" width="1.88671875" customWidth="1"/>
    <col min="2" max="2" width="36.44140625" bestFit="1" customWidth="1"/>
    <col min="3" max="3" width="10.44140625" bestFit="1" customWidth="1"/>
    <col min="4" max="4" width="8" bestFit="1" customWidth="1"/>
    <col min="5" max="6" width="10.6640625" bestFit="1" customWidth="1"/>
    <col min="7" max="7" width="29.5546875" bestFit="1" customWidth="1"/>
    <col min="8" max="9" width="7" bestFit="1" customWidth="1"/>
    <col min="10" max="10" width="7.44140625" bestFit="1" customWidth="1"/>
    <col min="11" max="11" width="9.77734375" bestFit="1" customWidth="1"/>
    <col min="12" max="12" width="20.21875" bestFit="1" customWidth="1"/>
  </cols>
  <sheetData>
    <row r="1" spans="2:11" ht="18" x14ac:dyDescent="0.35">
      <c r="B1" s="130" t="s">
        <v>6</v>
      </c>
      <c r="C1" s="130"/>
      <c r="D1" s="130"/>
      <c r="E1" s="130"/>
      <c r="F1" s="130"/>
      <c r="G1" s="130"/>
      <c r="H1" s="130"/>
      <c r="I1" s="130"/>
      <c r="J1" s="130"/>
      <c r="K1" s="130"/>
    </row>
    <row r="2" spans="2:11" x14ac:dyDescent="0.3"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4" spans="2:11" ht="15.6" x14ac:dyDescent="0.3">
      <c r="B4" s="144" t="s">
        <v>7</v>
      </c>
      <c r="C4" s="145"/>
      <c r="D4" s="145"/>
      <c r="E4" s="145"/>
      <c r="F4" s="145"/>
      <c r="G4" s="145"/>
      <c r="H4" s="145"/>
      <c r="I4" s="145"/>
      <c r="J4" s="145"/>
      <c r="K4" s="145"/>
    </row>
    <row r="6" spans="2:11" x14ac:dyDescent="0.3">
      <c r="B6" s="2" t="s">
        <v>8</v>
      </c>
    </row>
    <row r="8" spans="2:11" ht="15" thickBot="1" x14ac:dyDescent="0.35">
      <c r="B8" s="31" t="s">
        <v>9</v>
      </c>
    </row>
    <row r="9" spans="2:11" x14ac:dyDescent="0.3">
      <c r="B9" s="3"/>
      <c r="C9" s="3"/>
      <c r="D9" s="137"/>
      <c r="E9" s="137"/>
      <c r="F9" s="137"/>
      <c r="G9" s="137"/>
      <c r="H9" s="137" t="s">
        <v>14</v>
      </c>
      <c r="I9" s="137" t="s">
        <v>14</v>
      </c>
      <c r="J9" s="137" t="s">
        <v>16</v>
      </c>
      <c r="K9" s="137" t="s">
        <v>17</v>
      </c>
    </row>
    <row r="10" spans="2:11" ht="16.8" thickBot="1" x14ac:dyDescent="0.35">
      <c r="B10" s="4" t="s">
        <v>10</v>
      </c>
      <c r="C10" s="4"/>
      <c r="D10" s="138" t="s">
        <v>11</v>
      </c>
      <c r="E10" s="138" t="s">
        <v>12</v>
      </c>
      <c r="F10" s="138" t="s">
        <v>13</v>
      </c>
      <c r="G10" s="138" t="s">
        <v>19</v>
      </c>
      <c r="H10" s="138" t="s">
        <v>18</v>
      </c>
      <c r="I10" s="138" t="s">
        <v>15</v>
      </c>
      <c r="J10" s="138" t="s">
        <v>20</v>
      </c>
      <c r="K10" s="138" t="s">
        <v>21</v>
      </c>
    </row>
    <row r="12" spans="2:11" x14ac:dyDescent="0.3">
      <c r="B12" s="5" t="s">
        <v>336</v>
      </c>
      <c r="C12" s="5"/>
      <c r="D12" s="5" t="s">
        <v>1</v>
      </c>
      <c r="E12" s="41">
        <f>'Beta Comps'!F5</f>
        <v>2474.38</v>
      </c>
      <c r="F12" s="41">
        <f>'Beta Comps'!E5</f>
        <v>279802.78999999998</v>
      </c>
      <c r="G12" s="42">
        <v>0.3</v>
      </c>
      <c r="H12" s="43">
        <f>E12/F12</f>
        <v>8.8432999542284781E-3</v>
      </c>
      <c r="I12" s="43">
        <f>E12/SUM(E12,F12)</f>
        <v>8.7657815189234045E-3</v>
      </c>
      <c r="J12" s="16">
        <f>'Beta Regression'!D4</f>
        <v>0.84461065650124367</v>
      </c>
      <c r="K12" s="6">
        <f>J12/(1+(1-G12)*H12)</f>
        <v>0.83941442104340935</v>
      </c>
    </row>
    <row r="13" spans="2:11" x14ac:dyDescent="0.3">
      <c r="B13" s="5" t="s">
        <v>337</v>
      </c>
      <c r="C13" s="5"/>
      <c r="D13" s="5" t="s">
        <v>1</v>
      </c>
      <c r="E13" s="41">
        <f>'Beta Comps'!F6</f>
        <v>753.29</v>
      </c>
      <c r="F13" s="41">
        <f>'Beta Comps'!E6</f>
        <v>58779.44</v>
      </c>
      <c r="G13" s="42">
        <v>0.3</v>
      </c>
      <c r="H13" s="43">
        <f t="shared" ref="H13:H16" si="0">E13/F13</f>
        <v>1.2815535500168085E-2</v>
      </c>
      <c r="I13" s="43">
        <f t="shared" ref="I13:I16" si="1">E13/SUM(E13,F13)</f>
        <v>1.2653375714501921E-2</v>
      </c>
      <c r="J13" s="16">
        <f>'Beta Regression'!G4</f>
        <v>0.99832445449875451</v>
      </c>
      <c r="K13" s="6">
        <f t="shared" ref="K13:K16" si="2">J13/(1+(1-G13)*H13)</f>
        <v>0.98944823818334238</v>
      </c>
    </row>
    <row r="14" spans="2:11" x14ac:dyDescent="0.3">
      <c r="B14" s="5" t="s">
        <v>338</v>
      </c>
      <c r="C14" s="5"/>
      <c r="D14" s="5" t="s">
        <v>1</v>
      </c>
      <c r="E14" s="41">
        <f>'Beta Comps'!F7</f>
        <v>276.42</v>
      </c>
      <c r="F14" s="41">
        <f>'Beta Comps'!E7</f>
        <v>21834.33</v>
      </c>
      <c r="G14" s="42">
        <v>0.3</v>
      </c>
      <c r="H14" s="43">
        <f t="shared" si="0"/>
        <v>1.2659880106236372E-2</v>
      </c>
      <c r="I14" s="43">
        <f t="shared" si="1"/>
        <v>1.2501611207218209E-2</v>
      </c>
      <c r="J14" s="16">
        <f>'Beta Regression'!J4</f>
        <v>0.75052257126307953</v>
      </c>
      <c r="K14" s="6">
        <v>0.85</v>
      </c>
    </row>
    <row r="15" spans="2:11" x14ac:dyDescent="0.3">
      <c r="B15" s="5" t="s">
        <v>339</v>
      </c>
      <c r="C15" s="5"/>
      <c r="D15" s="5" t="s">
        <v>1</v>
      </c>
      <c r="E15" s="41">
        <f>'Beta Comps'!F8</f>
        <v>60.4</v>
      </c>
      <c r="F15" s="41">
        <f>'Beta Comps'!E8</f>
        <v>12912.5</v>
      </c>
      <c r="G15" s="42">
        <v>0.3</v>
      </c>
      <c r="H15" s="43">
        <f t="shared" si="0"/>
        <v>4.6776379477250721E-3</v>
      </c>
      <c r="I15" s="43">
        <f t="shared" si="1"/>
        <v>4.6558595225431477E-3</v>
      </c>
      <c r="J15" s="16">
        <f>'Beta Regression'!M4</f>
        <v>0.3051552163036016</v>
      </c>
      <c r="K15" s="6">
        <f t="shared" si="2"/>
        <v>0.30415929336663811</v>
      </c>
    </row>
    <row r="16" spans="2:11" x14ac:dyDescent="0.3">
      <c r="B16" s="5" t="s">
        <v>340</v>
      </c>
      <c r="C16" s="5"/>
      <c r="D16" s="5" t="s">
        <v>1</v>
      </c>
      <c r="E16" s="41">
        <f>'Beta Comps'!F9</f>
        <v>16.84</v>
      </c>
      <c r="F16" s="41">
        <f>'Beta Comps'!E9</f>
        <v>6538.36</v>
      </c>
      <c r="G16" s="42">
        <v>0.3</v>
      </c>
      <c r="H16" s="43">
        <f t="shared" si="0"/>
        <v>2.5755694088425846E-3</v>
      </c>
      <c r="I16" s="43">
        <f t="shared" si="1"/>
        <v>2.5689528923602636E-3</v>
      </c>
      <c r="J16" s="16">
        <f>'Beta Regression'!P4</f>
        <v>0.43700468018855348</v>
      </c>
      <c r="K16" s="6">
        <f t="shared" si="2"/>
        <v>0.4362182229710887</v>
      </c>
    </row>
    <row r="18" spans="2:11" x14ac:dyDescent="0.3">
      <c r="F18" s="7" t="s">
        <v>22</v>
      </c>
      <c r="G18" s="10">
        <f>AVERAGE(G12:G16)</f>
        <v>0.3</v>
      </c>
      <c r="H18" s="12">
        <f t="shared" ref="H18:J18" si="3">AVERAGE(H12:H16)</f>
        <v>8.3143845834401185E-3</v>
      </c>
      <c r="I18" s="12">
        <f>AVERAGE(I12:I16)</f>
        <v>8.2291161711093887E-3</v>
      </c>
      <c r="J18" s="14">
        <f t="shared" si="3"/>
        <v>0.66712351575104667</v>
      </c>
      <c r="K18" s="14">
        <f>AVERAGE(K12:K16)</f>
        <v>0.68384803511289571</v>
      </c>
    </row>
    <row r="19" spans="2:11" x14ac:dyDescent="0.3">
      <c r="F19" s="8" t="s">
        <v>23</v>
      </c>
      <c r="G19" s="11">
        <f>MEDIAN(G12:G16)</f>
        <v>0.3</v>
      </c>
      <c r="H19" s="13">
        <f t="shared" ref="H19:K19" si="4">MEDIAN(H12:H16)</f>
        <v>8.8432999542284781E-3</v>
      </c>
      <c r="I19" s="13">
        <f t="shared" si="4"/>
        <v>8.7657815189234045E-3</v>
      </c>
      <c r="J19" s="15">
        <f t="shared" si="4"/>
        <v>0.75052257126307953</v>
      </c>
      <c r="K19" s="15">
        <f t="shared" si="4"/>
        <v>0.83941442104340935</v>
      </c>
    </row>
    <row r="22" spans="2:11" x14ac:dyDescent="0.3">
      <c r="B22" s="8" t="s">
        <v>24</v>
      </c>
      <c r="C22" s="9"/>
      <c r="D22" s="9"/>
      <c r="E22" s="9"/>
      <c r="G22" s="8" t="s">
        <v>28</v>
      </c>
      <c r="H22" s="9"/>
      <c r="I22" s="9"/>
      <c r="J22" s="9"/>
      <c r="K22" s="9"/>
    </row>
    <row r="24" spans="2:11" x14ac:dyDescent="0.3">
      <c r="B24" t="s">
        <v>25</v>
      </c>
      <c r="E24" s="21">
        <v>8.4000000000000005E-2</v>
      </c>
      <c r="G24" t="s">
        <v>29</v>
      </c>
      <c r="K24" s="21">
        <v>7.3910000000000003E-2</v>
      </c>
    </row>
    <row r="25" spans="2:11" x14ac:dyDescent="0.3">
      <c r="B25" t="s">
        <v>26</v>
      </c>
      <c r="E25" s="22">
        <v>0.3</v>
      </c>
      <c r="G25" t="s">
        <v>30</v>
      </c>
      <c r="K25" s="1">
        <f>RM!F8-WACC!K24</f>
        <v>9.6081666666666649E-2</v>
      </c>
    </row>
    <row r="26" spans="2:11" ht="16.2" x14ac:dyDescent="0.3">
      <c r="B26" s="18" t="s">
        <v>27</v>
      </c>
      <c r="C26" s="18"/>
      <c r="D26" s="18"/>
      <c r="E26" s="19">
        <f>E24*(1-E25)</f>
        <v>5.8799999999999998E-2</v>
      </c>
      <c r="G26" t="s">
        <v>31</v>
      </c>
      <c r="K26" s="26">
        <f>K35</f>
        <v>0.84428988898602719</v>
      </c>
    </row>
    <row r="27" spans="2:11" x14ac:dyDescent="0.3">
      <c r="G27" s="18" t="s">
        <v>28</v>
      </c>
      <c r="H27" s="18"/>
      <c r="I27" s="18"/>
      <c r="J27" s="18"/>
      <c r="K27" s="27">
        <f>K24+(K25*K26)</f>
        <v>0.15503077968359247</v>
      </c>
    </row>
    <row r="30" spans="2:11" x14ac:dyDescent="0.3">
      <c r="B30" s="8" t="s">
        <v>32</v>
      </c>
      <c r="C30" s="9"/>
      <c r="D30" s="9"/>
      <c r="E30" s="9"/>
      <c r="G30" s="8" t="s">
        <v>39</v>
      </c>
      <c r="H30" s="9"/>
      <c r="I30" s="9"/>
      <c r="J30" s="9"/>
      <c r="K30" s="9"/>
    </row>
    <row r="32" spans="2:11" x14ac:dyDescent="0.3">
      <c r="D32" s="20" t="s">
        <v>33</v>
      </c>
      <c r="E32" s="20" t="s">
        <v>34</v>
      </c>
      <c r="G32" t="s">
        <v>37</v>
      </c>
      <c r="K32" s="26">
        <f>K19</f>
        <v>0.83941442104340935</v>
      </c>
    </row>
    <row r="33" spans="2:11" x14ac:dyDescent="0.3">
      <c r="B33" t="s">
        <v>12</v>
      </c>
      <c r="C33" s="29">
        <f>E12</f>
        <v>2474.38</v>
      </c>
      <c r="D33" s="23">
        <f>C33/$C$35</f>
        <v>8.7657815189234045E-3</v>
      </c>
      <c r="E33" s="21">
        <f>I18</f>
        <v>8.2291161711093887E-3</v>
      </c>
      <c r="G33" t="s">
        <v>38</v>
      </c>
      <c r="K33" s="1">
        <f>E37</f>
        <v>8.2973964100857313E-3</v>
      </c>
    </row>
    <row r="34" spans="2:11" x14ac:dyDescent="0.3">
      <c r="B34" t="s">
        <v>35</v>
      </c>
      <c r="C34" s="29">
        <f>F12</f>
        <v>279802.78999999998</v>
      </c>
      <c r="D34" s="23">
        <f>C34/$C$35</f>
        <v>0.99123421848107662</v>
      </c>
      <c r="E34" s="1">
        <f>E35-E33</f>
        <v>0.99177088382889056</v>
      </c>
      <c r="G34" t="s">
        <v>26</v>
      </c>
      <c r="K34" s="17">
        <f>E25</f>
        <v>0.3</v>
      </c>
    </row>
    <row r="35" spans="2:11" x14ac:dyDescent="0.3">
      <c r="B35" s="18" t="s">
        <v>36</v>
      </c>
      <c r="C35" s="30">
        <f>SUM(C33:C34)</f>
        <v>282277.17</v>
      </c>
      <c r="D35" s="24">
        <f>C35/$C$35</f>
        <v>1</v>
      </c>
      <c r="E35" s="24">
        <v>1</v>
      </c>
      <c r="G35" s="18" t="s">
        <v>39</v>
      </c>
      <c r="H35" s="18"/>
      <c r="I35" s="18"/>
      <c r="J35" s="18"/>
      <c r="K35" s="28">
        <f>K32*(1+(1-K34)*K33)</f>
        <v>0.84428988898602719</v>
      </c>
    </row>
    <row r="37" spans="2:11" x14ac:dyDescent="0.3">
      <c r="B37" t="s">
        <v>40</v>
      </c>
      <c r="D37" s="25">
        <f>D33/D34</f>
        <v>8.8432999542284764E-3</v>
      </c>
      <c r="E37" s="25">
        <f>E33/E34</f>
        <v>8.2973964100857313E-3</v>
      </c>
      <c r="G37" s="8" t="s">
        <v>41</v>
      </c>
      <c r="H37" s="8"/>
      <c r="I37" s="8"/>
      <c r="J37" s="8"/>
      <c r="K37" s="8"/>
    </row>
    <row r="39" spans="2:11" x14ac:dyDescent="0.3">
      <c r="B39" s="32" t="s">
        <v>42</v>
      </c>
      <c r="G39" t="s">
        <v>28</v>
      </c>
      <c r="J39" s="31"/>
      <c r="K39" s="1">
        <f>K27</f>
        <v>0.15503077968359247</v>
      </c>
    </row>
    <row r="40" spans="2:11" x14ac:dyDescent="0.3">
      <c r="B40" s="32" t="s">
        <v>43</v>
      </c>
      <c r="G40" t="s">
        <v>95</v>
      </c>
      <c r="J40" s="1"/>
      <c r="K40" s="1">
        <f>E34</f>
        <v>0.99177088382889056</v>
      </c>
    </row>
    <row r="41" spans="2:11" x14ac:dyDescent="0.3">
      <c r="B41" s="32" t="s">
        <v>44</v>
      </c>
      <c r="J41" s="1"/>
      <c r="K41" s="1"/>
    </row>
    <row r="42" spans="2:11" x14ac:dyDescent="0.3">
      <c r="B42" s="32" t="s">
        <v>45</v>
      </c>
      <c r="G42" t="s">
        <v>24</v>
      </c>
      <c r="K42" s="50">
        <f>E26</f>
        <v>5.8799999999999998E-2</v>
      </c>
    </row>
    <row r="43" spans="2:11" x14ac:dyDescent="0.3">
      <c r="B43" s="32" t="s">
        <v>46</v>
      </c>
      <c r="G43" t="s">
        <v>96</v>
      </c>
      <c r="K43" s="1">
        <f>E33</f>
        <v>8.2291161711093887E-3</v>
      </c>
    </row>
    <row r="45" spans="2:11" x14ac:dyDescent="0.3">
      <c r="G45" s="49" t="s">
        <v>97</v>
      </c>
      <c r="H45" s="49"/>
      <c r="I45" s="49"/>
      <c r="J45" s="49"/>
      <c r="K45" s="51">
        <f>(K39*K40)+(K42*K43)</f>
        <v>0.15423888541833974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91F3-3770-4478-8998-69F37371DB8C}">
  <dimension ref="B3:F7"/>
  <sheetViews>
    <sheetView workbookViewId="0">
      <selection activeCell="C3" sqref="C3"/>
    </sheetView>
  </sheetViews>
  <sheetFormatPr defaultRowHeight="14.4" x14ac:dyDescent="0.3"/>
  <sheetData>
    <row r="3" spans="2:6" x14ac:dyDescent="0.3">
      <c r="B3" t="s">
        <v>0</v>
      </c>
      <c r="C3" t="s">
        <v>1</v>
      </c>
      <c r="D3">
        <v>1139</v>
      </c>
      <c r="E3">
        <v>611503.9</v>
      </c>
      <c r="F3" s="1">
        <v>0.3</v>
      </c>
    </row>
    <row r="4" spans="2:6" x14ac:dyDescent="0.3">
      <c r="B4" t="s">
        <v>2</v>
      </c>
      <c r="C4" t="s">
        <v>1</v>
      </c>
      <c r="D4">
        <v>279.89999999999998</v>
      </c>
      <c r="E4">
        <v>182975</v>
      </c>
      <c r="F4" s="1">
        <v>0.3</v>
      </c>
    </row>
    <row r="5" spans="2:6" x14ac:dyDescent="0.3">
      <c r="B5" t="s">
        <v>3</v>
      </c>
      <c r="C5" t="s">
        <v>1</v>
      </c>
      <c r="D5">
        <v>3037.7</v>
      </c>
      <c r="E5">
        <v>110690</v>
      </c>
      <c r="F5" s="1">
        <v>0.3</v>
      </c>
    </row>
    <row r="6" spans="2:6" x14ac:dyDescent="0.3">
      <c r="B6" t="s">
        <v>4</v>
      </c>
      <c r="C6" t="s">
        <v>1</v>
      </c>
      <c r="D6">
        <v>1164.5</v>
      </c>
      <c r="E6">
        <v>96256.4</v>
      </c>
      <c r="F6" s="1">
        <v>0.3</v>
      </c>
    </row>
    <row r="7" spans="2:6" x14ac:dyDescent="0.3">
      <c r="B7" t="s">
        <v>5</v>
      </c>
      <c r="C7" t="s">
        <v>1</v>
      </c>
      <c r="D7">
        <v>1068.0999999999999</v>
      </c>
      <c r="E7">
        <v>94940.4</v>
      </c>
      <c r="F7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88BA-C1BB-4744-BBB7-ADC64BC4E1A2}">
  <dimension ref="B1:AH113"/>
  <sheetViews>
    <sheetView showGridLines="0" workbookViewId="0">
      <pane ySplit="2" topLeftCell="A3" activePane="bottomLeft" state="frozen"/>
      <selection pane="bottomLeft" activeCell="V5" sqref="V5:W5"/>
    </sheetView>
  </sheetViews>
  <sheetFormatPr defaultRowHeight="14.4" x14ac:dyDescent="0.3"/>
  <cols>
    <col min="1" max="1" width="1.88671875" customWidth="1"/>
    <col min="2" max="2" width="14.109375" bestFit="1" customWidth="1"/>
    <col min="3" max="3" width="12.5546875" bestFit="1" customWidth="1"/>
    <col min="4" max="4" width="12.88671875" bestFit="1" customWidth="1"/>
    <col min="6" max="6" width="19.33203125" customWidth="1"/>
    <col min="7" max="7" width="7.109375" bestFit="1" customWidth="1"/>
    <col min="9" max="9" width="12.5546875" bestFit="1" customWidth="1"/>
    <col min="12" max="12" width="12.5546875" bestFit="1" customWidth="1"/>
    <col min="15" max="15" width="12.5546875" bestFit="1" customWidth="1"/>
    <col min="18" max="18" width="12.5546875" bestFit="1" customWidth="1"/>
    <col min="19" max="19" width="10.44140625" customWidth="1"/>
    <col min="22" max="22" width="17.5546875" bestFit="1" customWidth="1"/>
    <col min="27" max="27" width="9.5546875" bestFit="1" customWidth="1"/>
  </cols>
  <sheetData>
    <row r="1" spans="2:27" ht="18" x14ac:dyDescent="0.35">
      <c r="B1" s="130" t="s">
        <v>47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2:27" x14ac:dyDescent="0.3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spans="2:27" x14ac:dyDescent="0.3">
      <c r="B3" s="31" t="s">
        <v>48</v>
      </c>
    </row>
    <row r="4" spans="2:27" x14ac:dyDescent="0.3">
      <c r="C4" t="s">
        <v>86</v>
      </c>
      <c r="D4" s="26">
        <f>SLOPE(D9:D113,$S$9:$S$113)</f>
        <v>0.84461065650124367</v>
      </c>
      <c r="F4" t="s">
        <v>86</v>
      </c>
      <c r="G4" s="26">
        <f>SLOPE(G9:G113,$S$9:$S$113)</f>
        <v>0.99832445449875451</v>
      </c>
      <c r="I4" t="s">
        <v>86</v>
      </c>
      <c r="J4" s="26">
        <f>SLOPE(J9:J113,$S$9:$S$113)</f>
        <v>0.75052257126307953</v>
      </c>
      <c r="L4" t="s">
        <v>86</v>
      </c>
      <c r="M4" s="26">
        <f>SLOPE(M9:M113,$S$9:$S$113)</f>
        <v>0.3051552163036016</v>
      </c>
      <c r="O4" t="s">
        <v>86</v>
      </c>
      <c r="P4" s="26">
        <f>SLOPE(P9:P113,$S$9:$S$113)</f>
        <v>0.43700468018855348</v>
      </c>
      <c r="R4" t="s">
        <v>86</v>
      </c>
      <c r="S4" s="26">
        <f>SLOPE(S9:S113,$S$9:$S$113)</f>
        <v>1</v>
      </c>
    </row>
    <row r="5" spans="2:27" x14ac:dyDescent="0.3">
      <c r="B5" s="142" t="s">
        <v>342</v>
      </c>
      <c r="C5" s="142"/>
      <c r="D5" s="142"/>
      <c r="F5" s="142" t="s">
        <v>341</v>
      </c>
      <c r="G5" s="142"/>
      <c r="H5" s="37"/>
      <c r="I5" s="142" t="s">
        <v>338</v>
      </c>
      <c r="J5" s="142"/>
      <c r="L5" s="142" t="s">
        <v>339</v>
      </c>
      <c r="M5" s="142"/>
      <c r="O5" s="142" t="s">
        <v>340</v>
      </c>
      <c r="P5" s="142"/>
      <c r="R5" s="142" t="s">
        <v>52</v>
      </c>
      <c r="S5" s="142"/>
      <c r="T5" s="37"/>
      <c r="U5" s="37"/>
      <c r="V5" s="142" t="s">
        <v>80</v>
      </c>
      <c r="W5" s="142"/>
      <c r="X5" s="37"/>
      <c r="Y5" s="37"/>
    </row>
    <row r="6" spans="2:27" ht="4.2" customHeight="1" x14ac:dyDescent="0.3">
      <c r="B6" s="31"/>
    </row>
    <row r="7" spans="2:27" x14ac:dyDescent="0.3">
      <c r="B7" s="35" t="s">
        <v>49</v>
      </c>
      <c r="C7" s="36" t="s">
        <v>50</v>
      </c>
      <c r="D7" s="36" t="s">
        <v>51</v>
      </c>
      <c r="F7" s="36" t="s">
        <v>50</v>
      </c>
      <c r="G7" s="36" t="s">
        <v>51</v>
      </c>
      <c r="I7" s="36" t="s">
        <v>50</v>
      </c>
      <c r="J7" s="36" t="s">
        <v>51</v>
      </c>
      <c r="L7" s="36" t="s">
        <v>50</v>
      </c>
      <c r="M7" s="36" t="s">
        <v>51</v>
      </c>
      <c r="O7" s="36" t="s">
        <v>50</v>
      </c>
      <c r="P7" s="36" t="s">
        <v>51</v>
      </c>
      <c r="R7" s="36" t="s">
        <v>50</v>
      </c>
      <c r="S7" s="36" t="s">
        <v>51</v>
      </c>
      <c r="V7" s="40" t="s">
        <v>81</v>
      </c>
      <c r="W7" s="26">
        <f>D4</f>
        <v>0.84461065650124367</v>
      </c>
    </row>
    <row r="8" spans="2:27" x14ac:dyDescent="0.3">
      <c r="B8" s="33">
        <v>44725</v>
      </c>
      <c r="C8">
        <v>2530.4938959999999</v>
      </c>
      <c r="F8">
        <v>463.10552999999999</v>
      </c>
      <c r="I8">
        <v>244.525116</v>
      </c>
      <c r="L8">
        <v>1599.0771480000001</v>
      </c>
      <c r="O8">
        <v>1424.590942</v>
      </c>
      <c r="R8" s="34">
        <v>15293.5</v>
      </c>
      <c r="V8" t="s">
        <v>82</v>
      </c>
      <c r="W8" s="1">
        <v>0.75</v>
      </c>
      <c r="Z8" t="s">
        <v>343</v>
      </c>
      <c r="AA8" s="26">
        <f>SLOPE(D9:D113,S9:S113)</f>
        <v>0.84461065650124367</v>
      </c>
    </row>
    <row r="9" spans="2:27" x14ac:dyDescent="0.3">
      <c r="B9" s="33">
        <v>44732</v>
      </c>
      <c r="C9">
        <v>2707.7124020000001</v>
      </c>
      <c r="D9" s="23">
        <f>C9/C8-1</f>
        <v>7.0033168734424889E-2</v>
      </c>
      <c r="F9">
        <v>490.64825400000001</v>
      </c>
      <c r="G9" s="23">
        <f>F9/F8-1</f>
        <v>5.9473969140467986E-2</v>
      </c>
      <c r="I9">
        <v>246.07461499999999</v>
      </c>
      <c r="J9" s="23">
        <f>I9/I8-1</f>
        <v>6.3367682851851459E-3</v>
      </c>
      <c r="L9">
        <v>1673.5992429999999</v>
      </c>
      <c r="M9" s="23">
        <f>L9/L8-1</f>
        <v>4.6603189279020185E-2</v>
      </c>
      <c r="O9">
        <v>1420.557251</v>
      </c>
      <c r="P9" s="23">
        <f>O9/O8-1</f>
        <v>-2.8314731485917788E-3</v>
      </c>
      <c r="R9" s="34">
        <v>15699.25</v>
      </c>
      <c r="S9" s="23">
        <f>R9/R8-1</f>
        <v>2.6530879131657192E-2</v>
      </c>
      <c r="Z9" t="s">
        <v>53</v>
      </c>
      <c r="AA9" s="26">
        <f>_xlfn.COVARIANCE.S(D8:D113,S8:S113)/_xlfn.VAR.S(S8:S113)</f>
        <v>0.84461065650124378</v>
      </c>
    </row>
    <row r="10" spans="2:27" x14ac:dyDescent="0.3">
      <c r="B10" s="33">
        <v>44739</v>
      </c>
      <c r="C10">
        <v>2719.7265630000002</v>
      </c>
      <c r="D10" s="23">
        <f t="shared" ref="D10:D73" si="0">C10/C9-1</f>
        <v>4.4370151686441428E-3</v>
      </c>
      <c r="F10">
        <v>480.86172499999998</v>
      </c>
      <c r="G10" s="23">
        <f t="shared" ref="G10:G73" si="1">F10/F9-1</f>
        <v>-1.9946120097678044E-2</v>
      </c>
      <c r="I10">
        <v>245.58009300000001</v>
      </c>
      <c r="J10" s="23">
        <f t="shared" ref="J10:J73" si="2">I10/I9-1</f>
        <v>-2.0096424818139003E-3</v>
      </c>
      <c r="L10">
        <v>1764.1911620000001</v>
      </c>
      <c r="M10" s="23">
        <f t="shared" ref="M10:M73" si="3">L10/L9-1</f>
        <v>5.4129995205787873E-2</v>
      </c>
      <c r="O10">
        <v>1378.528687</v>
      </c>
      <c r="P10" s="23">
        <f t="shared" ref="P10:P73" si="4">O10/O9-1</f>
        <v>-2.9585969851207317E-2</v>
      </c>
      <c r="R10" s="34">
        <v>15752.049805000001</v>
      </c>
      <c r="S10" s="23">
        <f t="shared" ref="S10:S73" si="5">R10/R9-1</f>
        <v>3.3632055671448668E-3</v>
      </c>
      <c r="V10" t="s">
        <v>83</v>
      </c>
      <c r="W10" s="26">
        <v>1</v>
      </c>
      <c r="Z10" t="s">
        <v>54</v>
      </c>
      <c r="AA10" s="26">
        <f>AA29</f>
        <v>1.0311676997569912</v>
      </c>
    </row>
    <row r="11" spans="2:27" x14ac:dyDescent="0.3">
      <c r="B11" s="33">
        <v>44746</v>
      </c>
      <c r="C11">
        <v>2824.3222660000001</v>
      </c>
      <c r="D11" s="23">
        <f t="shared" si="0"/>
        <v>3.8458168708190188E-2</v>
      </c>
      <c r="F11">
        <v>483.33932499999997</v>
      </c>
      <c r="G11" s="23">
        <f t="shared" si="1"/>
        <v>5.1524167368488527E-3</v>
      </c>
      <c r="I11">
        <v>257.712402</v>
      </c>
      <c r="J11" s="23">
        <f t="shared" si="2"/>
        <v>4.9402656590735949E-2</v>
      </c>
      <c r="L11">
        <v>1782.0463870000001</v>
      </c>
      <c r="M11" s="23">
        <f t="shared" si="3"/>
        <v>1.0120912849239216E-2</v>
      </c>
      <c r="O11">
        <v>1428.7738039999999</v>
      </c>
      <c r="P11" s="23">
        <f t="shared" si="4"/>
        <v>3.6448365183712639E-2</v>
      </c>
      <c r="R11" s="34">
        <v>16220.599609000001</v>
      </c>
      <c r="S11" s="23">
        <f t="shared" si="5"/>
        <v>2.9745322659611828E-2</v>
      </c>
      <c r="V11" t="s">
        <v>84</v>
      </c>
      <c r="W11" s="1">
        <f>1-W8</f>
        <v>0.25</v>
      </c>
    </row>
    <row r="12" spans="2:27" x14ac:dyDescent="0.3">
      <c r="B12" s="33">
        <v>44753</v>
      </c>
      <c r="C12">
        <v>2920.7773440000001</v>
      </c>
      <c r="D12" s="23">
        <f t="shared" si="0"/>
        <v>3.4151583606854663E-2</v>
      </c>
      <c r="F12">
        <v>473.75921599999998</v>
      </c>
      <c r="G12" s="23">
        <f t="shared" si="1"/>
        <v>-1.9820669464459595E-2</v>
      </c>
      <c r="I12">
        <v>258.140961</v>
      </c>
      <c r="J12" s="23">
        <f t="shared" si="2"/>
        <v>1.6629351039147977E-3</v>
      </c>
      <c r="L12">
        <v>1804.459351</v>
      </c>
      <c r="M12" s="23">
        <f t="shared" si="3"/>
        <v>1.2577093482808444E-2</v>
      </c>
      <c r="O12">
        <v>1403.3773189999999</v>
      </c>
      <c r="P12" s="23">
        <f t="shared" si="4"/>
        <v>-1.7775021440692651E-2</v>
      </c>
      <c r="R12" s="34">
        <v>16049.200194999999</v>
      </c>
      <c r="S12" s="23">
        <f t="shared" si="5"/>
        <v>-1.0566774233481513E-2</v>
      </c>
      <c r="Z12" t="s">
        <v>55</v>
      </c>
    </row>
    <row r="13" spans="2:27" ht="15" thickBot="1" x14ac:dyDescent="0.35">
      <c r="B13" s="33">
        <v>44760</v>
      </c>
      <c r="C13">
        <v>3008.3081050000001</v>
      </c>
      <c r="D13" s="23">
        <f t="shared" si="0"/>
        <v>2.9968310039041546E-2</v>
      </c>
      <c r="F13">
        <v>486.76663200000002</v>
      </c>
      <c r="G13" s="23">
        <f t="shared" si="1"/>
        <v>2.7455752966291769E-2</v>
      </c>
      <c r="I13">
        <v>265.16323899999998</v>
      </c>
      <c r="J13" s="23">
        <f t="shared" si="2"/>
        <v>2.7203268992246343E-2</v>
      </c>
      <c r="L13">
        <v>1808.7822269999999</v>
      </c>
      <c r="M13" s="23">
        <f t="shared" si="3"/>
        <v>2.3956627216923376E-3</v>
      </c>
      <c r="O13">
        <v>1387.6416019999999</v>
      </c>
      <c r="P13" s="23">
        <f t="shared" si="4"/>
        <v>-1.1212748550912033E-2</v>
      </c>
      <c r="R13" s="34">
        <v>16719.449218999998</v>
      </c>
      <c r="S13" s="23">
        <f t="shared" si="5"/>
        <v>4.1762144895470144E-2</v>
      </c>
      <c r="V13" t="s">
        <v>85</v>
      </c>
      <c r="W13" s="26">
        <f>(W7*W8)+(W10*W11)</f>
        <v>0.8834579923759327</v>
      </c>
    </row>
    <row r="14" spans="2:27" x14ac:dyDescent="0.3">
      <c r="B14" s="33">
        <v>44767</v>
      </c>
      <c r="C14">
        <v>3269.5268550000001</v>
      </c>
      <c r="D14" s="23">
        <f t="shared" si="0"/>
        <v>8.6832445641401579E-2</v>
      </c>
      <c r="F14">
        <v>515.91973900000005</v>
      </c>
      <c r="G14" s="23">
        <f t="shared" si="1"/>
        <v>5.989134234657234E-2</v>
      </c>
      <c r="I14">
        <v>263.74557499999997</v>
      </c>
      <c r="J14" s="23">
        <f t="shared" si="2"/>
        <v>-5.3463821204868811E-3</v>
      </c>
      <c r="L14">
        <v>1827.812134</v>
      </c>
      <c r="M14" s="23">
        <f t="shared" si="3"/>
        <v>1.0520839223173262E-2</v>
      </c>
      <c r="O14">
        <v>1386.0479740000001</v>
      </c>
      <c r="P14" s="23">
        <f t="shared" si="4"/>
        <v>-1.1484435157486095E-3</v>
      </c>
      <c r="R14" s="34">
        <v>17158.25</v>
      </c>
      <c r="S14" s="23">
        <f t="shared" si="5"/>
        <v>2.6244930395275645E-2</v>
      </c>
      <c r="Z14" s="39" t="s">
        <v>56</v>
      </c>
      <c r="AA14" s="39"/>
    </row>
    <row r="15" spans="2:27" x14ac:dyDescent="0.3">
      <c r="B15" s="33">
        <v>44774</v>
      </c>
      <c r="C15">
        <v>3406.9770509999998</v>
      </c>
      <c r="D15" s="23">
        <f t="shared" si="0"/>
        <v>4.2039781930465203E-2</v>
      </c>
      <c r="F15">
        <v>556.42858899999999</v>
      </c>
      <c r="G15" s="23">
        <f t="shared" si="1"/>
        <v>7.851773626362446E-2</v>
      </c>
      <c r="I15">
        <v>330.63803100000001</v>
      </c>
      <c r="J15" s="23">
        <f t="shared" si="2"/>
        <v>0.2536249413852727</v>
      </c>
      <c r="L15">
        <v>1824.2164310000001</v>
      </c>
      <c r="M15" s="23">
        <f t="shared" si="3"/>
        <v>-1.9672169437517928E-3</v>
      </c>
      <c r="O15">
        <v>1558.3454589999999</v>
      </c>
      <c r="P15" s="23">
        <f t="shared" si="4"/>
        <v>0.12430845701737581</v>
      </c>
      <c r="R15" s="34">
        <v>17397.5</v>
      </c>
      <c r="S15" s="23">
        <f t="shared" si="5"/>
        <v>1.3943729692713402E-2</v>
      </c>
      <c r="Z15" t="s">
        <v>57</v>
      </c>
      <c r="AA15">
        <v>0.40058629305613169</v>
      </c>
    </row>
    <row r="16" spans="2:27" x14ac:dyDescent="0.3">
      <c r="B16" s="33">
        <v>44781</v>
      </c>
      <c r="C16">
        <v>3361.8142090000001</v>
      </c>
      <c r="D16" s="23">
        <f t="shared" si="0"/>
        <v>-1.3255986560503419E-2</v>
      </c>
      <c r="F16">
        <v>558.61718800000006</v>
      </c>
      <c r="G16" s="23">
        <f t="shared" si="1"/>
        <v>3.9332971800269956E-3</v>
      </c>
      <c r="I16">
        <v>325.890625</v>
      </c>
      <c r="J16" s="23">
        <f t="shared" si="2"/>
        <v>-1.4358318024220273E-2</v>
      </c>
      <c r="L16">
        <v>1834.500732</v>
      </c>
      <c r="M16" s="23">
        <f t="shared" si="3"/>
        <v>5.6376539676064041E-3</v>
      </c>
      <c r="O16">
        <v>1498.6888429999999</v>
      </c>
      <c r="P16" s="23">
        <f t="shared" si="4"/>
        <v>-3.8282022548634331E-2</v>
      </c>
      <c r="R16" s="34">
        <v>17698.150390999999</v>
      </c>
      <c r="S16" s="23">
        <f t="shared" si="5"/>
        <v>1.7281241040379314E-2</v>
      </c>
      <c r="Z16" t="s">
        <v>58</v>
      </c>
      <c r="AA16">
        <v>0.160469378184453</v>
      </c>
    </row>
    <row r="17" spans="2:34" x14ac:dyDescent="0.3">
      <c r="B17" s="33">
        <v>44788</v>
      </c>
      <c r="C17">
        <v>3415.460693</v>
      </c>
      <c r="D17" s="23">
        <f t="shared" si="0"/>
        <v>1.595759927969298E-2</v>
      </c>
      <c r="F17">
        <v>575.71270800000002</v>
      </c>
      <c r="G17" s="23">
        <f t="shared" si="1"/>
        <v>3.0603283191493746E-2</v>
      </c>
      <c r="I17">
        <v>333.440338</v>
      </c>
      <c r="J17" s="23">
        <f t="shared" si="2"/>
        <v>2.3166401304118622E-2</v>
      </c>
      <c r="L17">
        <v>1815.8930660000001</v>
      </c>
      <c r="M17" s="23">
        <f t="shared" si="3"/>
        <v>-1.0143177200978015E-2</v>
      </c>
      <c r="O17">
        <v>1505.112427</v>
      </c>
      <c r="P17" s="23">
        <f t="shared" si="4"/>
        <v>4.2861358646946179E-3</v>
      </c>
      <c r="R17" s="34">
        <v>17758.449218999998</v>
      </c>
      <c r="S17" s="23">
        <f t="shared" si="5"/>
        <v>3.4070694771959342E-3</v>
      </c>
      <c r="Z17" t="s">
        <v>59</v>
      </c>
      <c r="AA17">
        <v>0.15231859544837972</v>
      </c>
    </row>
    <row r="18" spans="2:34" x14ac:dyDescent="0.3">
      <c r="B18" s="33">
        <v>44795</v>
      </c>
      <c r="C18">
        <v>3259.5234380000002</v>
      </c>
      <c r="D18" s="23">
        <f t="shared" si="0"/>
        <v>-4.5656287399118312E-2</v>
      </c>
      <c r="F18">
        <v>547.604736</v>
      </c>
      <c r="G18" s="23">
        <f t="shared" si="1"/>
        <v>-4.8822913945474333E-2</v>
      </c>
      <c r="I18">
        <v>325.00048800000002</v>
      </c>
      <c r="J18" s="23">
        <f t="shared" si="2"/>
        <v>-2.5311424678318262E-2</v>
      </c>
      <c r="L18">
        <v>1855.0217290000001</v>
      </c>
      <c r="M18" s="23">
        <f t="shared" si="3"/>
        <v>2.1547889428418454E-2</v>
      </c>
      <c r="O18">
        <v>1663.616211</v>
      </c>
      <c r="P18" s="23">
        <f t="shared" si="4"/>
        <v>0.10531026198217686</v>
      </c>
      <c r="R18" s="34">
        <v>17558.900390999999</v>
      </c>
      <c r="S18" s="23">
        <f t="shared" si="5"/>
        <v>-1.1236838619134604E-2</v>
      </c>
      <c r="Z18" t="s">
        <v>60</v>
      </c>
      <c r="AA18">
        <v>3.5190203615092681E-2</v>
      </c>
    </row>
    <row r="19" spans="2:34" ht="15" thickBot="1" x14ac:dyDescent="0.35">
      <c r="B19" s="33">
        <v>44802</v>
      </c>
      <c r="C19">
        <v>3364.9528810000002</v>
      </c>
      <c r="D19" s="23">
        <f t="shared" si="0"/>
        <v>3.2345048288620504E-2</v>
      </c>
      <c r="F19">
        <v>554.24084500000004</v>
      </c>
      <c r="G19" s="23">
        <f t="shared" si="1"/>
        <v>1.211842879313596E-2</v>
      </c>
      <c r="I19">
        <v>329.48416099999997</v>
      </c>
      <c r="J19" s="23">
        <f t="shared" si="2"/>
        <v>1.3795896208008029E-2</v>
      </c>
      <c r="L19">
        <v>1856.313232</v>
      </c>
      <c r="M19" s="23">
        <f t="shared" si="3"/>
        <v>6.9621987700174692E-4</v>
      </c>
      <c r="O19">
        <v>1585.9746090000001</v>
      </c>
      <c r="P19" s="23">
        <f t="shared" si="4"/>
        <v>-4.6670380756466345E-2</v>
      </c>
      <c r="R19" s="34">
        <v>17539.449218999998</v>
      </c>
      <c r="S19" s="23">
        <f t="shared" si="5"/>
        <v>-1.1077670905844661E-3</v>
      </c>
      <c r="Z19" s="4" t="s">
        <v>61</v>
      </c>
      <c r="AA19" s="4">
        <v>105</v>
      </c>
    </row>
    <row r="20" spans="2:34" x14ac:dyDescent="0.3">
      <c r="B20" s="33">
        <v>44809</v>
      </c>
      <c r="C20">
        <v>3375.5444339999999</v>
      </c>
      <c r="D20" s="23">
        <f t="shared" si="0"/>
        <v>3.1476081165369152E-3</v>
      </c>
      <c r="F20">
        <v>550.79834000000005</v>
      </c>
      <c r="G20" s="23">
        <f t="shared" si="1"/>
        <v>-6.2112076925691095E-3</v>
      </c>
      <c r="I20">
        <v>338.51745599999998</v>
      </c>
      <c r="J20" s="23">
        <f t="shared" si="2"/>
        <v>2.7416477236974046E-2</v>
      </c>
      <c r="L20">
        <v>1931.8916019999999</v>
      </c>
      <c r="M20" s="23">
        <f t="shared" si="3"/>
        <v>4.0714233297023616E-2</v>
      </c>
      <c r="O20">
        <v>1550.455811</v>
      </c>
      <c r="P20" s="23">
        <f t="shared" si="4"/>
        <v>-2.2395565350441293E-2</v>
      </c>
      <c r="R20" s="34">
        <v>17833.349609000001</v>
      </c>
      <c r="S20" s="23">
        <f t="shared" si="5"/>
        <v>1.6756534730955508E-2</v>
      </c>
    </row>
    <row r="21" spans="2:34" ht="15" thickBot="1" x14ac:dyDescent="0.35">
      <c r="B21" s="33">
        <v>44816</v>
      </c>
      <c r="C21">
        <v>3258.5429690000001</v>
      </c>
      <c r="D21" s="23">
        <f t="shared" si="0"/>
        <v>-3.4661509361722076E-2</v>
      </c>
      <c r="F21">
        <v>530.06048599999997</v>
      </c>
      <c r="G21" s="23">
        <f t="shared" si="1"/>
        <v>-3.7650538307722692E-2</v>
      </c>
      <c r="I21">
        <v>316.428741</v>
      </c>
      <c r="J21" s="23">
        <f t="shared" si="2"/>
        <v>-6.5251332268076556E-2</v>
      </c>
      <c r="L21">
        <v>2040.140991</v>
      </c>
      <c r="M21" s="23">
        <f t="shared" si="3"/>
        <v>5.6032848265365587E-2</v>
      </c>
      <c r="O21">
        <v>1597.697876</v>
      </c>
      <c r="P21" s="23">
        <f t="shared" si="4"/>
        <v>3.0469791312227157E-2</v>
      </c>
      <c r="R21" s="34">
        <v>17530.849609000001</v>
      </c>
      <c r="S21" s="23">
        <f t="shared" si="5"/>
        <v>-1.6962601341440453E-2</v>
      </c>
      <c r="Z21" t="s">
        <v>62</v>
      </c>
    </row>
    <row r="22" spans="2:34" x14ac:dyDescent="0.3">
      <c r="B22" s="33">
        <v>44823</v>
      </c>
      <c r="C22">
        <v>3329.842529</v>
      </c>
      <c r="D22" s="23">
        <f t="shared" si="0"/>
        <v>2.1880810128424022E-2</v>
      </c>
      <c r="F22">
        <v>525.66400099999998</v>
      </c>
      <c r="G22" s="23">
        <f t="shared" si="1"/>
        <v>-8.2943081329778234E-3</v>
      </c>
      <c r="I22">
        <v>315.90124500000002</v>
      </c>
      <c r="J22" s="23">
        <f t="shared" si="2"/>
        <v>-1.6670293549598814E-3</v>
      </c>
      <c r="L22">
        <v>2063.2451169999999</v>
      </c>
      <c r="M22" s="23">
        <f t="shared" si="3"/>
        <v>1.1324769269341228E-2</v>
      </c>
      <c r="O22">
        <v>1520.1251219999999</v>
      </c>
      <c r="P22" s="23">
        <f t="shared" si="4"/>
        <v>-4.855283039757885E-2</v>
      </c>
      <c r="R22" s="34">
        <v>17327.349609000001</v>
      </c>
      <c r="S22" s="23">
        <f t="shared" si="5"/>
        <v>-1.1608108251383698E-2</v>
      </c>
      <c r="Z22" s="38"/>
      <c r="AA22" s="38" t="s">
        <v>67</v>
      </c>
      <c r="AB22" s="38" t="s">
        <v>68</v>
      </c>
      <c r="AC22" s="38" t="s">
        <v>69</v>
      </c>
      <c r="AD22" s="38" t="s">
        <v>70</v>
      </c>
      <c r="AE22" s="38" t="s">
        <v>71</v>
      </c>
    </row>
    <row r="23" spans="2:34" x14ac:dyDescent="0.3">
      <c r="B23" s="33">
        <v>44830</v>
      </c>
      <c r="C23">
        <v>3278.0590820000002</v>
      </c>
      <c r="D23" s="23">
        <f t="shared" si="0"/>
        <v>-1.555132008466209E-2</v>
      </c>
      <c r="F23">
        <v>511.81115699999998</v>
      </c>
      <c r="G23" s="23">
        <f t="shared" si="1"/>
        <v>-2.6353039153617086E-2</v>
      </c>
      <c r="I23">
        <v>322.85754400000002</v>
      </c>
      <c r="J23" s="23">
        <f t="shared" si="2"/>
        <v>2.2020486180736709E-2</v>
      </c>
      <c r="L23">
        <v>2110.1228030000002</v>
      </c>
      <c r="M23" s="23">
        <f t="shared" si="3"/>
        <v>2.2720366869527053E-2</v>
      </c>
      <c r="O23">
        <v>1495.9804690000001</v>
      </c>
      <c r="P23" s="23">
        <f t="shared" si="4"/>
        <v>-1.5883332661612237E-2</v>
      </c>
      <c r="R23" s="34">
        <v>17094.349609000001</v>
      </c>
      <c r="S23" s="23">
        <f t="shared" si="5"/>
        <v>-1.3446949779265527E-2</v>
      </c>
      <c r="Z23" t="s">
        <v>63</v>
      </c>
      <c r="AA23">
        <v>1</v>
      </c>
      <c r="AB23">
        <v>2.4380152187441911E-2</v>
      </c>
      <c r="AC23">
        <v>2.4380152187441911E-2</v>
      </c>
      <c r="AD23">
        <v>19.687603433993736</v>
      </c>
      <c r="AE23">
        <v>2.2917986427386714E-5</v>
      </c>
    </row>
    <row r="24" spans="2:34" x14ac:dyDescent="0.3">
      <c r="B24" s="33">
        <v>44837</v>
      </c>
      <c r="C24">
        <v>3279.2854000000002</v>
      </c>
      <c r="D24" s="23">
        <f t="shared" si="0"/>
        <v>3.740988094858011E-4</v>
      </c>
      <c r="F24">
        <v>519.19378700000004</v>
      </c>
      <c r="G24" s="23">
        <f t="shared" si="1"/>
        <v>1.4424519471739616E-2</v>
      </c>
      <c r="I24">
        <v>313.59350599999999</v>
      </c>
      <c r="J24" s="23">
        <f t="shared" si="2"/>
        <v>-2.8693887357329473E-2</v>
      </c>
      <c r="L24">
        <v>2128.0134280000002</v>
      </c>
      <c r="M24" s="23">
        <f t="shared" si="3"/>
        <v>8.4784757430063085E-3</v>
      </c>
      <c r="O24">
        <v>1490.1437989999999</v>
      </c>
      <c r="P24" s="23">
        <f t="shared" si="4"/>
        <v>-3.9015683165313231E-3</v>
      </c>
      <c r="R24" s="34">
        <v>17314.650390999999</v>
      </c>
      <c r="S24" s="23">
        <f t="shared" si="5"/>
        <v>1.2887345060733635E-2</v>
      </c>
      <c r="Z24" t="s">
        <v>64</v>
      </c>
      <c r="AA24">
        <v>103</v>
      </c>
      <c r="AB24">
        <v>0.12755009433858328</v>
      </c>
      <c r="AC24">
        <v>1.2383504304716822E-3</v>
      </c>
    </row>
    <row r="25" spans="2:34" ht="15" thickBot="1" x14ac:dyDescent="0.35">
      <c r="B25" s="33">
        <v>44844</v>
      </c>
      <c r="C25">
        <v>3124.1328130000002</v>
      </c>
      <c r="D25" s="23">
        <f t="shared" si="0"/>
        <v>-4.7312925858786214E-2</v>
      </c>
      <c r="F25">
        <v>507.995361</v>
      </c>
      <c r="G25" s="23">
        <f t="shared" si="1"/>
        <v>-2.1568875206898541E-2</v>
      </c>
      <c r="I25">
        <v>317.38482699999997</v>
      </c>
      <c r="J25" s="23">
        <f t="shared" si="2"/>
        <v>1.2089921913114976E-2</v>
      </c>
      <c r="L25">
        <v>1957.483154</v>
      </c>
      <c r="M25" s="23">
        <f t="shared" si="3"/>
        <v>-8.0135901285299682E-2</v>
      </c>
      <c r="O25">
        <v>1479.2685550000001</v>
      </c>
      <c r="P25" s="23">
        <f t="shared" si="4"/>
        <v>-7.2981171396330202E-3</v>
      </c>
      <c r="R25" s="34">
        <v>17185.699218999998</v>
      </c>
      <c r="S25" s="23">
        <f t="shared" si="5"/>
        <v>-7.4475180894804094E-3</v>
      </c>
      <c r="Z25" s="4" t="s">
        <v>65</v>
      </c>
      <c r="AA25" s="4">
        <v>104</v>
      </c>
      <c r="AB25" s="4">
        <v>0.15193024652602519</v>
      </c>
      <c r="AC25" s="4"/>
      <c r="AD25" s="4"/>
      <c r="AE25" s="4"/>
    </row>
    <row r="26" spans="2:34" ht="15" thickBot="1" x14ac:dyDescent="0.35">
      <c r="B26" s="33">
        <v>44851</v>
      </c>
      <c r="C26">
        <v>3032.8264159999999</v>
      </c>
      <c r="D26" s="23">
        <f t="shared" si="0"/>
        <v>-2.9226157293972932E-2</v>
      </c>
      <c r="F26">
        <v>485.55694599999998</v>
      </c>
      <c r="G26" s="23">
        <f t="shared" si="1"/>
        <v>-4.4170511627959597E-2</v>
      </c>
      <c r="I26">
        <v>315.96722399999999</v>
      </c>
      <c r="J26" s="23">
        <f t="shared" si="2"/>
        <v>-4.4665115638939934E-3</v>
      </c>
      <c r="L26">
        <v>2045.833374</v>
      </c>
      <c r="M26" s="23">
        <f t="shared" si="3"/>
        <v>4.5134600427830796E-2</v>
      </c>
      <c r="O26">
        <v>1415.614014</v>
      </c>
      <c r="P26" s="23">
        <f t="shared" si="4"/>
        <v>-4.3031091808748756E-2</v>
      </c>
      <c r="R26" s="34">
        <v>17576.300781000002</v>
      </c>
      <c r="S26" s="23">
        <f t="shared" si="5"/>
        <v>2.2728290366455628E-2</v>
      </c>
    </row>
    <row r="27" spans="2:34" x14ac:dyDescent="0.3">
      <c r="B27" s="33">
        <v>44858</v>
      </c>
      <c r="C27">
        <v>2994.5776369999999</v>
      </c>
      <c r="D27" s="23">
        <f t="shared" si="0"/>
        <v>-1.2611595176767909E-2</v>
      </c>
      <c r="F27">
        <v>476.84704599999998</v>
      </c>
      <c r="G27" s="23">
        <f t="shared" si="1"/>
        <v>-1.7937957785903014E-2</v>
      </c>
      <c r="I27">
        <v>313.989105</v>
      </c>
      <c r="J27" s="23">
        <f t="shared" si="2"/>
        <v>-6.2605196037675004E-3</v>
      </c>
      <c r="L27">
        <v>2038.514893</v>
      </c>
      <c r="M27" s="23">
        <f t="shared" si="3"/>
        <v>-3.5772615174866074E-3</v>
      </c>
      <c r="O27">
        <v>1426.7885739999999</v>
      </c>
      <c r="P27" s="23">
        <f t="shared" si="4"/>
        <v>7.8937901783162623E-3</v>
      </c>
      <c r="R27" s="34">
        <v>17786.800781000002</v>
      </c>
      <c r="S27" s="23">
        <f t="shared" si="5"/>
        <v>1.197635399068453E-2</v>
      </c>
      <c r="Z27" s="38"/>
      <c r="AA27" s="38" t="s">
        <v>72</v>
      </c>
      <c r="AB27" s="38" t="s">
        <v>60</v>
      </c>
      <c r="AC27" s="38" t="s">
        <v>73</v>
      </c>
      <c r="AD27" s="38" t="s">
        <v>74</v>
      </c>
      <c r="AE27" s="38" t="s">
        <v>75</v>
      </c>
      <c r="AF27" s="38" t="s">
        <v>76</v>
      </c>
      <c r="AG27" s="38" t="s">
        <v>77</v>
      </c>
      <c r="AH27" s="38" t="s">
        <v>78</v>
      </c>
    </row>
    <row r="28" spans="2:34" x14ac:dyDescent="0.3">
      <c r="B28" s="33">
        <v>44865</v>
      </c>
      <c r="C28">
        <v>3120.063232</v>
      </c>
      <c r="D28" s="23">
        <f t="shared" si="0"/>
        <v>4.1904271724179765E-2</v>
      </c>
      <c r="F28">
        <v>501.234802</v>
      </c>
      <c r="G28" s="23">
        <f t="shared" si="1"/>
        <v>5.1143770742788641E-2</v>
      </c>
      <c r="I28">
        <v>295.39505000000003</v>
      </c>
      <c r="J28" s="23">
        <f t="shared" si="2"/>
        <v>-5.9218790409941047E-2</v>
      </c>
      <c r="L28">
        <v>2014.0234379999999</v>
      </c>
      <c r="M28" s="23">
        <f t="shared" si="3"/>
        <v>-1.2014361574742782E-2</v>
      </c>
      <c r="O28">
        <v>1539.131836</v>
      </c>
      <c r="P28" s="23">
        <f t="shared" si="4"/>
        <v>7.8738548967381972E-2</v>
      </c>
      <c r="R28" s="34">
        <v>18117.150390999999</v>
      </c>
      <c r="S28" s="23">
        <f t="shared" si="5"/>
        <v>1.8572739081492262E-2</v>
      </c>
      <c r="Z28" t="s">
        <v>66</v>
      </c>
      <c r="AA28">
        <v>-6.2444222097697913E-4</v>
      </c>
      <c r="AB28">
        <v>3.5697757881473576E-3</v>
      </c>
      <c r="AC28">
        <v>-0.17492477344103793</v>
      </c>
      <c r="AD28">
        <v>0.86148213915597305</v>
      </c>
      <c r="AE28">
        <v>-7.7042505464900539E-3</v>
      </c>
      <c r="AF28">
        <v>6.4553661045360956E-3</v>
      </c>
      <c r="AG28">
        <v>-7.7042505464900539E-3</v>
      </c>
      <c r="AH28">
        <v>6.4553661045360956E-3</v>
      </c>
    </row>
    <row r="29" spans="2:34" ht="15" thickBot="1" x14ac:dyDescent="0.35">
      <c r="B29" s="33">
        <v>44872</v>
      </c>
      <c r="C29">
        <v>3000.8632809999999</v>
      </c>
      <c r="D29" s="23">
        <f t="shared" si="0"/>
        <v>-3.8204338225412027E-2</v>
      </c>
      <c r="F29">
        <v>496.13326999999998</v>
      </c>
      <c r="G29" s="23">
        <f t="shared" si="1"/>
        <v>-1.0177928546948767E-2</v>
      </c>
      <c r="I29">
        <v>295.06536899999998</v>
      </c>
      <c r="J29" s="23">
        <f t="shared" si="2"/>
        <v>-1.1160681263956418E-3</v>
      </c>
      <c r="L29">
        <v>2172.881836</v>
      </c>
      <c r="M29" s="23">
        <f t="shared" si="3"/>
        <v>7.8876141658883681E-2</v>
      </c>
      <c r="O29">
        <v>1436.017456</v>
      </c>
      <c r="P29" s="23">
        <f t="shared" si="4"/>
        <v>-6.6995157651979054E-2</v>
      </c>
      <c r="R29" s="34">
        <v>18349.699218999998</v>
      </c>
      <c r="S29" s="23">
        <f t="shared" si="5"/>
        <v>1.2835839134808014E-2</v>
      </c>
      <c r="Z29" s="4" t="s">
        <v>79</v>
      </c>
      <c r="AA29" s="4">
        <v>1.0311676997569912</v>
      </c>
      <c r="AB29" s="4">
        <v>0.23239826119181656</v>
      </c>
      <c r="AC29" s="4">
        <v>4.437071493000059</v>
      </c>
      <c r="AD29" s="4">
        <v>2.291798642738642E-5</v>
      </c>
      <c r="AE29" s="4">
        <v>0.57026056102756384</v>
      </c>
      <c r="AF29" s="4">
        <v>1.4920748384864186</v>
      </c>
      <c r="AG29" s="4">
        <v>0.57026056102756384</v>
      </c>
      <c r="AH29" s="4">
        <v>1.4920748384864186</v>
      </c>
    </row>
    <row r="30" spans="2:34" x14ac:dyDescent="0.3">
      <c r="B30" s="33">
        <v>44879</v>
      </c>
      <c r="C30">
        <v>3040.248047</v>
      </c>
      <c r="D30" s="23">
        <f t="shared" si="0"/>
        <v>1.3124478628988356E-2</v>
      </c>
      <c r="F30">
        <v>500.65414399999997</v>
      </c>
      <c r="G30" s="23">
        <f t="shared" si="1"/>
        <v>9.1122169654134222E-3</v>
      </c>
      <c r="I30">
        <v>286.22988900000001</v>
      </c>
      <c r="J30" s="23">
        <f t="shared" si="2"/>
        <v>-2.9944144343147072E-2</v>
      </c>
      <c r="L30">
        <v>2238.6064449999999</v>
      </c>
      <c r="M30" s="23">
        <f t="shared" si="3"/>
        <v>3.0247668285998675E-2</v>
      </c>
      <c r="O30">
        <v>1333.352173</v>
      </c>
      <c r="P30" s="23">
        <f t="shared" si="4"/>
        <v>-7.1493060596890201E-2</v>
      </c>
      <c r="R30" s="34">
        <v>18307.650390999999</v>
      </c>
      <c r="S30" s="23">
        <f t="shared" si="5"/>
        <v>-2.2915268254892762E-3</v>
      </c>
    </row>
    <row r="31" spans="2:34" x14ac:dyDescent="0.3">
      <c r="B31" s="33">
        <v>44886</v>
      </c>
      <c r="C31">
        <v>3052.671875</v>
      </c>
      <c r="D31" s="23">
        <f t="shared" si="0"/>
        <v>4.0864520946766181E-3</v>
      </c>
      <c r="F31">
        <v>511.56228599999997</v>
      </c>
      <c r="G31" s="23">
        <f t="shared" si="1"/>
        <v>2.1787779309782263E-2</v>
      </c>
      <c r="I31">
        <v>287.02114899999998</v>
      </c>
      <c r="J31" s="23">
        <f t="shared" si="2"/>
        <v>2.764421293542707E-3</v>
      </c>
      <c r="L31">
        <v>2209.9536130000001</v>
      </c>
      <c r="M31" s="23">
        <f t="shared" si="3"/>
        <v>-1.2799405658818097E-2</v>
      </c>
      <c r="O31">
        <v>1315.842163</v>
      </c>
      <c r="P31" s="23">
        <f t="shared" si="4"/>
        <v>-1.3132321943573944E-2</v>
      </c>
      <c r="R31" s="34">
        <v>18512.75</v>
      </c>
      <c r="S31" s="23">
        <f t="shared" si="5"/>
        <v>1.1202945469224623E-2</v>
      </c>
    </row>
    <row r="32" spans="2:34" x14ac:dyDescent="0.3">
      <c r="B32" s="33">
        <v>44893</v>
      </c>
      <c r="C32">
        <v>3087.341797</v>
      </c>
      <c r="D32" s="23">
        <f t="shared" si="0"/>
        <v>1.1357238320938157E-2</v>
      </c>
      <c r="F32">
        <v>511.313446</v>
      </c>
      <c r="G32" s="23">
        <f t="shared" si="1"/>
        <v>-4.8643148021265681E-4</v>
      </c>
      <c r="I32">
        <v>290.58166499999999</v>
      </c>
      <c r="J32" s="23">
        <f t="shared" si="2"/>
        <v>1.2405064966136026E-2</v>
      </c>
      <c r="L32">
        <v>2197.1340329999998</v>
      </c>
      <c r="M32" s="23">
        <f t="shared" si="3"/>
        <v>-5.8008366893266272E-3</v>
      </c>
      <c r="O32">
        <v>1337.4926760000001</v>
      </c>
      <c r="P32" s="23">
        <f t="shared" si="4"/>
        <v>1.6453731008770012E-2</v>
      </c>
      <c r="R32" s="34">
        <v>18696.099609000001</v>
      </c>
      <c r="S32" s="23">
        <f t="shared" si="5"/>
        <v>9.9039639707769744E-3</v>
      </c>
    </row>
    <row r="33" spans="2:19" x14ac:dyDescent="0.3">
      <c r="B33" s="33">
        <v>44900</v>
      </c>
      <c r="C33">
        <v>3169.3515630000002</v>
      </c>
      <c r="D33" s="23">
        <f t="shared" si="0"/>
        <v>2.6563228625897439E-2</v>
      </c>
      <c r="F33">
        <v>510.27652</v>
      </c>
      <c r="G33" s="23">
        <f t="shared" si="1"/>
        <v>-2.0279654448985829E-3</v>
      </c>
      <c r="I33">
        <v>294.50488300000001</v>
      </c>
      <c r="J33" s="23">
        <f t="shared" si="2"/>
        <v>1.3501257899392938E-2</v>
      </c>
      <c r="L33">
        <v>2153.6523440000001</v>
      </c>
      <c r="M33" s="23">
        <f t="shared" si="3"/>
        <v>-1.9790185007798167E-2</v>
      </c>
      <c r="O33">
        <v>1328.662842</v>
      </c>
      <c r="P33" s="23">
        <f t="shared" si="4"/>
        <v>-6.60178119734256E-3</v>
      </c>
      <c r="R33" s="34">
        <v>18496.599609000001</v>
      </c>
      <c r="S33" s="23">
        <f t="shared" si="5"/>
        <v>-1.0670674855838058E-2</v>
      </c>
    </row>
    <row r="34" spans="2:19" x14ac:dyDescent="0.3">
      <c r="B34" s="33">
        <v>44907</v>
      </c>
      <c r="C34">
        <v>3001.3547359999998</v>
      </c>
      <c r="D34" s="23">
        <f t="shared" si="0"/>
        <v>-5.3006687223105087E-2</v>
      </c>
      <c r="F34">
        <v>493.43737800000002</v>
      </c>
      <c r="G34" s="23">
        <f t="shared" si="1"/>
        <v>-3.3000033001714391E-2</v>
      </c>
      <c r="I34">
        <v>283.32870500000001</v>
      </c>
      <c r="J34" s="23">
        <f t="shared" si="2"/>
        <v>-3.7949041408593565E-2</v>
      </c>
      <c r="L34">
        <v>2178.0478520000001</v>
      </c>
      <c r="M34" s="23">
        <f t="shared" si="3"/>
        <v>1.1327505141656369E-2</v>
      </c>
      <c r="O34">
        <v>1316.091553</v>
      </c>
      <c r="P34" s="23">
        <f t="shared" si="4"/>
        <v>-9.4616095239608011E-3</v>
      </c>
      <c r="R34" s="34">
        <v>18269</v>
      </c>
      <c r="S34" s="23">
        <f t="shared" si="5"/>
        <v>-1.2304943276668867E-2</v>
      </c>
    </row>
    <row r="35" spans="2:19" x14ac:dyDescent="0.3">
      <c r="B35" s="33">
        <v>44914</v>
      </c>
      <c r="C35">
        <v>3003.3190920000002</v>
      </c>
      <c r="D35" s="23">
        <f t="shared" si="0"/>
        <v>6.5448977971138689E-4</v>
      </c>
      <c r="F35">
        <v>477.42770400000001</v>
      </c>
      <c r="G35" s="23">
        <f t="shared" si="1"/>
        <v>-3.2445199155545112E-2</v>
      </c>
      <c r="I35">
        <v>278.87799100000001</v>
      </c>
      <c r="J35" s="23">
        <f t="shared" si="2"/>
        <v>-1.5708658958505484E-2</v>
      </c>
      <c r="L35">
        <v>2095.6770019999999</v>
      </c>
      <c r="M35" s="23">
        <f t="shared" si="3"/>
        <v>-3.781865945891083E-2</v>
      </c>
      <c r="O35">
        <v>1249.643433</v>
      </c>
      <c r="P35" s="23">
        <f t="shared" si="4"/>
        <v>-5.0488979925851774E-2</v>
      </c>
      <c r="R35" s="34">
        <v>17806.800781000002</v>
      </c>
      <c r="S35" s="23">
        <f t="shared" si="5"/>
        <v>-2.529964524604511E-2</v>
      </c>
    </row>
    <row r="36" spans="2:19" x14ac:dyDescent="0.3">
      <c r="B36" s="33">
        <v>44921</v>
      </c>
      <c r="C36">
        <v>3032.7834469999998</v>
      </c>
      <c r="D36" s="23">
        <f t="shared" si="0"/>
        <v>9.8105975746913821E-3</v>
      </c>
      <c r="F36">
        <v>482.238922</v>
      </c>
      <c r="G36" s="23">
        <f t="shared" si="1"/>
        <v>1.0077374981993126E-2</v>
      </c>
      <c r="I36">
        <v>289.62560999999999</v>
      </c>
      <c r="J36" s="23">
        <f t="shared" si="2"/>
        <v>3.8538785228124928E-2</v>
      </c>
      <c r="L36">
        <v>2123.421143</v>
      </c>
      <c r="M36" s="23">
        <f t="shared" si="3"/>
        <v>1.3238748611318796E-2</v>
      </c>
      <c r="O36">
        <v>1299.62915</v>
      </c>
      <c r="P36" s="23">
        <f t="shared" si="4"/>
        <v>3.9999983739361644E-2</v>
      </c>
      <c r="R36" s="34">
        <v>18105.300781000002</v>
      </c>
      <c r="S36" s="23">
        <f t="shared" si="5"/>
        <v>1.6763258244484991E-2</v>
      </c>
    </row>
    <row r="37" spans="2:19" x14ac:dyDescent="0.3">
      <c r="B37" s="33">
        <v>44928</v>
      </c>
      <c r="C37">
        <v>2925.2380370000001</v>
      </c>
      <c r="D37" s="23">
        <f t="shared" si="0"/>
        <v>-3.5460959174774764E-2</v>
      </c>
      <c r="F37">
        <v>471.49667399999998</v>
      </c>
      <c r="G37" s="23">
        <f t="shared" si="1"/>
        <v>-2.2275779722317868E-2</v>
      </c>
      <c r="I37">
        <v>276.53723100000002</v>
      </c>
      <c r="J37" s="23">
        <f t="shared" si="2"/>
        <v>-4.5190682550482975E-2</v>
      </c>
      <c r="L37">
        <v>2115.289307</v>
      </c>
      <c r="M37" s="23">
        <f t="shared" si="3"/>
        <v>-3.8295917071407004E-3</v>
      </c>
      <c r="O37">
        <v>1291.2982179999999</v>
      </c>
      <c r="P37" s="23">
        <f t="shared" si="4"/>
        <v>-6.4102378743967625E-3</v>
      </c>
      <c r="R37" s="34">
        <v>17859.449218999998</v>
      </c>
      <c r="S37" s="23">
        <f t="shared" si="5"/>
        <v>-1.3578982474458767E-2</v>
      </c>
    </row>
    <row r="38" spans="2:19" x14ac:dyDescent="0.3">
      <c r="B38" s="33">
        <v>44935</v>
      </c>
      <c r="C38">
        <v>2857.2238769999999</v>
      </c>
      <c r="D38" s="23">
        <f t="shared" si="0"/>
        <v>-2.3250812118439601E-2</v>
      </c>
      <c r="F38">
        <v>466.31219499999997</v>
      </c>
      <c r="G38" s="23">
        <f t="shared" si="1"/>
        <v>-1.0995791244966524E-2</v>
      </c>
      <c r="I38">
        <v>272.58105499999999</v>
      </c>
      <c r="J38" s="23">
        <f t="shared" si="2"/>
        <v>-1.4306124299046097E-2</v>
      </c>
      <c r="L38">
        <v>2128.826172</v>
      </c>
      <c r="M38" s="23">
        <f t="shared" si="3"/>
        <v>6.3995336028992433E-3</v>
      </c>
      <c r="O38">
        <v>1278.7768550000001</v>
      </c>
      <c r="P38" s="23">
        <f t="shared" si="4"/>
        <v>-9.6967244478919357E-3</v>
      </c>
      <c r="R38" s="34">
        <v>17956.599609000001</v>
      </c>
      <c r="S38" s="23">
        <f t="shared" si="5"/>
        <v>5.4397192661825855E-3</v>
      </c>
    </row>
    <row r="39" spans="2:19" x14ac:dyDescent="0.3">
      <c r="B39" s="33">
        <v>44942</v>
      </c>
      <c r="C39">
        <v>2738.040039</v>
      </c>
      <c r="D39" s="23">
        <f t="shared" si="0"/>
        <v>-4.1713160441995023E-2</v>
      </c>
      <c r="F39">
        <v>462.16461199999998</v>
      </c>
      <c r="G39" s="23">
        <f t="shared" si="1"/>
        <v>-8.8944339103119718E-3</v>
      </c>
      <c r="I39">
        <v>275.97674599999999</v>
      </c>
      <c r="J39" s="23">
        <f t="shared" si="2"/>
        <v>1.2457545884837717E-2</v>
      </c>
      <c r="L39">
        <v>2161.2583009999998</v>
      </c>
      <c r="M39" s="23">
        <f t="shared" si="3"/>
        <v>1.5234747405200366E-2</v>
      </c>
      <c r="O39">
        <v>1228.292236</v>
      </c>
      <c r="P39" s="23">
        <f t="shared" si="4"/>
        <v>-3.947883385799944E-2</v>
      </c>
      <c r="R39" s="34">
        <v>18027.650390999999</v>
      </c>
      <c r="S39" s="23">
        <f t="shared" si="5"/>
        <v>3.9568060516528281E-3</v>
      </c>
    </row>
    <row r="40" spans="2:19" x14ac:dyDescent="0.3">
      <c r="B40" s="33">
        <v>44949</v>
      </c>
      <c r="C40">
        <v>2674.0529790000001</v>
      </c>
      <c r="D40" s="23">
        <f t="shared" si="0"/>
        <v>-2.3369658255023018E-2</v>
      </c>
      <c r="F40">
        <v>447.52368200000001</v>
      </c>
      <c r="G40" s="23">
        <f t="shared" si="1"/>
        <v>-3.167903733832389E-2</v>
      </c>
      <c r="I40">
        <v>270.56997699999999</v>
      </c>
      <c r="J40" s="23">
        <f t="shared" si="2"/>
        <v>-1.9591393399500445E-2</v>
      </c>
      <c r="L40">
        <v>2144.4682619999999</v>
      </c>
      <c r="M40" s="23">
        <f t="shared" si="3"/>
        <v>-7.7686406072940972E-3</v>
      </c>
      <c r="O40">
        <v>1210.1835940000001</v>
      </c>
      <c r="P40" s="23">
        <f t="shared" si="4"/>
        <v>-1.4742942655871283E-2</v>
      </c>
      <c r="R40" s="34">
        <v>17604.349609000001</v>
      </c>
      <c r="S40" s="23">
        <f t="shared" si="5"/>
        <v>-2.3480640727941093E-2</v>
      </c>
    </row>
    <row r="41" spans="2:19" x14ac:dyDescent="0.3">
      <c r="B41" s="33">
        <v>44956</v>
      </c>
      <c r="C41">
        <v>2711.1291500000002</v>
      </c>
      <c r="D41" s="23">
        <f t="shared" si="0"/>
        <v>1.3865159475585642E-2</v>
      </c>
      <c r="F41">
        <v>463.118561</v>
      </c>
      <c r="G41" s="23">
        <f t="shared" si="1"/>
        <v>3.4847047490997429E-2</v>
      </c>
      <c r="I41">
        <v>275.383331</v>
      </c>
      <c r="J41" s="23">
        <f t="shared" si="2"/>
        <v>1.7789682555947373E-2</v>
      </c>
      <c r="L41">
        <v>2114.5715329999998</v>
      </c>
      <c r="M41" s="23">
        <f t="shared" si="3"/>
        <v>-1.3941325003391514E-2</v>
      </c>
      <c r="O41">
        <v>1133.5089109999999</v>
      </c>
      <c r="P41" s="23">
        <f t="shared" si="4"/>
        <v>-6.335789328176944E-2</v>
      </c>
      <c r="R41" s="34">
        <v>17854.050781000002</v>
      </c>
      <c r="S41" s="23">
        <f t="shared" si="5"/>
        <v>1.4184061186352848E-2</v>
      </c>
    </row>
    <row r="42" spans="2:19" x14ac:dyDescent="0.3">
      <c r="B42" s="33">
        <v>44963</v>
      </c>
      <c r="C42">
        <v>2754.5402829999998</v>
      </c>
      <c r="D42" s="23">
        <f t="shared" si="0"/>
        <v>1.601219661556863E-2</v>
      </c>
      <c r="F42">
        <v>474.15112299999998</v>
      </c>
      <c r="G42" s="23">
        <f t="shared" si="1"/>
        <v>2.3822327432045931E-2</v>
      </c>
      <c r="I42">
        <v>276.669128</v>
      </c>
      <c r="J42" s="23">
        <f t="shared" si="2"/>
        <v>4.66911702800199E-3</v>
      </c>
      <c r="L42">
        <v>2215.0239259999998</v>
      </c>
      <c r="M42" s="23">
        <f t="shared" si="3"/>
        <v>4.7504845039451293E-2</v>
      </c>
      <c r="O42">
        <v>1159.1503909999999</v>
      </c>
      <c r="P42" s="23">
        <f t="shared" si="4"/>
        <v>2.2621330764289072E-2</v>
      </c>
      <c r="R42" s="34">
        <v>17856.5</v>
      </c>
      <c r="S42" s="23">
        <f t="shared" si="5"/>
        <v>1.371800175793414E-4</v>
      </c>
    </row>
    <row r="43" spans="2:19" x14ac:dyDescent="0.3">
      <c r="B43" s="33">
        <v>44970</v>
      </c>
      <c r="C43">
        <v>2783.0227049999999</v>
      </c>
      <c r="D43" s="23">
        <f t="shared" si="0"/>
        <v>1.0340172614567766E-2</v>
      </c>
      <c r="F43">
        <v>471.95291099999997</v>
      </c>
      <c r="G43" s="23">
        <f t="shared" si="1"/>
        <v>-4.6360999549927007E-3</v>
      </c>
      <c r="I43">
        <v>273.40524299999998</v>
      </c>
      <c r="J43" s="23">
        <f t="shared" si="2"/>
        <v>-1.1797069747514488E-2</v>
      </c>
      <c r="L43">
        <v>2083.4792480000001</v>
      </c>
      <c r="M43" s="23">
        <f t="shared" si="3"/>
        <v>-5.9387474986579369E-2</v>
      </c>
      <c r="O43">
        <v>1078.2352289999999</v>
      </c>
      <c r="P43" s="23">
        <f t="shared" si="4"/>
        <v>-6.9805577109105288E-2</v>
      </c>
      <c r="R43" s="34">
        <v>17944.199218999998</v>
      </c>
      <c r="S43" s="23">
        <f t="shared" si="5"/>
        <v>4.9113330719905424E-3</v>
      </c>
    </row>
    <row r="44" spans="2:19" x14ac:dyDescent="0.3">
      <c r="B44" s="33">
        <v>44977</v>
      </c>
      <c r="C44">
        <v>2689.6201169999999</v>
      </c>
      <c r="D44" s="23">
        <f t="shared" si="0"/>
        <v>-3.3561561618664526E-2</v>
      </c>
      <c r="F44">
        <v>462.91116299999999</v>
      </c>
      <c r="G44" s="23">
        <f t="shared" si="1"/>
        <v>-1.9158157073005055E-2</v>
      </c>
      <c r="I44">
        <v>276.40536500000002</v>
      </c>
      <c r="J44" s="23">
        <f t="shared" si="2"/>
        <v>1.0973169230701352E-2</v>
      </c>
      <c r="L44">
        <v>2099.3603520000001</v>
      </c>
      <c r="M44" s="23">
        <f t="shared" si="3"/>
        <v>7.6223960546979441E-3</v>
      </c>
      <c r="O44">
        <v>1014.580811</v>
      </c>
      <c r="P44" s="23">
        <f t="shared" si="4"/>
        <v>-5.9035743117979544E-2</v>
      </c>
      <c r="R44" s="34">
        <v>17465.800781000002</v>
      </c>
      <c r="S44" s="23">
        <f t="shared" si="5"/>
        <v>-2.6660339208308015E-2</v>
      </c>
    </row>
    <row r="45" spans="2:19" x14ac:dyDescent="0.3">
      <c r="B45" s="33">
        <v>44984</v>
      </c>
      <c r="C45">
        <v>2778.357422</v>
      </c>
      <c r="D45" s="23">
        <f t="shared" si="0"/>
        <v>3.2992504941172784E-2</v>
      </c>
      <c r="F45">
        <v>481.74121100000002</v>
      </c>
      <c r="G45" s="23">
        <f t="shared" si="1"/>
        <v>4.067745499583042E-2</v>
      </c>
      <c r="I45">
        <v>270.73483299999998</v>
      </c>
      <c r="J45" s="23">
        <f t="shared" si="2"/>
        <v>-2.0515274730647959E-2</v>
      </c>
      <c r="L45">
        <v>2114.1889649999998</v>
      </c>
      <c r="M45" s="23">
        <f t="shared" si="3"/>
        <v>7.0633957556991422E-3</v>
      </c>
      <c r="O45">
        <v>1077.038086</v>
      </c>
      <c r="P45" s="23">
        <f t="shared" si="4"/>
        <v>6.1559684869695319E-2</v>
      </c>
      <c r="R45" s="34">
        <v>17594.349609000001</v>
      </c>
      <c r="S45" s="23">
        <f t="shared" si="5"/>
        <v>7.3600305884538031E-3</v>
      </c>
    </row>
    <row r="46" spans="2:19" x14ac:dyDescent="0.3">
      <c r="B46" s="33">
        <v>44991</v>
      </c>
      <c r="C46">
        <v>2779.6831050000001</v>
      </c>
      <c r="D46" s="23">
        <f t="shared" si="0"/>
        <v>4.7714631296269516E-4</v>
      </c>
      <c r="F46">
        <v>488.66763300000002</v>
      </c>
      <c r="G46" s="23">
        <f t="shared" si="1"/>
        <v>1.4377889708920844E-2</v>
      </c>
      <c r="I46">
        <v>269.18533300000001</v>
      </c>
      <c r="J46" s="23">
        <f t="shared" si="2"/>
        <v>-5.7233123009330367E-3</v>
      </c>
      <c r="L46">
        <v>2207.0842290000001</v>
      </c>
      <c r="M46" s="23">
        <f t="shared" si="3"/>
        <v>4.3938959827084512E-2</v>
      </c>
      <c r="O46">
        <v>1040.07251</v>
      </c>
      <c r="P46" s="23">
        <f t="shared" si="4"/>
        <v>-3.4321512377789798E-2</v>
      </c>
      <c r="R46" s="34">
        <v>17412.900390999999</v>
      </c>
      <c r="S46" s="23">
        <f t="shared" si="5"/>
        <v>-1.0312925571695164E-2</v>
      </c>
    </row>
    <row r="47" spans="2:19" x14ac:dyDescent="0.3">
      <c r="B47" s="33">
        <v>44998</v>
      </c>
      <c r="C47">
        <v>2811.5539549999999</v>
      </c>
      <c r="D47" s="23">
        <f t="shared" si="0"/>
        <v>1.146564151239815E-2</v>
      </c>
      <c r="F47">
        <v>492.27603099999999</v>
      </c>
      <c r="G47" s="23">
        <f t="shared" si="1"/>
        <v>7.3841559299672177E-3</v>
      </c>
      <c r="I47">
        <v>263.21807899999999</v>
      </c>
      <c r="J47" s="23">
        <f t="shared" si="2"/>
        <v>-2.2167827397936324E-2</v>
      </c>
      <c r="L47">
        <v>2229.7758789999998</v>
      </c>
      <c r="M47" s="23">
        <f t="shared" si="3"/>
        <v>1.0281279573222779E-2</v>
      </c>
      <c r="O47">
        <v>1040.272095</v>
      </c>
      <c r="P47" s="23">
        <f t="shared" si="4"/>
        <v>1.918952746862157E-4</v>
      </c>
      <c r="R47" s="34">
        <v>17100.050781000002</v>
      </c>
      <c r="S47" s="23">
        <f t="shared" si="5"/>
        <v>-1.7966542217268788E-2</v>
      </c>
    </row>
    <row r="48" spans="2:19" x14ac:dyDescent="0.3">
      <c r="B48" s="33">
        <v>45005</v>
      </c>
      <c r="C48">
        <v>2748.548828</v>
      </c>
      <c r="D48" s="23">
        <f t="shared" si="0"/>
        <v>-2.2409360804886203E-2</v>
      </c>
      <c r="F48">
        <v>475.89312699999999</v>
      </c>
      <c r="G48" s="23">
        <f t="shared" si="1"/>
        <v>-3.3279914048872317E-2</v>
      </c>
      <c r="I48">
        <v>253.45948799999999</v>
      </c>
      <c r="J48" s="23">
        <f t="shared" si="2"/>
        <v>-3.7074166930608166E-2</v>
      </c>
      <c r="L48">
        <v>2276.320068</v>
      </c>
      <c r="M48" s="23">
        <f t="shared" si="3"/>
        <v>2.0873931518567757E-2</v>
      </c>
      <c r="O48">
        <v>1014.580811</v>
      </c>
      <c r="P48" s="23">
        <f t="shared" si="4"/>
        <v>-2.4696696300403942E-2</v>
      </c>
      <c r="R48" s="34">
        <v>16945.050781000002</v>
      </c>
      <c r="S48" s="23">
        <f t="shared" si="5"/>
        <v>-9.0643005675878907E-3</v>
      </c>
    </row>
    <row r="49" spans="2:19" x14ac:dyDescent="0.3">
      <c r="B49" s="33">
        <v>45012</v>
      </c>
      <c r="C49">
        <v>2712.3566890000002</v>
      </c>
      <c r="D49" s="23">
        <f t="shared" si="0"/>
        <v>-1.3167726413045089E-2</v>
      </c>
      <c r="F49">
        <v>482.52923600000003</v>
      </c>
      <c r="G49" s="23">
        <f t="shared" si="1"/>
        <v>1.394453633283943E-2</v>
      </c>
      <c r="I49">
        <v>255.04196200000001</v>
      </c>
      <c r="J49" s="23">
        <f t="shared" si="2"/>
        <v>6.2434987637947081E-3</v>
      </c>
      <c r="L49">
        <v>2226.1469729999999</v>
      </c>
      <c r="M49" s="23">
        <f t="shared" si="3"/>
        <v>-2.2041318224674256E-2</v>
      </c>
      <c r="O49">
        <v>1006.050293</v>
      </c>
      <c r="P49" s="23">
        <f t="shared" si="4"/>
        <v>-8.4079236542943248E-3</v>
      </c>
      <c r="R49" s="34">
        <v>17359.75</v>
      </c>
      <c r="S49" s="23">
        <f t="shared" si="5"/>
        <v>2.4473176525678486E-2</v>
      </c>
    </row>
    <row r="50" spans="2:19" x14ac:dyDescent="0.3">
      <c r="B50" s="33">
        <v>45019</v>
      </c>
      <c r="C50">
        <v>2759.6967770000001</v>
      </c>
      <c r="D50" s="23">
        <f t="shared" si="0"/>
        <v>1.7453489134370948E-2</v>
      </c>
      <c r="F50">
        <v>495.38671900000003</v>
      </c>
      <c r="G50" s="23">
        <f t="shared" si="1"/>
        <v>2.6646018605181565E-2</v>
      </c>
      <c r="I50">
        <v>258.40472399999999</v>
      </c>
      <c r="J50" s="23">
        <f t="shared" si="2"/>
        <v>1.3185132256785081E-2</v>
      </c>
      <c r="L50">
        <v>2159.2817380000001</v>
      </c>
      <c r="M50" s="23">
        <f t="shared" si="3"/>
        <v>-3.0036307490466707E-2</v>
      </c>
      <c r="O50">
        <v>1084.2714840000001</v>
      </c>
      <c r="P50" s="23">
        <f t="shared" si="4"/>
        <v>7.7750776024076984E-2</v>
      </c>
      <c r="R50" s="34">
        <v>17599.150390999999</v>
      </c>
      <c r="S50" s="23">
        <f t="shared" si="5"/>
        <v>1.3790543700226143E-2</v>
      </c>
    </row>
    <row r="51" spans="2:19" x14ac:dyDescent="0.3">
      <c r="B51" s="33">
        <v>45026</v>
      </c>
      <c r="C51">
        <v>2759.5979000000002</v>
      </c>
      <c r="D51" s="23">
        <f t="shared" si="0"/>
        <v>-3.5828936288950786E-5</v>
      </c>
      <c r="F51">
        <v>479.95773300000002</v>
      </c>
      <c r="G51" s="23">
        <f t="shared" si="1"/>
        <v>-3.1145336377094157E-2</v>
      </c>
      <c r="I51">
        <v>251.34951799999999</v>
      </c>
      <c r="J51" s="23">
        <f t="shared" si="2"/>
        <v>-2.730292964767933E-2</v>
      </c>
      <c r="L51">
        <v>2229.3403320000002</v>
      </c>
      <c r="M51" s="23">
        <f t="shared" si="3"/>
        <v>3.244532326054439E-2</v>
      </c>
      <c r="O51">
        <v>1080.180908</v>
      </c>
      <c r="P51" s="23">
        <f t="shared" si="4"/>
        <v>-3.7726492491617636E-3</v>
      </c>
      <c r="R51" s="34">
        <v>17828</v>
      </c>
      <c r="S51" s="23">
        <f t="shared" si="5"/>
        <v>1.3003446411653519E-2</v>
      </c>
    </row>
    <row r="52" spans="2:19" x14ac:dyDescent="0.3">
      <c r="B52" s="33">
        <v>45033</v>
      </c>
      <c r="C52">
        <v>2830.6567380000001</v>
      </c>
      <c r="D52" s="23">
        <f t="shared" si="0"/>
        <v>2.5749707230897645E-2</v>
      </c>
      <c r="F52">
        <v>484.93481400000002</v>
      </c>
      <c r="G52" s="23">
        <f t="shared" si="1"/>
        <v>1.0369831878508373E-2</v>
      </c>
      <c r="I52">
        <v>252.041855</v>
      </c>
      <c r="J52" s="23">
        <f t="shared" si="2"/>
        <v>2.7544791233695687E-3</v>
      </c>
      <c r="L52">
        <v>2229.0014649999998</v>
      </c>
      <c r="M52" s="23">
        <f t="shared" si="3"/>
        <v>-1.5200326084641169E-4</v>
      </c>
      <c r="O52">
        <v>1144.234375</v>
      </c>
      <c r="P52" s="23">
        <f t="shared" si="4"/>
        <v>5.9298832747004981E-2</v>
      </c>
      <c r="R52" s="34">
        <v>17624.050781000002</v>
      </c>
      <c r="S52" s="23">
        <f t="shared" si="5"/>
        <v>-1.1439826060130054E-2</v>
      </c>
    </row>
    <row r="53" spans="2:19" x14ac:dyDescent="0.3">
      <c r="B53" s="33">
        <v>45040</v>
      </c>
      <c r="C53">
        <v>2850.5454100000002</v>
      </c>
      <c r="D53" s="23">
        <f t="shared" si="0"/>
        <v>7.0261687802006811E-3</v>
      </c>
      <c r="F53">
        <v>506.29486100000003</v>
      </c>
      <c r="G53" s="23">
        <f t="shared" si="1"/>
        <v>4.4047254153214865E-2</v>
      </c>
      <c r="I53">
        <v>250.657196</v>
      </c>
      <c r="J53" s="23">
        <f t="shared" si="2"/>
        <v>-5.4937661048399811E-3</v>
      </c>
      <c r="L53">
        <v>2249.5158689999998</v>
      </c>
      <c r="M53" s="23">
        <f t="shared" si="3"/>
        <v>9.2034053463485588E-3</v>
      </c>
      <c r="O53">
        <v>1150.919189</v>
      </c>
      <c r="P53" s="23">
        <f t="shared" si="4"/>
        <v>5.8421719763488422E-3</v>
      </c>
      <c r="R53" s="34">
        <v>18065</v>
      </c>
      <c r="S53" s="23">
        <f t="shared" si="5"/>
        <v>2.5019742877464557E-2</v>
      </c>
    </row>
    <row r="54" spans="2:19" x14ac:dyDescent="0.3">
      <c r="B54" s="33">
        <v>45047</v>
      </c>
      <c r="C54">
        <v>2959.171143</v>
      </c>
      <c r="D54" s="23">
        <f t="shared" si="0"/>
        <v>3.8106999670634911E-2</v>
      </c>
      <c r="F54">
        <v>512.01849400000003</v>
      </c>
      <c r="G54" s="23">
        <f t="shared" si="1"/>
        <v>1.1304939948817649E-2</v>
      </c>
      <c r="I54">
        <v>259.88827500000002</v>
      </c>
      <c r="J54" s="23">
        <f t="shared" si="2"/>
        <v>3.6827504445553716E-2</v>
      </c>
      <c r="L54">
        <v>2330.6540530000002</v>
      </c>
      <c r="M54" s="23">
        <f t="shared" si="3"/>
        <v>3.6069176091684696E-2</v>
      </c>
      <c r="O54">
        <v>1206.741577</v>
      </c>
      <c r="P54" s="23">
        <f t="shared" si="4"/>
        <v>4.8502439209917592E-2</v>
      </c>
      <c r="R54" s="34">
        <v>18069</v>
      </c>
      <c r="S54" s="23">
        <f t="shared" si="5"/>
        <v>2.2142264046509652E-4</v>
      </c>
    </row>
    <row r="55" spans="2:19" x14ac:dyDescent="0.3">
      <c r="B55" s="33">
        <v>45054</v>
      </c>
      <c r="C55">
        <v>3075.2126459999999</v>
      </c>
      <c r="D55" s="23">
        <f t="shared" si="0"/>
        <v>3.9214191201647486E-2</v>
      </c>
      <c r="F55">
        <v>525.62255900000002</v>
      </c>
      <c r="G55" s="23">
        <f t="shared" si="1"/>
        <v>2.6569479734456669E-2</v>
      </c>
      <c r="I55">
        <v>275.84491000000003</v>
      </c>
      <c r="J55" s="23">
        <f t="shared" si="2"/>
        <v>6.1398056530253209E-2</v>
      </c>
      <c r="L55">
        <v>2390.5522460000002</v>
      </c>
      <c r="M55" s="23">
        <f t="shared" si="3"/>
        <v>2.570016469106573E-2</v>
      </c>
      <c r="O55">
        <v>1298.082764</v>
      </c>
      <c r="P55" s="23">
        <f t="shared" si="4"/>
        <v>7.569241728380427E-2</v>
      </c>
      <c r="R55" s="34">
        <v>18314.800781000002</v>
      </c>
      <c r="S55" s="23">
        <f t="shared" si="5"/>
        <v>1.3603452376999448E-2</v>
      </c>
    </row>
    <row r="56" spans="2:19" x14ac:dyDescent="0.3">
      <c r="B56" s="33">
        <v>45061</v>
      </c>
      <c r="C56">
        <v>3029.3947750000002</v>
      </c>
      <c r="D56" s="23">
        <f t="shared" si="0"/>
        <v>-1.4899090331068954E-2</v>
      </c>
      <c r="F56">
        <v>518.65466300000003</v>
      </c>
      <c r="G56" s="23">
        <f t="shared" si="1"/>
        <v>-1.3256462989823858E-2</v>
      </c>
      <c r="I56">
        <v>269.28420999999997</v>
      </c>
      <c r="J56" s="23">
        <f t="shared" si="2"/>
        <v>-2.3784016895581073E-2</v>
      </c>
      <c r="L56">
        <v>2355.2810060000002</v>
      </c>
      <c r="M56" s="23">
        <f t="shared" si="3"/>
        <v>-1.4754431767395104E-2</v>
      </c>
      <c r="O56">
        <v>1400.4487300000001</v>
      </c>
      <c r="P56" s="23">
        <f t="shared" si="4"/>
        <v>7.8859352299357699E-2</v>
      </c>
      <c r="R56" s="34">
        <v>18203.400390999999</v>
      </c>
      <c r="S56" s="23">
        <f t="shared" si="5"/>
        <v>-6.0825335384249168E-3</v>
      </c>
    </row>
    <row r="57" spans="2:19" x14ac:dyDescent="0.3">
      <c r="B57" s="33">
        <v>45068</v>
      </c>
      <c r="C57">
        <v>3072.560547</v>
      </c>
      <c r="D57" s="23">
        <f t="shared" si="0"/>
        <v>1.4248975523502017E-2</v>
      </c>
      <c r="F57">
        <v>536.77954099999999</v>
      </c>
      <c r="G57" s="23">
        <f t="shared" si="1"/>
        <v>3.4945946297218589E-2</v>
      </c>
      <c r="I57">
        <v>270.53701799999999</v>
      </c>
      <c r="J57" s="23">
        <f t="shared" si="2"/>
        <v>4.6523633895949601E-3</v>
      </c>
      <c r="L57">
        <v>2418.275635</v>
      </c>
      <c r="M57" s="23">
        <f t="shared" si="3"/>
        <v>2.6746120246171401E-2</v>
      </c>
      <c r="O57">
        <v>1503.962158</v>
      </c>
      <c r="P57" s="23">
        <f t="shared" si="4"/>
        <v>7.3914471685086136E-2</v>
      </c>
      <c r="R57" s="34">
        <v>18499.349609000001</v>
      </c>
      <c r="S57" s="23">
        <f t="shared" si="5"/>
        <v>1.6257908502980811E-2</v>
      </c>
    </row>
    <row r="58" spans="2:19" x14ac:dyDescent="0.3">
      <c r="B58" s="33">
        <v>45075</v>
      </c>
      <c r="C58">
        <v>3179.4677729999999</v>
      </c>
      <c r="D58" s="23">
        <f t="shared" si="0"/>
        <v>3.47941804122891E-2</v>
      </c>
      <c r="F58">
        <v>541.21740699999998</v>
      </c>
      <c r="G58" s="23">
        <f t="shared" si="1"/>
        <v>8.267576651174835E-3</v>
      </c>
      <c r="I58">
        <v>282.811981</v>
      </c>
      <c r="J58" s="23">
        <f t="shared" si="2"/>
        <v>4.5372581877131557E-2</v>
      </c>
      <c r="L58">
        <v>2373.7634280000002</v>
      </c>
      <c r="M58" s="23">
        <f t="shared" si="3"/>
        <v>-1.8406589536680285E-2</v>
      </c>
      <c r="O58">
        <v>1457.1191409999999</v>
      </c>
      <c r="P58" s="23">
        <f t="shared" si="4"/>
        <v>-3.1146406677075578E-2</v>
      </c>
      <c r="R58" s="34">
        <v>18534.099609000001</v>
      </c>
      <c r="S58" s="23">
        <f t="shared" si="5"/>
        <v>1.8784444174779757E-3</v>
      </c>
    </row>
    <row r="59" spans="2:19" x14ac:dyDescent="0.3">
      <c r="B59" s="33">
        <v>45082</v>
      </c>
      <c r="C59">
        <v>3123.7795409999999</v>
      </c>
      <c r="D59" s="23">
        <f t="shared" si="0"/>
        <v>-1.7514954066496169E-2</v>
      </c>
      <c r="F59">
        <v>537.27728300000001</v>
      </c>
      <c r="G59" s="23">
        <f t="shared" si="1"/>
        <v>-7.2801132207486186E-3</v>
      </c>
      <c r="I59">
        <v>287.78988600000002</v>
      </c>
      <c r="J59" s="23">
        <f t="shared" si="2"/>
        <v>1.7601464345317286E-2</v>
      </c>
      <c r="L59">
        <v>2280.3842770000001</v>
      </c>
      <c r="M59" s="23">
        <f t="shared" si="3"/>
        <v>-3.9338019070702446E-2</v>
      </c>
      <c r="O59">
        <v>1413.768311</v>
      </c>
      <c r="P59" s="23">
        <f t="shared" si="4"/>
        <v>-2.9751053829578322E-2</v>
      </c>
      <c r="R59" s="34">
        <v>18563.400390999999</v>
      </c>
      <c r="S59" s="23">
        <f t="shared" si="5"/>
        <v>1.5809120819534339E-3</v>
      </c>
    </row>
    <row r="60" spans="2:19" x14ac:dyDescent="0.3">
      <c r="B60" s="33">
        <v>45089</v>
      </c>
      <c r="C60">
        <v>3279.3408199999999</v>
      </c>
      <c r="D60" s="23">
        <f t="shared" si="0"/>
        <v>4.9799058146786201E-2</v>
      </c>
      <c r="F60">
        <v>558.72027600000001</v>
      </c>
      <c r="G60" s="23">
        <f t="shared" si="1"/>
        <v>3.9910477659261145E-2</v>
      </c>
      <c r="I60">
        <v>300.50015300000001</v>
      </c>
      <c r="J60" s="23">
        <f t="shared" si="2"/>
        <v>4.4165092723237542E-2</v>
      </c>
      <c r="L60">
        <v>2373.1342770000001</v>
      </c>
      <c r="M60" s="23">
        <f t="shared" si="3"/>
        <v>4.0672969435668449E-2</v>
      </c>
      <c r="O60">
        <v>1414.815918</v>
      </c>
      <c r="P60" s="23">
        <f t="shared" si="4"/>
        <v>7.4100331139748121E-4</v>
      </c>
      <c r="R60" s="34">
        <v>18826</v>
      </c>
      <c r="S60" s="23">
        <f t="shared" si="5"/>
        <v>1.4146094113625551E-2</v>
      </c>
    </row>
    <row r="61" spans="2:19" x14ac:dyDescent="0.3">
      <c r="B61" s="33">
        <v>45096</v>
      </c>
      <c r="C61">
        <v>3260.4072270000001</v>
      </c>
      <c r="D61" s="23">
        <f t="shared" si="0"/>
        <v>-5.7735972072582298E-3</v>
      </c>
      <c r="F61">
        <v>560.462219</v>
      </c>
      <c r="G61" s="23">
        <f t="shared" si="1"/>
        <v>3.1177372199036046E-3</v>
      </c>
      <c r="I61">
        <v>304.25018299999999</v>
      </c>
      <c r="J61" s="23">
        <f t="shared" si="2"/>
        <v>1.247929481087473E-2</v>
      </c>
      <c r="L61">
        <v>2372.9892580000001</v>
      </c>
      <c r="M61" s="23">
        <f t="shared" si="3"/>
        <v>-6.1108636542628325E-5</v>
      </c>
      <c r="O61">
        <v>1417.95874</v>
      </c>
      <c r="P61" s="23">
        <f t="shared" si="4"/>
        <v>2.2213646029956013E-3</v>
      </c>
      <c r="R61" s="34">
        <v>18665.5</v>
      </c>
      <c r="S61" s="23">
        <f t="shared" si="5"/>
        <v>-8.5254435355359703E-3</v>
      </c>
    </row>
    <row r="62" spans="2:19" x14ac:dyDescent="0.3">
      <c r="B62" s="33">
        <v>45103</v>
      </c>
      <c r="C62">
        <v>3324.0295409999999</v>
      </c>
      <c r="D62" s="23">
        <f t="shared" si="0"/>
        <v>1.9513609672169974E-2</v>
      </c>
      <c r="F62">
        <v>562.494507</v>
      </c>
      <c r="G62" s="23">
        <f t="shared" si="1"/>
        <v>3.626092769689393E-3</v>
      </c>
      <c r="I62">
        <v>298.97357199999999</v>
      </c>
      <c r="J62" s="23">
        <f t="shared" si="2"/>
        <v>-1.7343000250553686E-2</v>
      </c>
      <c r="L62">
        <v>2354.1684570000002</v>
      </c>
      <c r="M62" s="23">
        <f t="shared" si="3"/>
        <v>-7.931262620152979E-3</v>
      </c>
      <c r="O62">
        <v>1425.6412350000001</v>
      </c>
      <c r="P62" s="23">
        <f t="shared" si="4"/>
        <v>5.4179961541052091E-3</v>
      </c>
      <c r="R62" s="34">
        <v>19189.050781000002</v>
      </c>
      <c r="S62" s="23">
        <f t="shared" si="5"/>
        <v>2.804911633762841E-2</v>
      </c>
    </row>
    <row r="63" spans="2:19" x14ac:dyDescent="0.3">
      <c r="B63" s="33">
        <v>45110</v>
      </c>
      <c r="C63">
        <v>3305.8869629999999</v>
      </c>
      <c r="D63" s="23">
        <f t="shared" si="0"/>
        <v>-5.4580074503616238E-3</v>
      </c>
      <c r="F63">
        <v>558.13952600000005</v>
      </c>
      <c r="G63" s="23">
        <f t="shared" si="1"/>
        <v>-7.7422640502335938E-3</v>
      </c>
      <c r="I63">
        <v>312.41394000000003</v>
      </c>
      <c r="J63" s="23">
        <f t="shared" si="2"/>
        <v>4.4955037029159373E-2</v>
      </c>
      <c r="L63">
        <v>2434.8708499999998</v>
      </c>
      <c r="M63" s="23">
        <f t="shared" si="3"/>
        <v>3.4280636443001722E-2</v>
      </c>
      <c r="O63">
        <v>1445.1464840000001</v>
      </c>
      <c r="P63" s="23">
        <f t="shared" si="4"/>
        <v>1.3681737397277294E-2</v>
      </c>
      <c r="R63" s="34">
        <v>19331.800781000002</v>
      </c>
      <c r="S63" s="23">
        <f t="shared" si="5"/>
        <v>7.4391381642151533E-3</v>
      </c>
    </row>
    <row r="64" spans="2:19" x14ac:dyDescent="0.3">
      <c r="B64" s="33">
        <v>45117</v>
      </c>
      <c r="C64">
        <v>3390.9638669999999</v>
      </c>
      <c r="D64" s="23">
        <f t="shared" si="0"/>
        <v>2.5734970660580281E-2</v>
      </c>
      <c r="F64">
        <v>554.19940199999996</v>
      </c>
      <c r="G64" s="23">
        <f t="shared" si="1"/>
        <v>-7.0593889456954662E-3</v>
      </c>
      <c r="I64">
        <v>306.540009</v>
      </c>
      <c r="J64" s="23">
        <f t="shared" si="2"/>
        <v>-1.8801757053478529E-2</v>
      </c>
      <c r="L64">
        <v>2653.1748050000001</v>
      </c>
      <c r="M64" s="23">
        <f t="shared" si="3"/>
        <v>8.9657303589633974E-2</v>
      </c>
      <c r="O64">
        <v>1422.4483640000001</v>
      </c>
      <c r="P64" s="23">
        <f t="shared" si="4"/>
        <v>-1.5706449312442139E-2</v>
      </c>
      <c r="R64" s="34">
        <v>19564.5</v>
      </c>
      <c r="S64" s="23">
        <f t="shared" si="5"/>
        <v>1.2037120681933855E-2</v>
      </c>
    </row>
    <row r="65" spans="2:19" x14ac:dyDescent="0.3">
      <c r="B65" s="33">
        <v>45124</v>
      </c>
      <c r="C65">
        <v>3477.9191890000002</v>
      </c>
      <c r="D65" s="23">
        <f t="shared" si="0"/>
        <v>2.564324640737925E-2</v>
      </c>
      <c r="F65">
        <v>573.31970200000001</v>
      </c>
      <c r="G65" s="23">
        <f t="shared" si="1"/>
        <v>3.4500758988549096E-2</v>
      </c>
      <c r="I65">
        <v>321.37420700000001</v>
      </c>
      <c r="J65" s="23">
        <f t="shared" si="2"/>
        <v>4.8392371515850074E-2</v>
      </c>
      <c r="L65">
        <v>2595.5021969999998</v>
      </c>
      <c r="M65" s="23">
        <f t="shared" si="3"/>
        <v>-2.173720626749287E-2</v>
      </c>
      <c r="O65">
        <v>1496.4792480000001</v>
      </c>
      <c r="P65" s="23">
        <f t="shared" si="4"/>
        <v>5.2044689897790875E-2</v>
      </c>
      <c r="R65" s="34">
        <v>19745</v>
      </c>
      <c r="S65" s="23">
        <f t="shared" si="5"/>
        <v>9.225893838329613E-3</v>
      </c>
    </row>
    <row r="66" spans="2:19" x14ac:dyDescent="0.3">
      <c r="B66" s="33">
        <v>45131</v>
      </c>
      <c r="C66">
        <v>3352.3554690000001</v>
      </c>
      <c r="D66" s="23">
        <f t="shared" si="0"/>
        <v>-3.6103116023263104E-2</v>
      </c>
      <c r="F66">
        <v>563.78027299999997</v>
      </c>
      <c r="G66" s="23">
        <f t="shared" si="1"/>
        <v>-1.6638934553831253E-2</v>
      </c>
      <c r="I66">
        <v>326.15301499999998</v>
      </c>
      <c r="J66" s="23">
        <f t="shared" si="2"/>
        <v>1.486991767201773E-2</v>
      </c>
      <c r="L66">
        <v>2631.4025879999999</v>
      </c>
      <c r="M66" s="23">
        <f t="shared" si="3"/>
        <v>1.3831770607436011E-2</v>
      </c>
      <c r="O66">
        <v>1571.4578859999999</v>
      </c>
      <c r="P66" s="23">
        <f t="shared" si="4"/>
        <v>5.0103359669174452E-2</v>
      </c>
      <c r="R66" s="34">
        <v>19646.050781000002</v>
      </c>
      <c r="S66" s="23">
        <f t="shared" si="5"/>
        <v>-5.0113557356291638E-3</v>
      </c>
    </row>
    <row r="67" spans="2:19" x14ac:dyDescent="0.3">
      <c r="B67" s="33">
        <v>45138</v>
      </c>
      <c r="C67">
        <v>3301.8828130000002</v>
      </c>
      <c r="D67" s="23">
        <f t="shared" si="0"/>
        <v>-1.505587831205013E-2</v>
      </c>
      <c r="F67">
        <v>584.51812700000005</v>
      </c>
      <c r="G67" s="23">
        <f t="shared" si="1"/>
        <v>3.6783575079080588E-2</v>
      </c>
      <c r="I67">
        <v>325.65521200000001</v>
      </c>
      <c r="J67" s="23">
        <f t="shared" si="2"/>
        <v>-1.526286672529964E-3</v>
      </c>
      <c r="L67">
        <v>2772.3874510000001</v>
      </c>
      <c r="M67" s="23">
        <f t="shared" si="3"/>
        <v>5.3577838542431477E-2</v>
      </c>
      <c r="O67">
        <v>1583.349976</v>
      </c>
      <c r="P67" s="23">
        <f t="shared" si="4"/>
        <v>7.5675524657363713E-3</v>
      </c>
      <c r="R67" s="34">
        <v>19517</v>
      </c>
      <c r="S67" s="23">
        <f t="shared" si="5"/>
        <v>-6.568789953694365E-3</v>
      </c>
    </row>
    <row r="68" spans="2:19" x14ac:dyDescent="0.3">
      <c r="B68" s="33">
        <v>45145</v>
      </c>
      <c r="C68">
        <v>3149.3278810000002</v>
      </c>
      <c r="D68" s="23">
        <f t="shared" si="0"/>
        <v>-4.6202406517690031E-2</v>
      </c>
      <c r="F68">
        <v>583.91668700000002</v>
      </c>
      <c r="G68" s="23">
        <f t="shared" si="1"/>
        <v>-1.0289501252713773E-3</v>
      </c>
      <c r="I68">
        <v>327.54681399999998</v>
      </c>
      <c r="J68" s="23">
        <f t="shared" si="2"/>
        <v>5.8086034870523662E-3</v>
      </c>
      <c r="L68">
        <v>2768.7045899999998</v>
      </c>
      <c r="M68" s="23">
        <f t="shared" si="3"/>
        <v>-1.3284077586889209E-3</v>
      </c>
      <c r="O68">
        <v>1544.849976</v>
      </c>
      <c r="P68" s="23">
        <f t="shared" si="4"/>
        <v>-2.4315533889268215E-2</v>
      </c>
      <c r="R68" s="34">
        <v>19428.300781000002</v>
      </c>
      <c r="S68" s="23">
        <f t="shared" si="5"/>
        <v>-4.5447158374749552E-3</v>
      </c>
    </row>
    <row r="69" spans="2:19" x14ac:dyDescent="0.3">
      <c r="B69" s="33">
        <v>45152</v>
      </c>
      <c r="C69">
        <v>3127.774414</v>
      </c>
      <c r="D69" s="23">
        <f t="shared" si="0"/>
        <v>-6.8438307519623764E-3</v>
      </c>
      <c r="F69">
        <v>587.70831299999998</v>
      </c>
      <c r="G69" s="23">
        <f t="shared" si="1"/>
        <v>6.493436622748705E-3</v>
      </c>
      <c r="I69">
        <v>326.65081800000002</v>
      </c>
      <c r="J69" s="23">
        <f t="shared" si="2"/>
        <v>-2.7354746305057187E-3</v>
      </c>
      <c r="L69">
        <v>2776.1687010000001</v>
      </c>
      <c r="M69" s="23">
        <f t="shared" si="3"/>
        <v>2.6958856596543956E-3</v>
      </c>
      <c r="O69">
        <v>1498.0500489999999</v>
      </c>
      <c r="P69" s="23">
        <f t="shared" si="4"/>
        <v>-3.0294156537566619E-2</v>
      </c>
      <c r="R69" s="34">
        <v>19310.150390999999</v>
      </c>
      <c r="S69" s="23">
        <f t="shared" si="5"/>
        <v>-6.0813547891717112E-3</v>
      </c>
    </row>
    <row r="70" spans="2:19" x14ac:dyDescent="0.3">
      <c r="B70" s="33">
        <v>45159</v>
      </c>
      <c r="C70">
        <v>3222.4414059999999</v>
      </c>
      <c r="D70" s="23">
        <f t="shared" si="0"/>
        <v>3.0266566404619111E-2</v>
      </c>
      <c r="F70">
        <v>586.95831299999998</v>
      </c>
      <c r="G70" s="23">
        <f t="shared" si="1"/>
        <v>-1.2761432557786279E-3</v>
      </c>
      <c r="I70">
        <v>320.77688599999999</v>
      </c>
      <c r="J70" s="23">
        <f t="shared" si="2"/>
        <v>-1.7982296924785368E-2</v>
      </c>
      <c r="L70">
        <v>2715.2758789999998</v>
      </c>
      <c r="M70" s="23">
        <f t="shared" si="3"/>
        <v>-2.193412164688191E-2</v>
      </c>
      <c r="O70">
        <v>1515.5500489999999</v>
      </c>
      <c r="P70" s="23">
        <f t="shared" si="4"/>
        <v>1.1681852693561146E-2</v>
      </c>
      <c r="R70" s="34">
        <v>19265.800781000002</v>
      </c>
      <c r="S70" s="23">
        <f t="shared" si="5"/>
        <v>-2.2966993576947203E-3</v>
      </c>
    </row>
    <row r="71" spans="2:19" x14ac:dyDescent="0.3">
      <c r="B71" s="33">
        <v>45166</v>
      </c>
      <c r="C71">
        <v>3222.688721</v>
      </c>
      <c r="D71" s="23">
        <f t="shared" si="0"/>
        <v>7.674771045929063E-5</v>
      </c>
      <c r="F71">
        <v>599.875</v>
      </c>
      <c r="G71" s="23">
        <f t="shared" si="1"/>
        <v>2.2006140323631573E-2</v>
      </c>
      <c r="I71">
        <v>338.49822999999998</v>
      </c>
      <c r="J71" s="23">
        <f t="shared" si="2"/>
        <v>5.5245077726703729E-2</v>
      </c>
      <c r="L71">
        <v>2687.6779790000001</v>
      </c>
      <c r="M71" s="23">
        <f t="shared" si="3"/>
        <v>-1.0163939588401449E-2</v>
      </c>
      <c r="O71">
        <v>1583.1999510000001</v>
      </c>
      <c r="P71" s="23">
        <f t="shared" si="4"/>
        <v>4.4637194294333771E-2</v>
      </c>
      <c r="R71" s="34">
        <v>19435.300781000002</v>
      </c>
      <c r="S71" s="23">
        <f t="shared" si="5"/>
        <v>8.797973254616176E-3</v>
      </c>
    </row>
    <row r="72" spans="2:19" x14ac:dyDescent="0.3">
      <c r="B72" s="33">
        <v>45173</v>
      </c>
      <c r="C72">
        <v>3201.431885</v>
      </c>
      <c r="D72" s="23">
        <f t="shared" si="0"/>
        <v>-6.5959941652087295E-3</v>
      </c>
      <c r="F72">
        <v>597.41668700000002</v>
      </c>
      <c r="G72" s="23">
        <f t="shared" si="1"/>
        <v>-4.0980420921025162E-3</v>
      </c>
      <c r="I72">
        <v>335.76037600000001</v>
      </c>
      <c r="J72" s="23">
        <f t="shared" si="2"/>
        <v>-8.088237270841736E-3</v>
      </c>
      <c r="L72">
        <v>2659.0974120000001</v>
      </c>
      <c r="M72" s="23">
        <f t="shared" si="3"/>
        <v>-1.0633925352409146E-2</v>
      </c>
      <c r="O72">
        <v>1580.8000489999999</v>
      </c>
      <c r="P72" s="23">
        <f t="shared" si="4"/>
        <v>-1.5158552768298472E-3</v>
      </c>
      <c r="R72" s="34">
        <v>19819.949218999998</v>
      </c>
      <c r="S72" s="23">
        <f t="shared" si="5"/>
        <v>1.9791226404688889E-2</v>
      </c>
    </row>
    <row r="73" spans="2:19" x14ac:dyDescent="0.3">
      <c r="B73" s="33">
        <v>45180</v>
      </c>
      <c r="C73">
        <v>3160.5</v>
      </c>
      <c r="D73" s="23">
        <f t="shared" si="0"/>
        <v>-1.2785493013854898E-2</v>
      </c>
      <c r="F73">
        <v>599.75</v>
      </c>
      <c r="G73" s="23">
        <f t="shared" si="1"/>
        <v>3.905670950901996E-3</v>
      </c>
      <c r="I73">
        <v>325.20721400000002</v>
      </c>
      <c r="J73" s="23">
        <f t="shared" si="2"/>
        <v>-3.1430635519659966E-2</v>
      </c>
      <c r="L73">
        <v>2548.9504390000002</v>
      </c>
      <c r="M73" s="23">
        <f t="shared" si="3"/>
        <v>-4.142269196417081E-2</v>
      </c>
      <c r="O73">
        <v>1535.150024</v>
      </c>
      <c r="P73" s="23">
        <f t="shared" si="4"/>
        <v>-2.8877798320462889E-2</v>
      </c>
      <c r="R73" s="34">
        <v>20192.349609000001</v>
      </c>
      <c r="S73" s="23">
        <f t="shared" si="5"/>
        <v>1.8789169734249711E-2</v>
      </c>
    </row>
    <row r="74" spans="2:19" x14ac:dyDescent="0.3">
      <c r="B74" s="33">
        <v>45187</v>
      </c>
      <c r="C74">
        <v>3237.8156739999999</v>
      </c>
      <c r="D74" s="23">
        <f t="shared" ref="D74:D113" si="6">C74/C73-1</f>
        <v>2.4463114697041544E-2</v>
      </c>
      <c r="F74">
        <v>669.29998799999998</v>
      </c>
      <c r="G74" s="23">
        <f t="shared" ref="G74:G113" si="7">F74/F73-1</f>
        <v>0.11596496540225099</v>
      </c>
      <c r="I74">
        <v>321.025757</v>
      </c>
      <c r="J74" s="23">
        <f t="shared" ref="J74:J113" si="8">I74/I73-1</f>
        <v>-1.2857823627491882E-2</v>
      </c>
      <c r="L74">
        <v>2475.0935060000002</v>
      </c>
      <c r="M74" s="23">
        <f t="shared" ref="M74:M113" si="9">L74/L73-1</f>
        <v>-2.8975429208021541E-2</v>
      </c>
      <c r="O74">
        <v>1549.150024</v>
      </c>
      <c r="P74" s="23">
        <f t="shared" ref="P74:P113" si="10">O74/O73-1</f>
        <v>9.1196298610096704E-3</v>
      </c>
      <c r="R74" s="34">
        <v>19674.25</v>
      </c>
      <c r="S74" s="23">
        <f t="shared" ref="S74:S113" si="11">R74/R73-1</f>
        <v>-2.5658213087251469E-2</v>
      </c>
    </row>
    <row r="75" spans="2:19" x14ac:dyDescent="0.3">
      <c r="B75" s="33">
        <v>45194</v>
      </c>
      <c r="C75">
        <v>3125.3027339999999</v>
      </c>
      <c r="D75" s="23">
        <f t="shared" si="6"/>
        <v>-3.4749643379482942E-2</v>
      </c>
      <c r="F75">
        <v>568.84997599999997</v>
      </c>
      <c r="G75" s="23">
        <f t="shared" si="7"/>
        <v>-0.15008219602717221</v>
      </c>
      <c r="I75">
        <v>316.04785199999998</v>
      </c>
      <c r="J75" s="23">
        <f t="shared" si="8"/>
        <v>-1.5506247992431388E-2</v>
      </c>
      <c r="L75">
        <v>2463.798828</v>
      </c>
      <c r="M75" s="23">
        <f t="shared" si="9"/>
        <v>-4.5633338589512462E-3</v>
      </c>
      <c r="O75">
        <v>1485.8000489999999</v>
      </c>
      <c r="P75" s="23">
        <f t="shared" si="10"/>
        <v>-4.0893376379665614E-2</v>
      </c>
      <c r="R75" s="34">
        <v>19638.300781000002</v>
      </c>
      <c r="S75" s="23">
        <f t="shared" si="11"/>
        <v>-1.8272218254824502E-3</v>
      </c>
    </row>
    <row r="76" spans="2:19" x14ac:dyDescent="0.3">
      <c r="B76" s="33">
        <v>45201</v>
      </c>
      <c r="C76">
        <v>3159.610107</v>
      </c>
      <c r="D76" s="23">
        <f t="shared" si="6"/>
        <v>1.0977295935773457E-2</v>
      </c>
      <c r="F76">
        <v>565.34997599999997</v>
      </c>
      <c r="G76" s="23">
        <f t="shared" si="7"/>
        <v>-6.1527646087129462E-3</v>
      </c>
      <c r="I76">
        <v>322.36978099999999</v>
      </c>
      <c r="J76" s="23">
        <f t="shared" si="8"/>
        <v>2.0003075357082345E-2</v>
      </c>
      <c r="L76">
        <v>2463.0622560000002</v>
      </c>
      <c r="M76" s="23">
        <f t="shared" si="9"/>
        <v>-2.9895784981670559E-4</v>
      </c>
      <c r="O76">
        <v>1506.4499510000001</v>
      </c>
      <c r="P76" s="23">
        <f t="shared" si="10"/>
        <v>1.389817022411477E-2</v>
      </c>
      <c r="R76" s="34">
        <v>19653.5</v>
      </c>
      <c r="S76" s="23">
        <f t="shared" si="11"/>
        <v>7.7395794928980521E-4</v>
      </c>
    </row>
    <row r="77" spans="2:19" x14ac:dyDescent="0.3">
      <c r="B77" s="33">
        <v>45208</v>
      </c>
      <c r="C77">
        <v>3113.1911620000001</v>
      </c>
      <c r="D77" s="23">
        <f t="shared" si="6"/>
        <v>-1.4691352232720223E-2</v>
      </c>
      <c r="F77">
        <v>568.25</v>
      </c>
      <c r="G77" s="23">
        <f t="shared" si="7"/>
        <v>5.1296084250651575E-3</v>
      </c>
      <c r="I77">
        <v>321.47375499999998</v>
      </c>
      <c r="J77" s="23">
        <f t="shared" si="8"/>
        <v>-2.7794974988676335E-3</v>
      </c>
      <c r="L77">
        <v>2437.5754390000002</v>
      </c>
      <c r="M77" s="23">
        <f t="shared" si="9"/>
        <v>-1.0347613803879385E-2</v>
      </c>
      <c r="O77">
        <v>1455.400024</v>
      </c>
      <c r="P77" s="23">
        <f t="shared" si="10"/>
        <v>-3.3887569225988901E-2</v>
      </c>
      <c r="R77" s="34">
        <v>19751.050781000002</v>
      </c>
      <c r="S77" s="23">
        <f t="shared" si="11"/>
        <v>4.96353224616497E-3</v>
      </c>
    </row>
    <row r="78" spans="2:19" x14ac:dyDescent="0.3">
      <c r="B78" s="33">
        <v>45215</v>
      </c>
      <c r="C78">
        <v>3070.7270509999998</v>
      </c>
      <c r="D78" s="23">
        <f t="shared" si="6"/>
        <v>-1.3640058958897971E-2</v>
      </c>
      <c r="F78">
        <v>584.25</v>
      </c>
      <c r="G78" s="23">
        <f t="shared" si="7"/>
        <v>2.8156621205455368E-2</v>
      </c>
      <c r="I78">
        <v>319.83105499999999</v>
      </c>
      <c r="J78" s="23">
        <f t="shared" si="8"/>
        <v>-5.1099039173508887E-3</v>
      </c>
      <c r="L78">
        <v>2398.2409670000002</v>
      </c>
      <c r="M78" s="23">
        <f t="shared" si="9"/>
        <v>-1.6136719861329363E-2</v>
      </c>
      <c r="O78">
        <v>1458.599976</v>
      </c>
      <c r="P78" s="23">
        <f t="shared" si="10"/>
        <v>2.1986752420171118E-3</v>
      </c>
      <c r="R78" s="34">
        <v>19542.650390999999</v>
      </c>
      <c r="S78" s="23">
        <f t="shared" si="11"/>
        <v>-1.0551357105540893E-2</v>
      </c>
    </row>
    <row r="79" spans="2:19" x14ac:dyDescent="0.3">
      <c r="B79" s="33">
        <v>45222</v>
      </c>
      <c r="C79">
        <v>2921.7309570000002</v>
      </c>
      <c r="D79" s="23">
        <f t="shared" si="6"/>
        <v>-4.8521438579660847E-2</v>
      </c>
      <c r="F79">
        <v>537.54998799999998</v>
      </c>
      <c r="G79" s="23">
        <f t="shared" si="7"/>
        <v>-7.9931556696619666E-2</v>
      </c>
      <c r="I79">
        <v>312.16507000000001</v>
      </c>
      <c r="J79" s="23">
        <f t="shared" si="8"/>
        <v>-2.3968857558250511E-2</v>
      </c>
      <c r="L79">
        <v>2378.1071780000002</v>
      </c>
      <c r="M79" s="23">
        <f t="shared" si="9"/>
        <v>-8.3952318707930518E-3</v>
      </c>
      <c r="O79">
        <v>1411.8000489999999</v>
      </c>
      <c r="P79" s="23">
        <f t="shared" si="10"/>
        <v>-3.2085511977274273E-2</v>
      </c>
      <c r="R79" s="34">
        <v>19047.25</v>
      </c>
      <c r="S79" s="23">
        <f t="shared" si="11"/>
        <v>-2.5349703396840506E-2</v>
      </c>
    </row>
    <row r="80" spans="2:19" x14ac:dyDescent="0.3">
      <c r="B80" s="33">
        <v>45229</v>
      </c>
      <c r="C80">
        <v>2944.1745609999998</v>
      </c>
      <c r="D80" s="23">
        <f t="shared" si="6"/>
        <v>7.6816121437288665E-3</v>
      </c>
      <c r="F80">
        <v>553.15002400000003</v>
      </c>
      <c r="G80" s="23">
        <f t="shared" si="7"/>
        <v>2.9020623845684268E-2</v>
      </c>
      <c r="I80">
        <v>303.65283199999999</v>
      </c>
      <c r="J80" s="23">
        <f t="shared" si="8"/>
        <v>-2.7268387202962874E-2</v>
      </c>
      <c r="L80">
        <v>2398.9284670000002</v>
      </c>
      <c r="M80" s="23">
        <f t="shared" si="9"/>
        <v>8.7554039585007182E-3</v>
      </c>
      <c r="O80">
        <v>1464.099976</v>
      </c>
      <c r="P80" s="23">
        <f t="shared" si="10"/>
        <v>3.7044854217879397E-2</v>
      </c>
      <c r="R80" s="34">
        <v>19230.599609000001</v>
      </c>
      <c r="S80" s="23">
        <f t="shared" si="11"/>
        <v>9.6260409770438926E-3</v>
      </c>
    </row>
    <row r="81" spans="2:19" x14ac:dyDescent="0.3">
      <c r="B81" s="33">
        <v>45236</v>
      </c>
      <c r="C81">
        <v>3046.9689939999998</v>
      </c>
      <c r="D81" s="23">
        <f t="shared" si="6"/>
        <v>3.4914517081176655E-2</v>
      </c>
      <c r="F81">
        <v>578.40002400000003</v>
      </c>
      <c r="G81" s="23">
        <f t="shared" si="7"/>
        <v>4.5647652362752034E-2</v>
      </c>
      <c r="I81">
        <v>303.05548099999999</v>
      </c>
      <c r="J81" s="23">
        <f t="shared" si="8"/>
        <v>-1.9672169565011499E-3</v>
      </c>
      <c r="L81">
        <v>2408.8969729999999</v>
      </c>
      <c r="M81" s="23">
        <f t="shared" si="9"/>
        <v>4.1553994365099989E-3</v>
      </c>
      <c r="O81">
        <v>1502.9499510000001</v>
      </c>
      <c r="P81" s="23">
        <f t="shared" si="10"/>
        <v>2.6535056100567944E-2</v>
      </c>
      <c r="R81" s="34">
        <v>19425.349609000001</v>
      </c>
      <c r="S81" s="23">
        <f t="shared" si="11"/>
        <v>1.0127089324289962E-2</v>
      </c>
    </row>
    <row r="82" spans="2:19" x14ac:dyDescent="0.3">
      <c r="B82" s="33">
        <v>45243</v>
      </c>
      <c r="C82">
        <v>3138.5329590000001</v>
      </c>
      <c r="D82" s="23">
        <f t="shared" si="6"/>
        <v>3.0050835824160016E-2</v>
      </c>
      <c r="F82">
        <v>587.79998799999998</v>
      </c>
      <c r="G82" s="23">
        <f t="shared" si="7"/>
        <v>1.6251665992323527E-2</v>
      </c>
      <c r="I82">
        <v>323.96270800000002</v>
      </c>
      <c r="J82" s="23">
        <f t="shared" si="8"/>
        <v>6.898811706362129E-2</v>
      </c>
      <c r="L82">
        <v>2436.790039</v>
      </c>
      <c r="M82" s="23">
        <f t="shared" si="9"/>
        <v>1.1579185956327009E-2</v>
      </c>
      <c r="O82">
        <v>1539.650024</v>
      </c>
      <c r="P82" s="23">
        <f t="shared" si="10"/>
        <v>2.4418692702030009E-2</v>
      </c>
      <c r="R82" s="34">
        <v>19731.800781000002</v>
      </c>
      <c r="S82" s="23">
        <f t="shared" si="11"/>
        <v>1.5775838178892609E-2</v>
      </c>
    </row>
    <row r="83" spans="2:19" x14ac:dyDescent="0.3">
      <c r="B83" s="33">
        <v>45250</v>
      </c>
      <c r="C83">
        <v>3106.0966800000001</v>
      </c>
      <c r="D83" s="23">
        <f t="shared" si="6"/>
        <v>-1.0334853711504444E-2</v>
      </c>
      <c r="F83">
        <v>573.54998799999998</v>
      </c>
      <c r="G83" s="23">
        <f t="shared" si="7"/>
        <v>-2.4242940270356006E-2</v>
      </c>
      <c r="I83">
        <v>318.93502799999999</v>
      </c>
      <c r="J83" s="23">
        <f t="shared" si="8"/>
        <v>-1.5519317118438347E-2</v>
      </c>
      <c r="L83">
        <v>2432.321289</v>
      </c>
      <c r="M83" s="23">
        <f t="shared" si="9"/>
        <v>-1.8338674766718022E-3</v>
      </c>
      <c r="O83">
        <v>1482.5</v>
      </c>
      <c r="P83" s="23">
        <f t="shared" si="10"/>
        <v>-3.7118840716492629E-2</v>
      </c>
      <c r="R83" s="34">
        <v>19794.699218999998</v>
      </c>
      <c r="S83" s="23">
        <f t="shared" si="11"/>
        <v>3.1876684088845142E-3</v>
      </c>
    </row>
    <row r="84" spans="2:19" x14ac:dyDescent="0.3">
      <c r="B84" s="33">
        <v>45257</v>
      </c>
      <c r="C84">
        <v>3142.9897460000002</v>
      </c>
      <c r="D84" s="23">
        <f t="shared" si="6"/>
        <v>1.1877629642873755E-2</v>
      </c>
      <c r="F84">
        <v>586.15002400000003</v>
      </c>
      <c r="G84" s="23">
        <f t="shared" si="7"/>
        <v>2.1968505385096426E-2</v>
      </c>
      <c r="I84">
        <v>318.63635299999999</v>
      </c>
      <c r="J84" s="23">
        <f t="shared" si="8"/>
        <v>-9.3647600225332805E-4</v>
      </c>
      <c r="L84">
        <v>2437.2319339999999</v>
      </c>
      <c r="M84" s="23">
        <f t="shared" si="9"/>
        <v>2.0189129709993203E-3</v>
      </c>
      <c r="O84">
        <v>1497.75</v>
      </c>
      <c r="P84" s="23">
        <f t="shared" si="10"/>
        <v>1.0286677908937669E-2</v>
      </c>
      <c r="R84" s="34">
        <v>20267.900390999999</v>
      </c>
      <c r="S84" s="23">
        <f t="shared" si="11"/>
        <v>2.390544896715574E-2</v>
      </c>
    </row>
    <row r="85" spans="2:19" x14ac:dyDescent="0.3">
      <c r="B85" s="33">
        <v>45264</v>
      </c>
      <c r="C85">
        <v>3201.0283199999999</v>
      </c>
      <c r="D85" s="23">
        <f t="shared" si="6"/>
        <v>1.8466039882523821E-2</v>
      </c>
      <c r="F85">
        <v>578.95001200000002</v>
      </c>
      <c r="G85" s="23">
        <f t="shared" si="7"/>
        <v>-1.2283565137242047E-2</v>
      </c>
      <c r="I85">
        <v>328.89086900000001</v>
      </c>
      <c r="J85" s="23">
        <f t="shared" si="8"/>
        <v>3.2182504925921007E-2</v>
      </c>
      <c r="L85">
        <v>2515.9013669999999</v>
      </c>
      <c r="M85" s="23">
        <f t="shared" si="9"/>
        <v>3.2278188998979385E-2</v>
      </c>
      <c r="O85">
        <v>1489</v>
      </c>
      <c r="P85" s="23">
        <f t="shared" si="10"/>
        <v>-5.8420964780504514E-3</v>
      </c>
      <c r="R85" s="34">
        <v>20969.400390999999</v>
      </c>
      <c r="S85" s="23">
        <f t="shared" si="11"/>
        <v>3.4611379889724736E-2</v>
      </c>
    </row>
    <row r="86" spans="2:19" x14ac:dyDescent="0.3">
      <c r="B86" s="33">
        <v>45271</v>
      </c>
      <c r="C86">
        <v>3282.1433109999998</v>
      </c>
      <c r="D86" s="23">
        <f t="shared" si="6"/>
        <v>2.5340291584799113E-2</v>
      </c>
      <c r="F86">
        <v>585.79998799999998</v>
      </c>
      <c r="G86" s="23">
        <f t="shared" si="7"/>
        <v>1.18317227014757E-2</v>
      </c>
      <c r="I86">
        <v>331.429596</v>
      </c>
      <c r="J86" s="23">
        <f t="shared" si="8"/>
        <v>7.719055891454385E-3</v>
      </c>
      <c r="L86">
        <v>2508.6335450000001</v>
      </c>
      <c r="M86" s="23">
        <f t="shared" si="9"/>
        <v>-2.888754740280608E-3</v>
      </c>
      <c r="O86">
        <v>1478.900024</v>
      </c>
      <c r="P86" s="23">
        <f t="shared" si="10"/>
        <v>-6.7830597716588281E-3</v>
      </c>
      <c r="R86" s="34">
        <v>21456.650390999999</v>
      </c>
      <c r="S86" s="23">
        <f t="shared" si="11"/>
        <v>2.3236239039487572E-2</v>
      </c>
    </row>
    <row r="87" spans="2:19" x14ac:dyDescent="0.3">
      <c r="B87" s="33">
        <v>45278</v>
      </c>
      <c r="C87">
        <v>3309.2810060000002</v>
      </c>
      <c r="D87" s="23">
        <f t="shared" si="6"/>
        <v>8.2682846020309952E-3</v>
      </c>
      <c r="F87">
        <v>583.15002400000003</v>
      </c>
      <c r="G87" s="23">
        <f t="shared" si="7"/>
        <v>-4.523666873137544E-3</v>
      </c>
      <c r="I87">
        <v>321.025757</v>
      </c>
      <c r="J87" s="23">
        <f t="shared" si="8"/>
        <v>-3.1390796493623974E-2</v>
      </c>
      <c r="L87">
        <v>2520.0263669999999</v>
      </c>
      <c r="M87" s="23">
        <f t="shared" si="9"/>
        <v>4.5414452910856884E-3</v>
      </c>
      <c r="O87">
        <v>1465.599976</v>
      </c>
      <c r="P87" s="23">
        <f t="shared" si="10"/>
        <v>-8.9932029103815259E-3</v>
      </c>
      <c r="R87" s="34">
        <v>21349.400390999999</v>
      </c>
      <c r="S87" s="23">
        <f t="shared" si="11"/>
        <v>-4.9984502727874469E-3</v>
      </c>
    </row>
    <row r="88" spans="2:19" x14ac:dyDescent="0.3">
      <c r="B88" s="33">
        <v>45285</v>
      </c>
      <c r="C88">
        <v>3369.7954100000002</v>
      </c>
      <c r="D88" s="23">
        <f t="shared" si="6"/>
        <v>1.8286269401202926E-2</v>
      </c>
      <c r="F88">
        <v>604.65002400000003</v>
      </c>
      <c r="G88" s="23">
        <f t="shared" si="7"/>
        <v>3.6868728654978256E-2</v>
      </c>
      <c r="I88">
        <v>331.77804600000002</v>
      </c>
      <c r="J88" s="23">
        <f t="shared" si="8"/>
        <v>3.3493539896862545E-2</v>
      </c>
      <c r="L88">
        <v>2560.8833009999998</v>
      </c>
      <c r="M88" s="23">
        <f t="shared" si="9"/>
        <v>1.6212899410508408E-2</v>
      </c>
      <c r="O88">
        <v>1490.5</v>
      </c>
      <c r="P88" s="23">
        <f t="shared" si="10"/>
        <v>1.6989645474721371E-2</v>
      </c>
      <c r="R88" s="34">
        <v>21731.400390999999</v>
      </c>
      <c r="S88" s="23">
        <f t="shared" si="11"/>
        <v>1.7892774176507364E-2</v>
      </c>
    </row>
    <row r="89" spans="2:19" x14ac:dyDescent="0.3">
      <c r="B89" s="33">
        <v>45292</v>
      </c>
      <c r="C89">
        <v>3323.3945309999999</v>
      </c>
      <c r="D89" s="23">
        <f t="shared" si="6"/>
        <v>-1.3769642768906354E-2</v>
      </c>
      <c r="F89">
        <v>596.34997599999997</v>
      </c>
      <c r="G89" s="23">
        <f t="shared" si="7"/>
        <v>-1.3727028314812539E-2</v>
      </c>
      <c r="I89">
        <v>335.21283</v>
      </c>
      <c r="J89" s="23">
        <f t="shared" si="8"/>
        <v>1.0352656064530397E-2</v>
      </c>
      <c r="L89">
        <v>2611.5126949999999</v>
      </c>
      <c r="M89" s="23">
        <f t="shared" si="9"/>
        <v>1.977028550275195E-2</v>
      </c>
      <c r="O89">
        <v>1498.75</v>
      </c>
      <c r="P89" s="23">
        <f t="shared" si="10"/>
        <v>5.5350553505535416E-3</v>
      </c>
      <c r="R89" s="34">
        <v>21710.800781000002</v>
      </c>
      <c r="S89" s="23">
        <f t="shared" si="11"/>
        <v>-9.4791912299074799E-4</v>
      </c>
    </row>
    <row r="90" spans="2:19" x14ac:dyDescent="0.3">
      <c r="B90" s="33">
        <v>45299</v>
      </c>
      <c r="C90">
        <v>3246.389404</v>
      </c>
      <c r="D90" s="23">
        <f t="shared" si="6"/>
        <v>-2.3170624577284027E-2</v>
      </c>
      <c r="F90">
        <v>595.79998799999998</v>
      </c>
      <c r="G90" s="23">
        <f t="shared" si="7"/>
        <v>-9.2225710092086466E-4</v>
      </c>
      <c r="I90">
        <v>338.79690599999998</v>
      </c>
      <c r="J90" s="23">
        <f t="shared" si="8"/>
        <v>1.069194159424014E-2</v>
      </c>
      <c r="L90">
        <v>2613.9682619999999</v>
      </c>
      <c r="M90" s="23">
        <f t="shared" si="9"/>
        <v>9.4028530081491368E-4</v>
      </c>
      <c r="O90">
        <v>1484.5500489999999</v>
      </c>
      <c r="P90" s="23">
        <f t="shared" si="10"/>
        <v>-9.474529441201085E-3</v>
      </c>
      <c r="R90" s="34">
        <v>21894.550781000002</v>
      </c>
      <c r="S90" s="23">
        <f t="shared" si="11"/>
        <v>8.4635293674109047E-3</v>
      </c>
    </row>
    <row r="91" spans="2:19" x14ac:dyDescent="0.3">
      <c r="B91" s="33">
        <v>45306</v>
      </c>
      <c r="C91">
        <v>3135.5124510000001</v>
      </c>
      <c r="D91" s="23">
        <f t="shared" si="6"/>
        <v>-3.415392893513769E-2</v>
      </c>
      <c r="F91">
        <v>579.34997599999997</v>
      </c>
      <c r="G91" s="23">
        <f t="shared" si="7"/>
        <v>-2.7609956917286849E-2</v>
      </c>
      <c r="I91">
        <v>342.77923600000003</v>
      </c>
      <c r="J91" s="23">
        <f t="shared" si="8"/>
        <v>1.1754328122465241E-2</v>
      </c>
      <c r="L91">
        <v>2647.9504390000002</v>
      </c>
      <c r="M91" s="23">
        <f t="shared" si="9"/>
        <v>1.3000225555148903E-2</v>
      </c>
      <c r="O91">
        <v>1469.25</v>
      </c>
      <c r="P91" s="23">
        <f t="shared" si="10"/>
        <v>-1.0306186046274535E-2</v>
      </c>
      <c r="R91" s="34">
        <v>21622.400390999999</v>
      </c>
      <c r="S91" s="23">
        <f t="shared" si="11"/>
        <v>-1.2430051327482539E-2</v>
      </c>
    </row>
    <row r="92" spans="2:19" x14ac:dyDescent="0.3">
      <c r="B92" s="33">
        <v>45313</v>
      </c>
      <c r="C92">
        <v>2920.938232</v>
      </c>
      <c r="D92" s="23">
        <f t="shared" si="6"/>
        <v>-6.8433540722048991E-2</v>
      </c>
      <c r="F92">
        <v>554.70001200000002</v>
      </c>
      <c r="G92" s="23">
        <f t="shared" si="7"/>
        <v>-4.2547622371870042E-2</v>
      </c>
      <c r="I92">
        <v>331.28027300000002</v>
      </c>
      <c r="J92" s="23">
        <f t="shared" si="8"/>
        <v>-3.3546264745160981E-2</v>
      </c>
      <c r="L92">
        <v>2548.4101559999999</v>
      </c>
      <c r="M92" s="23">
        <f t="shared" si="9"/>
        <v>-3.7591444890332504E-2</v>
      </c>
      <c r="O92">
        <v>1450</v>
      </c>
      <c r="P92" s="23">
        <f t="shared" si="10"/>
        <v>-1.3101922749702233E-2</v>
      </c>
      <c r="R92" s="34">
        <v>21352.599609000001</v>
      </c>
      <c r="S92" s="23">
        <f t="shared" si="11"/>
        <v>-1.2477836739731241E-2</v>
      </c>
    </row>
    <row r="93" spans="2:19" x14ac:dyDescent="0.3">
      <c r="B93" s="33">
        <v>45320</v>
      </c>
      <c r="C93">
        <v>2908.1621089999999</v>
      </c>
      <c r="D93" s="23">
        <f t="shared" si="6"/>
        <v>-4.3739791756062241E-3</v>
      </c>
      <c r="F93">
        <v>569.54998799999998</v>
      </c>
      <c r="G93" s="23">
        <f t="shared" si="7"/>
        <v>2.6771183844863433E-2</v>
      </c>
      <c r="I93">
        <v>338.99603300000001</v>
      </c>
      <c r="J93" s="23">
        <f t="shared" si="8"/>
        <v>2.3290731832981804E-2</v>
      </c>
      <c r="L93">
        <v>2634.593018</v>
      </c>
      <c r="M93" s="23">
        <f t="shared" si="9"/>
        <v>3.3818285411039595E-2</v>
      </c>
      <c r="O93">
        <v>1418.900024</v>
      </c>
      <c r="P93" s="23">
        <f t="shared" si="10"/>
        <v>-2.1448259310344775E-2</v>
      </c>
      <c r="R93" s="34">
        <v>21853.800781000002</v>
      </c>
      <c r="S93" s="23">
        <f t="shared" si="11"/>
        <v>2.3472606669810325E-2</v>
      </c>
    </row>
    <row r="94" spans="2:19" x14ac:dyDescent="0.3">
      <c r="B94" s="33">
        <v>45327</v>
      </c>
      <c r="C94">
        <v>2923.3647460000002</v>
      </c>
      <c r="D94" s="23">
        <f t="shared" si="6"/>
        <v>5.2275755030821713E-3</v>
      </c>
      <c r="F94">
        <v>554</v>
      </c>
      <c r="G94" s="23">
        <f t="shared" si="7"/>
        <v>-2.7302235673122288E-2</v>
      </c>
      <c r="I94">
        <v>315.35092200000003</v>
      </c>
      <c r="J94" s="23">
        <f t="shared" si="8"/>
        <v>-6.97504061942813E-2</v>
      </c>
      <c r="L94">
        <v>2824.5390630000002</v>
      </c>
      <c r="M94" s="23">
        <f t="shared" si="9"/>
        <v>7.209692111922239E-2</v>
      </c>
      <c r="O94">
        <v>1423.3000489999999</v>
      </c>
      <c r="P94" s="23">
        <f t="shared" si="10"/>
        <v>3.1010112943659074E-3</v>
      </c>
      <c r="R94" s="34">
        <v>21782.5</v>
      </c>
      <c r="S94" s="23">
        <f t="shared" si="11"/>
        <v>-3.2626261085894059E-3</v>
      </c>
    </row>
    <row r="95" spans="2:19" x14ac:dyDescent="0.3">
      <c r="B95" s="33">
        <v>45334</v>
      </c>
      <c r="C95">
        <v>2979.0756839999999</v>
      </c>
      <c r="D95" s="23">
        <f t="shared" si="6"/>
        <v>1.9057128631050357E-2</v>
      </c>
      <c r="F95">
        <v>562.90002400000003</v>
      </c>
      <c r="G95" s="23">
        <f t="shared" si="7"/>
        <v>1.6065025270758149E-2</v>
      </c>
      <c r="I95">
        <v>303.05548099999999</v>
      </c>
      <c r="J95" s="23">
        <f t="shared" si="8"/>
        <v>-3.8989710009473266E-2</v>
      </c>
      <c r="L95">
        <v>2789.7221679999998</v>
      </c>
      <c r="M95" s="23">
        <f t="shared" si="9"/>
        <v>-1.2326575849519572E-2</v>
      </c>
      <c r="O95">
        <v>1494.6999510000001</v>
      </c>
      <c r="P95" s="23">
        <f t="shared" si="10"/>
        <v>5.0165038672039142E-2</v>
      </c>
      <c r="R95" s="34">
        <v>22040.699218999998</v>
      </c>
      <c r="S95" s="23">
        <f t="shared" si="11"/>
        <v>1.1853516308963474E-2</v>
      </c>
    </row>
    <row r="96" spans="2:19" x14ac:dyDescent="0.3">
      <c r="B96" s="33">
        <v>45341</v>
      </c>
      <c r="C96">
        <v>2957.336182</v>
      </c>
      <c r="D96" s="23">
        <f t="shared" si="6"/>
        <v>-7.2973983563956457E-3</v>
      </c>
      <c r="F96">
        <v>571.90002400000003</v>
      </c>
      <c r="G96" s="23">
        <f t="shared" si="7"/>
        <v>1.5988629625640183E-2</v>
      </c>
      <c r="I96">
        <v>300.61630200000002</v>
      </c>
      <c r="J96" s="23">
        <f t="shared" si="8"/>
        <v>-8.048621961732394E-3</v>
      </c>
      <c r="L96">
        <v>2733.6000979999999</v>
      </c>
      <c r="M96" s="23">
        <f t="shared" si="9"/>
        <v>-2.0117440598120484E-2</v>
      </c>
      <c r="O96">
        <v>1443.5</v>
      </c>
      <c r="P96" s="23">
        <f t="shared" si="10"/>
        <v>-3.4254333764944356E-2</v>
      </c>
      <c r="R96" s="34">
        <v>22212.699218999998</v>
      </c>
      <c r="S96" s="23">
        <f t="shared" si="11"/>
        <v>7.803745166656384E-3</v>
      </c>
    </row>
    <row r="97" spans="2:19" x14ac:dyDescent="0.3">
      <c r="B97" s="33">
        <v>45348</v>
      </c>
      <c r="C97">
        <v>2804.6137699999999</v>
      </c>
      <c r="D97" s="23">
        <f t="shared" si="6"/>
        <v>-5.1641883979763326E-2</v>
      </c>
      <c r="F97">
        <v>589.15002400000003</v>
      </c>
      <c r="G97" s="23">
        <f t="shared" si="7"/>
        <v>3.0162614576144886E-2</v>
      </c>
      <c r="I97">
        <v>288.76886000000002</v>
      </c>
      <c r="J97" s="23">
        <f t="shared" si="8"/>
        <v>-3.9410510744690042E-2</v>
      </c>
      <c r="L97">
        <v>2496.75</v>
      </c>
      <c r="M97" s="23">
        <f t="shared" si="9"/>
        <v>-8.6644018696548919E-2</v>
      </c>
      <c r="O97">
        <v>1400.9499510000001</v>
      </c>
      <c r="P97" s="23">
        <f t="shared" si="10"/>
        <v>-2.9476999653619607E-2</v>
      </c>
      <c r="R97" s="34">
        <v>22338.75</v>
      </c>
      <c r="S97" s="23">
        <f t="shared" si="11"/>
        <v>5.6747169606556902E-3</v>
      </c>
    </row>
    <row r="98" spans="2:19" x14ac:dyDescent="0.3">
      <c r="B98" s="33">
        <v>45355</v>
      </c>
      <c r="C98">
        <v>2843.0419919999999</v>
      </c>
      <c r="D98" s="23">
        <f t="shared" si="6"/>
        <v>1.3701787537041099E-2</v>
      </c>
      <c r="F98">
        <v>573.40002400000003</v>
      </c>
      <c r="G98" s="23">
        <f t="shared" si="7"/>
        <v>-2.6733428428070471E-2</v>
      </c>
      <c r="I98">
        <v>282.79534899999999</v>
      </c>
      <c r="J98" s="23">
        <f t="shared" si="8"/>
        <v>-2.0686132846872818E-2</v>
      </c>
      <c r="L98">
        <v>2418.6999510000001</v>
      </c>
      <c r="M98" s="23">
        <f t="shared" si="9"/>
        <v>-3.1260658455992796E-2</v>
      </c>
      <c r="O98">
        <v>1363.5500489999999</v>
      </c>
      <c r="P98" s="23">
        <f t="shared" si="10"/>
        <v>-2.6696101436959996E-2</v>
      </c>
      <c r="R98" s="34">
        <v>22493.550781000002</v>
      </c>
      <c r="S98" s="23">
        <f t="shared" si="11"/>
        <v>6.9296975435062524E-3</v>
      </c>
    </row>
    <row r="99" spans="2:19" x14ac:dyDescent="0.3">
      <c r="B99" s="33">
        <v>45362</v>
      </c>
      <c r="C99">
        <v>2840.0708009999998</v>
      </c>
      <c r="D99" s="23">
        <f t="shared" si="6"/>
        <v>-1.0450746096472008E-3</v>
      </c>
      <c r="F99">
        <v>557.79998799999998</v>
      </c>
      <c r="G99" s="23">
        <f t="shared" si="7"/>
        <v>-2.7206200465732855E-2</v>
      </c>
      <c r="I99">
        <v>270.15145899999999</v>
      </c>
      <c r="J99" s="23">
        <f t="shared" si="8"/>
        <v>-4.4710388783657073E-2</v>
      </c>
      <c r="L99">
        <v>2394.8999020000001</v>
      </c>
      <c r="M99" s="23">
        <f t="shared" si="9"/>
        <v>-9.8400171506018985E-3</v>
      </c>
      <c r="O99">
        <v>1341.4499510000001</v>
      </c>
      <c r="P99" s="23">
        <f t="shared" si="10"/>
        <v>-1.6207764442682238E-2</v>
      </c>
      <c r="R99" s="34">
        <v>22023.349609000001</v>
      </c>
      <c r="S99" s="23">
        <f t="shared" si="11"/>
        <v>-2.0903821569921877E-2</v>
      </c>
    </row>
    <row r="100" spans="2:19" x14ac:dyDescent="0.3">
      <c r="B100" s="33">
        <v>45369</v>
      </c>
      <c r="C100">
        <v>2814.2705080000001</v>
      </c>
      <c r="D100" s="23">
        <f t="shared" si="6"/>
        <v>-9.084383738220736E-3</v>
      </c>
      <c r="F100">
        <v>558.34997599999997</v>
      </c>
      <c r="G100" s="23">
        <f t="shared" si="7"/>
        <v>9.8599500149143537E-4</v>
      </c>
      <c r="I100">
        <v>267.46337899999997</v>
      </c>
      <c r="J100" s="23">
        <f t="shared" si="8"/>
        <v>-9.9502701556759554E-3</v>
      </c>
      <c r="L100">
        <v>2462.5</v>
      </c>
      <c r="M100" s="23">
        <f t="shared" si="9"/>
        <v>2.8226690369625329E-2</v>
      </c>
      <c r="O100">
        <v>1321.1999510000001</v>
      </c>
      <c r="P100" s="23">
        <f t="shared" si="10"/>
        <v>-1.5095606052916377E-2</v>
      </c>
      <c r="R100" s="34">
        <v>22096.75</v>
      </c>
      <c r="S100" s="23">
        <f t="shared" si="11"/>
        <v>3.3328441087818739E-3</v>
      </c>
    </row>
    <row r="101" spans="2:19" x14ac:dyDescent="0.3">
      <c r="B101" s="33">
        <v>45376</v>
      </c>
      <c r="C101">
        <v>2819.4702149999998</v>
      </c>
      <c r="D101" s="23">
        <f t="shared" si="6"/>
        <v>1.8476216075244967E-3</v>
      </c>
      <c r="F101">
        <v>573.04998799999998</v>
      </c>
      <c r="G101" s="23">
        <f t="shared" si="7"/>
        <v>2.6327594934829834E-2</v>
      </c>
      <c r="I101">
        <v>261.09164399999997</v>
      </c>
      <c r="J101" s="23">
        <f t="shared" si="8"/>
        <v>-2.3822831461349336E-2</v>
      </c>
      <c r="L101">
        <v>2384.6999510000001</v>
      </c>
      <c r="M101" s="23">
        <f t="shared" si="9"/>
        <v>-3.1593928527918758E-2</v>
      </c>
      <c r="O101">
        <v>1256.599976</v>
      </c>
      <c r="P101" s="23">
        <f t="shared" si="10"/>
        <v>-4.8894926881510314E-2</v>
      </c>
      <c r="R101" s="34">
        <v>22326.900390999999</v>
      </c>
      <c r="S101" s="23">
        <f t="shared" si="11"/>
        <v>1.0415576544061889E-2</v>
      </c>
    </row>
    <row r="102" spans="2:19" x14ac:dyDescent="0.3">
      <c r="B102" s="33">
        <v>45383</v>
      </c>
      <c r="C102">
        <v>2855.8183589999999</v>
      </c>
      <c r="D102" s="23">
        <f t="shared" si="6"/>
        <v>1.2891834716544537E-2</v>
      </c>
      <c r="F102">
        <v>562.15002400000003</v>
      </c>
      <c r="G102" s="23">
        <f t="shared" si="7"/>
        <v>-1.9020965410089019E-2</v>
      </c>
      <c r="I102">
        <v>283.89050300000002</v>
      </c>
      <c r="J102" s="23">
        <f t="shared" si="8"/>
        <v>8.7321289378376576E-2</v>
      </c>
      <c r="L102">
        <v>2472.6000979999999</v>
      </c>
      <c r="M102" s="23">
        <f t="shared" si="9"/>
        <v>3.6860044788083135E-2</v>
      </c>
      <c r="O102">
        <v>1394.650024</v>
      </c>
      <c r="P102" s="23">
        <f t="shared" si="10"/>
        <v>0.10985997981588369</v>
      </c>
      <c r="R102" s="34">
        <v>22513.699218999998</v>
      </c>
      <c r="S102" s="23">
        <f t="shared" si="11"/>
        <v>8.3665365424077098E-3</v>
      </c>
    </row>
    <row r="103" spans="2:19" x14ac:dyDescent="0.3">
      <c r="B103" s="33">
        <v>45390</v>
      </c>
      <c r="C103">
        <v>2827.1457519999999</v>
      </c>
      <c r="D103" s="23">
        <f t="shared" si="6"/>
        <v>-1.0040066767425637E-2</v>
      </c>
      <c r="F103">
        <v>556.75</v>
      </c>
      <c r="G103" s="23">
        <f t="shared" si="7"/>
        <v>-9.6060193355075318E-3</v>
      </c>
      <c r="I103">
        <v>279.16146900000001</v>
      </c>
      <c r="J103" s="23">
        <f t="shared" si="8"/>
        <v>-1.6657950688826029E-2</v>
      </c>
      <c r="L103">
        <v>2455.6999510000001</v>
      </c>
      <c r="M103" s="23">
        <f t="shared" si="9"/>
        <v>-6.834969801089108E-3</v>
      </c>
      <c r="O103">
        <v>1347.8000489999999</v>
      </c>
      <c r="P103" s="23">
        <f t="shared" si="10"/>
        <v>-3.3592639152315473E-2</v>
      </c>
      <c r="R103" s="34">
        <v>22519.400390999999</v>
      </c>
      <c r="S103" s="23">
        <f t="shared" si="11"/>
        <v>2.5323124132303754E-4</v>
      </c>
    </row>
    <row r="104" spans="2:19" x14ac:dyDescent="0.3">
      <c r="B104" s="33">
        <v>45397</v>
      </c>
      <c r="C104">
        <v>2781.6362300000001</v>
      </c>
      <c r="D104" s="23">
        <f t="shared" si="6"/>
        <v>-1.6097338443836873E-2</v>
      </c>
      <c r="F104">
        <v>504.54998799999998</v>
      </c>
      <c r="G104" s="23">
        <f t="shared" si="7"/>
        <v>-9.3758440951953292E-2</v>
      </c>
      <c r="I104">
        <v>272.14263899999997</v>
      </c>
      <c r="J104" s="23">
        <f t="shared" si="8"/>
        <v>-2.5142545728615739E-2</v>
      </c>
      <c r="L104">
        <v>2406.25</v>
      </c>
      <c r="M104" s="23">
        <f t="shared" si="9"/>
        <v>-2.0136804978907685E-2</v>
      </c>
      <c r="O104">
        <v>1312.25</v>
      </c>
      <c r="P104" s="23">
        <f t="shared" si="10"/>
        <v>-2.6376352357589172E-2</v>
      </c>
      <c r="R104" s="34">
        <v>22147</v>
      </c>
      <c r="S104" s="23">
        <f t="shared" si="11"/>
        <v>-1.6536869744934735E-2</v>
      </c>
    </row>
    <row r="105" spans="2:19" x14ac:dyDescent="0.3">
      <c r="B105" s="33">
        <v>45404</v>
      </c>
      <c r="C105">
        <v>2816.8950199999999</v>
      </c>
      <c r="D105" s="23">
        <f t="shared" si="6"/>
        <v>1.2675557508107227E-2</v>
      </c>
      <c r="F105">
        <v>503.10000600000001</v>
      </c>
      <c r="G105" s="23">
        <f t="shared" si="7"/>
        <v>-2.8738123763466517E-3</v>
      </c>
      <c r="I105">
        <v>278.66369600000002</v>
      </c>
      <c r="J105" s="23">
        <f t="shared" si="8"/>
        <v>2.3961908446107349E-2</v>
      </c>
      <c r="L105">
        <v>2442</v>
      </c>
      <c r="M105" s="23">
        <f t="shared" si="9"/>
        <v>1.4857142857142902E-2</v>
      </c>
      <c r="O105">
        <v>1325</v>
      </c>
      <c r="P105" s="23">
        <f t="shared" si="10"/>
        <v>9.7161364069346945E-3</v>
      </c>
      <c r="R105" s="34">
        <v>22419.949218999998</v>
      </c>
      <c r="S105" s="23">
        <f t="shared" si="11"/>
        <v>1.2324433060911133E-2</v>
      </c>
    </row>
    <row r="106" spans="2:19" x14ac:dyDescent="0.3">
      <c r="B106" s="33">
        <v>45411</v>
      </c>
      <c r="C106">
        <v>2901.6748050000001</v>
      </c>
      <c r="D106" s="23">
        <f t="shared" si="6"/>
        <v>3.0096891931741254E-2</v>
      </c>
      <c r="F106">
        <v>523.25</v>
      </c>
      <c r="G106" s="23">
        <f t="shared" si="7"/>
        <v>4.0051667182846362E-2</v>
      </c>
      <c r="I106">
        <v>286.27990699999998</v>
      </c>
      <c r="J106" s="23">
        <f t="shared" si="8"/>
        <v>2.7331192076057054E-2</v>
      </c>
      <c r="L106">
        <v>2514.5500489999999</v>
      </c>
      <c r="M106" s="23">
        <f t="shared" si="9"/>
        <v>2.9709274774774697E-2</v>
      </c>
      <c r="O106">
        <v>1380.1999510000001</v>
      </c>
      <c r="P106" s="23">
        <f t="shared" si="10"/>
        <v>4.1660340377358551E-2</v>
      </c>
      <c r="R106" s="34">
        <v>22475.849609000001</v>
      </c>
      <c r="S106" s="23">
        <f t="shared" si="11"/>
        <v>2.4933325875970969E-3</v>
      </c>
    </row>
    <row r="107" spans="2:19" x14ac:dyDescent="0.3">
      <c r="B107" s="33">
        <v>45418</v>
      </c>
      <c r="C107">
        <v>2744.6936040000001</v>
      </c>
      <c r="D107" s="23">
        <f t="shared" si="6"/>
        <v>-5.4100204726421852E-2</v>
      </c>
      <c r="F107">
        <v>490.25</v>
      </c>
      <c r="G107" s="23">
        <f t="shared" si="7"/>
        <v>-6.3067367415193476E-2</v>
      </c>
      <c r="I107">
        <v>276.622772</v>
      </c>
      <c r="J107" s="23">
        <f t="shared" si="8"/>
        <v>-3.3733191760468184E-2</v>
      </c>
      <c r="L107">
        <v>2494.8000489999999</v>
      </c>
      <c r="M107" s="23">
        <f t="shared" si="9"/>
        <v>-7.8542878905331071E-3</v>
      </c>
      <c r="O107">
        <v>1354.5500489999999</v>
      </c>
      <c r="P107" s="23">
        <f t="shared" si="10"/>
        <v>-1.858419280584378E-2</v>
      </c>
      <c r="R107" s="34">
        <v>22055.199218999998</v>
      </c>
      <c r="S107" s="23">
        <f t="shared" si="11"/>
        <v>-1.8715661357315838E-2</v>
      </c>
    </row>
    <row r="108" spans="2:19" x14ac:dyDescent="0.3">
      <c r="B108" s="33">
        <v>45425</v>
      </c>
      <c r="C108">
        <v>2789.3615719999998</v>
      </c>
      <c r="D108" s="23">
        <f t="shared" si="6"/>
        <v>1.6274300320772594E-2</v>
      </c>
      <c r="F108">
        <v>494.20001200000002</v>
      </c>
      <c r="G108" s="23">
        <f t="shared" si="7"/>
        <v>8.0571381947986964E-3</v>
      </c>
      <c r="I108">
        <v>276.622772</v>
      </c>
      <c r="J108" s="23">
        <f t="shared" si="8"/>
        <v>0</v>
      </c>
      <c r="L108">
        <v>2616.1499020000001</v>
      </c>
      <c r="M108" s="23">
        <f t="shared" si="9"/>
        <v>4.8641113763261856E-2</v>
      </c>
      <c r="O108">
        <v>1365</v>
      </c>
      <c r="P108" s="23">
        <f t="shared" si="10"/>
        <v>7.7147027588346795E-3</v>
      </c>
      <c r="R108" s="34">
        <v>22466.099609000001</v>
      </c>
      <c r="S108" s="23">
        <f t="shared" si="11"/>
        <v>1.8630545383875763E-2</v>
      </c>
    </row>
    <row r="109" spans="2:19" x14ac:dyDescent="0.3">
      <c r="B109" s="33">
        <v>45432</v>
      </c>
      <c r="C109">
        <v>2847.201904</v>
      </c>
      <c r="D109" s="23">
        <f t="shared" si="6"/>
        <v>2.0736046764467275E-2</v>
      </c>
      <c r="F109">
        <v>487.70001200000002</v>
      </c>
      <c r="G109" s="23">
        <f t="shared" si="7"/>
        <v>-1.3152569490427313E-2</v>
      </c>
      <c r="I109">
        <v>272.04306000000003</v>
      </c>
      <c r="J109" s="23">
        <f t="shared" si="8"/>
        <v>-1.6555802571452727E-2</v>
      </c>
      <c r="L109">
        <v>2572.3000489999999</v>
      </c>
      <c r="M109" s="23">
        <f t="shared" si="9"/>
        <v>-1.6761215772260529E-2</v>
      </c>
      <c r="O109">
        <v>1356.400024</v>
      </c>
      <c r="P109" s="23">
        <f t="shared" si="10"/>
        <v>-6.3003487179487117E-3</v>
      </c>
      <c r="R109" s="34">
        <v>22957.099609000001</v>
      </c>
      <c r="S109" s="23">
        <f t="shared" si="11"/>
        <v>2.1855151029567477E-2</v>
      </c>
    </row>
    <row r="110" spans="2:19" x14ac:dyDescent="0.3">
      <c r="B110" s="33">
        <v>45439</v>
      </c>
      <c r="C110">
        <v>2853.5898440000001</v>
      </c>
      <c r="D110" s="23">
        <f t="shared" si="6"/>
        <v>2.2435851813058516E-3</v>
      </c>
      <c r="F110">
        <v>460</v>
      </c>
      <c r="G110" s="23">
        <f t="shared" si="7"/>
        <v>-5.679723460822883E-2</v>
      </c>
      <c r="I110">
        <v>268.40920999999997</v>
      </c>
      <c r="J110" s="23">
        <f t="shared" si="8"/>
        <v>-1.3357628016682499E-2</v>
      </c>
      <c r="L110">
        <v>2565.5500489999999</v>
      </c>
      <c r="M110" s="23">
        <f t="shared" si="9"/>
        <v>-2.6241106680474635E-3</v>
      </c>
      <c r="O110">
        <v>1340.3000489999999</v>
      </c>
      <c r="P110" s="23">
        <f t="shared" si="10"/>
        <v>-1.1869636327874411E-2</v>
      </c>
      <c r="R110" s="34">
        <v>22530.699218999998</v>
      </c>
      <c r="S110" s="23">
        <f t="shared" si="11"/>
        <v>-1.8573791866671074E-2</v>
      </c>
    </row>
    <row r="111" spans="2:19" x14ac:dyDescent="0.3">
      <c r="B111" s="33">
        <v>45446</v>
      </c>
      <c r="C111">
        <v>2899.6442870000001</v>
      </c>
      <c r="D111" s="23">
        <f t="shared" si="6"/>
        <v>1.6139124933050475E-2</v>
      </c>
      <c r="F111">
        <v>482.54998799999998</v>
      </c>
      <c r="G111" s="23">
        <f t="shared" si="7"/>
        <v>4.9021713043478243E-2</v>
      </c>
      <c r="I111">
        <v>276.77209499999998</v>
      </c>
      <c r="J111" s="23">
        <f t="shared" si="8"/>
        <v>3.1157220722791257E-2</v>
      </c>
      <c r="L111">
        <v>2657.4499510000001</v>
      </c>
      <c r="M111" s="23">
        <f t="shared" si="9"/>
        <v>3.5820740287573427E-2</v>
      </c>
      <c r="O111">
        <v>1365.650024</v>
      </c>
      <c r="P111" s="23">
        <f t="shared" si="10"/>
        <v>1.891365669867251E-2</v>
      </c>
      <c r="R111" s="34">
        <v>23290.150390999999</v>
      </c>
      <c r="S111" s="23">
        <f t="shared" si="11"/>
        <v>3.3707394724774575E-2</v>
      </c>
    </row>
    <row r="112" spans="2:19" x14ac:dyDescent="0.3">
      <c r="B112" s="33">
        <v>45453</v>
      </c>
      <c r="C112">
        <v>2893.6030270000001</v>
      </c>
      <c r="D112" s="23">
        <f t="shared" si="6"/>
        <v>-2.083448658542264E-3</v>
      </c>
      <c r="F112">
        <v>502.70001200000002</v>
      </c>
      <c r="G112" s="23">
        <f t="shared" si="7"/>
        <v>4.1757381620741052E-2</v>
      </c>
      <c r="I112">
        <v>281.94912699999998</v>
      </c>
      <c r="J112" s="23">
        <f t="shared" si="8"/>
        <v>1.8705035997216291E-2</v>
      </c>
      <c r="L112">
        <v>2815.6000979999999</v>
      </c>
      <c r="M112" s="23">
        <f t="shared" si="9"/>
        <v>5.9511994549695135E-2</v>
      </c>
      <c r="O112">
        <v>1374.900024</v>
      </c>
      <c r="P112" s="23">
        <f t="shared" si="10"/>
        <v>6.7733312616262698E-3</v>
      </c>
      <c r="R112" s="34">
        <v>23398.900390999999</v>
      </c>
      <c r="S112" s="23">
        <f t="shared" si="11"/>
        <v>4.669355851047774E-3</v>
      </c>
    </row>
    <row r="113" spans="2:19" x14ac:dyDescent="0.3">
      <c r="B113" s="33"/>
      <c r="C113" s="34"/>
      <c r="D113" s="23"/>
      <c r="F113" s="34"/>
      <c r="G113" s="23"/>
      <c r="I113" s="34"/>
      <c r="J113" s="23"/>
      <c r="L113" s="34"/>
      <c r="M113" s="23"/>
      <c r="O113" s="34"/>
      <c r="P113" s="23"/>
      <c r="R113" s="34"/>
      <c r="S113" s="23"/>
    </row>
  </sheetData>
  <mergeCells count="8">
    <mergeCell ref="B1:Z1"/>
    <mergeCell ref="B5:D5"/>
    <mergeCell ref="R5:S5"/>
    <mergeCell ref="V5:W5"/>
    <mergeCell ref="L5:M5"/>
    <mergeCell ref="F5:G5"/>
    <mergeCell ref="I5:J5"/>
    <mergeCell ref="O5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2D32-A907-4EC2-9377-C1D71C955EF3}">
  <dimension ref="B1:Z11"/>
  <sheetViews>
    <sheetView showGridLines="0" workbookViewId="0">
      <pane ySplit="2" topLeftCell="A3" activePane="bottomLeft" state="frozen"/>
      <selection pane="bottomLeft" activeCell="B2" sqref="B2"/>
    </sheetView>
  </sheetViews>
  <sheetFormatPr defaultRowHeight="14.4" x14ac:dyDescent="0.3"/>
  <cols>
    <col min="1" max="1" width="1.88671875" customWidth="1"/>
    <col min="4" max="4" width="8.44140625" bestFit="1" customWidth="1"/>
    <col min="5" max="5" width="10.44140625" bestFit="1" customWidth="1"/>
    <col min="6" max="6" width="8.77734375" bestFit="1" customWidth="1"/>
    <col min="7" max="7" width="6.33203125" bestFit="1" customWidth="1"/>
    <col min="26" max="26" width="8.88671875" style="26"/>
  </cols>
  <sheetData>
    <row r="1" spans="2:26" ht="18" x14ac:dyDescent="0.35">
      <c r="B1" s="130" t="s">
        <v>47</v>
      </c>
      <c r="C1" s="130"/>
      <c r="D1" s="130"/>
      <c r="E1" s="130"/>
      <c r="F1" s="130"/>
      <c r="G1" s="130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2:26" ht="14.4" customHeight="1" x14ac:dyDescent="0.35">
      <c r="B2" s="143"/>
      <c r="C2" s="143"/>
      <c r="D2" s="143"/>
      <c r="E2" s="143"/>
      <c r="F2" s="143"/>
      <c r="G2" s="143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1"/>
    </row>
    <row r="4" spans="2:26" ht="41.4" x14ac:dyDescent="0.3">
      <c r="B4" s="135" t="s">
        <v>87</v>
      </c>
      <c r="C4" s="135" t="s">
        <v>88</v>
      </c>
      <c r="D4" s="136" t="s">
        <v>333</v>
      </c>
      <c r="E4" s="136" t="s">
        <v>334</v>
      </c>
      <c r="F4" s="136" t="s">
        <v>335</v>
      </c>
      <c r="G4" s="136" t="s">
        <v>89</v>
      </c>
    </row>
    <row r="5" spans="2:26" x14ac:dyDescent="0.3">
      <c r="B5" s="135">
        <v>1</v>
      </c>
      <c r="C5" s="46" t="s">
        <v>336</v>
      </c>
      <c r="D5" s="136">
        <v>2917.05</v>
      </c>
      <c r="E5" s="136">
        <v>279802.78999999998</v>
      </c>
      <c r="F5" s="136">
        <v>2474.38</v>
      </c>
      <c r="G5" s="136">
        <v>0.13</v>
      </c>
    </row>
    <row r="6" spans="2:26" x14ac:dyDescent="0.3">
      <c r="B6" s="44">
        <v>2</v>
      </c>
      <c r="C6" s="46" t="s">
        <v>337</v>
      </c>
      <c r="D6" s="45">
        <v>504.2</v>
      </c>
      <c r="E6" s="45">
        <v>58779.44</v>
      </c>
      <c r="F6" s="45">
        <v>753.29</v>
      </c>
      <c r="G6" s="45">
        <v>0.14000000000000001</v>
      </c>
    </row>
    <row r="7" spans="2:26" x14ac:dyDescent="0.3">
      <c r="B7" s="44">
        <v>3</v>
      </c>
      <c r="C7" s="46" t="s">
        <v>338</v>
      </c>
      <c r="D7" s="45">
        <v>270.10000000000002</v>
      </c>
      <c r="E7" s="45">
        <v>21834.33</v>
      </c>
      <c r="F7" s="45">
        <v>276.42</v>
      </c>
      <c r="G7" s="45">
        <v>0.05</v>
      </c>
    </row>
    <row r="8" spans="2:26" x14ac:dyDescent="0.3">
      <c r="B8" s="44">
        <v>4</v>
      </c>
      <c r="C8" s="46" t="s">
        <v>339</v>
      </c>
      <c r="D8" s="45">
        <v>2835.4</v>
      </c>
      <c r="E8" s="45">
        <v>12912.5</v>
      </c>
      <c r="F8" s="45">
        <v>60.4</v>
      </c>
      <c r="G8" s="45">
        <v>0.05</v>
      </c>
    </row>
    <row r="9" spans="2:26" x14ac:dyDescent="0.3">
      <c r="B9" s="44">
        <v>5</v>
      </c>
      <c r="C9" s="46" t="s">
        <v>340</v>
      </c>
      <c r="D9" s="45">
        <v>1373</v>
      </c>
      <c r="E9" s="45">
        <v>6538.36</v>
      </c>
      <c r="F9" s="45">
        <v>16.84</v>
      </c>
      <c r="G9" s="45">
        <v>0.02</v>
      </c>
    </row>
    <row r="10" spans="2:26" x14ac:dyDescent="0.3">
      <c r="B10" s="47"/>
      <c r="C10" s="46"/>
      <c r="D10" s="48"/>
      <c r="E10" s="48"/>
      <c r="F10" s="48"/>
      <c r="G10" s="48"/>
    </row>
    <row r="11" spans="2:26" x14ac:dyDescent="0.3">
      <c r="B11" s="47"/>
      <c r="C11" s="46"/>
      <c r="D11" s="48"/>
      <c r="E11" s="48"/>
      <c r="F11" s="48"/>
      <c r="G11" s="48"/>
    </row>
  </sheetData>
  <mergeCells count="1">
    <mergeCell ref="B1:G1"/>
  </mergeCells>
  <hyperlinks>
    <hyperlink ref="C5" r:id="rId1" display="https://www.screener.in/company/ASIANPAINT/consolidated/" xr:uid="{B23CF8EB-ACAB-4284-91FC-AA4971F1DB43}"/>
    <hyperlink ref="C6" r:id="rId2" display="https://www.screener.in/company/BERGEPAINT/consolidated/" xr:uid="{F86C04F4-82F0-400B-9791-72A1E624AAD0}"/>
    <hyperlink ref="C7" r:id="rId3" display="https://www.screener.in/company/KANSAINER/consolidated/" xr:uid="{F6663087-F192-43BD-9F1C-2D0E37887A3A}"/>
    <hyperlink ref="C8" r:id="rId4" display="https://www.screener.in/company/AKZOINDIA/" xr:uid="{2088B10C-6BCB-45E3-9046-41F70B717DD7}"/>
    <hyperlink ref="C9" r:id="rId5" display="https://www.screener.in/company/INDIGOPNTS/" xr:uid="{B31706A4-D4E4-4AE3-A4CD-8AC536EC3A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B1F3-CFC3-4208-A5EE-C29DFFAC886B}">
  <dimension ref="B4:F31"/>
  <sheetViews>
    <sheetView showGridLines="0" workbookViewId="0">
      <pane ySplit="2" topLeftCell="A3" activePane="bottomLeft" state="frozen"/>
      <selection pane="bottomLeft" activeCell="B4" sqref="B4:F4"/>
    </sheetView>
  </sheetViews>
  <sheetFormatPr defaultRowHeight="14.4" x14ac:dyDescent="0.3"/>
  <cols>
    <col min="1" max="1" width="1.88671875" customWidth="1"/>
    <col min="5" max="5" width="18.109375" bestFit="1" customWidth="1"/>
  </cols>
  <sheetData>
    <row r="4" spans="2:6" x14ac:dyDescent="0.3">
      <c r="B4" s="142" t="s">
        <v>90</v>
      </c>
      <c r="C4" s="142"/>
      <c r="D4" s="142"/>
      <c r="E4" s="142"/>
      <c r="F4" s="142"/>
    </row>
    <row r="6" spans="2:6" x14ac:dyDescent="0.3">
      <c r="B6" s="31" t="s">
        <v>91</v>
      </c>
      <c r="C6" s="31" t="s">
        <v>92</v>
      </c>
      <c r="E6" t="s">
        <v>22</v>
      </c>
      <c r="F6" s="1">
        <f>AVERAGE(C7:C30)</f>
        <v>0.15609166666666666</v>
      </c>
    </row>
    <row r="7" spans="2:6" x14ac:dyDescent="0.3">
      <c r="B7" s="40">
        <v>2000</v>
      </c>
      <c r="C7" s="23">
        <v>-0.14649999999999999</v>
      </c>
      <c r="E7" t="s">
        <v>93</v>
      </c>
      <c r="F7" s="1">
        <v>1.3899999999999999E-2</v>
      </c>
    </row>
    <row r="8" spans="2:6" x14ac:dyDescent="0.3">
      <c r="B8" s="40">
        <v>2001</v>
      </c>
      <c r="C8" s="23">
        <v>-0.1618</v>
      </c>
      <c r="E8" s="49" t="s">
        <v>94</v>
      </c>
      <c r="F8" s="25">
        <f>F6+F7</f>
        <v>0.16999166666666665</v>
      </c>
    </row>
    <row r="9" spans="2:6" x14ac:dyDescent="0.3">
      <c r="B9" s="40">
        <v>2002</v>
      </c>
      <c r="C9" s="23">
        <v>3.2500000000000001E-2</v>
      </c>
    </row>
    <row r="10" spans="2:6" x14ac:dyDescent="0.3">
      <c r="B10" s="40">
        <v>2003</v>
      </c>
      <c r="C10" s="23">
        <v>0.71900000000000008</v>
      </c>
    </row>
    <row r="11" spans="2:6" x14ac:dyDescent="0.3">
      <c r="B11" s="40">
        <v>2004</v>
      </c>
      <c r="C11" s="23">
        <v>0.10679999999999999</v>
      </c>
    </row>
    <row r="12" spans="2:6" x14ac:dyDescent="0.3">
      <c r="B12" s="40">
        <v>2005</v>
      </c>
      <c r="C12" s="23">
        <v>0.36340000000000006</v>
      </c>
    </row>
    <row r="13" spans="2:6" x14ac:dyDescent="0.3">
      <c r="B13" s="40">
        <v>2006</v>
      </c>
      <c r="C13" s="23">
        <v>0.39829999999999999</v>
      </c>
    </row>
    <row r="14" spans="2:6" x14ac:dyDescent="0.3">
      <c r="B14" s="40">
        <v>2007</v>
      </c>
      <c r="C14" s="23">
        <v>0.54770000000000008</v>
      </c>
    </row>
    <row r="15" spans="2:6" x14ac:dyDescent="0.3">
      <c r="B15" s="40">
        <v>2008</v>
      </c>
      <c r="C15" s="23">
        <v>-0.51790000000000003</v>
      </c>
    </row>
    <row r="16" spans="2:6" x14ac:dyDescent="0.3">
      <c r="B16" s="40">
        <v>2009</v>
      </c>
      <c r="C16" s="23">
        <v>0.75760000000000005</v>
      </c>
    </row>
    <row r="17" spans="2:3" x14ac:dyDescent="0.3">
      <c r="B17" s="40">
        <v>2010</v>
      </c>
      <c r="C17" s="23">
        <v>0.17949999999999999</v>
      </c>
    </row>
    <row r="18" spans="2:3" x14ac:dyDescent="0.3">
      <c r="B18" s="40">
        <v>2011</v>
      </c>
      <c r="C18" s="23">
        <v>-0.2462</v>
      </c>
    </row>
    <row r="19" spans="2:3" x14ac:dyDescent="0.3">
      <c r="B19" s="40">
        <v>2012</v>
      </c>
      <c r="C19" s="23">
        <v>0.27699999999999997</v>
      </c>
    </row>
    <row r="20" spans="2:3" x14ac:dyDescent="0.3">
      <c r="B20" s="40">
        <v>2013</v>
      </c>
      <c r="C20" s="23">
        <v>6.7599999999999993E-2</v>
      </c>
    </row>
    <row r="21" spans="2:3" x14ac:dyDescent="0.3">
      <c r="B21" s="40">
        <v>2014</v>
      </c>
      <c r="C21" s="23">
        <v>0.31390000000000001</v>
      </c>
    </row>
    <row r="22" spans="2:3" x14ac:dyDescent="0.3">
      <c r="B22" s="40">
        <v>2015</v>
      </c>
      <c r="C22" s="23">
        <v>-4.0599999999999997E-2</v>
      </c>
    </row>
    <row r="23" spans="2:3" x14ac:dyDescent="0.3">
      <c r="B23" s="40">
        <v>2016</v>
      </c>
      <c r="C23" s="23">
        <v>3.0099999999999998E-2</v>
      </c>
    </row>
    <row r="24" spans="2:3" x14ac:dyDescent="0.3">
      <c r="B24" s="40">
        <v>2017</v>
      </c>
      <c r="C24" s="23">
        <v>0.28649999999999998</v>
      </c>
    </row>
    <row r="25" spans="2:3" x14ac:dyDescent="0.3">
      <c r="B25" s="40">
        <v>2018</v>
      </c>
      <c r="C25" s="23">
        <v>3.15E-2</v>
      </c>
    </row>
    <row r="26" spans="2:3" x14ac:dyDescent="0.3">
      <c r="B26" s="40">
        <v>2019</v>
      </c>
      <c r="C26" s="23">
        <v>0.1202</v>
      </c>
    </row>
    <row r="27" spans="2:3" x14ac:dyDescent="0.3">
      <c r="B27" s="40">
        <v>2020</v>
      </c>
      <c r="C27" s="23">
        <v>0.14899999999999999</v>
      </c>
    </row>
    <row r="28" spans="2:3" x14ac:dyDescent="0.3">
      <c r="B28" s="40">
        <v>2021</v>
      </c>
      <c r="C28" s="23">
        <v>0.2412</v>
      </c>
    </row>
    <row r="29" spans="2:3" x14ac:dyDescent="0.3">
      <c r="B29" s="40">
        <v>2022</v>
      </c>
      <c r="C29" s="23">
        <v>4.3200000000000002E-2</v>
      </c>
    </row>
    <row r="30" spans="2:3" x14ac:dyDescent="0.3">
      <c r="B30" s="40">
        <v>2023</v>
      </c>
      <c r="C30" s="23">
        <v>0.19420000000000001</v>
      </c>
    </row>
    <row r="31" spans="2:3" x14ac:dyDescent="0.3">
      <c r="B31" s="40">
        <v>2024</v>
      </c>
    </row>
  </sheetData>
  <mergeCells count="1">
    <mergeCell ref="B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B5E5-476D-4A76-A080-40639EDC43D0}">
  <dimension ref="A1:K66"/>
  <sheetViews>
    <sheetView showGridLines="0" zoomScaleNormal="100" workbookViewId="0">
      <pane ySplit="2" topLeftCell="A22" activePane="bottomLeft" state="frozen"/>
      <selection pane="bottomLeft" activeCell="D4" sqref="D4"/>
    </sheetView>
  </sheetViews>
  <sheetFormatPr defaultRowHeight="14.4" x14ac:dyDescent="0.3"/>
  <cols>
    <col min="1" max="1" width="1.88671875" customWidth="1"/>
    <col min="7" max="7" width="8.6640625" bestFit="1" customWidth="1"/>
    <col min="8" max="8" width="8.5546875" bestFit="1" customWidth="1"/>
    <col min="9" max="9" width="10.6640625" bestFit="1" customWidth="1"/>
    <col min="10" max="10" width="13.33203125" bestFit="1" customWidth="1"/>
    <col min="11" max="11" width="9.6640625" bestFit="1" customWidth="1"/>
  </cols>
  <sheetData>
    <row r="1" spans="1:11" ht="18" x14ac:dyDescent="0.35">
      <c r="B1" s="130" t="s">
        <v>251</v>
      </c>
      <c r="C1" s="130"/>
      <c r="D1" s="130"/>
      <c r="E1" s="130"/>
      <c r="F1" s="130"/>
      <c r="G1" s="130"/>
      <c r="H1" s="130"/>
      <c r="I1" s="130"/>
      <c r="J1" s="130"/>
      <c r="K1" s="130"/>
    </row>
    <row r="2" spans="1:11" ht="18" x14ac:dyDescent="0.35">
      <c r="B2" s="84"/>
      <c r="C2" s="84"/>
      <c r="D2" s="84"/>
      <c r="E2" s="84"/>
      <c r="F2" s="84"/>
      <c r="G2" s="84"/>
      <c r="H2" s="84"/>
      <c r="I2" s="84"/>
      <c r="J2" s="84"/>
      <c r="K2" s="84"/>
    </row>
    <row r="4" spans="1:11" x14ac:dyDescent="0.3">
      <c r="A4" t="s">
        <v>133</v>
      </c>
      <c r="B4" s="79" t="s">
        <v>250</v>
      </c>
      <c r="C4" s="79"/>
      <c r="D4" s="79"/>
      <c r="E4" s="79"/>
      <c r="F4" s="79"/>
      <c r="G4" s="85">
        <f>'Raw FS'!J2</f>
        <v>43891</v>
      </c>
      <c r="H4" s="85">
        <f>'Raw FS'!K2</f>
        <v>44256</v>
      </c>
      <c r="I4" s="85">
        <f>'Raw FS'!L2</f>
        <v>44621</v>
      </c>
      <c r="J4" s="85">
        <f>'Raw FS'!M2</f>
        <v>44986</v>
      </c>
      <c r="K4" s="85">
        <f>'Raw FS'!N2</f>
        <v>45352</v>
      </c>
    </row>
    <row r="6" spans="1:11" x14ac:dyDescent="0.3">
      <c r="B6" s="31" t="s">
        <v>252</v>
      </c>
    </row>
    <row r="7" spans="1:11" x14ac:dyDescent="0.3">
      <c r="B7" t="str">
        <f>'Raw FS'!B36</f>
        <v>Inventories</v>
      </c>
      <c r="G7" s="86">
        <f>'Raw FS'!J36</f>
        <v>3390</v>
      </c>
      <c r="H7" s="86">
        <f>'Raw FS'!K36</f>
        <v>3799</v>
      </c>
      <c r="I7" s="86">
        <f>'Raw FS'!L36</f>
        <v>6153</v>
      </c>
      <c r="J7" s="86">
        <f>'Raw FS'!M36</f>
        <v>6211</v>
      </c>
      <c r="K7" s="86">
        <f>'Raw FS'!N36</f>
        <v>5923</v>
      </c>
    </row>
    <row r="8" spans="1:11" x14ac:dyDescent="0.3">
      <c r="B8" t="str">
        <f>'Raw FS'!B37</f>
        <v>Trade receivables +</v>
      </c>
      <c r="G8" s="86">
        <f>'Raw FS'!J37</f>
        <v>1795</v>
      </c>
      <c r="H8" s="86">
        <f>'Raw FS'!K37</f>
        <v>2602</v>
      </c>
      <c r="I8" s="86">
        <f>'Raw FS'!L37</f>
        <v>3871</v>
      </c>
      <c r="J8" s="86">
        <f>'Raw FS'!M37</f>
        <v>4637</v>
      </c>
      <c r="K8" s="86">
        <f>'Raw FS'!N37</f>
        <v>4889</v>
      </c>
    </row>
    <row r="9" spans="1:11" x14ac:dyDescent="0.3">
      <c r="B9" t="str">
        <f>'Raw FS'!B39</f>
        <v>Short term loans</v>
      </c>
      <c r="G9">
        <f>'Raw FS'!J39</f>
        <v>12</v>
      </c>
      <c r="H9">
        <f>'Raw FS'!K39</f>
        <v>11</v>
      </c>
      <c r="I9">
        <f>'Raw FS'!L39</f>
        <v>8</v>
      </c>
      <c r="J9">
        <f>'Raw FS'!M39</f>
        <v>12</v>
      </c>
      <c r="K9">
        <f>'Raw FS'!N39</f>
        <v>17</v>
      </c>
    </row>
    <row r="10" spans="1:11" ht="15" thickBot="1" x14ac:dyDescent="0.35">
      <c r="B10" t="str">
        <f>'Raw FS'!B40</f>
        <v>Other asset items</v>
      </c>
      <c r="G10">
        <f>'Raw FS'!J40</f>
        <v>1727</v>
      </c>
      <c r="H10">
        <f>'Raw FS'!K40</f>
        <v>2555</v>
      </c>
      <c r="I10">
        <f>'Raw FS'!L40</f>
        <v>2869</v>
      </c>
      <c r="J10">
        <f>'Raw FS'!M40</f>
        <v>3024</v>
      </c>
      <c r="K10">
        <f>'Raw FS'!N40</f>
        <v>3555</v>
      </c>
    </row>
    <row r="11" spans="1:11" x14ac:dyDescent="0.3">
      <c r="B11" s="87" t="s">
        <v>253</v>
      </c>
      <c r="C11" s="88"/>
      <c r="D11" s="88"/>
      <c r="E11" s="88"/>
      <c r="F11" s="88"/>
      <c r="G11" s="89">
        <f>SUM(G7:G10)</f>
        <v>6924</v>
      </c>
      <c r="H11" s="89">
        <f t="shared" ref="H11:K11" si="0">SUM(H7:H10)</f>
        <v>8967</v>
      </c>
      <c r="I11" s="89">
        <f t="shared" si="0"/>
        <v>12901</v>
      </c>
      <c r="J11" s="89">
        <f t="shared" si="0"/>
        <v>13884</v>
      </c>
      <c r="K11" s="89">
        <f t="shared" si="0"/>
        <v>14384</v>
      </c>
    </row>
    <row r="13" spans="1:11" x14ac:dyDescent="0.3">
      <c r="B13" s="31" t="s">
        <v>254</v>
      </c>
    </row>
    <row r="14" spans="1:11" x14ac:dyDescent="0.3">
      <c r="B14" t="str">
        <f>'Raw FS'!B13</f>
        <v>Trade Payables</v>
      </c>
      <c r="G14" s="86">
        <f>'Raw FS'!J13</f>
        <v>2137</v>
      </c>
      <c r="H14" s="86">
        <f>'Raw FS'!K13</f>
        <v>3379</v>
      </c>
      <c r="I14" s="86">
        <f>'Raw FS'!L13</f>
        <v>4164</v>
      </c>
      <c r="J14" s="86">
        <f>'Raw FS'!M13</f>
        <v>3635</v>
      </c>
      <c r="K14" s="86">
        <f>'Raw FS'!N13</f>
        <v>3831</v>
      </c>
    </row>
    <row r="15" spans="1:11" x14ac:dyDescent="0.3">
      <c r="B15" t="str">
        <f>'Raw FS'!B14</f>
        <v>Advance from Customers</v>
      </c>
      <c r="G15" s="86">
        <f>'Raw FS'!J14</f>
        <v>29</v>
      </c>
      <c r="H15" s="86">
        <f>'Raw FS'!K14</f>
        <v>41</v>
      </c>
      <c r="I15" s="86">
        <f>'Raw FS'!L14</f>
        <v>76</v>
      </c>
      <c r="J15" s="86">
        <f>'Raw FS'!M14</f>
        <v>108</v>
      </c>
      <c r="K15" s="86">
        <f>'Raw FS'!N14</f>
        <v>154</v>
      </c>
    </row>
    <row r="16" spans="1:11" ht="15" thickBot="1" x14ac:dyDescent="0.35">
      <c r="B16" t="str">
        <f>'Raw FS'!B15</f>
        <v>Other liability items</v>
      </c>
      <c r="G16" s="86">
        <f>'Raw FS'!J15</f>
        <v>2320</v>
      </c>
      <c r="H16" s="86">
        <f>'Raw FS'!K15</f>
        <v>2613</v>
      </c>
      <c r="I16" s="86">
        <f>'Raw FS'!L15</f>
        <v>2932</v>
      </c>
      <c r="J16" s="86">
        <f>'Raw FS'!M15</f>
        <v>3657</v>
      </c>
      <c r="K16" s="86">
        <f>'Raw FS'!N15</f>
        <v>4017</v>
      </c>
    </row>
    <row r="17" spans="1:11" x14ac:dyDescent="0.3">
      <c r="B17" s="87" t="s">
        <v>255</v>
      </c>
      <c r="C17" s="88"/>
      <c r="D17" s="88"/>
      <c r="E17" s="88"/>
      <c r="F17" s="88"/>
      <c r="G17" s="89">
        <f>SUM(G14:G16)</f>
        <v>4486</v>
      </c>
      <c r="H17" s="89">
        <f t="shared" ref="H17:K17" si="1">SUM(H14:H16)</f>
        <v>6033</v>
      </c>
      <c r="I17" s="89">
        <f t="shared" si="1"/>
        <v>7172</v>
      </c>
      <c r="J17" s="89">
        <f t="shared" si="1"/>
        <v>7400</v>
      </c>
      <c r="K17" s="89">
        <f t="shared" si="1"/>
        <v>8002</v>
      </c>
    </row>
    <row r="19" spans="1:11" x14ac:dyDescent="0.3">
      <c r="A19" t="s">
        <v>133</v>
      </c>
      <c r="B19" s="31" t="s">
        <v>256</v>
      </c>
      <c r="G19" s="90">
        <f>G11-G17</f>
        <v>2438</v>
      </c>
      <c r="H19" s="90">
        <f t="shared" ref="H19:K19" si="2">H11-H17</f>
        <v>2934</v>
      </c>
      <c r="I19" s="90">
        <f t="shared" si="2"/>
        <v>5729</v>
      </c>
      <c r="J19" s="90">
        <f t="shared" si="2"/>
        <v>6484</v>
      </c>
      <c r="K19" s="90">
        <f t="shared" si="2"/>
        <v>6382</v>
      </c>
    </row>
    <row r="21" spans="1:11" x14ac:dyDescent="0.3">
      <c r="B21" s="31" t="s">
        <v>257</v>
      </c>
    </row>
    <row r="22" spans="1:11" x14ac:dyDescent="0.3">
      <c r="B22" t="str">
        <f>'Raw FS'!B19</f>
        <v>Land</v>
      </c>
      <c r="G22" s="86">
        <f>'Raw FS'!J19</f>
        <v>640</v>
      </c>
      <c r="H22" s="86">
        <f>'Raw FS'!K19</f>
        <v>644</v>
      </c>
      <c r="I22" s="86">
        <f>'Raw FS'!L19</f>
        <v>644</v>
      </c>
      <c r="J22" s="86">
        <f>'Raw FS'!M19</f>
        <v>804</v>
      </c>
      <c r="K22" s="86">
        <f>'Raw FS'!N19</f>
        <v>1126</v>
      </c>
    </row>
    <row r="23" spans="1:11" x14ac:dyDescent="0.3">
      <c r="B23" t="str">
        <f>'Raw FS'!B20</f>
        <v>Building</v>
      </c>
      <c r="G23" s="86">
        <f>'Raw FS'!J20</f>
        <v>2257</v>
      </c>
      <c r="H23" s="86">
        <f>'Raw FS'!K20</f>
        <v>2249</v>
      </c>
      <c r="I23" s="86">
        <f>'Raw FS'!L20</f>
        <v>2325</v>
      </c>
      <c r="J23" s="86">
        <f>'Raw FS'!M20</f>
        <v>2883</v>
      </c>
      <c r="K23" s="86">
        <f>'Raw FS'!N20</f>
        <v>3390</v>
      </c>
    </row>
    <row r="24" spans="1:11" x14ac:dyDescent="0.3">
      <c r="B24" t="str">
        <f>'Raw FS'!B21</f>
        <v>Plant Machinery</v>
      </c>
      <c r="G24" s="86">
        <f>'Raw FS'!J21</f>
        <v>4208</v>
      </c>
      <c r="H24" s="86">
        <f>'Raw FS'!K21</f>
        <v>4340</v>
      </c>
      <c r="I24" s="86">
        <f>'Raw FS'!L21</f>
        <v>4531</v>
      </c>
      <c r="J24" s="86">
        <f>'Raw FS'!M21</f>
        <v>4825</v>
      </c>
      <c r="K24" s="86">
        <f>'Raw FS'!N21</f>
        <v>5422</v>
      </c>
    </row>
    <row r="25" spans="1:11" x14ac:dyDescent="0.3">
      <c r="B25" t="str">
        <f>'Raw FS'!B22</f>
        <v>Equipments</v>
      </c>
      <c r="G25" s="86">
        <f>'Raw FS'!J22</f>
        <v>241</v>
      </c>
      <c r="H25" s="86">
        <f>'Raw FS'!K22</f>
        <v>243</v>
      </c>
      <c r="I25" s="86">
        <f>'Raw FS'!L22</f>
        <v>253</v>
      </c>
      <c r="J25" s="86">
        <f>'Raw FS'!M22</f>
        <v>270</v>
      </c>
      <c r="K25" s="86">
        <f>'Raw FS'!N22</f>
        <v>298</v>
      </c>
    </row>
    <row r="26" spans="1:11" x14ac:dyDescent="0.3">
      <c r="B26">
        <f>'Raw FS'!B23</f>
        <v>0</v>
      </c>
      <c r="G26" s="86">
        <f>'Raw FS'!J23</f>
        <v>0</v>
      </c>
      <c r="H26" s="86">
        <f>'Raw FS'!K23</f>
        <v>0</v>
      </c>
      <c r="I26" s="86">
        <f>'Raw FS'!L23</f>
        <v>0</v>
      </c>
      <c r="J26" s="86">
        <f>'Raw FS'!M23</f>
        <v>0</v>
      </c>
      <c r="K26" s="86">
        <f>'Raw FS'!N23</f>
        <v>0</v>
      </c>
    </row>
    <row r="27" spans="1:11" x14ac:dyDescent="0.3">
      <c r="B27" t="str">
        <f>'Raw FS'!B24</f>
        <v>Furniture n fittings</v>
      </c>
      <c r="G27" s="86">
        <f>'Raw FS'!J24</f>
        <v>94</v>
      </c>
      <c r="H27" s="86">
        <f>'Raw FS'!K24</f>
        <v>99</v>
      </c>
      <c r="I27" s="86">
        <f>'Raw FS'!L24</f>
        <v>113</v>
      </c>
      <c r="J27" s="86">
        <f>'Raw FS'!M24</f>
        <v>146</v>
      </c>
      <c r="K27" s="86">
        <f>'Raw FS'!N24</f>
        <v>175</v>
      </c>
    </row>
    <row r="28" spans="1:11" x14ac:dyDescent="0.3">
      <c r="B28" t="str">
        <f>'Raw FS'!B25</f>
        <v>Vehicles</v>
      </c>
      <c r="G28" s="86">
        <f>'Raw FS'!J25</f>
        <v>43</v>
      </c>
      <c r="H28" s="86">
        <f>'Raw FS'!K25</f>
        <v>38</v>
      </c>
      <c r="I28" s="86">
        <f>'Raw FS'!L25</f>
        <v>32</v>
      </c>
      <c r="J28" s="86">
        <f>'Raw FS'!M25</f>
        <v>36</v>
      </c>
      <c r="K28" s="86">
        <f>'Raw FS'!N25</f>
        <v>40</v>
      </c>
    </row>
    <row r="29" spans="1:11" x14ac:dyDescent="0.3">
      <c r="B29" t="str">
        <f>'Raw FS'!B26</f>
        <v>Intangible Assets</v>
      </c>
      <c r="G29" s="86">
        <f>'Raw FS'!J26</f>
        <v>505</v>
      </c>
      <c r="H29" s="86">
        <f>'Raw FS'!K26</f>
        <v>476</v>
      </c>
      <c r="I29" s="86">
        <f>'Raw FS'!L26</f>
        <v>345</v>
      </c>
      <c r="J29" s="86">
        <f>'Raw FS'!M26</f>
        <v>422</v>
      </c>
      <c r="K29" s="86">
        <f>'Raw FS'!N26</f>
        <v>850</v>
      </c>
    </row>
    <row r="30" spans="1:11" ht="15" thickBot="1" x14ac:dyDescent="0.35">
      <c r="B30" t="str">
        <f>'Raw FS'!B27</f>
        <v>Other fixed assets</v>
      </c>
      <c r="G30" s="86">
        <f>'Raw FS'!J27</f>
        <v>293</v>
      </c>
      <c r="H30" s="86">
        <f>'Raw FS'!K27</f>
        <v>302</v>
      </c>
      <c r="I30" s="86">
        <f>'Raw FS'!L27</f>
        <v>294</v>
      </c>
      <c r="J30" s="86">
        <f>'Raw FS'!M27</f>
        <v>289</v>
      </c>
      <c r="K30" s="86">
        <f>'Raw FS'!N27</f>
        <v>321</v>
      </c>
    </row>
    <row r="31" spans="1:11" x14ac:dyDescent="0.3">
      <c r="B31" s="87" t="s">
        <v>237</v>
      </c>
      <c r="C31" s="88"/>
      <c r="D31" s="88"/>
      <c r="E31" s="88"/>
      <c r="F31" s="88"/>
      <c r="G31" s="89">
        <f>SUM(G22:G30)</f>
        <v>8281</v>
      </c>
      <c r="H31" s="89">
        <f t="shared" ref="H31:K31" si="3">SUM(H22:H30)</f>
        <v>8391</v>
      </c>
      <c r="I31" s="89">
        <f t="shared" si="3"/>
        <v>8537</v>
      </c>
      <c r="J31" s="89">
        <f t="shared" si="3"/>
        <v>9675</v>
      </c>
      <c r="K31" s="89">
        <f t="shared" si="3"/>
        <v>11622</v>
      </c>
    </row>
    <row r="32" spans="1:11" x14ac:dyDescent="0.3">
      <c r="B32" t="s">
        <v>258</v>
      </c>
      <c r="G32" s="86">
        <f>-'Raw FS'!J29</f>
        <v>-2010</v>
      </c>
      <c r="H32" s="86">
        <f>-'Raw FS'!K29</f>
        <v>-2533</v>
      </c>
      <c r="I32" s="86">
        <f>-'Raw FS'!L29</f>
        <v>-3019</v>
      </c>
      <c r="J32" s="86">
        <f>-'Raw FS'!M29</f>
        <v>-3814</v>
      </c>
      <c r="K32" s="86">
        <f>-'Raw FS'!N29</f>
        <v>-4381</v>
      </c>
    </row>
    <row r="33" spans="1:11" x14ac:dyDescent="0.3">
      <c r="A33" t="s">
        <v>133</v>
      </c>
      <c r="B33" s="31" t="s">
        <v>259</v>
      </c>
      <c r="G33" s="86">
        <f>SUM(G31:G32)</f>
        <v>6271</v>
      </c>
      <c r="H33" s="86">
        <f t="shared" ref="H33:K33" si="4">SUM(H31:H32)</f>
        <v>5858</v>
      </c>
      <c r="I33" s="86">
        <f t="shared" si="4"/>
        <v>5518</v>
      </c>
      <c r="J33" s="86">
        <f t="shared" si="4"/>
        <v>5861</v>
      </c>
      <c r="K33" s="86">
        <f t="shared" si="4"/>
        <v>7241</v>
      </c>
    </row>
    <row r="35" spans="1:11" x14ac:dyDescent="0.3">
      <c r="A35" t="s">
        <v>133</v>
      </c>
      <c r="B35" s="31" t="s">
        <v>260</v>
      </c>
      <c r="C35" s="31"/>
      <c r="D35" s="31"/>
      <c r="E35" s="31"/>
      <c r="F35" s="31"/>
      <c r="G35" s="90">
        <f>G33+G19</f>
        <v>8709</v>
      </c>
      <c r="H35" s="90">
        <f t="shared" ref="H35:K35" si="5">H33+H19</f>
        <v>8792</v>
      </c>
      <c r="I35" s="90">
        <f t="shared" si="5"/>
        <v>11247</v>
      </c>
      <c r="J35" s="90">
        <f t="shared" si="5"/>
        <v>12345</v>
      </c>
      <c r="K35" s="90">
        <f t="shared" si="5"/>
        <v>13623</v>
      </c>
    </row>
    <row r="36" spans="1:11" x14ac:dyDescent="0.3">
      <c r="B36" s="31" t="s">
        <v>261</v>
      </c>
      <c r="C36" s="31"/>
      <c r="D36" s="31"/>
      <c r="E36" s="31"/>
      <c r="F36" s="31"/>
      <c r="G36" s="31">
        <f>Historical!H26+Historical!H20</f>
        <v>3376.3199999999997</v>
      </c>
      <c r="H36" s="31">
        <f>Historical!I26+Historical!I20</f>
        <v>4064.3300000000031</v>
      </c>
      <c r="I36" s="31">
        <f>Historical!J26+Historical!J20</f>
        <v>3987.2499999999986</v>
      </c>
      <c r="J36" s="31">
        <f>Historical!K26+Historical!K20</f>
        <v>5401.8199999999952</v>
      </c>
      <c r="K36" s="31">
        <f>Historical!L26+Historical!L20</f>
        <v>6731.9800000000014</v>
      </c>
    </row>
    <row r="38" spans="1:11" x14ac:dyDescent="0.3">
      <c r="A38" t="s">
        <v>133</v>
      </c>
      <c r="B38" s="31" t="s">
        <v>262</v>
      </c>
      <c r="G38" s="23">
        <f>G36/G35</f>
        <v>0.38768170857733375</v>
      </c>
      <c r="H38" s="23">
        <f t="shared" ref="H38:K38" si="6">H36/H35</f>
        <v>0.46227593266606043</v>
      </c>
      <c r="I38" s="23">
        <f t="shared" si="6"/>
        <v>0.35451676002489541</v>
      </c>
      <c r="J38" s="23">
        <f t="shared" si="6"/>
        <v>0.43757148643175336</v>
      </c>
      <c r="K38" s="23">
        <f t="shared" si="6"/>
        <v>0.49416281288996561</v>
      </c>
    </row>
    <row r="39" spans="1:11" x14ac:dyDescent="0.3">
      <c r="B39" s="31"/>
      <c r="G39" s="23"/>
      <c r="H39" s="23"/>
      <c r="I39" s="23"/>
      <c r="J39" s="23"/>
      <c r="K39" s="23"/>
    </row>
    <row r="41" spans="1:11" x14ac:dyDescent="0.3">
      <c r="A41" t="s">
        <v>133</v>
      </c>
      <c r="B41" s="79" t="s">
        <v>263</v>
      </c>
      <c r="C41" s="79"/>
      <c r="D41" s="79"/>
      <c r="E41" s="79"/>
      <c r="F41" s="79"/>
      <c r="G41" s="85">
        <f>'Raw FS'!J2</f>
        <v>43891</v>
      </c>
      <c r="H41" s="85">
        <f>'Raw FS'!K2</f>
        <v>44256</v>
      </c>
      <c r="I41" s="85">
        <f>'Raw FS'!L2</f>
        <v>44621</v>
      </c>
      <c r="J41" s="85">
        <f>'Raw FS'!M2</f>
        <v>44986</v>
      </c>
      <c r="K41" s="85">
        <f>'Raw FS'!N2</f>
        <v>45352</v>
      </c>
    </row>
    <row r="43" spans="1:11" x14ac:dyDescent="0.3">
      <c r="B43" t="s">
        <v>267</v>
      </c>
      <c r="G43" s="86">
        <f>-SUM('Raw FS'!J54:J55)</f>
        <v>367</v>
      </c>
      <c r="H43" s="86">
        <f>-SUM('Raw FS'!K54:K55)</f>
        <v>254</v>
      </c>
      <c r="I43" s="86">
        <f>-SUM('Raw FS'!L54:L55)</f>
        <v>511</v>
      </c>
      <c r="J43" s="86">
        <f>-SUM('Raw FS'!M54:M55)</f>
        <v>1420</v>
      </c>
      <c r="K43" s="86">
        <f>-SUM('Raw FS'!N54:N55)</f>
        <v>2491</v>
      </c>
    </row>
    <row r="44" spans="1:11" x14ac:dyDescent="0.3">
      <c r="B44" t="s">
        <v>268</v>
      </c>
      <c r="H44" s="86">
        <f>H19-G19</f>
        <v>496</v>
      </c>
      <c r="I44" s="86">
        <f t="shared" ref="I44:K44" si="7">I19-H19</f>
        <v>2795</v>
      </c>
      <c r="J44" s="86">
        <f t="shared" si="7"/>
        <v>755</v>
      </c>
      <c r="K44" s="86">
        <f t="shared" si="7"/>
        <v>-102</v>
      </c>
    </row>
    <row r="46" spans="1:11" x14ac:dyDescent="0.3">
      <c r="B46" t="s">
        <v>261</v>
      </c>
      <c r="G46">
        <f>G36</f>
        <v>3376.3199999999997</v>
      </c>
      <c r="H46">
        <f t="shared" ref="H46:K46" si="8">H36</f>
        <v>4064.3300000000031</v>
      </c>
      <c r="I46">
        <f t="shared" si="8"/>
        <v>3987.2499999999986</v>
      </c>
      <c r="J46">
        <f t="shared" si="8"/>
        <v>5401.8199999999952</v>
      </c>
      <c r="K46">
        <f t="shared" si="8"/>
        <v>6731.9800000000014</v>
      </c>
    </row>
    <row r="47" spans="1:11" x14ac:dyDescent="0.3">
      <c r="B47" t="s">
        <v>269</v>
      </c>
      <c r="G47" s="91">
        <v>0.25</v>
      </c>
      <c r="H47" s="91">
        <v>0.25</v>
      </c>
      <c r="I47" s="91">
        <v>0.25</v>
      </c>
      <c r="J47" s="91">
        <v>0.25</v>
      </c>
      <c r="K47" s="91">
        <v>0.25</v>
      </c>
    </row>
    <row r="48" spans="1:11" x14ac:dyDescent="0.3">
      <c r="B48" t="s">
        <v>270</v>
      </c>
      <c r="G48" s="86">
        <f>G46*(1-G47)</f>
        <v>2532.2399999999998</v>
      </c>
      <c r="H48" s="86">
        <f t="shared" ref="H48:K48" si="9">H46*(1-H47)</f>
        <v>3048.2475000000022</v>
      </c>
      <c r="I48" s="86">
        <f>I46*(1-I47)</f>
        <v>2990.4374999999991</v>
      </c>
      <c r="J48" s="86">
        <f t="shared" si="9"/>
        <v>4051.3649999999961</v>
      </c>
      <c r="K48" s="86">
        <f t="shared" si="9"/>
        <v>5048.9850000000006</v>
      </c>
    </row>
    <row r="50" spans="1:11" x14ac:dyDescent="0.3">
      <c r="B50" t="s">
        <v>271</v>
      </c>
      <c r="G50" s="86"/>
      <c r="H50" s="86">
        <f t="shared" ref="H50:K50" si="10">SUM(H43:H44)</f>
        <v>750</v>
      </c>
      <c r="I50" s="86">
        <f t="shared" si="10"/>
        <v>3306</v>
      </c>
      <c r="J50" s="86">
        <f t="shared" si="10"/>
        <v>2175</v>
      </c>
      <c r="K50" s="86">
        <f t="shared" si="10"/>
        <v>2389</v>
      </c>
    </row>
    <row r="51" spans="1:11" x14ac:dyDescent="0.3">
      <c r="G51" s="86"/>
      <c r="H51" s="86"/>
      <c r="I51" s="86"/>
      <c r="J51" s="86"/>
      <c r="K51" s="86"/>
    </row>
    <row r="52" spans="1:11" x14ac:dyDescent="0.3">
      <c r="B52" s="31" t="s">
        <v>272</v>
      </c>
      <c r="C52" s="31"/>
      <c r="D52" s="31"/>
      <c r="E52" s="31"/>
      <c r="F52" s="31"/>
      <c r="G52" s="31"/>
      <c r="H52" s="92">
        <f>H50/H48</f>
        <v>0.24604301323957437</v>
      </c>
      <c r="I52" s="92">
        <f t="shared" ref="I52:K52" si="11">I50/I48</f>
        <v>1.1055238572951285</v>
      </c>
      <c r="J52" s="92">
        <f t="shared" si="11"/>
        <v>0.53685609664890777</v>
      </c>
      <c r="K52" s="92">
        <f t="shared" si="11"/>
        <v>0.4731644082919636</v>
      </c>
    </row>
    <row r="53" spans="1:11" x14ac:dyDescent="0.3">
      <c r="H53" s="23"/>
      <c r="I53" s="23"/>
      <c r="J53" s="23"/>
      <c r="K53" s="23"/>
    </row>
    <row r="54" spans="1:11" x14ac:dyDescent="0.3">
      <c r="J54" s="31" t="s">
        <v>273</v>
      </c>
      <c r="K54" s="93">
        <f>AVERAGE(H52:K52)</f>
        <v>0.59039684386889357</v>
      </c>
    </row>
    <row r="55" spans="1:11" x14ac:dyDescent="0.3">
      <c r="J55" s="31" t="s">
        <v>274</v>
      </c>
      <c r="K55" s="93">
        <f>MEDIAN(H52:K52)</f>
        <v>0.50501025247043563</v>
      </c>
    </row>
    <row r="58" spans="1:11" x14ac:dyDescent="0.3">
      <c r="A58" s="94" t="s">
        <v>133</v>
      </c>
      <c r="B58" s="79" t="s">
        <v>275</v>
      </c>
      <c r="C58" s="79"/>
      <c r="D58" s="79"/>
      <c r="E58" s="79"/>
      <c r="F58" s="79"/>
      <c r="G58" s="85">
        <f>'Raw FS'!J2</f>
        <v>43891</v>
      </c>
      <c r="H58" s="85">
        <f>'Raw FS'!K2</f>
        <v>44256</v>
      </c>
      <c r="I58" s="85">
        <f>'Raw FS'!L2</f>
        <v>44621</v>
      </c>
      <c r="J58" s="85">
        <f>'Raw FS'!M2</f>
        <v>44986</v>
      </c>
      <c r="K58" s="85">
        <f>'Raw FS'!N2</f>
        <v>45352</v>
      </c>
    </row>
    <row r="60" spans="1:11" x14ac:dyDescent="0.3">
      <c r="B60" t="s">
        <v>272</v>
      </c>
      <c r="H60" s="1">
        <f>H52</f>
        <v>0.24604301323957437</v>
      </c>
      <c r="I60" s="1">
        <f t="shared" ref="I60:K60" si="12">I52</f>
        <v>1.1055238572951285</v>
      </c>
      <c r="J60" s="1">
        <f t="shared" si="12"/>
        <v>0.53685609664890777</v>
      </c>
      <c r="K60" s="1">
        <f t="shared" si="12"/>
        <v>0.4731644082919636</v>
      </c>
    </row>
    <row r="61" spans="1:11" x14ac:dyDescent="0.3">
      <c r="B61" t="s">
        <v>262</v>
      </c>
      <c r="H61" s="1">
        <f>H38</f>
        <v>0.46227593266606043</v>
      </c>
      <c r="I61" s="1">
        <f t="shared" ref="I61:K61" si="13">I38</f>
        <v>0.35451676002489541</v>
      </c>
      <c r="J61" s="1">
        <f t="shared" si="13"/>
        <v>0.43757148643175336</v>
      </c>
      <c r="K61" s="1">
        <f t="shared" si="13"/>
        <v>0.49416281288996561</v>
      </c>
    </row>
    <row r="63" spans="1:11" x14ac:dyDescent="0.3">
      <c r="B63" s="31" t="s">
        <v>251</v>
      </c>
      <c r="C63" s="31"/>
      <c r="D63" s="31"/>
      <c r="E63" s="31"/>
      <c r="F63" s="31"/>
      <c r="G63" s="31"/>
      <c r="H63" s="93">
        <f>H60*H61</f>
        <v>0.11373976342129209</v>
      </c>
      <c r="I63" s="93">
        <f t="shared" ref="I63:K63" si="14">I60*I61</f>
        <v>0.39192673601849376</v>
      </c>
      <c r="J63" s="93">
        <f t="shared" si="14"/>
        <v>0.23491292021061161</v>
      </c>
      <c r="K63" s="93">
        <f t="shared" si="14"/>
        <v>0.23382025496097289</v>
      </c>
    </row>
    <row r="65" spans="10:11" x14ac:dyDescent="0.3">
      <c r="J65" s="31" t="s">
        <v>273</v>
      </c>
      <c r="K65" s="93">
        <f>AVERAGE(H63:K63)</f>
        <v>0.24359991865284258</v>
      </c>
    </row>
    <row r="66" spans="10:11" x14ac:dyDescent="0.3">
      <c r="J66" s="31" t="s">
        <v>274</v>
      </c>
      <c r="K66" s="93">
        <f>MEDIAN(H63:K63)</f>
        <v>0.23436658758579226</v>
      </c>
    </row>
  </sheetData>
  <mergeCells count="1">
    <mergeCell ref="B1:K1"/>
  </mergeCells>
  <pageMargins left="0.7" right="0.7" top="0.75" bottom="0.75" header="0.3" footer="0.3"/>
  <ignoredErrors>
    <ignoredError sqref="G43 H43:K43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1925-D33B-41D5-937E-01CC6C9D8674}">
  <dimension ref="B1:Q33"/>
  <sheetViews>
    <sheetView workbookViewId="0">
      <pane ySplit="2" topLeftCell="A13" activePane="bottomLeft" state="frozen"/>
      <selection pane="bottomLeft" activeCell="I36" sqref="I36"/>
    </sheetView>
  </sheetViews>
  <sheetFormatPr defaultRowHeight="14.4" x14ac:dyDescent="0.3"/>
  <cols>
    <col min="1" max="1" width="1.88671875" customWidth="1"/>
    <col min="8" max="8" width="9.6640625" customWidth="1"/>
    <col min="10" max="10" width="1.88671875" customWidth="1"/>
    <col min="13" max="13" width="10.5546875" bestFit="1" customWidth="1"/>
    <col min="14" max="14" width="1.88671875" customWidth="1"/>
    <col min="15" max="15" width="9.44140625" customWidth="1"/>
  </cols>
  <sheetData>
    <row r="1" spans="2:17" ht="18" x14ac:dyDescent="0.35">
      <c r="B1" s="130" t="s">
        <v>299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</row>
    <row r="2" spans="2:17" x14ac:dyDescent="0.3"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</row>
    <row r="4" spans="2:17" x14ac:dyDescent="0.3">
      <c r="B4" s="119" t="s">
        <v>300</v>
      </c>
    </row>
    <row r="5" spans="2:17" ht="15" thickBot="1" x14ac:dyDescent="0.35">
      <c r="B5" s="120" t="s">
        <v>301</v>
      </c>
      <c r="C5" s="120"/>
      <c r="D5" s="120"/>
      <c r="E5" s="120"/>
      <c r="F5" s="120"/>
      <c r="G5" s="120"/>
      <c r="H5" s="120"/>
      <c r="I5" s="120"/>
      <c r="J5" s="120"/>
      <c r="K5" s="120"/>
    </row>
    <row r="6" spans="2:17" ht="3.6" customHeight="1" x14ac:dyDescent="0.3"/>
    <row r="7" spans="2:17" x14ac:dyDescent="0.3">
      <c r="B7" s="121"/>
      <c r="C7" s="121"/>
      <c r="D7" s="131" t="s">
        <v>302</v>
      </c>
      <c r="E7" s="131"/>
      <c r="F7" s="131"/>
      <c r="G7" s="131"/>
      <c r="H7" s="131"/>
      <c r="I7" s="131"/>
      <c r="J7" s="121"/>
      <c r="K7" s="131" t="s">
        <v>303</v>
      </c>
      <c r="L7" s="131"/>
      <c r="M7" s="131"/>
      <c r="N7" s="121"/>
      <c r="O7" s="131" t="s">
        <v>304</v>
      </c>
      <c r="P7" s="131"/>
      <c r="Q7" s="131"/>
    </row>
    <row r="8" spans="2:17" ht="28.2" customHeight="1" x14ac:dyDescent="0.3">
      <c r="B8" s="121" t="s">
        <v>305</v>
      </c>
      <c r="C8" s="121" t="s">
        <v>306</v>
      </c>
      <c r="D8" s="122" t="s">
        <v>297</v>
      </c>
      <c r="E8" s="122" t="s">
        <v>307</v>
      </c>
      <c r="F8" s="122" t="s">
        <v>308</v>
      </c>
      <c r="G8" s="122" t="s">
        <v>309</v>
      </c>
      <c r="H8" s="122" t="s">
        <v>310</v>
      </c>
      <c r="I8" s="122"/>
      <c r="J8" s="121"/>
      <c r="K8" s="121" t="s">
        <v>311</v>
      </c>
      <c r="L8" s="121" t="s">
        <v>166</v>
      </c>
      <c r="M8" s="121" t="s">
        <v>312</v>
      </c>
      <c r="N8" s="121"/>
      <c r="O8" s="122" t="s">
        <v>313</v>
      </c>
      <c r="P8" s="122" t="s">
        <v>314</v>
      </c>
      <c r="Q8" s="122" t="s">
        <v>315</v>
      </c>
    </row>
    <row r="9" spans="2:17" x14ac:dyDescent="0.3">
      <c r="B9" s="103" t="str">
        <f>[1]Data!C3</f>
        <v>Asian Paints</v>
      </c>
      <c r="C9" s="103"/>
      <c r="D9" s="103">
        <f>[1]Data!D3</f>
        <v>2890.85</v>
      </c>
      <c r="E9" s="103">
        <f>[1]Data!E3</f>
        <v>95.92</v>
      </c>
      <c r="F9" s="103">
        <f>E9*D9</f>
        <v>277290.33199999999</v>
      </c>
      <c r="G9" s="103">
        <f>[1]Data!I3</f>
        <v>1390.3700000000001</v>
      </c>
      <c r="H9" s="103">
        <f>F9+G9</f>
        <v>278680.70199999999</v>
      </c>
      <c r="I9" s="103"/>
      <c r="J9" s="103"/>
      <c r="K9" s="103">
        <f>[1]Data!K3</f>
        <v>35494.730000000003</v>
      </c>
      <c r="L9" s="123">
        <f>[1]Data!L3</f>
        <v>8403.86</v>
      </c>
      <c r="M9" s="103">
        <f>[1]Data!M3</f>
        <v>5557.69</v>
      </c>
      <c r="N9" s="103"/>
      <c r="O9" s="124">
        <f>$H9/K9</f>
        <v>7.8513261546150641</v>
      </c>
      <c r="P9" s="124">
        <f t="shared" ref="P9:P15" si="0">$H9/L9</f>
        <v>33.161035762137871</v>
      </c>
      <c r="Q9" s="124">
        <f>F9/M9</f>
        <v>49.893090834501386</v>
      </c>
    </row>
    <row r="10" spans="2:17" x14ac:dyDescent="0.3">
      <c r="B10" t="str">
        <f>[1]Data!C4</f>
        <v>Berger Paints</v>
      </c>
      <c r="D10">
        <f>[1]Data!D4</f>
        <v>502.2</v>
      </c>
      <c r="E10">
        <f>[1]Data!E4</f>
        <v>116.58</v>
      </c>
      <c r="F10">
        <f t="shared" ref="F10:F15" si="1">E10*D10</f>
        <v>58546.475999999995</v>
      </c>
      <c r="G10">
        <f>[1]Data!I4</f>
        <v>302.64</v>
      </c>
      <c r="H10">
        <f t="shared" ref="H10:H15" si="2">F10+G10</f>
        <v>58849.115999999995</v>
      </c>
      <c r="K10">
        <f>[1]Data!K4</f>
        <v>11198.92</v>
      </c>
      <c r="L10" s="26">
        <f>[1]Data!L4</f>
        <v>1966.02</v>
      </c>
      <c r="M10">
        <f>[1]Data!M4</f>
        <v>1169.82</v>
      </c>
      <c r="O10" s="111">
        <f t="shared" ref="O10:O15" si="3">$H10/K10</f>
        <v>5.2548920788790339</v>
      </c>
      <c r="P10" s="111">
        <f t="shared" si="0"/>
        <v>29.933121738334297</v>
      </c>
      <c r="Q10" s="111">
        <f t="shared" ref="Q10:Q15" si="4">F10/M10</f>
        <v>50.047422680412367</v>
      </c>
    </row>
    <row r="11" spans="2:17" x14ac:dyDescent="0.3">
      <c r="B11" t="str">
        <f>[1]Data!C5</f>
        <v>Kansai Nerolac</v>
      </c>
      <c r="D11">
        <f>[1]Data!D5</f>
        <v>274.14999999999998</v>
      </c>
      <c r="E11">
        <f>[1]Data!E5</f>
        <v>80.84</v>
      </c>
      <c r="F11">
        <f t="shared" si="1"/>
        <v>22162.286</v>
      </c>
      <c r="G11">
        <f>[1]Data!I5</f>
        <v>16.470000000000027</v>
      </c>
      <c r="H11">
        <f t="shared" si="2"/>
        <v>22178.756000000001</v>
      </c>
      <c r="K11">
        <f>[1]Data!K5</f>
        <v>7801.44</v>
      </c>
      <c r="L11" s="26">
        <f>[1]Data!L5</f>
        <v>1078.31</v>
      </c>
      <c r="M11">
        <f>[1]Data!M5</f>
        <v>1175.8599999999999</v>
      </c>
      <c r="O11" s="111">
        <f t="shared" si="3"/>
        <v>2.8429054123341335</v>
      </c>
      <c r="P11" s="111">
        <f t="shared" si="0"/>
        <v>20.568070406469385</v>
      </c>
      <c r="Q11" s="111">
        <f t="shared" si="4"/>
        <v>18.847725069310975</v>
      </c>
    </row>
    <row r="12" spans="2:17" x14ac:dyDescent="0.3">
      <c r="B12" t="str">
        <f>[1]Data!C6</f>
        <v>Akzo Nobel</v>
      </c>
      <c r="D12">
        <f>[1]Data!D6</f>
        <v>2918.45</v>
      </c>
      <c r="E12">
        <f>[1]Data!E6</f>
        <v>4.55</v>
      </c>
      <c r="F12">
        <f t="shared" si="1"/>
        <v>13278.947499999998</v>
      </c>
      <c r="G12">
        <f>[1]Data!I6</f>
        <v>-462.80000000000007</v>
      </c>
      <c r="H12">
        <f t="shared" si="2"/>
        <v>12816.147499999999</v>
      </c>
      <c r="K12">
        <f>[1]Data!K6</f>
        <v>3961.6</v>
      </c>
      <c r="L12" s="26">
        <f>[1]Data!L6</f>
        <v>667.9</v>
      </c>
      <c r="M12">
        <f>[1]Data!M6</f>
        <v>426.7</v>
      </c>
      <c r="O12" s="111">
        <f t="shared" si="3"/>
        <v>3.2350937752423263</v>
      </c>
      <c r="P12" s="111">
        <f t="shared" si="0"/>
        <v>19.188722114088936</v>
      </c>
      <c r="Q12" s="111">
        <f t="shared" si="4"/>
        <v>31.120101945160531</v>
      </c>
    </row>
    <row r="13" spans="2:17" x14ac:dyDescent="0.3">
      <c r="B13" t="str">
        <f>[1]Data!C7</f>
        <v>Indigo Paints</v>
      </c>
      <c r="D13">
        <f>[1]Data!D7</f>
        <v>1363.1</v>
      </c>
      <c r="E13">
        <f>[1]Data!E7</f>
        <v>4.76</v>
      </c>
      <c r="F13">
        <f t="shared" si="1"/>
        <v>6488.3559999999989</v>
      </c>
      <c r="G13">
        <f>[1]Data!I7</f>
        <v>-15.830000000000002</v>
      </c>
      <c r="H13">
        <f t="shared" si="2"/>
        <v>6472.5259999999989</v>
      </c>
      <c r="K13">
        <f>[1]Data!K7</f>
        <v>1254.8599999999999</v>
      </c>
      <c r="L13" s="26">
        <f>[1]Data!L7</f>
        <v>246.13</v>
      </c>
      <c r="M13">
        <f>[1]Data!M7</f>
        <v>148.65</v>
      </c>
      <c r="O13" s="111">
        <f t="shared" si="3"/>
        <v>5.1579666257590482</v>
      </c>
      <c r="P13" s="111">
        <f t="shared" si="0"/>
        <v>26.297184414740173</v>
      </c>
      <c r="Q13" s="111">
        <f t="shared" si="4"/>
        <v>43.648543558694911</v>
      </c>
    </row>
    <row r="14" spans="2:17" x14ac:dyDescent="0.3">
      <c r="B14" t="str">
        <f>[1]Data!C8</f>
        <v>Shalimar Paints</v>
      </c>
      <c r="D14">
        <f>[1]Data!D8</f>
        <v>144.37</v>
      </c>
      <c r="E14">
        <f>[1]Data!E8</f>
        <v>8.3699999999999992</v>
      </c>
      <c r="F14">
        <f t="shared" si="1"/>
        <v>1208.3769</v>
      </c>
      <c r="G14">
        <f>[1]Data!I8</f>
        <v>49.699999999999996</v>
      </c>
      <c r="H14">
        <f t="shared" si="2"/>
        <v>1258.0769</v>
      </c>
      <c r="K14">
        <f>[1]Data!K8</f>
        <v>534.91</v>
      </c>
      <c r="L14" s="26">
        <f>[1]Data!L8</f>
        <v>-46.05</v>
      </c>
      <c r="M14">
        <f>[1]Data!M8</f>
        <v>-73.849999999999994</v>
      </c>
      <c r="O14" s="111">
        <f t="shared" si="3"/>
        <v>2.351941261146735</v>
      </c>
      <c r="P14" s="111">
        <f t="shared" si="0"/>
        <v>-27.319802388707927</v>
      </c>
      <c r="Q14" s="111">
        <f t="shared" si="4"/>
        <v>-16.362584969532836</v>
      </c>
    </row>
    <row r="15" spans="2:17" x14ac:dyDescent="0.3">
      <c r="B15" t="str">
        <f>[1]Data!C9</f>
        <v>Retina Paints</v>
      </c>
      <c r="D15">
        <f>[1]Data!D9</f>
        <v>80</v>
      </c>
      <c r="E15">
        <f>[1]Data!E9</f>
        <v>1.39</v>
      </c>
      <c r="F15">
        <f t="shared" si="1"/>
        <v>111.19999999999999</v>
      </c>
      <c r="G15">
        <f>[1]Data!I9</f>
        <v>6.09</v>
      </c>
      <c r="H15">
        <f t="shared" si="2"/>
        <v>117.28999999999999</v>
      </c>
      <c r="K15">
        <f>[1]Data!K9</f>
        <v>11.66</v>
      </c>
      <c r="L15" s="26">
        <f>[1]Data!L9</f>
        <v>2.02</v>
      </c>
      <c r="M15">
        <f>[1]Data!M9</f>
        <v>0.74</v>
      </c>
      <c r="O15" s="111">
        <f t="shared" si="3"/>
        <v>10.059176672384218</v>
      </c>
      <c r="P15" s="111">
        <f t="shared" si="0"/>
        <v>58.06435643564356</v>
      </c>
      <c r="Q15" s="111">
        <f t="shared" si="4"/>
        <v>150.27027027027026</v>
      </c>
    </row>
    <row r="16" spans="2:17" ht="6.6" customHeight="1" x14ac:dyDescent="0.3"/>
    <row r="17" spans="2:17" x14ac:dyDescent="0.3">
      <c r="B17" s="103" t="s">
        <v>316</v>
      </c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24">
        <f>MAX(O9:O15)</f>
        <v>10.059176672384218</v>
      </c>
      <c r="P17" s="124">
        <f t="shared" ref="P17:Q17" si="5">MAX(P9:P15)</f>
        <v>58.06435643564356</v>
      </c>
      <c r="Q17" s="124">
        <f t="shared" si="5"/>
        <v>150.27027027027026</v>
      </c>
    </row>
    <row r="18" spans="2:17" x14ac:dyDescent="0.3">
      <c r="B18" s="103" t="s">
        <v>317</v>
      </c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24">
        <f>QUARTILE(O9:O15,3)</f>
        <v>6.5531091167470485</v>
      </c>
      <c r="P18" s="124">
        <f t="shared" ref="P18:Q18" si="6">QUARTILE(P9:P15,3)</f>
        <v>31.547078750236082</v>
      </c>
      <c r="Q18" s="124">
        <f t="shared" si="6"/>
        <v>49.97025675745688</v>
      </c>
    </row>
    <row r="19" spans="2:17" x14ac:dyDescent="0.3">
      <c r="B19" s="125" t="s">
        <v>22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6">
        <f>AVERAGE(O9:O15)</f>
        <v>5.2504717114800803</v>
      </c>
      <c r="P19" s="126">
        <f t="shared" ref="P19:Q19" si="7">AVERAGE(P9:P15)</f>
        <v>22.841812640386614</v>
      </c>
      <c r="Q19" s="126">
        <f t="shared" si="7"/>
        <v>46.780652769831086</v>
      </c>
    </row>
    <row r="20" spans="2:17" x14ac:dyDescent="0.3">
      <c r="B20" s="125" t="s">
        <v>23</v>
      </c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6">
        <f>MEDIAN(O9:O15)</f>
        <v>5.1579666257590482</v>
      </c>
      <c r="P20" s="126">
        <f t="shared" ref="P20:Q20" si="8">MEDIAN(P9:P15)</f>
        <v>26.297184414740173</v>
      </c>
      <c r="Q20" s="126">
        <f t="shared" si="8"/>
        <v>43.648543558694911</v>
      </c>
    </row>
    <row r="21" spans="2:17" x14ac:dyDescent="0.3">
      <c r="B21" s="103" t="s">
        <v>318</v>
      </c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24">
        <f>QUARTILE(O9:O15,1)</f>
        <v>3.0389995937882297</v>
      </c>
      <c r="P21" s="124">
        <f t="shared" ref="P21:Q21" si="9">QUARTILE(P9:P15,1)</f>
        <v>19.87839626027916</v>
      </c>
      <c r="Q21" s="124">
        <f t="shared" si="9"/>
        <v>24.983913507235755</v>
      </c>
    </row>
    <row r="22" spans="2:17" x14ac:dyDescent="0.3">
      <c r="B22" s="103" t="s">
        <v>319</v>
      </c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24">
        <f>MIN(O9:O15)</f>
        <v>2.351941261146735</v>
      </c>
      <c r="P22" s="124">
        <f t="shared" ref="P22:Q22" si="10">MIN(P9:P15)</f>
        <v>-27.319802388707927</v>
      </c>
      <c r="Q22" s="124">
        <f t="shared" si="10"/>
        <v>-16.362584969532836</v>
      </c>
    </row>
    <row r="24" spans="2:17" ht="28.8" x14ac:dyDescent="0.3">
      <c r="B24" s="79" t="s">
        <v>320</v>
      </c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122" t="s">
        <v>313</v>
      </c>
      <c r="P24" s="122" t="s">
        <v>314</v>
      </c>
      <c r="Q24" s="122" t="s">
        <v>315</v>
      </c>
    </row>
    <row r="25" spans="2:17" ht="3.6" customHeight="1" x14ac:dyDescent="0.3"/>
    <row r="26" spans="2:17" x14ac:dyDescent="0.3">
      <c r="B26" t="s">
        <v>321</v>
      </c>
      <c r="O26">
        <f>O$20*K9</f>
        <v>183080.63273032848</v>
      </c>
      <c r="P26">
        <f t="shared" ref="P26" si="11">P$20*L9</f>
        <v>220997.85621565836</v>
      </c>
      <c r="Q26">
        <f>Q27+Q28</f>
        <v>243975.4440507231</v>
      </c>
    </row>
    <row r="27" spans="2:17" x14ac:dyDescent="0.3">
      <c r="B27" t="s">
        <v>322</v>
      </c>
      <c r="O27">
        <f>$G$9</f>
        <v>1390.3700000000001</v>
      </c>
      <c r="P27">
        <f t="shared" ref="P27:Q27" si="12">$G$9</f>
        <v>1390.3700000000001</v>
      </c>
      <c r="Q27">
        <f t="shared" si="12"/>
        <v>1390.3700000000001</v>
      </c>
    </row>
    <row r="28" spans="2:17" x14ac:dyDescent="0.3">
      <c r="B28" t="s">
        <v>323</v>
      </c>
      <c r="O28">
        <f>O26-O27</f>
        <v>181690.26273032848</v>
      </c>
      <c r="P28">
        <f t="shared" ref="P28" si="13">P26-P27</f>
        <v>219607.48621565837</v>
      </c>
      <c r="Q28">
        <f>Q20*M9</f>
        <v>242585.07405072311</v>
      </c>
    </row>
    <row r="29" spans="2:17" x14ac:dyDescent="0.3">
      <c r="B29" t="s">
        <v>307</v>
      </c>
      <c r="O29">
        <f>$E$9</f>
        <v>95.92</v>
      </c>
      <c r="P29">
        <f t="shared" ref="P29:Q29" si="14">$E$9</f>
        <v>95.92</v>
      </c>
      <c r="Q29">
        <f t="shared" si="14"/>
        <v>95.92</v>
      </c>
    </row>
    <row r="30" spans="2:17" ht="4.2" customHeight="1" x14ac:dyDescent="0.3"/>
    <row r="31" spans="2:17" x14ac:dyDescent="0.3">
      <c r="B31" s="125" t="s">
        <v>324</v>
      </c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7">
        <f>O28/O29</f>
        <v>1894.1853912669774</v>
      </c>
      <c r="P31" s="127">
        <f>P28/P29</f>
        <v>2289.4858863183731</v>
      </c>
      <c r="Q31" s="127">
        <f>Q28/Q29</f>
        <v>2529.0353841818505</v>
      </c>
    </row>
    <row r="32" spans="2:17" ht="4.2" customHeight="1" x14ac:dyDescent="0.3"/>
    <row r="33" spans="15:17" x14ac:dyDescent="0.3">
      <c r="O33" t="str">
        <f>IF(O31&gt;$D$9,"Undervalued","Overvalued")</f>
        <v>Overvalued</v>
      </c>
      <c r="P33" t="str">
        <f t="shared" ref="P33:Q33" si="15">IF(P31&gt;$D$9,"Undervalued","Overvalued")</f>
        <v>Overvalued</v>
      </c>
      <c r="Q33" t="str">
        <f t="shared" si="15"/>
        <v>Overvalued</v>
      </c>
    </row>
  </sheetData>
  <mergeCells count="4">
    <mergeCell ref="B1:Q1"/>
    <mergeCell ref="D7:I7"/>
    <mergeCell ref="K7:M7"/>
    <mergeCell ref="O7:Q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7C24-5E8F-4892-B556-9EAFC76CB30B}">
  <dimension ref="B1:XFD48"/>
  <sheetViews>
    <sheetView workbookViewId="0">
      <pane ySplit="2" topLeftCell="A3" activePane="bottomLeft" state="frozen"/>
      <selection pane="bottomLeft" activeCell="K30" sqref="K30"/>
    </sheetView>
  </sheetViews>
  <sheetFormatPr defaultRowHeight="14.4" x14ac:dyDescent="0.3"/>
  <cols>
    <col min="1" max="1" width="1.88671875" customWidth="1"/>
    <col min="2" max="2" width="31.44140625" bestFit="1" customWidth="1"/>
    <col min="4" max="4" width="10" bestFit="1" customWidth="1"/>
    <col min="6" max="11" width="9.88671875" bestFit="1" customWidth="1"/>
  </cols>
  <sheetData>
    <row r="1" spans="2:11" ht="18" x14ac:dyDescent="0.35">
      <c r="B1" s="130" t="s">
        <v>276</v>
      </c>
      <c r="C1" s="130"/>
      <c r="D1" s="130"/>
      <c r="E1" s="130"/>
      <c r="F1" s="130"/>
      <c r="G1" s="130"/>
      <c r="H1" s="130"/>
      <c r="I1" s="130"/>
      <c r="J1" s="130"/>
      <c r="K1" s="130"/>
    </row>
    <row r="2" spans="2:11" x14ac:dyDescent="0.3">
      <c r="B2" s="83"/>
      <c r="C2" s="83"/>
      <c r="D2" s="83"/>
      <c r="E2" s="83"/>
      <c r="F2" s="83"/>
      <c r="G2" s="83"/>
      <c r="H2" s="83"/>
      <c r="I2" s="83"/>
      <c r="J2" s="83"/>
      <c r="K2" s="83"/>
    </row>
    <row r="4" spans="2:11" x14ac:dyDescent="0.3">
      <c r="B4" s="79" t="s">
        <v>277</v>
      </c>
      <c r="C4" s="79"/>
      <c r="D4" s="79"/>
      <c r="E4" s="79"/>
      <c r="F4" s="95">
        <f>'Intrinsic growth'!K4</f>
        <v>45352</v>
      </c>
      <c r="G4" s="96">
        <f>F4+366</f>
        <v>45718</v>
      </c>
      <c r="H4" s="96">
        <f t="shared" ref="H4:K4" si="0">G4+366</f>
        <v>46084</v>
      </c>
      <c r="I4" s="96">
        <f t="shared" si="0"/>
        <v>46450</v>
      </c>
      <c r="J4" s="96">
        <f t="shared" si="0"/>
        <v>46816</v>
      </c>
      <c r="K4" s="96">
        <f t="shared" si="0"/>
        <v>47182</v>
      </c>
    </row>
    <row r="6" spans="2:11" x14ac:dyDescent="0.3">
      <c r="B6" t="s">
        <v>261</v>
      </c>
      <c r="F6" s="97">
        <f>'Data Sheet'!K33-'Data Sheet'!K26</f>
        <v>7455.48</v>
      </c>
      <c r="G6" s="97">
        <f>F6*(1+$F$21)</f>
        <v>9202.7954064141231</v>
      </c>
      <c r="H6" s="97">
        <f t="shared" ref="H6:K6" si="1">G6*(1+$F$21)</f>
        <v>11359.623162065605</v>
      </c>
      <c r="I6" s="97">
        <f t="shared" si="1"/>
        <v>14021.939278819449</v>
      </c>
      <c r="J6" s="97">
        <f t="shared" si="1"/>
        <v>17308.21333893155</v>
      </c>
      <c r="K6" s="97">
        <f t="shared" si="1"/>
        <v>21364.680236383829</v>
      </c>
    </row>
    <row r="8" spans="2:11" x14ac:dyDescent="0.3">
      <c r="B8" t="s">
        <v>26</v>
      </c>
      <c r="F8" s="98">
        <v>0.25</v>
      </c>
      <c r="G8" s="1">
        <f>F8</f>
        <v>0.25</v>
      </c>
      <c r="H8" s="1">
        <f t="shared" ref="H8:K8" si="2">G8</f>
        <v>0.25</v>
      </c>
      <c r="I8" s="1">
        <f t="shared" si="2"/>
        <v>0.25</v>
      </c>
      <c r="J8" s="1">
        <f t="shared" si="2"/>
        <v>0.25</v>
      </c>
      <c r="K8" s="1">
        <f t="shared" si="2"/>
        <v>0.25</v>
      </c>
    </row>
    <row r="10" spans="2:11" x14ac:dyDescent="0.3">
      <c r="B10" t="s">
        <v>270</v>
      </c>
      <c r="F10" s="97">
        <f>F6*(1-F8)</f>
        <v>5591.61</v>
      </c>
      <c r="G10" s="97">
        <f t="shared" ref="G10:K10" si="3">G6*(1-G8)</f>
        <v>6902.0965548105924</v>
      </c>
      <c r="H10" s="97">
        <f t="shared" si="3"/>
        <v>8519.7173715492045</v>
      </c>
      <c r="I10" s="97">
        <f t="shared" si="3"/>
        <v>10516.454459114586</v>
      </c>
      <c r="J10" s="97">
        <f t="shared" si="3"/>
        <v>12981.160004198662</v>
      </c>
      <c r="K10" s="97">
        <f t="shared" si="3"/>
        <v>16023.510177287872</v>
      </c>
    </row>
    <row r="12" spans="2:11" x14ac:dyDescent="0.3">
      <c r="B12" t="s">
        <v>278</v>
      </c>
      <c r="F12" s="98">
        <f>'Intrinsic growth'!K55</f>
        <v>0.50501025247043563</v>
      </c>
      <c r="G12" s="1">
        <f>F12</f>
        <v>0.50501025247043563</v>
      </c>
      <c r="H12" s="1">
        <f t="shared" ref="H12:K12" si="4">G12</f>
        <v>0.50501025247043563</v>
      </c>
      <c r="I12" s="1">
        <f t="shared" si="4"/>
        <v>0.50501025247043563</v>
      </c>
      <c r="J12" s="1">
        <f t="shared" si="4"/>
        <v>0.50501025247043563</v>
      </c>
      <c r="K12" s="1">
        <f t="shared" si="4"/>
        <v>0.50501025247043563</v>
      </c>
    </row>
    <row r="14" spans="2:11" x14ac:dyDescent="0.3">
      <c r="B14" t="s">
        <v>279</v>
      </c>
      <c r="F14" s="97">
        <f>F10*(1-F12)</f>
        <v>2767.7896221837873</v>
      </c>
      <c r="G14" s="97">
        <f t="shared" ref="G14:K14" si="5">G10*(1-G12)</f>
        <v>3416.4670310903712</v>
      </c>
      <c r="H14" s="97">
        <f t="shared" si="5"/>
        <v>4217.1727507663845</v>
      </c>
      <c r="I14" s="97">
        <f t="shared" si="5"/>
        <v>5205.5371376232906</v>
      </c>
      <c r="J14" s="97">
        <f t="shared" si="5"/>
        <v>6425.541113119175</v>
      </c>
      <c r="K14" s="97">
        <f t="shared" si="5"/>
        <v>7931.473257193129</v>
      </c>
    </row>
    <row r="16" spans="2:11" x14ac:dyDescent="0.3">
      <c r="B16" t="s">
        <v>280</v>
      </c>
      <c r="G16" s="105">
        <v>0.5</v>
      </c>
      <c r="H16">
        <f>G16+1</f>
        <v>1.5</v>
      </c>
      <c r="I16">
        <f t="shared" ref="I16:K16" si="6">H16+1</f>
        <v>2.5</v>
      </c>
      <c r="J16">
        <f t="shared" si="6"/>
        <v>3.5</v>
      </c>
      <c r="K16">
        <f t="shared" si="6"/>
        <v>4.5</v>
      </c>
    </row>
    <row r="17" spans="2:11 16384:16384" x14ac:dyDescent="0.3">
      <c r="B17" t="s">
        <v>281</v>
      </c>
      <c r="G17" s="106">
        <f>1/(1+$F$23)^G16</f>
        <v>0.93079094429857556</v>
      </c>
      <c r="H17" s="106">
        <f t="shared" ref="H17:K17" si="7">1/(1+$F$23)^H16</f>
        <v>0.80641100907046781</v>
      </c>
      <c r="I17" s="106">
        <f t="shared" si="7"/>
        <v>0.698651742943311</v>
      </c>
      <c r="J17" s="106">
        <f t="shared" si="7"/>
        <v>0.60529215552298188</v>
      </c>
      <c r="K17" s="106">
        <f t="shared" si="7"/>
        <v>0.52440804340394498</v>
      </c>
    </row>
    <row r="18" spans="2:11 16384:16384" ht="15" thickBot="1" x14ac:dyDescent="0.35"/>
    <row r="19" spans="2:11 16384:16384" ht="15" thickBot="1" x14ac:dyDescent="0.35">
      <c r="B19" s="102" t="s">
        <v>282</v>
      </c>
      <c r="C19" s="102"/>
      <c r="D19" s="102"/>
      <c r="E19" s="102"/>
      <c r="F19" s="102"/>
      <c r="G19" s="107">
        <f>G14*G17</f>
        <v>3180.0165740335574</v>
      </c>
      <c r="H19" s="107">
        <f t="shared" ref="H19:K19" si="8">H14*H17</f>
        <v>3400.7745333700004</v>
      </c>
      <c r="I19" s="107">
        <f t="shared" si="8"/>
        <v>3636.857594156646</v>
      </c>
      <c r="J19" s="107">
        <f t="shared" si="8"/>
        <v>3889.3296307614455</v>
      </c>
      <c r="K19" s="107">
        <f t="shared" si="8"/>
        <v>4159.328372115363</v>
      </c>
    </row>
    <row r="20" spans="2:11 16384:16384" ht="15" thickTop="1" x14ac:dyDescent="0.3"/>
    <row r="21" spans="2:11 16384:16384" x14ac:dyDescent="0.3">
      <c r="B21" s="103" t="s">
        <v>283</v>
      </c>
      <c r="C21" s="103"/>
      <c r="D21" s="103"/>
      <c r="E21" s="103"/>
      <c r="F21" s="104">
        <f>'Intrinsic growth'!K66</f>
        <v>0.23436658758579226</v>
      </c>
      <c r="XFD21" s="1">
        <f>SUM(F21:XFC21)</f>
        <v>0.23436658758579226</v>
      </c>
    </row>
    <row r="22" spans="2:11 16384:16384" x14ac:dyDescent="0.3">
      <c r="B22" s="103" t="s">
        <v>284</v>
      </c>
      <c r="C22" s="103"/>
      <c r="D22" s="103"/>
      <c r="E22" s="103"/>
      <c r="F22" s="104">
        <v>5.3800000000000001E-2</v>
      </c>
      <c r="XFD22" s="1">
        <f>SUM(F22:XFC22)</f>
        <v>5.3800000000000001E-2</v>
      </c>
    </row>
    <row r="23" spans="2:11 16384:16384" x14ac:dyDescent="0.3">
      <c r="B23" s="103" t="s">
        <v>97</v>
      </c>
      <c r="C23" s="103"/>
      <c r="D23" s="103"/>
      <c r="E23" s="103"/>
      <c r="F23" s="104">
        <f>WACC!K45</f>
        <v>0.15423888541833974</v>
      </c>
      <c r="XFD23" s="1">
        <f>SUM(F23:XFC23)</f>
        <v>0.15423888541833974</v>
      </c>
    </row>
    <row r="25" spans="2:11 16384:16384" x14ac:dyDescent="0.3">
      <c r="B25" s="83" t="s">
        <v>285</v>
      </c>
      <c r="C25" s="83"/>
      <c r="D25" s="83"/>
      <c r="E25" s="117"/>
      <c r="F25" s="117"/>
      <c r="H25" s="132" t="s">
        <v>293</v>
      </c>
      <c r="I25" s="132"/>
      <c r="J25" s="132"/>
      <c r="K25" s="132"/>
    </row>
    <row r="26" spans="2:11 16384:16384" x14ac:dyDescent="0.3">
      <c r="G26" s="114">
        <f>D45</f>
        <v>723.10771332709737</v>
      </c>
      <c r="H26" s="115">
        <v>0.1</v>
      </c>
      <c r="I26" s="93">
        <v>0.15440000000000001</v>
      </c>
      <c r="J26" s="115">
        <v>0.2</v>
      </c>
      <c r="K26" s="115">
        <v>0.25</v>
      </c>
    </row>
    <row r="27" spans="2:11 16384:16384" x14ac:dyDescent="0.3">
      <c r="B27" t="s">
        <v>286</v>
      </c>
      <c r="D27" s="97">
        <f>K14*(1+F21)</f>
        <v>9790.3455790094522</v>
      </c>
      <c r="G27" s="115">
        <v>0.03</v>
      </c>
      <c r="H27" s="116">
        <f t="dataTable" ref="H27:K31" dt2D="1" dtr="1" r1="D28" r2="D29"/>
        <v>954.84078729612202</v>
      </c>
      <c r="I27" s="116">
        <v>620.46125897208651</v>
      </c>
      <c r="J27" s="116">
        <v>505.04825568377305</v>
      </c>
      <c r="K27" s="116">
        <v>433.49035292726307</v>
      </c>
    </row>
    <row r="28" spans="2:11 16384:16384" x14ac:dyDescent="0.3">
      <c r="B28" t="s">
        <v>97</v>
      </c>
      <c r="D28" s="1">
        <f>F23</f>
        <v>0.15423888541833974</v>
      </c>
      <c r="G28" s="93">
        <v>5.3800000000000001E-2</v>
      </c>
      <c r="H28" s="116">
        <v>1348.7500043748157</v>
      </c>
      <c r="I28" s="129">
        <v>722.25423168504449</v>
      </c>
      <c r="J28" s="116">
        <v>556.30368370471524</v>
      </c>
      <c r="K28" s="116">
        <v>463.00342882459637</v>
      </c>
    </row>
    <row r="29" spans="2:11 16384:16384" x14ac:dyDescent="0.3">
      <c r="B29" t="s">
        <v>287</v>
      </c>
      <c r="D29" s="1">
        <f>F22</f>
        <v>5.3800000000000001E-2</v>
      </c>
      <c r="G29" s="115">
        <v>7.0000000000000007E-2</v>
      </c>
      <c r="H29" s="116">
        <v>1974.3705256174474</v>
      </c>
      <c r="I29" s="116">
        <v>824.37963594694793</v>
      </c>
      <c r="J29" s="116">
        <v>601.92664710797135</v>
      </c>
      <c r="K29" s="116">
        <v>487.55632389884846</v>
      </c>
    </row>
    <row r="30" spans="2:11 16384:16384" ht="15" thickBot="1" x14ac:dyDescent="0.35">
      <c r="G30" s="115">
        <v>0.09</v>
      </c>
      <c r="H30" s="116">
        <v>5542.7246097420784</v>
      </c>
      <c r="I30" s="116">
        <v>1021.3318571866432</v>
      </c>
      <c r="J30" s="116">
        <v>676.7872222993974</v>
      </c>
      <c r="K30" s="116">
        <v>524.72667894181336</v>
      </c>
    </row>
    <row r="31" spans="2:11 16384:16384" ht="15" thickBot="1" x14ac:dyDescent="0.35">
      <c r="B31" s="112" t="s">
        <v>288</v>
      </c>
      <c r="C31" s="112"/>
      <c r="D31" s="113">
        <f>D27/(D28-D29)</f>
        <v>97475.64937854014</v>
      </c>
      <c r="G31" s="115"/>
      <c r="H31" s="116">
        <v>725.4465961738241</v>
      </c>
      <c r="I31" s="116">
        <v>536.86000727190037</v>
      </c>
      <c r="J31" s="116">
        <v>457.82003986447648</v>
      </c>
      <c r="K31" s="116">
        <v>404.29472860260694</v>
      </c>
    </row>
    <row r="32" spans="2:11 16384:16384" ht="15" thickTop="1" x14ac:dyDescent="0.3">
      <c r="I32" s="116"/>
    </row>
    <row r="34" spans="2:4" x14ac:dyDescent="0.3">
      <c r="B34" s="83" t="s">
        <v>293</v>
      </c>
      <c r="C34" s="83"/>
      <c r="D34" s="83"/>
    </row>
    <row r="36" spans="2:4" x14ac:dyDescent="0.3">
      <c r="B36" t="s">
        <v>282</v>
      </c>
      <c r="D36" s="97">
        <f>SUM(G19:K19)</f>
        <v>18266.306704437011</v>
      </c>
    </row>
    <row r="37" spans="2:4" x14ac:dyDescent="0.3">
      <c r="B37" t="s">
        <v>289</v>
      </c>
      <c r="D37" s="108">
        <f>D31*K17</f>
        <v>51117.014570129199</v>
      </c>
    </row>
    <row r="38" spans="2:4" x14ac:dyDescent="0.3">
      <c r="B38" s="31" t="s">
        <v>290</v>
      </c>
      <c r="C38" s="31"/>
      <c r="D38" s="109">
        <f>SUM(D36:D37)</f>
        <v>69383.321274566202</v>
      </c>
    </row>
    <row r="39" spans="2:4" x14ac:dyDescent="0.3">
      <c r="B39" s="31"/>
      <c r="C39" s="31"/>
      <c r="D39" s="109"/>
    </row>
    <row r="40" spans="2:4" x14ac:dyDescent="0.3">
      <c r="B40" t="s">
        <v>291</v>
      </c>
      <c r="C40" s="31"/>
      <c r="D40" s="97">
        <f>'Data Sheet'!K69</f>
        <v>1084.01</v>
      </c>
    </row>
    <row r="41" spans="2:4" x14ac:dyDescent="0.3">
      <c r="B41" t="s">
        <v>292</v>
      </c>
      <c r="D41">
        <f>SUM('Raw FS'!N7:N8)</f>
        <v>1107</v>
      </c>
    </row>
    <row r="42" spans="2:4" x14ac:dyDescent="0.3">
      <c r="B42" s="31" t="s">
        <v>294</v>
      </c>
      <c r="D42" s="97">
        <f>D38+D40-D41</f>
        <v>69360.331274566197</v>
      </c>
    </row>
    <row r="43" spans="2:4" x14ac:dyDescent="0.3">
      <c r="B43" s="31" t="s">
        <v>295</v>
      </c>
      <c r="D43" s="97">
        <f>'Data Sheet'!B6</f>
        <v>95.919777919988931</v>
      </c>
    </row>
    <row r="44" spans="2:4" ht="15" thickBot="1" x14ac:dyDescent="0.35"/>
    <row r="45" spans="2:4" ht="15" thickBot="1" x14ac:dyDescent="0.35">
      <c r="B45" s="102" t="s">
        <v>296</v>
      </c>
      <c r="C45" s="102"/>
      <c r="D45" s="110">
        <f>D42/D43</f>
        <v>723.10771332709737</v>
      </c>
    </row>
    <row r="46" spans="2:4" ht="15" thickTop="1" x14ac:dyDescent="0.3"/>
    <row r="47" spans="2:4" x14ac:dyDescent="0.3">
      <c r="B47" t="s">
        <v>297</v>
      </c>
      <c r="D47">
        <v>2891</v>
      </c>
    </row>
    <row r="48" spans="2:4" x14ac:dyDescent="0.3">
      <c r="B48" t="s">
        <v>298</v>
      </c>
      <c r="D48" s="111">
        <f>D47/D45</f>
        <v>3.9980212445780645</v>
      </c>
    </row>
  </sheetData>
  <mergeCells count="2">
    <mergeCell ref="B1:K1"/>
    <mergeCell ref="H25:K25"/>
  </mergeCells>
  <pageMargins left="0.7" right="0.7" top="0.75" bottom="0.75" header="0.3" footer="0.3"/>
  <ignoredErrors>
    <ignoredError sqref="D41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B90E-FFC9-4747-9DA4-B66278368A81}">
  <dimension ref="B1:Q12"/>
  <sheetViews>
    <sheetView showGridLines="0" workbookViewId="0">
      <pane ySplit="2" topLeftCell="A3" activePane="bottomLeft" state="frozen"/>
      <selection pane="bottomLeft" activeCell="S12" sqref="S12"/>
    </sheetView>
  </sheetViews>
  <sheetFormatPr defaultRowHeight="14.4" x14ac:dyDescent="0.3"/>
  <cols>
    <col min="1" max="1" width="1.88671875" customWidth="1"/>
  </cols>
  <sheetData>
    <row r="1" spans="2:17" x14ac:dyDescent="0.3"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</row>
    <row r="2" spans="2:17" x14ac:dyDescent="0.3"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</row>
    <row r="6" spans="2:17" x14ac:dyDescent="0.3">
      <c r="L6" s="79" t="s">
        <v>332</v>
      </c>
      <c r="M6" s="79"/>
      <c r="N6" s="79"/>
      <c r="O6" s="79"/>
      <c r="P6" s="79"/>
      <c r="Q6" s="79"/>
    </row>
    <row r="7" spans="2:17" x14ac:dyDescent="0.3">
      <c r="N7" s="128" t="s">
        <v>325</v>
      </c>
      <c r="O7" s="128" t="s">
        <v>319</v>
      </c>
      <c r="P7" s="128" t="s">
        <v>326</v>
      </c>
      <c r="Q7" s="128" t="s">
        <v>316</v>
      </c>
    </row>
    <row r="8" spans="2:17" x14ac:dyDescent="0.3">
      <c r="L8" t="s">
        <v>327</v>
      </c>
      <c r="N8">
        <v>1894.1853912669774</v>
      </c>
      <c r="O8">
        <v>1894.1853912669774</v>
      </c>
      <c r="P8">
        <v>2529.0353841818505</v>
      </c>
      <c r="Q8">
        <v>2529.0353841818505</v>
      </c>
    </row>
    <row r="9" spans="2:17" x14ac:dyDescent="0.3">
      <c r="L9" t="s">
        <v>328</v>
      </c>
      <c r="N9" s="116">
        <v>433.33615470797378</v>
      </c>
      <c r="O9" s="116">
        <v>433.33615470797378</v>
      </c>
      <c r="P9" s="116">
        <v>524.53282535078915</v>
      </c>
      <c r="Q9" s="116">
        <v>524.53282535078915</v>
      </c>
    </row>
    <row r="10" spans="2:17" x14ac:dyDescent="0.3">
      <c r="L10" t="s">
        <v>329</v>
      </c>
      <c r="N10">
        <v>620.22579486774134</v>
      </c>
      <c r="O10">
        <v>620.22579486774134</v>
      </c>
      <c r="P10">
        <v>1020.9221568620974</v>
      </c>
      <c r="Q10">
        <v>1020.9221568620974</v>
      </c>
    </row>
    <row r="11" spans="2:17" x14ac:dyDescent="0.3">
      <c r="L11" t="s">
        <v>330</v>
      </c>
      <c r="N11" s="116">
        <v>954.45998695263336</v>
      </c>
      <c r="O11" s="116">
        <v>954.45998695263336</v>
      </c>
      <c r="P11" s="116">
        <v>1540.3497107056401</v>
      </c>
      <c r="Q11" s="116">
        <v>1540.3497107056401</v>
      </c>
    </row>
    <row r="12" spans="2:17" x14ac:dyDescent="0.3">
      <c r="L12" t="s">
        <v>331</v>
      </c>
      <c r="N12" s="34">
        <v>2670.1</v>
      </c>
      <c r="O12" s="34">
        <v>2670.1</v>
      </c>
      <c r="P12" s="34">
        <v>3568</v>
      </c>
      <c r="Q12" s="34">
        <v>3568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6EFA-B992-4EF3-8562-6D2D396950B0}">
  <dimension ref="B2:N74"/>
  <sheetViews>
    <sheetView showGridLines="0" workbookViewId="0">
      <pane ySplit="2" topLeftCell="A3" activePane="bottomLeft" state="frozen"/>
      <selection pane="bottomLeft" activeCell="B68" sqref="B68:N74"/>
    </sheetView>
  </sheetViews>
  <sheetFormatPr defaultRowHeight="14.4" x14ac:dyDescent="0.3"/>
  <cols>
    <col min="1" max="1" width="1.88671875" customWidth="1"/>
    <col min="2" max="2" width="31.33203125" bestFit="1" customWidth="1"/>
    <col min="3" max="14" width="9.6640625" bestFit="1" customWidth="1"/>
  </cols>
  <sheetData>
    <row r="2" spans="2:14" x14ac:dyDescent="0.3">
      <c r="B2" s="79" t="s">
        <v>246</v>
      </c>
      <c r="C2" s="80">
        <v>41334</v>
      </c>
      <c r="D2" s="80">
        <v>41699</v>
      </c>
      <c r="E2" s="80">
        <v>42064</v>
      </c>
      <c r="F2" s="80">
        <v>42430</v>
      </c>
      <c r="G2" s="80">
        <v>42795</v>
      </c>
      <c r="H2" s="80">
        <v>43160</v>
      </c>
      <c r="I2" s="80">
        <v>43525</v>
      </c>
      <c r="J2" s="80">
        <v>43891</v>
      </c>
      <c r="K2" s="80">
        <v>44256</v>
      </c>
      <c r="L2" s="80">
        <v>44621</v>
      </c>
      <c r="M2" s="80">
        <v>44986</v>
      </c>
      <c r="N2" s="80">
        <v>45352</v>
      </c>
    </row>
    <row r="3" spans="2:14" x14ac:dyDescent="0.3">
      <c r="B3" s="37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2:14" x14ac:dyDescent="0.3">
      <c r="B4" s="44" t="s">
        <v>218</v>
      </c>
      <c r="C4" s="45">
        <v>96</v>
      </c>
      <c r="D4" s="45">
        <v>96</v>
      </c>
      <c r="E4" s="45">
        <v>96</v>
      </c>
      <c r="F4" s="45">
        <v>96</v>
      </c>
      <c r="G4" s="45">
        <v>96</v>
      </c>
      <c r="H4" s="45">
        <v>96</v>
      </c>
      <c r="I4" s="45">
        <v>96</v>
      </c>
      <c r="J4" s="45">
        <v>96</v>
      </c>
      <c r="K4" s="45">
        <v>96</v>
      </c>
      <c r="L4" s="45">
        <v>96</v>
      </c>
      <c r="M4" s="45">
        <v>96</v>
      </c>
      <c r="N4" s="45">
        <v>96</v>
      </c>
    </row>
    <row r="5" spans="2:14" x14ac:dyDescent="0.3">
      <c r="B5" s="44" t="s">
        <v>146</v>
      </c>
      <c r="C5" s="76">
        <v>3288</v>
      </c>
      <c r="D5" s="76">
        <v>3943</v>
      </c>
      <c r="E5" s="76">
        <v>4646</v>
      </c>
      <c r="F5" s="76">
        <v>6429</v>
      </c>
      <c r="G5" s="76">
        <v>7508</v>
      </c>
      <c r="H5" s="76">
        <v>8314</v>
      </c>
      <c r="I5" s="76">
        <v>9375</v>
      </c>
      <c r="J5" s="76">
        <v>10034</v>
      </c>
      <c r="K5" s="76">
        <v>12710</v>
      </c>
      <c r="L5" s="76">
        <v>13716</v>
      </c>
      <c r="M5" s="76">
        <v>15896</v>
      </c>
      <c r="N5" s="76">
        <v>18632</v>
      </c>
    </row>
    <row r="6" spans="2:14" x14ac:dyDescent="0.3">
      <c r="B6" s="77" t="s">
        <v>247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4" x14ac:dyDescent="0.3">
      <c r="B7" s="44" t="s">
        <v>219</v>
      </c>
      <c r="C7" s="45">
        <v>47</v>
      </c>
      <c r="D7" s="45">
        <v>41</v>
      </c>
      <c r="E7" s="45">
        <v>78</v>
      </c>
      <c r="F7" s="45">
        <v>73</v>
      </c>
      <c r="G7" s="45">
        <v>41</v>
      </c>
      <c r="H7" s="45">
        <v>28</v>
      </c>
      <c r="I7" s="45">
        <v>19</v>
      </c>
      <c r="J7" s="45">
        <v>19</v>
      </c>
      <c r="K7" s="45">
        <v>15</v>
      </c>
      <c r="L7" s="45">
        <v>45</v>
      </c>
      <c r="M7" s="45">
        <v>76</v>
      </c>
      <c r="N7" s="45">
        <v>54</v>
      </c>
    </row>
    <row r="8" spans="2:14" x14ac:dyDescent="0.3">
      <c r="B8" s="44" t="s">
        <v>220</v>
      </c>
      <c r="C8" s="45">
        <v>190</v>
      </c>
      <c r="D8" s="45">
        <v>199</v>
      </c>
      <c r="E8" s="45">
        <v>332</v>
      </c>
      <c r="F8" s="45">
        <v>231</v>
      </c>
      <c r="G8" s="45">
        <v>504</v>
      </c>
      <c r="H8" s="45">
        <v>492</v>
      </c>
      <c r="I8" s="45">
        <v>597</v>
      </c>
      <c r="J8" s="45">
        <v>321</v>
      </c>
      <c r="K8" s="45">
        <v>334</v>
      </c>
      <c r="L8" s="45">
        <v>731</v>
      </c>
      <c r="M8" s="45">
        <v>896</v>
      </c>
      <c r="N8" s="76">
        <v>1053</v>
      </c>
    </row>
    <row r="9" spans="2:14" x14ac:dyDescent="0.3">
      <c r="B9" s="44" t="s">
        <v>221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693</v>
      </c>
      <c r="J9" s="45">
        <v>764</v>
      </c>
      <c r="K9" s="45">
        <v>745</v>
      </c>
      <c r="L9" s="45">
        <v>811</v>
      </c>
      <c r="M9" s="45">
        <v>960</v>
      </c>
      <c r="N9" s="76">
        <v>1367</v>
      </c>
    </row>
    <row r="10" spans="2:14" x14ac:dyDescent="0.3">
      <c r="B10" s="44" t="s">
        <v>222</v>
      </c>
      <c r="C10" s="45">
        <v>14</v>
      </c>
      <c r="D10" s="45">
        <v>9</v>
      </c>
      <c r="E10" s="45">
        <v>8</v>
      </c>
      <c r="F10" s="45">
        <v>20</v>
      </c>
      <c r="G10" s="45">
        <v>15</v>
      </c>
      <c r="H10" s="45">
        <v>13</v>
      </c>
      <c r="I10" s="45">
        <v>11</v>
      </c>
      <c r="J10" s="45">
        <v>15</v>
      </c>
      <c r="K10" s="45">
        <v>0</v>
      </c>
      <c r="L10" s="45">
        <v>0</v>
      </c>
      <c r="M10" s="45">
        <v>0</v>
      </c>
      <c r="N10" s="45">
        <v>0</v>
      </c>
    </row>
    <row r="11" spans="2:14" x14ac:dyDescent="0.3">
      <c r="B11" s="77" t="s">
        <v>248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spans="2:14" x14ac:dyDescent="0.3">
      <c r="B12" s="44" t="s">
        <v>223</v>
      </c>
      <c r="C12" s="45">
        <v>161</v>
      </c>
      <c r="D12" s="45">
        <v>246</v>
      </c>
      <c r="E12" s="45">
        <v>264</v>
      </c>
      <c r="F12" s="45">
        <v>384</v>
      </c>
      <c r="G12" s="45">
        <v>375</v>
      </c>
      <c r="H12" s="45">
        <v>328</v>
      </c>
      <c r="I12" s="45">
        <v>361</v>
      </c>
      <c r="J12" s="45">
        <v>404</v>
      </c>
      <c r="K12" s="45">
        <v>423</v>
      </c>
      <c r="L12" s="45">
        <v>388</v>
      </c>
      <c r="M12" s="45">
        <v>454</v>
      </c>
      <c r="N12" s="45">
        <v>695</v>
      </c>
    </row>
    <row r="13" spans="2:14" x14ac:dyDescent="0.3">
      <c r="B13" s="44" t="s">
        <v>224</v>
      </c>
      <c r="C13" s="76">
        <v>1442</v>
      </c>
      <c r="D13" s="76">
        <v>1746</v>
      </c>
      <c r="E13" s="76">
        <v>1549</v>
      </c>
      <c r="F13" s="76">
        <v>1565</v>
      </c>
      <c r="G13" s="76">
        <v>1923</v>
      </c>
      <c r="H13" s="76">
        <v>2160</v>
      </c>
      <c r="I13" s="76">
        <v>2394</v>
      </c>
      <c r="J13" s="76">
        <v>2137</v>
      </c>
      <c r="K13" s="76">
        <v>3379</v>
      </c>
      <c r="L13" s="76">
        <v>4164</v>
      </c>
      <c r="M13" s="76">
        <v>3635</v>
      </c>
      <c r="N13" s="76">
        <v>3831</v>
      </c>
    </row>
    <row r="14" spans="2:14" x14ac:dyDescent="0.3">
      <c r="B14" s="44" t="s">
        <v>225</v>
      </c>
      <c r="C14" s="45">
        <v>0</v>
      </c>
      <c r="D14" s="45">
        <v>0</v>
      </c>
      <c r="E14" s="45">
        <v>5</v>
      </c>
      <c r="F14" s="45">
        <v>12</v>
      </c>
      <c r="G14" s="45">
        <v>17</v>
      </c>
      <c r="H14" s="45">
        <v>16</v>
      </c>
      <c r="I14" s="45">
        <v>13</v>
      </c>
      <c r="J14" s="45">
        <v>29</v>
      </c>
      <c r="K14" s="45">
        <v>41</v>
      </c>
      <c r="L14" s="45">
        <v>76</v>
      </c>
      <c r="M14" s="45">
        <v>108</v>
      </c>
      <c r="N14" s="45">
        <v>154</v>
      </c>
    </row>
    <row r="15" spans="2:14" x14ac:dyDescent="0.3">
      <c r="B15" s="44" t="s">
        <v>226</v>
      </c>
      <c r="C15" s="76">
        <v>1547</v>
      </c>
      <c r="D15" s="76">
        <v>1795</v>
      </c>
      <c r="E15" s="76">
        <v>1937</v>
      </c>
      <c r="F15" s="76">
        <v>1750</v>
      </c>
      <c r="G15" s="76">
        <v>1925</v>
      </c>
      <c r="H15" s="76">
        <v>2316</v>
      </c>
      <c r="I15" s="76">
        <v>2690</v>
      </c>
      <c r="J15" s="76">
        <v>2320</v>
      </c>
      <c r="K15" s="76">
        <v>2613</v>
      </c>
      <c r="L15" s="76">
        <v>2932</v>
      </c>
      <c r="M15" s="76">
        <v>3657</v>
      </c>
      <c r="N15" s="76">
        <v>4017</v>
      </c>
    </row>
    <row r="16" spans="2:14" x14ac:dyDescent="0.3">
      <c r="B16" s="99" t="s">
        <v>227</v>
      </c>
      <c r="C16" s="100">
        <v>6784</v>
      </c>
      <c r="D16" s="100">
        <v>8075</v>
      </c>
      <c r="E16" s="100">
        <v>8914</v>
      </c>
      <c r="F16" s="100">
        <v>10559</v>
      </c>
      <c r="G16" s="100">
        <v>12405</v>
      </c>
      <c r="H16" s="100">
        <v>13763</v>
      </c>
      <c r="I16" s="100">
        <v>16249</v>
      </c>
      <c r="J16" s="100">
        <v>16138</v>
      </c>
      <c r="K16" s="100">
        <v>20355</v>
      </c>
      <c r="L16" s="100">
        <v>22958</v>
      </c>
      <c r="M16" s="100">
        <v>25779</v>
      </c>
      <c r="N16" s="100">
        <v>29901</v>
      </c>
    </row>
    <row r="17" spans="2:14" x14ac:dyDescent="0.3">
      <c r="B17" s="77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</row>
    <row r="18" spans="2:14" x14ac:dyDescent="0.3">
      <c r="B18" s="99" t="s">
        <v>228</v>
      </c>
      <c r="C18" s="100">
        <v>2441</v>
      </c>
      <c r="D18" s="100">
        <v>2562</v>
      </c>
      <c r="E18" s="100">
        <v>2660</v>
      </c>
      <c r="F18" s="100">
        <v>3416</v>
      </c>
      <c r="G18" s="100">
        <v>3304</v>
      </c>
      <c r="H18" s="100">
        <v>3732</v>
      </c>
      <c r="I18" s="100">
        <v>6497</v>
      </c>
      <c r="J18" s="100">
        <v>6272</v>
      </c>
      <c r="K18" s="100">
        <v>5859</v>
      </c>
      <c r="L18" s="100">
        <v>5519</v>
      </c>
      <c r="M18" s="100">
        <v>5770</v>
      </c>
      <c r="N18" s="100">
        <v>7147</v>
      </c>
    </row>
    <row r="19" spans="2:14" x14ac:dyDescent="0.3">
      <c r="B19" s="44" t="s">
        <v>229</v>
      </c>
      <c r="C19" s="45">
        <v>238</v>
      </c>
      <c r="D19" s="45">
        <v>247</v>
      </c>
      <c r="E19" s="45">
        <v>251</v>
      </c>
      <c r="F19" s="45">
        <v>429</v>
      </c>
      <c r="G19" s="45">
        <v>408</v>
      </c>
      <c r="H19" s="45">
        <v>586</v>
      </c>
      <c r="I19" s="45">
        <v>605</v>
      </c>
      <c r="J19" s="45">
        <v>640</v>
      </c>
      <c r="K19" s="45">
        <v>644</v>
      </c>
      <c r="L19" s="45">
        <v>644</v>
      </c>
      <c r="M19" s="45">
        <v>804</v>
      </c>
      <c r="N19" s="76">
        <v>1126</v>
      </c>
    </row>
    <row r="20" spans="2:14" x14ac:dyDescent="0.3">
      <c r="B20" s="44" t="s">
        <v>230</v>
      </c>
      <c r="C20" s="45">
        <v>874</v>
      </c>
      <c r="D20" s="45">
        <v>931</v>
      </c>
      <c r="E20" s="45">
        <v>962</v>
      </c>
      <c r="F20" s="45">
        <v>923</v>
      </c>
      <c r="G20" s="45">
        <v>931</v>
      </c>
      <c r="H20" s="45">
        <v>957</v>
      </c>
      <c r="I20" s="76">
        <v>2402</v>
      </c>
      <c r="J20" s="76">
        <v>2257</v>
      </c>
      <c r="K20" s="76">
        <v>2249</v>
      </c>
      <c r="L20" s="76">
        <v>2325</v>
      </c>
      <c r="M20" s="76">
        <v>2883</v>
      </c>
      <c r="N20" s="76">
        <v>3390</v>
      </c>
    </row>
    <row r="21" spans="2:14" x14ac:dyDescent="0.3">
      <c r="B21" s="44" t="s">
        <v>231</v>
      </c>
      <c r="C21" s="76">
        <v>1956</v>
      </c>
      <c r="D21" s="76">
        <v>2054</v>
      </c>
      <c r="E21" s="76">
        <v>2132</v>
      </c>
      <c r="F21" s="76">
        <v>1793</v>
      </c>
      <c r="G21" s="76">
        <v>1980</v>
      </c>
      <c r="H21" s="76">
        <v>2157</v>
      </c>
      <c r="I21" s="76">
        <v>4006</v>
      </c>
      <c r="J21" s="76">
        <v>4208</v>
      </c>
      <c r="K21" s="76">
        <v>4340</v>
      </c>
      <c r="L21" s="76">
        <v>4531</v>
      </c>
      <c r="M21" s="76">
        <v>4825</v>
      </c>
      <c r="N21" s="76">
        <v>5422</v>
      </c>
    </row>
    <row r="22" spans="2:14" x14ac:dyDescent="0.3">
      <c r="B22" s="44" t="s">
        <v>232</v>
      </c>
      <c r="C22" s="45">
        <v>137</v>
      </c>
      <c r="D22" s="45">
        <v>155</v>
      </c>
      <c r="E22" s="45">
        <v>171</v>
      </c>
      <c r="F22" s="45">
        <v>97</v>
      </c>
      <c r="G22" s="45">
        <v>119</v>
      </c>
      <c r="H22" s="45">
        <v>200</v>
      </c>
      <c r="I22" s="45">
        <v>221</v>
      </c>
      <c r="J22" s="45">
        <v>241</v>
      </c>
      <c r="K22" s="45">
        <v>243</v>
      </c>
      <c r="L22" s="45">
        <v>253</v>
      </c>
      <c r="M22" s="45">
        <v>270</v>
      </c>
      <c r="N22" s="45">
        <v>298</v>
      </c>
    </row>
    <row r="23" spans="2:14" x14ac:dyDescent="0.3">
      <c r="B23" s="44"/>
      <c r="C23" s="45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</row>
    <row r="24" spans="2:14" x14ac:dyDescent="0.3">
      <c r="B24" s="44" t="s">
        <v>233</v>
      </c>
      <c r="C24" s="45">
        <v>57</v>
      </c>
      <c r="D24" s="45">
        <v>71</v>
      </c>
      <c r="E24" s="45">
        <v>83</v>
      </c>
      <c r="F24" s="45">
        <v>49</v>
      </c>
      <c r="G24" s="45">
        <v>59</v>
      </c>
      <c r="H24" s="45">
        <v>72</v>
      </c>
      <c r="I24" s="45">
        <v>88</v>
      </c>
      <c r="J24" s="45">
        <v>94</v>
      </c>
      <c r="K24" s="45">
        <v>99</v>
      </c>
      <c r="L24" s="45">
        <v>113</v>
      </c>
      <c r="M24" s="45">
        <v>146</v>
      </c>
      <c r="N24" s="45">
        <v>175</v>
      </c>
    </row>
    <row r="25" spans="2:14" x14ac:dyDescent="0.3">
      <c r="B25" s="44" t="s">
        <v>234</v>
      </c>
      <c r="C25" s="45">
        <v>11</v>
      </c>
      <c r="D25" s="45">
        <v>14</v>
      </c>
      <c r="E25" s="45">
        <v>18</v>
      </c>
      <c r="F25" s="45">
        <v>11</v>
      </c>
      <c r="G25" s="45">
        <v>14</v>
      </c>
      <c r="H25" s="45">
        <v>27</v>
      </c>
      <c r="I25" s="45">
        <v>47</v>
      </c>
      <c r="J25" s="45">
        <v>43</v>
      </c>
      <c r="K25" s="45">
        <v>38</v>
      </c>
      <c r="L25" s="45">
        <v>32</v>
      </c>
      <c r="M25" s="45">
        <v>36</v>
      </c>
      <c r="N25" s="45">
        <v>40</v>
      </c>
    </row>
    <row r="26" spans="2:14" x14ac:dyDescent="0.3">
      <c r="B26" s="44" t="s">
        <v>235</v>
      </c>
      <c r="C26" s="45">
        <v>57</v>
      </c>
      <c r="D26" s="45">
        <v>203</v>
      </c>
      <c r="E26" s="45">
        <v>351</v>
      </c>
      <c r="F26" s="45">
        <v>339</v>
      </c>
      <c r="G26" s="45">
        <v>276</v>
      </c>
      <c r="H26" s="45">
        <v>468</v>
      </c>
      <c r="I26" s="45">
        <v>512</v>
      </c>
      <c r="J26" s="45">
        <v>505</v>
      </c>
      <c r="K26" s="45">
        <v>476</v>
      </c>
      <c r="L26" s="45">
        <v>345</v>
      </c>
      <c r="M26" s="45">
        <v>422</v>
      </c>
      <c r="N26" s="45">
        <v>850</v>
      </c>
    </row>
    <row r="27" spans="2:14" x14ac:dyDescent="0.3">
      <c r="B27" s="44" t="s">
        <v>236</v>
      </c>
      <c r="C27" s="45">
        <v>99</v>
      </c>
      <c r="D27" s="45">
        <v>128</v>
      </c>
      <c r="E27" s="45">
        <v>145</v>
      </c>
      <c r="F27" s="45">
        <v>103</v>
      </c>
      <c r="G27" s="45">
        <v>128</v>
      </c>
      <c r="H27" s="45">
        <v>238</v>
      </c>
      <c r="I27" s="45">
        <v>261</v>
      </c>
      <c r="J27" s="45">
        <v>293</v>
      </c>
      <c r="K27" s="45">
        <v>302</v>
      </c>
      <c r="L27" s="45">
        <v>294</v>
      </c>
      <c r="M27" s="45">
        <v>289</v>
      </c>
      <c r="N27" s="45">
        <v>321</v>
      </c>
    </row>
    <row r="28" spans="2:14" x14ac:dyDescent="0.3">
      <c r="B28" s="99" t="s">
        <v>237</v>
      </c>
      <c r="C28" s="100">
        <v>3429</v>
      </c>
      <c r="D28" s="100">
        <v>3804</v>
      </c>
      <c r="E28" s="100">
        <v>4112</v>
      </c>
      <c r="F28" s="100">
        <v>3744</v>
      </c>
      <c r="G28" s="100">
        <v>3914</v>
      </c>
      <c r="H28" s="100">
        <v>4705</v>
      </c>
      <c r="I28" s="100">
        <v>8141</v>
      </c>
      <c r="J28" s="100">
        <v>8282</v>
      </c>
      <c r="K28" s="100">
        <v>8392</v>
      </c>
      <c r="L28" s="100">
        <v>8538</v>
      </c>
      <c r="M28" s="100">
        <v>9676</v>
      </c>
      <c r="N28" s="100">
        <v>11622</v>
      </c>
    </row>
    <row r="29" spans="2:14" x14ac:dyDescent="0.3">
      <c r="B29" s="44" t="s">
        <v>238</v>
      </c>
      <c r="C29" s="45">
        <v>979</v>
      </c>
      <c r="D29" s="76">
        <v>1223</v>
      </c>
      <c r="E29" s="76">
        <v>1438</v>
      </c>
      <c r="F29" s="45">
        <v>275</v>
      </c>
      <c r="G29" s="45">
        <v>610</v>
      </c>
      <c r="H29" s="45">
        <v>973</v>
      </c>
      <c r="I29" s="76">
        <v>1592</v>
      </c>
      <c r="J29" s="76">
        <v>2010</v>
      </c>
      <c r="K29" s="76">
        <v>2533</v>
      </c>
      <c r="L29" s="76">
        <v>3019</v>
      </c>
      <c r="M29" s="76">
        <v>3814</v>
      </c>
      <c r="N29" s="76">
        <v>4381</v>
      </c>
    </row>
    <row r="30" spans="2:14" x14ac:dyDescent="0.3">
      <c r="B30" s="82" t="s">
        <v>190</v>
      </c>
      <c r="C30" s="76">
        <f>C28-C29</f>
        <v>2450</v>
      </c>
      <c r="D30" s="76">
        <f t="shared" ref="D30:N30" si="0">D28-D29</f>
        <v>2581</v>
      </c>
      <c r="E30" s="76">
        <f t="shared" si="0"/>
        <v>2674</v>
      </c>
      <c r="F30" s="76">
        <f t="shared" si="0"/>
        <v>3469</v>
      </c>
      <c r="G30" s="76">
        <f t="shared" si="0"/>
        <v>3304</v>
      </c>
      <c r="H30" s="76">
        <f t="shared" si="0"/>
        <v>3732</v>
      </c>
      <c r="I30" s="76">
        <f t="shared" si="0"/>
        <v>6549</v>
      </c>
      <c r="J30" s="76">
        <f t="shared" si="0"/>
        <v>6272</v>
      </c>
      <c r="K30" s="76">
        <f t="shared" si="0"/>
        <v>5859</v>
      </c>
      <c r="L30" s="76">
        <f t="shared" si="0"/>
        <v>5519</v>
      </c>
      <c r="M30" s="76">
        <f t="shared" si="0"/>
        <v>5862</v>
      </c>
      <c r="N30" s="76">
        <f t="shared" si="0"/>
        <v>7241</v>
      </c>
    </row>
    <row r="31" spans="2:14" x14ac:dyDescent="0.3">
      <c r="B31" s="82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2:14" x14ac:dyDescent="0.3">
      <c r="B32" s="82" t="s">
        <v>239</v>
      </c>
      <c r="C32" s="45">
        <v>59</v>
      </c>
      <c r="D32" s="45">
        <v>72</v>
      </c>
      <c r="E32" s="45">
        <v>196</v>
      </c>
      <c r="F32" s="45">
        <v>107</v>
      </c>
      <c r="G32" s="45">
        <v>258</v>
      </c>
      <c r="H32" s="76">
        <v>1405</v>
      </c>
      <c r="I32" s="45">
        <v>210</v>
      </c>
      <c r="J32" s="45">
        <v>140</v>
      </c>
      <c r="K32" s="45">
        <v>183</v>
      </c>
      <c r="L32" s="45">
        <v>426</v>
      </c>
      <c r="M32" s="76">
        <v>1020</v>
      </c>
      <c r="N32" s="76">
        <v>2698</v>
      </c>
    </row>
    <row r="33" spans="2:14" x14ac:dyDescent="0.3">
      <c r="B33" s="82" t="s">
        <v>140</v>
      </c>
      <c r="C33" s="45">
        <v>296</v>
      </c>
      <c r="D33" s="76">
        <v>1424</v>
      </c>
      <c r="E33" s="76">
        <v>1588</v>
      </c>
      <c r="F33" s="76">
        <v>2712</v>
      </c>
      <c r="G33" s="76">
        <v>2652</v>
      </c>
      <c r="H33" s="76">
        <v>2141</v>
      </c>
      <c r="I33" s="76">
        <v>2569</v>
      </c>
      <c r="J33" s="76">
        <v>2019</v>
      </c>
      <c r="K33" s="76">
        <v>4737</v>
      </c>
      <c r="L33" s="76">
        <v>3248</v>
      </c>
      <c r="M33" s="76">
        <v>4262</v>
      </c>
      <c r="N33" s="76">
        <v>4588</v>
      </c>
    </row>
    <row r="34" spans="2:14" x14ac:dyDescent="0.3">
      <c r="B34" s="82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</row>
    <row r="35" spans="2:14" x14ac:dyDescent="0.3">
      <c r="B35" s="77" t="s">
        <v>249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</row>
    <row r="36" spans="2:14" x14ac:dyDescent="0.3">
      <c r="B36" s="44" t="s">
        <v>240</v>
      </c>
      <c r="C36" s="76">
        <v>1830</v>
      </c>
      <c r="D36" s="76">
        <v>2070</v>
      </c>
      <c r="E36" s="76">
        <v>2259</v>
      </c>
      <c r="F36" s="76">
        <v>1998</v>
      </c>
      <c r="G36" s="76">
        <v>2627</v>
      </c>
      <c r="H36" s="76">
        <v>2658</v>
      </c>
      <c r="I36" s="76">
        <v>3150</v>
      </c>
      <c r="J36" s="76">
        <v>3390</v>
      </c>
      <c r="K36" s="76">
        <v>3799</v>
      </c>
      <c r="L36" s="76">
        <v>6153</v>
      </c>
      <c r="M36" s="76">
        <v>6211</v>
      </c>
      <c r="N36" s="76">
        <v>5923</v>
      </c>
    </row>
    <row r="37" spans="2:14" x14ac:dyDescent="0.3">
      <c r="B37" s="44" t="s">
        <v>241</v>
      </c>
      <c r="C37" s="45">
        <v>981</v>
      </c>
      <c r="D37" s="76">
        <v>1110</v>
      </c>
      <c r="E37" s="76">
        <v>1182</v>
      </c>
      <c r="F37" s="76">
        <v>1187</v>
      </c>
      <c r="G37" s="76">
        <v>1447</v>
      </c>
      <c r="H37" s="76">
        <v>1731</v>
      </c>
      <c r="I37" s="76">
        <v>1907</v>
      </c>
      <c r="J37" s="76">
        <v>1795</v>
      </c>
      <c r="K37" s="76">
        <v>2602</v>
      </c>
      <c r="L37" s="76">
        <v>3871</v>
      </c>
      <c r="M37" s="76">
        <v>4637</v>
      </c>
      <c r="N37" s="76">
        <v>4889</v>
      </c>
    </row>
    <row r="38" spans="2:14" x14ac:dyDescent="0.3">
      <c r="B38" s="44" t="s">
        <v>242</v>
      </c>
      <c r="C38" s="45">
        <v>737</v>
      </c>
      <c r="D38" s="45">
        <v>229</v>
      </c>
      <c r="E38" s="45">
        <v>204</v>
      </c>
      <c r="F38" s="45">
        <v>424</v>
      </c>
      <c r="G38" s="45">
        <v>801</v>
      </c>
      <c r="H38" s="45">
        <v>405</v>
      </c>
      <c r="I38" s="45">
        <v>445</v>
      </c>
      <c r="J38" s="45">
        <v>783</v>
      </c>
      <c r="K38" s="45">
        <v>611</v>
      </c>
      <c r="L38" s="45">
        <v>864</v>
      </c>
      <c r="M38" s="45">
        <v>844</v>
      </c>
      <c r="N38" s="76">
        <v>1084</v>
      </c>
    </row>
    <row r="39" spans="2:14" x14ac:dyDescent="0.3">
      <c r="B39" s="44" t="s">
        <v>243</v>
      </c>
      <c r="C39" s="45">
        <v>4</v>
      </c>
      <c r="D39" s="45">
        <v>7</v>
      </c>
      <c r="E39" s="45">
        <v>9</v>
      </c>
      <c r="F39" s="45">
        <v>9</v>
      </c>
      <c r="G39" s="45">
        <v>14</v>
      </c>
      <c r="H39" s="45">
        <v>13</v>
      </c>
      <c r="I39" s="45">
        <v>16</v>
      </c>
      <c r="J39" s="45">
        <v>12</v>
      </c>
      <c r="K39" s="45">
        <v>11</v>
      </c>
      <c r="L39" s="45">
        <v>8</v>
      </c>
      <c r="M39" s="45">
        <v>12</v>
      </c>
      <c r="N39" s="45">
        <v>17</v>
      </c>
    </row>
    <row r="40" spans="2:14" x14ac:dyDescent="0.3">
      <c r="B40" s="44" t="s">
        <v>244</v>
      </c>
      <c r="C40" s="45">
        <v>436</v>
      </c>
      <c r="D40" s="45">
        <v>603</v>
      </c>
      <c r="E40" s="45">
        <v>817</v>
      </c>
      <c r="F40" s="45">
        <v>705</v>
      </c>
      <c r="G40" s="76">
        <v>1303</v>
      </c>
      <c r="H40" s="76">
        <v>1678</v>
      </c>
      <c r="I40" s="76">
        <v>1456</v>
      </c>
      <c r="J40" s="76">
        <v>1727</v>
      </c>
      <c r="K40" s="76">
        <v>2555</v>
      </c>
      <c r="L40" s="76">
        <v>2869</v>
      </c>
      <c r="M40" s="76">
        <v>3024</v>
      </c>
      <c r="N40" s="76">
        <v>3555</v>
      </c>
    </row>
    <row r="41" spans="2:14" x14ac:dyDescent="0.3">
      <c r="B41" s="99" t="s">
        <v>245</v>
      </c>
      <c r="C41" s="100">
        <v>6784</v>
      </c>
      <c r="D41" s="100">
        <v>8075</v>
      </c>
      <c r="E41" s="100">
        <v>8914</v>
      </c>
      <c r="F41" s="100">
        <v>10559</v>
      </c>
      <c r="G41" s="100">
        <v>12405</v>
      </c>
      <c r="H41" s="100">
        <v>13763</v>
      </c>
      <c r="I41" s="100">
        <v>16249</v>
      </c>
      <c r="J41" s="100">
        <v>16138</v>
      </c>
      <c r="K41" s="100">
        <v>20355</v>
      </c>
      <c r="L41" s="100">
        <v>22958</v>
      </c>
      <c r="M41" s="100">
        <v>25779</v>
      </c>
      <c r="N41" s="100">
        <v>29901</v>
      </c>
    </row>
    <row r="44" spans="2:14" x14ac:dyDescent="0.3">
      <c r="B44" s="99" t="s">
        <v>264</v>
      </c>
      <c r="C44" s="100">
        <v>1187</v>
      </c>
      <c r="D44" s="100">
        <v>1402</v>
      </c>
      <c r="E44" s="100">
        <v>1188</v>
      </c>
      <c r="F44" s="100">
        <v>2243</v>
      </c>
      <c r="G44" s="100">
        <v>1527</v>
      </c>
      <c r="H44" s="100">
        <v>2113</v>
      </c>
      <c r="I44" s="100">
        <v>2470</v>
      </c>
      <c r="J44" s="100">
        <v>3038</v>
      </c>
      <c r="K44" s="100">
        <v>3683</v>
      </c>
      <c r="L44" s="101">
        <v>986</v>
      </c>
      <c r="M44" s="100">
        <v>4193</v>
      </c>
      <c r="N44" s="100">
        <v>6104</v>
      </c>
    </row>
    <row r="45" spans="2:14" x14ac:dyDescent="0.3">
      <c r="B45" s="99" t="s">
        <v>130</v>
      </c>
      <c r="C45" s="100">
        <v>1784</v>
      </c>
      <c r="D45" s="100">
        <v>2051</v>
      </c>
      <c r="E45" s="100">
        <v>2271</v>
      </c>
      <c r="F45" s="100">
        <v>2848</v>
      </c>
      <c r="G45" s="100">
        <v>3056</v>
      </c>
      <c r="H45" s="100">
        <v>3274</v>
      </c>
      <c r="I45" s="100">
        <v>3861</v>
      </c>
      <c r="J45" s="100">
        <v>4380</v>
      </c>
      <c r="K45" s="100">
        <v>4970</v>
      </c>
      <c r="L45" s="100">
        <v>4957</v>
      </c>
      <c r="M45" s="100">
        <v>6460</v>
      </c>
      <c r="N45" s="100">
        <v>7929</v>
      </c>
    </row>
    <row r="46" spans="2:14" x14ac:dyDescent="0.3">
      <c r="B46" s="44" t="s">
        <v>129</v>
      </c>
      <c r="C46" s="45">
        <v>-299</v>
      </c>
      <c r="D46" s="45">
        <v>-254</v>
      </c>
      <c r="E46" s="45">
        <v>-155</v>
      </c>
      <c r="F46" s="45">
        <v>-146</v>
      </c>
      <c r="G46" s="45">
        <v>-475</v>
      </c>
      <c r="H46" s="45">
        <v>-483</v>
      </c>
      <c r="I46" s="45">
        <v>-205</v>
      </c>
      <c r="J46" s="45">
        <v>160</v>
      </c>
      <c r="K46" s="45">
        <v>-849</v>
      </c>
      <c r="L46" s="76">
        <v>-1326</v>
      </c>
      <c r="M46" s="45">
        <v>-834</v>
      </c>
      <c r="N46" s="45">
        <v>-362</v>
      </c>
    </row>
    <row r="47" spans="2:14" x14ac:dyDescent="0.3">
      <c r="B47" s="44" t="s">
        <v>128</v>
      </c>
      <c r="C47" s="45">
        <v>-247</v>
      </c>
      <c r="D47" s="45">
        <v>-231</v>
      </c>
      <c r="E47" s="45">
        <v>-144</v>
      </c>
      <c r="F47" s="45">
        <v>202</v>
      </c>
      <c r="G47" s="45">
        <v>-629</v>
      </c>
      <c r="H47" s="45">
        <v>-39</v>
      </c>
      <c r="I47" s="45">
        <v>-492</v>
      </c>
      <c r="J47" s="45">
        <v>-251</v>
      </c>
      <c r="K47" s="45">
        <v>-409</v>
      </c>
      <c r="L47" s="76">
        <v>-2354</v>
      </c>
      <c r="M47" s="45">
        <v>-56</v>
      </c>
      <c r="N47" s="45">
        <v>315</v>
      </c>
    </row>
    <row r="48" spans="2:14" x14ac:dyDescent="0.3">
      <c r="B48" s="44" t="s">
        <v>127</v>
      </c>
      <c r="C48" s="45">
        <v>388</v>
      </c>
      <c r="D48" s="45">
        <v>317</v>
      </c>
      <c r="E48" s="45">
        <v>-151</v>
      </c>
      <c r="F48" s="45">
        <v>142</v>
      </c>
      <c r="G48" s="45">
        <v>501</v>
      </c>
      <c r="H48" s="45">
        <v>442</v>
      </c>
      <c r="I48" s="45">
        <v>287</v>
      </c>
      <c r="J48" s="45">
        <v>-241</v>
      </c>
      <c r="K48" s="76">
        <v>1143</v>
      </c>
      <c r="L48" s="45">
        <v>644</v>
      </c>
      <c r="M48" s="45">
        <v>-539</v>
      </c>
      <c r="N48" s="45">
        <v>269</v>
      </c>
    </row>
    <row r="49" spans="2:14" x14ac:dyDescent="0.3">
      <c r="B49" s="44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</row>
    <row r="50" spans="2:14" x14ac:dyDescent="0.3">
      <c r="B50" s="44" t="s">
        <v>125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-92</v>
      </c>
      <c r="L50" s="45">
        <v>242</v>
      </c>
      <c r="M50" s="45">
        <v>657</v>
      </c>
      <c r="N50" s="45">
        <v>-212</v>
      </c>
    </row>
    <row r="51" spans="2:14" x14ac:dyDescent="0.3">
      <c r="B51" s="99" t="s">
        <v>124</v>
      </c>
      <c r="C51" s="101">
        <v>-159</v>
      </c>
      <c r="D51" s="101">
        <v>-168</v>
      </c>
      <c r="E51" s="101">
        <v>-450</v>
      </c>
      <c r="F51" s="101">
        <v>198</v>
      </c>
      <c r="G51" s="101">
        <v>-603</v>
      </c>
      <c r="H51" s="101">
        <v>-80</v>
      </c>
      <c r="I51" s="101">
        <v>-410</v>
      </c>
      <c r="J51" s="101">
        <v>-331</v>
      </c>
      <c r="K51" s="101">
        <v>-206</v>
      </c>
      <c r="L51" s="100">
        <v>-2795</v>
      </c>
      <c r="M51" s="101">
        <v>-772</v>
      </c>
      <c r="N51" s="101">
        <v>10</v>
      </c>
    </row>
    <row r="52" spans="2:14" x14ac:dyDescent="0.3">
      <c r="B52" s="44" t="s">
        <v>123</v>
      </c>
      <c r="C52" s="45">
        <v>-438</v>
      </c>
      <c r="D52" s="45">
        <v>-480</v>
      </c>
      <c r="E52" s="45">
        <v>-633</v>
      </c>
      <c r="F52" s="45">
        <v>-802</v>
      </c>
      <c r="G52" s="45">
        <v>-925</v>
      </c>
      <c r="H52" s="76">
        <v>-1081</v>
      </c>
      <c r="I52" s="45">
        <v>-982</v>
      </c>
      <c r="J52" s="76">
        <v>-1011</v>
      </c>
      <c r="K52" s="76">
        <v>-1080</v>
      </c>
      <c r="L52" s="76">
        <v>-1176</v>
      </c>
      <c r="M52" s="76">
        <v>-1494</v>
      </c>
      <c r="N52" s="76">
        <v>-1835</v>
      </c>
    </row>
    <row r="53" spans="2:14" x14ac:dyDescent="0.3">
      <c r="B53" s="99" t="s">
        <v>265</v>
      </c>
      <c r="C53" s="101">
        <v>-463</v>
      </c>
      <c r="D53" s="101">
        <v>-586</v>
      </c>
      <c r="E53" s="101">
        <v>-465</v>
      </c>
      <c r="F53" s="101">
        <v>-866</v>
      </c>
      <c r="G53" s="101">
        <v>-681</v>
      </c>
      <c r="H53" s="100">
        <v>-1556</v>
      </c>
      <c r="I53" s="101">
        <v>-918</v>
      </c>
      <c r="J53" s="101">
        <v>-518</v>
      </c>
      <c r="K53" s="101">
        <v>-541</v>
      </c>
      <c r="L53" s="101">
        <v>-317</v>
      </c>
      <c r="M53" s="100">
        <v>-1282</v>
      </c>
      <c r="N53" s="100">
        <v>-2548</v>
      </c>
    </row>
    <row r="54" spans="2:14" x14ac:dyDescent="0.3">
      <c r="B54" s="44" t="s">
        <v>120</v>
      </c>
      <c r="C54" s="45">
        <v>-644</v>
      </c>
      <c r="D54" s="45">
        <v>-251</v>
      </c>
      <c r="E54" s="45">
        <v>-454</v>
      </c>
      <c r="F54" s="45">
        <v>-817</v>
      </c>
      <c r="G54" s="45">
        <v>-684</v>
      </c>
      <c r="H54" s="76">
        <v>-1426</v>
      </c>
      <c r="I54" s="76">
        <v>-1151</v>
      </c>
      <c r="J54" s="45">
        <v>-404</v>
      </c>
      <c r="K54" s="45">
        <v>-282</v>
      </c>
      <c r="L54" s="45">
        <v>-551</v>
      </c>
      <c r="M54" s="76">
        <v>-1446</v>
      </c>
      <c r="N54" s="76">
        <v>-2496</v>
      </c>
    </row>
    <row r="55" spans="2:14" x14ac:dyDescent="0.3">
      <c r="B55" s="44" t="s">
        <v>119</v>
      </c>
      <c r="C55" s="45">
        <v>7</v>
      </c>
      <c r="D55" s="45">
        <v>16</v>
      </c>
      <c r="E55" s="45">
        <v>16</v>
      </c>
      <c r="F55" s="45">
        <v>15</v>
      </c>
      <c r="G55" s="45">
        <v>17</v>
      </c>
      <c r="H55" s="45">
        <v>17</v>
      </c>
      <c r="I55" s="45">
        <v>17</v>
      </c>
      <c r="J55" s="45">
        <v>37</v>
      </c>
      <c r="K55" s="45">
        <v>28</v>
      </c>
      <c r="L55" s="45">
        <v>40</v>
      </c>
      <c r="M55" s="45">
        <v>26</v>
      </c>
      <c r="N55" s="45">
        <v>5</v>
      </c>
    </row>
    <row r="56" spans="2:14" x14ac:dyDescent="0.3">
      <c r="B56" s="44" t="s">
        <v>118</v>
      </c>
      <c r="C56" s="45">
        <v>-247</v>
      </c>
      <c r="D56" s="45">
        <v>-872</v>
      </c>
      <c r="E56" s="45">
        <v>-243</v>
      </c>
      <c r="F56" s="45">
        <v>-282</v>
      </c>
      <c r="G56" s="45">
        <v>-153</v>
      </c>
      <c r="H56" s="45">
        <v>-320</v>
      </c>
      <c r="I56" s="45">
        <v>-573</v>
      </c>
      <c r="J56" s="45">
        <v>-25</v>
      </c>
      <c r="K56" s="45">
        <v>-140</v>
      </c>
      <c r="L56" s="45">
        <v>0</v>
      </c>
      <c r="M56" s="45">
        <v>-146</v>
      </c>
      <c r="N56" s="45">
        <v>-212</v>
      </c>
    </row>
    <row r="57" spans="2:14" x14ac:dyDescent="0.3">
      <c r="B57" s="44" t="s">
        <v>117</v>
      </c>
      <c r="C57" s="45">
        <v>330</v>
      </c>
      <c r="D57" s="45">
        <v>463</v>
      </c>
      <c r="E57" s="45">
        <v>278</v>
      </c>
      <c r="F57" s="45">
        <v>205</v>
      </c>
      <c r="G57" s="45">
        <v>357</v>
      </c>
      <c r="H57" s="45">
        <v>362</v>
      </c>
      <c r="I57" s="45">
        <v>733</v>
      </c>
      <c r="J57" s="45">
        <v>134</v>
      </c>
      <c r="K57" s="45">
        <v>272</v>
      </c>
      <c r="L57" s="45">
        <v>207</v>
      </c>
      <c r="M57" s="45">
        <v>446</v>
      </c>
      <c r="N57" s="45">
        <v>240</v>
      </c>
    </row>
    <row r="58" spans="2:14" x14ac:dyDescent="0.3">
      <c r="B58" s="44" t="s">
        <v>116</v>
      </c>
      <c r="C58" s="45">
        <v>11</v>
      </c>
      <c r="D58" s="45">
        <v>14</v>
      </c>
      <c r="E58" s="45">
        <v>11</v>
      </c>
      <c r="F58" s="45">
        <v>15</v>
      </c>
      <c r="G58" s="45">
        <v>32</v>
      </c>
      <c r="H58" s="45">
        <v>39</v>
      </c>
      <c r="I58" s="45">
        <v>40</v>
      </c>
      <c r="J58" s="45">
        <v>65</v>
      </c>
      <c r="K58" s="45">
        <v>73</v>
      </c>
      <c r="L58" s="45">
        <v>77</v>
      </c>
      <c r="M58" s="45">
        <v>87</v>
      </c>
      <c r="N58" s="45">
        <v>135</v>
      </c>
    </row>
    <row r="59" spans="2:14" x14ac:dyDescent="0.3">
      <c r="B59" s="44" t="s">
        <v>115</v>
      </c>
      <c r="C59" s="45">
        <v>33</v>
      </c>
      <c r="D59" s="45">
        <v>65</v>
      </c>
      <c r="E59" s="45">
        <v>71</v>
      </c>
      <c r="F59" s="45">
        <v>69</v>
      </c>
      <c r="G59" s="45">
        <v>74</v>
      </c>
      <c r="H59" s="45">
        <v>38</v>
      </c>
      <c r="I59" s="45">
        <v>40</v>
      </c>
      <c r="J59" s="45">
        <v>27</v>
      </c>
      <c r="K59" s="45">
        <v>8</v>
      </c>
      <c r="L59" s="45">
        <v>15</v>
      </c>
      <c r="M59" s="45">
        <v>56</v>
      </c>
      <c r="N59" s="45">
        <v>129</v>
      </c>
    </row>
    <row r="60" spans="2:14" x14ac:dyDescent="0.3">
      <c r="B60" s="44" t="s">
        <v>114</v>
      </c>
      <c r="C60" s="45">
        <v>0</v>
      </c>
      <c r="D60" s="45">
        <v>0</v>
      </c>
      <c r="E60" s="45">
        <v>0</v>
      </c>
      <c r="F60" s="45">
        <v>0</v>
      </c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0</v>
      </c>
      <c r="M60" s="45">
        <v>-180</v>
      </c>
      <c r="N60" s="45">
        <v>0</v>
      </c>
    </row>
    <row r="61" spans="2:14" x14ac:dyDescent="0.3">
      <c r="B61" s="44" t="s">
        <v>113</v>
      </c>
      <c r="C61" s="45">
        <v>0</v>
      </c>
      <c r="D61" s="45">
        <v>0</v>
      </c>
      <c r="E61" s="45">
        <v>0</v>
      </c>
      <c r="F61" s="45">
        <v>0</v>
      </c>
      <c r="G61" s="45">
        <v>0</v>
      </c>
      <c r="H61" s="45">
        <v>141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</row>
    <row r="62" spans="2:14" x14ac:dyDescent="0.3">
      <c r="B62" s="44" t="s">
        <v>112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-525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</row>
    <row r="63" spans="2:14" x14ac:dyDescent="0.3">
      <c r="B63" s="44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</row>
    <row r="64" spans="2:14" x14ac:dyDescent="0.3">
      <c r="B64" s="44" t="s">
        <v>110</v>
      </c>
      <c r="C64" s="45">
        <v>46</v>
      </c>
      <c r="D64" s="45">
        <v>-21</v>
      </c>
      <c r="E64" s="45">
        <v>-144</v>
      </c>
      <c r="F64" s="45">
        <v>-70</v>
      </c>
      <c r="G64" s="45">
        <v>-324</v>
      </c>
      <c r="H64" s="45">
        <v>118</v>
      </c>
      <c r="I64" s="45">
        <v>-24</v>
      </c>
      <c r="J64" s="45">
        <v>-353</v>
      </c>
      <c r="K64" s="45">
        <v>-500</v>
      </c>
      <c r="L64" s="45">
        <v>-105</v>
      </c>
      <c r="M64" s="45">
        <v>-126</v>
      </c>
      <c r="N64" s="45">
        <v>-350</v>
      </c>
    </row>
    <row r="65" spans="2:14" x14ac:dyDescent="0.3">
      <c r="B65" s="99" t="s">
        <v>266</v>
      </c>
      <c r="C65" s="101">
        <v>-601</v>
      </c>
      <c r="D65" s="101">
        <v>-626</v>
      </c>
      <c r="E65" s="101">
        <v>-576</v>
      </c>
      <c r="F65" s="101">
        <v>-849</v>
      </c>
      <c r="G65" s="101">
        <v>-756</v>
      </c>
      <c r="H65" s="100">
        <v>-1379</v>
      </c>
      <c r="I65" s="100">
        <v>-1117</v>
      </c>
      <c r="J65" s="100">
        <v>-2871</v>
      </c>
      <c r="K65" s="101">
        <v>-650</v>
      </c>
      <c r="L65" s="100">
        <v>-1808</v>
      </c>
      <c r="M65" s="100">
        <v>-2140</v>
      </c>
      <c r="N65" s="100">
        <v>-2982</v>
      </c>
    </row>
    <row r="66" spans="2:14" x14ac:dyDescent="0.3">
      <c r="B66" s="44" t="s">
        <v>107</v>
      </c>
      <c r="C66" s="45">
        <v>0</v>
      </c>
      <c r="D66" s="45">
        <v>0</v>
      </c>
      <c r="E66" s="45">
        <v>0</v>
      </c>
      <c r="F66" s="45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45">
        <v>1</v>
      </c>
    </row>
    <row r="67" spans="2:14" x14ac:dyDescent="0.3">
      <c r="B67" s="44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</row>
    <row r="68" spans="2:14" x14ac:dyDescent="0.3">
      <c r="B68" s="44" t="s">
        <v>105</v>
      </c>
      <c r="C68" s="45">
        <v>33</v>
      </c>
      <c r="D68" s="45">
        <v>44</v>
      </c>
      <c r="E68" s="45">
        <v>239</v>
      </c>
      <c r="F68" s="45">
        <v>8</v>
      </c>
      <c r="G68" s="45">
        <v>271</v>
      </c>
      <c r="H68" s="45">
        <v>10</v>
      </c>
      <c r="I68" s="45">
        <v>243</v>
      </c>
      <c r="J68" s="45">
        <v>18</v>
      </c>
      <c r="K68" s="45">
        <v>155</v>
      </c>
      <c r="L68" s="45">
        <v>418</v>
      </c>
      <c r="M68" s="45">
        <v>254</v>
      </c>
      <c r="N68" s="45">
        <v>101</v>
      </c>
    </row>
    <row r="69" spans="2:14" x14ac:dyDescent="0.3">
      <c r="B69" s="44" t="s">
        <v>104</v>
      </c>
      <c r="C69" s="45">
        <v>-135</v>
      </c>
      <c r="D69" s="45">
        <v>-81</v>
      </c>
      <c r="E69" s="45">
        <v>-86</v>
      </c>
      <c r="F69" s="45">
        <v>-119</v>
      </c>
      <c r="G69" s="45">
        <v>-58</v>
      </c>
      <c r="H69" s="45">
        <v>-54</v>
      </c>
      <c r="I69" s="45">
        <v>-26</v>
      </c>
      <c r="J69" s="45">
        <v>-279</v>
      </c>
      <c r="K69" s="45">
        <v>-14</v>
      </c>
      <c r="L69" s="45">
        <v>-8</v>
      </c>
      <c r="M69" s="45">
        <v>-25</v>
      </c>
      <c r="N69" s="45">
        <v>-98</v>
      </c>
    </row>
    <row r="70" spans="2:14" x14ac:dyDescent="0.3">
      <c r="B70" s="44" t="s">
        <v>103</v>
      </c>
      <c r="C70" s="45">
        <v>-37</v>
      </c>
      <c r="D70" s="45">
        <v>-42</v>
      </c>
      <c r="E70" s="45">
        <v>-35</v>
      </c>
      <c r="F70" s="45">
        <v>-40</v>
      </c>
      <c r="G70" s="45">
        <v>-36</v>
      </c>
      <c r="H70" s="45">
        <v>-35</v>
      </c>
      <c r="I70" s="45">
        <v>-106</v>
      </c>
      <c r="J70" s="45">
        <v>-101</v>
      </c>
      <c r="K70" s="45">
        <v>-89</v>
      </c>
      <c r="L70" s="45">
        <v>-94</v>
      </c>
      <c r="M70" s="45">
        <v>-142</v>
      </c>
      <c r="N70" s="45">
        <v>-191</v>
      </c>
    </row>
    <row r="71" spans="2:14" x14ac:dyDescent="0.3">
      <c r="B71" s="44" t="s">
        <v>102</v>
      </c>
      <c r="C71" s="45">
        <v>-462</v>
      </c>
      <c r="D71" s="45">
        <v>-547</v>
      </c>
      <c r="E71" s="45">
        <v>-695</v>
      </c>
      <c r="F71" s="45">
        <v>-764</v>
      </c>
      <c r="G71" s="45">
        <v>-947</v>
      </c>
      <c r="H71" s="76">
        <v>-1218</v>
      </c>
      <c r="I71" s="76">
        <v>-1049</v>
      </c>
      <c r="J71" s="76">
        <v>-2121</v>
      </c>
      <c r="K71" s="45">
        <v>-499</v>
      </c>
      <c r="L71" s="76">
        <v>-1763</v>
      </c>
      <c r="M71" s="76">
        <v>-1936</v>
      </c>
      <c r="N71" s="76">
        <v>-2551</v>
      </c>
    </row>
    <row r="72" spans="2:14" x14ac:dyDescent="0.3">
      <c r="B72" s="44" t="s">
        <v>101</v>
      </c>
      <c r="C72" s="45">
        <v>0</v>
      </c>
      <c r="D72" s="45">
        <v>0</v>
      </c>
      <c r="E72" s="45">
        <v>0</v>
      </c>
      <c r="F72" s="45">
        <v>0</v>
      </c>
      <c r="G72" s="45">
        <v>0</v>
      </c>
      <c r="H72" s="45">
        <v>0</v>
      </c>
      <c r="I72" s="45">
        <v>-180</v>
      </c>
      <c r="J72" s="45">
        <v>-179</v>
      </c>
      <c r="K72" s="45">
        <v>-203</v>
      </c>
      <c r="L72" s="45">
        <v>-221</v>
      </c>
      <c r="M72" s="45">
        <v>-256</v>
      </c>
      <c r="N72" s="45">
        <v>-286</v>
      </c>
    </row>
    <row r="73" spans="2:14" x14ac:dyDescent="0.3">
      <c r="B73" s="44" t="s">
        <v>100</v>
      </c>
      <c r="C73" s="45">
        <v>0</v>
      </c>
      <c r="D73" s="45">
        <v>0</v>
      </c>
      <c r="E73" s="45">
        <v>0</v>
      </c>
      <c r="F73" s="45">
        <v>66</v>
      </c>
      <c r="G73" s="45">
        <v>13</v>
      </c>
      <c r="H73" s="45">
        <v>-82</v>
      </c>
      <c r="I73" s="45">
        <v>0</v>
      </c>
      <c r="J73" s="45">
        <v>-209</v>
      </c>
      <c r="K73" s="45">
        <v>0</v>
      </c>
      <c r="L73" s="45">
        <v>-140</v>
      </c>
      <c r="M73" s="45">
        <v>-36</v>
      </c>
      <c r="N73" s="45">
        <v>41</v>
      </c>
    </row>
    <row r="74" spans="2:14" x14ac:dyDescent="0.3">
      <c r="B74" s="99" t="s">
        <v>98</v>
      </c>
      <c r="C74" s="101">
        <v>123</v>
      </c>
      <c r="D74" s="101">
        <v>190</v>
      </c>
      <c r="E74" s="101">
        <v>147</v>
      </c>
      <c r="F74" s="101">
        <v>528</v>
      </c>
      <c r="G74" s="101">
        <v>90</v>
      </c>
      <c r="H74" s="101">
        <v>-822</v>
      </c>
      <c r="I74" s="101">
        <v>434</v>
      </c>
      <c r="J74" s="101">
        <v>-351</v>
      </c>
      <c r="K74" s="100">
        <v>2492</v>
      </c>
      <c r="L74" s="100">
        <v>-1138</v>
      </c>
      <c r="M74" s="101">
        <v>771</v>
      </c>
      <c r="N74" s="101">
        <v>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A1C9-AE67-43B2-A4BD-635E88D852E4}">
  <dimension ref="A2:M104"/>
  <sheetViews>
    <sheetView showGridLines="0" workbookViewId="0">
      <pane ySplit="3" topLeftCell="A4" activePane="bottomLeft" state="frozen"/>
      <selection activeCell="B1" sqref="B1"/>
      <selection pane="bottomLeft" activeCell="C3" sqref="B2:M3"/>
    </sheetView>
  </sheetViews>
  <sheetFormatPr defaultRowHeight="14.4" outlineLevelRow="1" x14ac:dyDescent="0.3"/>
  <cols>
    <col min="1" max="1" width="1.88671875" style="52" customWidth="1"/>
    <col min="2" max="2" width="25.77734375" style="52" customWidth="1"/>
    <col min="3" max="13" width="15.33203125" style="52" customWidth="1"/>
    <col min="14" max="16384" width="8.88671875" style="52"/>
  </cols>
  <sheetData>
    <row r="2" spans="1:13" x14ac:dyDescent="0.3">
      <c r="B2" s="146" t="str">
        <f>"Historical Data of - "&amp;'Data Sheet'!B1</f>
        <v>Historical Data of - ASIAN PAINTS LTD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</row>
    <row r="3" spans="1:13" x14ac:dyDescent="0.3">
      <c r="B3" s="147" t="s">
        <v>178</v>
      </c>
      <c r="C3" s="148">
        <f>'Data Sheet'!B16</f>
        <v>42094</v>
      </c>
      <c r="D3" s="148">
        <f>'Data Sheet'!C16</f>
        <v>42460</v>
      </c>
      <c r="E3" s="148">
        <f>'Data Sheet'!D16</f>
        <v>42825</v>
      </c>
      <c r="F3" s="148">
        <f>'Data Sheet'!E16</f>
        <v>43190</v>
      </c>
      <c r="G3" s="148">
        <f>'Data Sheet'!F16</f>
        <v>43555</v>
      </c>
      <c r="H3" s="148">
        <f>'Data Sheet'!G16</f>
        <v>43921</v>
      </c>
      <c r="I3" s="148">
        <f>'Data Sheet'!H16</f>
        <v>44286</v>
      </c>
      <c r="J3" s="148">
        <f>'Data Sheet'!I16</f>
        <v>44651</v>
      </c>
      <c r="K3" s="148">
        <f>'Data Sheet'!J16</f>
        <v>45016</v>
      </c>
      <c r="L3" s="148">
        <f>'Data Sheet'!K16</f>
        <v>45382</v>
      </c>
      <c r="M3" s="149" t="s">
        <v>177</v>
      </c>
    </row>
    <row r="4" spans="1:13" x14ac:dyDescent="0.3">
      <c r="A4" s="52" t="s">
        <v>133</v>
      </c>
      <c r="B4" s="58" t="s">
        <v>176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</row>
    <row r="5" spans="1:13" outlineLevel="1" x14ac:dyDescent="0.3">
      <c r="B5" s="52" t="s">
        <v>175</v>
      </c>
      <c r="C5" s="55">
        <f>IFERROR('Data Sheet'!B17,0)</f>
        <v>13615.26</v>
      </c>
      <c r="D5" s="55">
        <f>IFERROR('Data Sheet'!C17,0)</f>
        <v>14271.49</v>
      </c>
      <c r="E5" s="55">
        <f>IFERROR('Data Sheet'!D17,0)</f>
        <v>15061.99</v>
      </c>
      <c r="F5" s="55">
        <f>IFERROR('Data Sheet'!E17,0)</f>
        <v>16824.55</v>
      </c>
      <c r="G5" s="55">
        <f>IFERROR('Data Sheet'!F17,0)</f>
        <v>19240.13</v>
      </c>
      <c r="H5" s="55">
        <f>IFERROR('Data Sheet'!G17,0)</f>
        <v>20211.25</v>
      </c>
      <c r="I5" s="55">
        <f>IFERROR('Data Sheet'!H17,0)</f>
        <v>21712.79</v>
      </c>
      <c r="J5" s="55">
        <f>IFERROR('Data Sheet'!I17,0)</f>
        <v>29101.279999999999</v>
      </c>
      <c r="K5" s="55">
        <f>IFERROR('Data Sheet'!J17,0)</f>
        <v>34488.589999999997</v>
      </c>
      <c r="L5" s="55">
        <f>IFERROR('Data Sheet'!K17,0)</f>
        <v>35494.730000000003</v>
      </c>
      <c r="M5" s="55">
        <f>IFERROR(SUM('Data Sheet'!H42:K42),0)</f>
        <v>35494.729999999996</v>
      </c>
    </row>
    <row r="6" spans="1:13" outlineLevel="1" x14ac:dyDescent="0.3">
      <c r="B6" s="70" t="s">
        <v>174</v>
      </c>
      <c r="C6" s="69" t="s">
        <v>168</v>
      </c>
      <c r="D6" s="64">
        <f t="shared" ref="D6:M6" si="0">D5/C5-1</f>
        <v>4.8198124751198224E-2</v>
      </c>
      <c r="E6" s="64">
        <f t="shared" si="0"/>
        <v>5.5390151974320734E-2</v>
      </c>
      <c r="F6" s="64">
        <f t="shared" si="0"/>
        <v>0.11702039371955486</v>
      </c>
      <c r="G6" s="64">
        <f t="shared" si="0"/>
        <v>0.14357471670861943</v>
      </c>
      <c r="H6" s="64">
        <f t="shared" si="0"/>
        <v>5.0473671435691925E-2</v>
      </c>
      <c r="I6" s="64">
        <f t="shared" si="0"/>
        <v>7.4292287711052118E-2</v>
      </c>
      <c r="J6" s="64">
        <f t="shared" si="0"/>
        <v>0.34028284711453471</v>
      </c>
      <c r="K6" s="64">
        <f t="shared" si="0"/>
        <v>0.18512278497715551</v>
      </c>
      <c r="L6" s="64">
        <f t="shared" si="0"/>
        <v>2.9173126532572313E-2</v>
      </c>
      <c r="M6" s="64">
        <f t="shared" si="0"/>
        <v>0</v>
      </c>
    </row>
    <row r="7" spans="1:13" outlineLevel="1" x14ac:dyDescent="0.3"/>
    <row r="8" spans="1:13" outlineLevel="1" x14ac:dyDescent="0.3">
      <c r="B8" s="52" t="s">
        <v>173</v>
      </c>
      <c r="C8" s="55">
        <f>IFERROR(SUM('Data Sheet'!B18,'Data Sheet'!B20,'Data Sheet'!B21,'Data Sheet'!B22-1*('Data Sheet'!B19)),0)</f>
        <v>9298.77</v>
      </c>
      <c r="D8" s="55">
        <f>IFERROR(SUM('Data Sheet'!C18,'Data Sheet'!C20,'Data Sheet'!C21,'Data Sheet'!C22-1*('Data Sheet'!C19)),0)</f>
        <v>9413.8399999999983</v>
      </c>
      <c r="E8" s="55">
        <f>IFERROR(SUM('Data Sheet'!D18,'Data Sheet'!D20,'Data Sheet'!D21,'Data Sheet'!D22-1*('Data Sheet'!D19)),0)</f>
        <v>9732.6600000000017</v>
      </c>
      <c r="F8" s="55">
        <f>IFERROR(SUM('Data Sheet'!E18,'Data Sheet'!E20,'Data Sheet'!E21,'Data Sheet'!E22-1*('Data Sheet'!E19)),0)</f>
        <v>11194.17</v>
      </c>
      <c r="G8" s="55">
        <f>IFERROR(SUM('Data Sheet'!F18,'Data Sheet'!F20,'Data Sheet'!F21,'Data Sheet'!F22-1*('Data Sheet'!F19)),0)</f>
        <v>12905.81</v>
      </c>
      <c r="H8" s="55">
        <f>IFERROR(SUM('Data Sheet'!G18,'Data Sheet'!G20,'Data Sheet'!G21,'Data Sheet'!G22-1*('Data Sheet'!G19)),0)</f>
        <v>13158.02</v>
      </c>
      <c r="I8" s="55">
        <f>IFERROR(SUM('Data Sheet'!H18,'Data Sheet'!H20,'Data Sheet'!H21,'Data Sheet'!H22-1*('Data Sheet'!H19)),0)</f>
        <v>14035.069999999998</v>
      </c>
      <c r="J8" s="55">
        <f>IFERROR(SUM('Data Sheet'!I18,'Data Sheet'!I20,'Data Sheet'!I21,'Data Sheet'!I22-1*('Data Sheet'!I19)),0)</f>
        <v>20590.57</v>
      </c>
      <c r="K8" s="55">
        <f>IFERROR(SUM('Data Sheet'!J18,'Data Sheet'!J20,'Data Sheet'!J21,'Data Sheet'!J22-1*('Data Sheet'!J19)),0)</f>
        <v>23766.7</v>
      </c>
      <c r="L8" s="55">
        <f>IFERROR(SUM('Data Sheet'!K18,'Data Sheet'!K20,'Data Sheet'!K21,'Data Sheet'!K22-1*('Data Sheet'!K19)),0)</f>
        <v>23009.99</v>
      </c>
      <c r="M8" s="55">
        <f>IFERROR(SUM('Data Sheet'!H43:K43),0)</f>
        <v>27909.75</v>
      </c>
    </row>
    <row r="9" spans="1:13" outlineLevel="1" x14ac:dyDescent="0.3">
      <c r="B9" s="64" t="s">
        <v>172</v>
      </c>
      <c r="C9" s="64">
        <f t="shared" ref="C9:M9" si="1">C8/C5</f>
        <v>0.68296675935678053</v>
      </c>
      <c r="D9" s="64">
        <f t="shared" si="1"/>
        <v>0.65962558919916547</v>
      </c>
      <c r="E9" s="64">
        <f t="shared" si="1"/>
        <v>0.64617357998511493</v>
      </c>
      <c r="F9" s="64">
        <f t="shared" si="1"/>
        <v>0.66534736441687892</v>
      </c>
      <c r="G9" s="64">
        <f t="shared" si="1"/>
        <v>0.67077561326248825</v>
      </c>
      <c r="H9" s="64">
        <f t="shared" si="1"/>
        <v>0.65102455315727625</v>
      </c>
      <c r="I9" s="64">
        <f t="shared" si="1"/>
        <v>0.64639643270164715</v>
      </c>
      <c r="J9" s="64">
        <f t="shared" si="1"/>
        <v>0.70754860267314701</v>
      </c>
      <c r="K9" s="64">
        <f t="shared" si="1"/>
        <v>0.68911776329504926</v>
      </c>
      <c r="L9" s="64">
        <f t="shared" si="1"/>
        <v>0.64826496778535858</v>
      </c>
      <c r="M9" s="64">
        <f t="shared" si="1"/>
        <v>0.78630686865345933</v>
      </c>
    </row>
    <row r="10" spans="1:13" outlineLevel="1" x14ac:dyDescent="0.3"/>
    <row r="11" spans="1:13" outlineLevel="1" x14ac:dyDescent="0.3">
      <c r="B11" s="54" t="s">
        <v>171</v>
      </c>
      <c r="C11" s="68">
        <f t="shared" ref="C11:M11" si="2">IFERROR(C5-C8,0)</f>
        <v>4316.49</v>
      </c>
      <c r="D11" s="68">
        <f t="shared" si="2"/>
        <v>4857.6500000000015</v>
      </c>
      <c r="E11" s="68">
        <f t="shared" si="2"/>
        <v>5329.3299999999981</v>
      </c>
      <c r="F11" s="68">
        <f t="shared" si="2"/>
        <v>5630.3799999999992</v>
      </c>
      <c r="G11" s="68">
        <f t="shared" si="2"/>
        <v>6334.3200000000015</v>
      </c>
      <c r="H11" s="68">
        <f t="shared" si="2"/>
        <v>7053.23</v>
      </c>
      <c r="I11" s="68">
        <f t="shared" si="2"/>
        <v>7677.720000000003</v>
      </c>
      <c r="J11" s="68">
        <f t="shared" si="2"/>
        <v>8510.7099999999991</v>
      </c>
      <c r="K11" s="68">
        <f t="shared" si="2"/>
        <v>10721.889999999996</v>
      </c>
      <c r="L11" s="68">
        <f t="shared" si="2"/>
        <v>12484.740000000002</v>
      </c>
      <c r="M11" s="68">
        <f t="shared" si="2"/>
        <v>7584.9799999999959</v>
      </c>
    </row>
    <row r="12" spans="1:13" outlineLevel="1" x14ac:dyDescent="0.3">
      <c r="B12" s="64" t="s">
        <v>170</v>
      </c>
      <c r="C12" s="64">
        <f t="shared" ref="C12:M12" si="3">C11/C5</f>
        <v>0.31703324064321942</v>
      </c>
      <c r="D12" s="64">
        <f t="shared" si="3"/>
        <v>0.34037441080083447</v>
      </c>
      <c r="E12" s="64">
        <f t="shared" si="3"/>
        <v>0.35382642001488501</v>
      </c>
      <c r="F12" s="64">
        <f t="shared" si="3"/>
        <v>0.33465263558312108</v>
      </c>
      <c r="G12" s="64">
        <f t="shared" si="3"/>
        <v>0.3292243867375117</v>
      </c>
      <c r="H12" s="64">
        <f t="shared" si="3"/>
        <v>0.34897544684272369</v>
      </c>
      <c r="I12" s="64">
        <f t="shared" si="3"/>
        <v>0.35360356729835285</v>
      </c>
      <c r="J12" s="64">
        <f t="shared" si="3"/>
        <v>0.29245139732685294</v>
      </c>
      <c r="K12" s="64">
        <f t="shared" si="3"/>
        <v>0.31088223670495074</v>
      </c>
      <c r="L12" s="64">
        <f t="shared" si="3"/>
        <v>0.35173503221464147</v>
      </c>
      <c r="M12" s="64">
        <f t="shared" si="3"/>
        <v>0.21369313134654064</v>
      </c>
    </row>
    <row r="13" spans="1:13" outlineLevel="1" x14ac:dyDescent="0.3"/>
    <row r="14" spans="1:13" outlineLevel="1" x14ac:dyDescent="0.3">
      <c r="B14" s="52" t="s">
        <v>169</v>
      </c>
      <c r="C14" s="67">
        <f>IFERROR(SUM('Data Sheet'!B23:B24),0)</f>
        <v>2073.6</v>
      </c>
      <c r="D14" s="67">
        <f>IFERROR(SUM('Data Sheet'!C23:C24),0)</f>
        <v>2132.61</v>
      </c>
      <c r="E14" s="67">
        <f>IFERROR(SUM('Data Sheet'!D23:D24),0)</f>
        <v>2335.5699999999997</v>
      </c>
      <c r="F14" s="67">
        <f>IFERROR(SUM('Data Sheet'!E23:E24),0)</f>
        <v>2426.37</v>
      </c>
      <c r="G14" s="67">
        <f>IFERROR(SUM('Data Sheet'!F23:F24),0)</f>
        <v>2569.38</v>
      </c>
      <c r="H14" s="67">
        <f>IFERROR(SUM('Data Sheet'!G23:G24),0)</f>
        <v>2896.4100000000003</v>
      </c>
      <c r="I14" s="67">
        <f>IFERROR(SUM('Data Sheet'!H23:H24),0)</f>
        <v>2822.12</v>
      </c>
      <c r="J14" s="67">
        <f>IFERROR(SUM('Data Sheet'!I23:I24),0)</f>
        <v>3707.1</v>
      </c>
      <c r="K14" s="67">
        <f>IFERROR(SUM('Data Sheet'!J23:J24),0)</f>
        <v>4462.05</v>
      </c>
      <c r="L14" s="67">
        <f>IFERROR(SUM('Data Sheet'!K23:K24),0)</f>
        <v>4899.76</v>
      </c>
      <c r="M14" s="66" t="s">
        <v>168</v>
      </c>
    </row>
    <row r="15" spans="1:13" outlineLevel="1" x14ac:dyDescent="0.3">
      <c r="B15" s="64" t="s">
        <v>167</v>
      </c>
      <c r="C15" s="64">
        <f t="shared" ref="C15:L15" si="4">C14/C5</f>
        <v>0.15229969901419435</v>
      </c>
      <c r="D15" s="64">
        <f t="shared" si="4"/>
        <v>0.14943148893353111</v>
      </c>
      <c r="E15" s="64">
        <f t="shared" si="4"/>
        <v>0.15506383950593511</v>
      </c>
      <c r="F15" s="64">
        <f t="shared" si="4"/>
        <v>0.14421604143944414</v>
      </c>
      <c r="G15" s="64">
        <f t="shared" si="4"/>
        <v>0.13354275672773522</v>
      </c>
      <c r="H15" s="64">
        <f t="shared" si="4"/>
        <v>0.14330682169583772</v>
      </c>
      <c r="I15" s="64">
        <f t="shared" si="4"/>
        <v>0.12997500551518251</v>
      </c>
      <c r="J15" s="64">
        <f t="shared" si="4"/>
        <v>0.1273861493377611</v>
      </c>
      <c r="K15" s="64">
        <f t="shared" si="4"/>
        <v>0.12937757095897515</v>
      </c>
      <c r="L15" s="64">
        <f t="shared" si="4"/>
        <v>0.1380419008681007</v>
      </c>
      <c r="M15" s="64">
        <v>0</v>
      </c>
    </row>
    <row r="16" spans="1:13" outlineLevel="1" x14ac:dyDescent="0.3"/>
    <row r="17" spans="2:13" outlineLevel="1" x14ac:dyDescent="0.3">
      <c r="B17" s="54" t="s">
        <v>166</v>
      </c>
      <c r="C17" s="65">
        <f t="shared" ref="C17:M17" si="5">IFERROR(C11-C14,0)</f>
        <v>2242.89</v>
      </c>
      <c r="D17" s="65">
        <f t="shared" si="5"/>
        <v>2725.0400000000013</v>
      </c>
      <c r="E17" s="65">
        <f t="shared" si="5"/>
        <v>2993.7599999999984</v>
      </c>
      <c r="F17" s="65">
        <f t="shared" si="5"/>
        <v>3204.0099999999993</v>
      </c>
      <c r="G17" s="65">
        <f t="shared" si="5"/>
        <v>3764.9400000000014</v>
      </c>
      <c r="H17" s="65">
        <f t="shared" si="5"/>
        <v>4156.82</v>
      </c>
      <c r="I17" s="65">
        <f t="shared" si="5"/>
        <v>4855.6000000000031</v>
      </c>
      <c r="J17" s="65">
        <f t="shared" si="5"/>
        <v>4803.6099999999988</v>
      </c>
      <c r="K17" s="65">
        <f t="shared" si="5"/>
        <v>6259.8399999999956</v>
      </c>
      <c r="L17" s="65">
        <f t="shared" si="5"/>
        <v>7584.9800000000014</v>
      </c>
      <c r="M17" s="65">
        <f t="shared" si="5"/>
        <v>0</v>
      </c>
    </row>
    <row r="18" spans="2:13" outlineLevel="1" x14ac:dyDescent="0.3">
      <c r="B18" s="64" t="s">
        <v>165</v>
      </c>
      <c r="C18" s="64">
        <f t="shared" ref="C18:M18" si="6">C17/C5</f>
        <v>0.16473354162902507</v>
      </c>
      <c r="D18" s="64">
        <f t="shared" si="6"/>
        <v>0.19094292186730338</v>
      </c>
      <c r="E18" s="64">
        <f t="shared" si="6"/>
        <v>0.1987625805089499</v>
      </c>
      <c r="F18" s="64">
        <f t="shared" si="6"/>
        <v>0.19043659414367692</v>
      </c>
      <c r="G18" s="64">
        <f t="shared" si="6"/>
        <v>0.19568163000977651</v>
      </c>
      <c r="H18" s="64">
        <f t="shared" si="6"/>
        <v>0.205668625146886</v>
      </c>
      <c r="I18" s="64">
        <f t="shared" si="6"/>
        <v>0.22362856178317034</v>
      </c>
      <c r="J18" s="64">
        <f t="shared" si="6"/>
        <v>0.16506524798909186</v>
      </c>
      <c r="K18" s="64">
        <f t="shared" si="6"/>
        <v>0.1815046657459756</v>
      </c>
      <c r="L18" s="64">
        <f t="shared" si="6"/>
        <v>0.21369313134654075</v>
      </c>
      <c r="M18" s="64">
        <f t="shared" si="6"/>
        <v>0</v>
      </c>
    </row>
    <row r="19" spans="2:13" outlineLevel="1" x14ac:dyDescent="0.3"/>
    <row r="20" spans="2:13" outlineLevel="1" x14ac:dyDescent="0.3">
      <c r="B20" s="52" t="s">
        <v>164</v>
      </c>
      <c r="C20" s="55">
        <f>IFERROR('Data Sheet'!B27,0)</f>
        <v>42.24</v>
      </c>
      <c r="D20" s="55">
        <f>IFERROR('Data Sheet'!C27,0)</f>
        <v>49</v>
      </c>
      <c r="E20" s="55">
        <f>IFERROR('Data Sheet'!D27,0)</f>
        <v>37.33</v>
      </c>
      <c r="F20" s="55">
        <f>IFERROR('Data Sheet'!E27,0)</f>
        <v>41.47</v>
      </c>
      <c r="G20" s="55">
        <f>IFERROR('Data Sheet'!F27,0)</f>
        <v>110.47</v>
      </c>
      <c r="H20" s="55">
        <f>IFERROR('Data Sheet'!G27,0)</f>
        <v>102.33</v>
      </c>
      <c r="I20" s="55">
        <f>IFERROR('Data Sheet'!H27,0)</f>
        <v>91.63</v>
      </c>
      <c r="J20" s="55">
        <f>IFERROR('Data Sheet'!I27,0)</f>
        <v>95.41</v>
      </c>
      <c r="K20" s="55">
        <f>IFERROR('Data Sheet'!J27,0)</f>
        <v>144.44999999999999</v>
      </c>
      <c r="L20" s="55">
        <f>IFERROR('Data Sheet'!K27,0)</f>
        <v>205.17</v>
      </c>
      <c r="M20" s="55">
        <f>IFERROR(SUM('Data Sheet'!H46:K46),0)</f>
        <v>205.17</v>
      </c>
    </row>
    <row r="21" spans="2:13" outlineLevel="1" x14ac:dyDescent="0.3">
      <c r="B21" s="64" t="s">
        <v>163</v>
      </c>
      <c r="C21" s="64">
        <f t="shared" ref="C21:M21" si="7">C20/C5</f>
        <v>3.1024012762150706E-3</v>
      </c>
      <c r="D21" s="64">
        <f t="shared" si="7"/>
        <v>3.4334186549547386E-3</v>
      </c>
      <c r="E21" s="64">
        <f t="shared" si="7"/>
        <v>2.4784241657310885E-3</v>
      </c>
      <c r="F21" s="64">
        <f t="shared" si="7"/>
        <v>2.4648504714836358E-3</v>
      </c>
      <c r="G21" s="64">
        <f t="shared" si="7"/>
        <v>5.7416451967840128E-3</v>
      </c>
      <c r="H21" s="64">
        <f t="shared" si="7"/>
        <v>5.0630218319005502E-3</v>
      </c>
      <c r="I21" s="64">
        <f t="shared" si="7"/>
        <v>4.2200933182700148E-3</v>
      </c>
      <c r="J21" s="64">
        <f t="shared" si="7"/>
        <v>3.2785499469439143E-3</v>
      </c>
      <c r="K21" s="64">
        <f t="shared" si="7"/>
        <v>4.1883417095335005E-3</v>
      </c>
      <c r="L21" s="64">
        <f t="shared" si="7"/>
        <v>5.7802947085384216E-3</v>
      </c>
      <c r="M21" s="64">
        <f t="shared" si="7"/>
        <v>5.7802947085384224E-3</v>
      </c>
    </row>
    <row r="22" spans="2:13" outlineLevel="1" x14ac:dyDescent="0.3"/>
    <row r="23" spans="2:13" outlineLevel="1" x14ac:dyDescent="0.3">
      <c r="B23" s="52" t="s">
        <v>162</v>
      </c>
      <c r="C23" s="55">
        <f>IFERROR('Data Sheet'!B26,0)</f>
        <v>265.92</v>
      </c>
      <c r="D23" s="55">
        <f>IFERROR('Data Sheet'!C26,0)</f>
        <v>275.58</v>
      </c>
      <c r="E23" s="55">
        <f>IFERROR('Data Sheet'!D26,0)</f>
        <v>334.79</v>
      </c>
      <c r="F23" s="55">
        <f>IFERROR('Data Sheet'!E26,0)</f>
        <v>360.47</v>
      </c>
      <c r="G23" s="55">
        <f>IFERROR('Data Sheet'!F26,0)</f>
        <v>622.14</v>
      </c>
      <c r="H23" s="55">
        <f>IFERROR('Data Sheet'!G26,0)</f>
        <v>780.5</v>
      </c>
      <c r="I23" s="55">
        <f>IFERROR('Data Sheet'!H26,0)</f>
        <v>791.27</v>
      </c>
      <c r="J23" s="55">
        <f>IFERROR('Data Sheet'!I26,0)</f>
        <v>816.36</v>
      </c>
      <c r="K23" s="55">
        <f>IFERROR('Data Sheet'!J26,0)</f>
        <v>858.02</v>
      </c>
      <c r="L23" s="55">
        <f>IFERROR('Data Sheet'!K26,0)</f>
        <v>853</v>
      </c>
      <c r="M23" s="55">
        <f>IFERROR(SUM('Data Sheet'!H45:K45),0)</f>
        <v>853</v>
      </c>
    </row>
    <row r="24" spans="2:13" outlineLevel="1" x14ac:dyDescent="0.3">
      <c r="B24" s="64" t="s">
        <v>161</v>
      </c>
      <c r="C24" s="64">
        <f t="shared" ref="C24:M24" si="8">C23/C5</f>
        <v>1.953102621617215E-2</v>
      </c>
      <c r="D24" s="64">
        <f t="shared" si="8"/>
        <v>1.9309826794539322E-2</v>
      </c>
      <c r="E24" s="64">
        <f t="shared" si="8"/>
        <v>2.2227474590011016E-2</v>
      </c>
      <c r="F24" s="64">
        <f t="shared" si="8"/>
        <v>2.1425238713665449E-2</v>
      </c>
      <c r="G24" s="64">
        <f t="shared" si="8"/>
        <v>3.2335540352378074E-2</v>
      </c>
      <c r="H24" s="64">
        <f t="shared" si="8"/>
        <v>3.8617106809326486E-2</v>
      </c>
      <c r="I24" s="64">
        <f t="shared" si="8"/>
        <v>3.6442576011650275E-2</v>
      </c>
      <c r="J24" s="64">
        <f t="shared" si="8"/>
        <v>2.8052374328551871E-2</v>
      </c>
      <c r="K24" s="64">
        <f t="shared" si="8"/>
        <v>2.4878372818372688E-2</v>
      </c>
      <c r="L24" s="64">
        <f t="shared" si="8"/>
        <v>2.4031736542297968E-2</v>
      </c>
      <c r="M24" s="64">
        <f t="shared" si="8"/>
        <v>2.4031736542297972E-2</v>
      </c>
    </row>
    <row r="25" spans="2:13" outlineLevel="1" x14ac:dyDescent="0.3"/>
    <row r="26" spans="2:13" outlineLevel="1" x14ac:dyDescent="0.3">
      <c r="B26" s="54" t="s">
        <v>160</v>
      </c>
      <c r="C26" s="65">
        <f t="shared" ref="C26:M26" si="9">IFERROR(C17-SUM(C20,C23),0)</f>
        <v>1934.7299999999998</v>
      </c>
      <c r="D26" s="65">
        <f t="shared" si="9"/>
        <v>2400.4600000000014</v>
      </c>
      <c r="E26" s="65">
        <f t="shared" si="9"/>
        <v>2621.6399999999985</v>
      </c>
      <c r="F26" s="65">
        <f t="shared" si="9"/>
        <v>2802.0699999999993</v>
      </c>
      <c r="G26" s="65">
        <f t="shared" si="9"/>
        <v>3032.3300000000013</v>
      </c>
      <c r="H26" s="65">
        <f t="shared" si="9"/>
        <v>3273.99</v>
      </c>
      <c r="I26" s="65">
        <f t="shared" si="9"/>
        <v>3972.700000000003</v>
      </c>
      <c r="J26" s="65">
        <f t="shared" si="9"/>
        <v>3891.8399999999988</v>
      </c>
      <c r="K26" s="65">
        <f t="shared" si="9"/>
        <v>5257.3699999999953</v>
      </c>
      <c r="L26" s="65">
        <f t="shared" si="9"/>
        <v>6526.8100000000013</v>
      </c>
      <c r="M26" s="65">
        <f t="shared" si="9"/>
        <v>-1058.17</v>
      </c>
    </row>
    <row r="27" spans="2:13" outlineLevel="1" x14ac:dyDescent="0.3">
      <c r="B27" s="64" t="s">
        <v>159</v>
      </c>
      <c r="C27" s="64">
        <f t="shared" ref="C27:M27" si="10">C26/C5</f>
        <v>0.14210011413663784</v>
      </c>
      <c r="D27" s="64">
        <f t="shared" si="10"/>
        <v>0.16819967641780931</v>
      </c>
      <c r="E27" s="64">
        <f t="shared" si="10"/>
        <v>0.17405668175320782</v>
      </c>
      <c r="F27" s="64">
        <f t="shared" si="10"/>
        <v>0.16654650495852782</v>
      </c>
      <c r="G27" s="64">
        <f t="shared" si="10"/>
        <v>0.15760444446061442</v>
      </c>
      <c r="H27" s="64">
        <f t="shared" si="10"/>
        <v>0.16198849650565897</v>
      </c>
      <c r="I27" s="64">
        <f t="shared" si="10"/>
        <v>0.18296589245325004</v>
      </c>
      <c r="J27" s="64">
        <f t="shared" si="10"/>
        <v>0.13373432371359606</v>
      </c>
      <c r="K27" s="64">
        <f t="shared" si="10"/>
        <v>0.15243795121806938</v>
      </c>
      <c r="L27" s="64">
        <f t="shared" si="10"/>
        <v>0.18388110009570438</v>
      </c>
      <c r="M27" s="64">
        <f t="shared" si="10"/>
        <v>-2.9812031250836396E-2</v>
      </c>
    </row>
    <row r="28" spans="2:13" outlineLevel="1" x14ac:dyDescent="0.3"/>
    <row r="29" spans="2:13" outlineLevel="1" x14ac:dyDescent="0.3">
      <c r="B29" s="52" t="s">
        <v>158</v>
      </c>
      <c r="C29" s="55">
        <f>IFERROR('Data Sheet'!B29,0)</f>
        <v>649.54</v>
      </c>
      <c r="D29" s="55">
        <f>IFERROR('Data Sheet'!C29,0)</f>
        <v>844.49</v>
      </c>
      <c r="E29" s="55">
        <f>IFERROR('Data Sheet'!D29,0)</f>
        <v>943.29</v>
      </c>
      <c r="F29" s="55">
        <f>IFERROR('Data Sheet'!E29,0)</f>
        <v>1040.96</v>
      </c>
      <c r="G29" s="55">
        <f>IFERROR('Data Sheet'!F29,0)</f>
        <v>1098.06</v>
      </c>
      <c r="H29" s="55">
        <f>IFERROR('Data Sheet'!G29,0)</f>
        <v>854.85</v>
      </c>
      <c r="I29" s="55">
        <f>IFERROR('Data Sheet'!H29,0)</f>
        <v>1097.5999999999999</v>
      </c>
      <c r="J29" s="55">
        <f>IFERROR('Data Sheet'!I29,0)</f>
        <v>1102.9100000000001</v>
      </c>
      <c r="K29" s="55">
        <f>IFERROR('Data Sheet'!J29,0)</f>
        <v>1493.5</v>
      </c>
      <c r="L29" s="55">
        <f>IFERROR('Data Sheet'!K29,0)</f>
        <v>1790.08</v>
      </c>
      <c r="M29" s="55">
        <f>IFERROR(SUM('Data Sheet'!H48:K48),0)</f>
        <v>1790.08</v>
      </c>
    </row>
    <row r="30" spans="2:13" outlineLevel="1" x14ac:dyDescent="0.3">
      <c r="B30" s="64" t="s">
        <v>157</v>
      </c>
      <c r="C30" s="64">
        <f t="shared" ref="C30:M30" si="11">C29/C26</f>
        <v>0.33572643211197428</v>
      </c>
      <c r="D30" s="64">
        <f t="shared" si="11"/>
        <v>0.35180340434749985</v>
      </c>
      <c r="E30" s="64">
        <f t="shared" si="11"/>
        <v>0.35980912711127405</v>
      </c>
      <c r="F30" s="64">
        <f t="shared" si="11"/>
        <v>0.3714967863044108</v>
      </c>
      <c r="G30" s="64">
        <f t="shared" si="11"/>
        <v>0.36211757955103813</v>
      </c>
      <c r="H30" s="64">
        <f t="shared" si="11"/>
        <v>0.26110342426213889</v>
      </c>
      <c r="I30" s="64">
        <f t="shared" si="11"/>
        <v>0.2762856495582347</v>
      </c>
      <c r="J30" s="64">
        <f t="shared" si="11"/>
        <v>0.2833903757605658</v>
      </c>
      <c r="K30" s="64">
        <f t="shared" si="11"/>
        <v>0.28407739991668862</v>
      </c>
      <c r="L30" s="64">
        <f t="shared" si="11"/>
        <v>0.27426568262290452</v>
      </c>
      <c r="M30" s="64">
        <f t="shared" si="11"/>
        <v>-1.691675250668607</v>
      </c>
    </row>
    <row r="31" spans="2:13" outlineLevel="1" x14ac:dyDescent="0.3"/>
    <row r="32" spans="2:13" outlineLevel="1" x14ac:dyDescent="0.3">
      <c r="B32" s="54" t="s">
        <v>156</v>
      </c>
      <c r="C32" s="65">
        <f t="shared" ref="C32:M32" si="12">IFERROR(C26-C29,0)</f>
        <v>1285.1899999999998</v>
      </c>
      <c r="D32" s="65">
        <f t="shared" si="12"/>
        <v>1555.9700000000014</v>
      </c>
      <c r="E32" s="65">
        <f t="shared" si="12"/>
        <v>1678.3499999999985</v>
      </c>
      <c r="F32" s="65">
        <f t="shared" si="12"/>
        <v>1761.1099999999992</v>
      </c>
      <c r="G32" s="65">
        <f t="shared" si="12"/>
        <v>1934.2700000000013</v>
      </c>
      <c r="H32" s="65">
        <f t="shared" si="12"/>
        <v>2419.14</v>
      </c>
      <c r="I32" s="65">
        <f t="shared" si="12"/>
        <v>2875.1000000000031</v>
      </c>
      <c r="J32" s="65">
        <f t="shared" si="12"/>
        <v>2788.9299999999985</v>
      </c>
      <c r="K32" s="65">
        <f t="shared" si="12"/>
        <v>3763.8699999999953</v>
      </c>
      <c r="L32" s="65">
        <f t="shared" si="12"/>
        <v>4736.7300000000014</v>
      </c>
      <c r="M32" s="65">
        <f t="shared" si="12"/>
        <v>-2848.25</v>
      </c>
    </row>
    <row r="33" spans="1:13" outlineLevel="1" x14ac:dyDescent="0.3">
      <c r="B33" s="64" t="s">
        <v>155</v>
      </c>
      <c r="C33" s="64">
        <f t="shared" ref="C33:M33" si="13">IFERROR(C32/C5,0)</f>
        <v>9.43933498148401E-2</v>
      </c>
      <c r="D33" s="64">
        <f t="shared" si="13"/>
        <v>0.10902645764387611</v>
      </c>
      <c r="E33" s="64">
        <f t="shared" si="13"/>
        <v>0.11142949902370129</v>
      </c>
      <c r="F33" s="64">
        <f t="shared" si="13"/>
        <v>0.10467501359620313</v>
      </c>
      <c r="G33" s="64">
        <f t="shared" si="13"/>
        <v>0.1005331045060507</v>
      </c>
      <c r="H33" s="64">
        <f t="shared" si="13"/>
        <v>0.1196927453769559</v>
      </c>
      <c r="I33" s="64">
        <f t="shared" si="13"/>
        <v>0.13241504200980173</v>
      </c>
      <c r="J33" s="64">
        <f t="shared" si="13"/>
        <v>9.5835303464314917E-2</v>
      </c>
      <c r="K33" s="64">
        <f t="shared" si="13"/>
        <v>0.10913377438741322</v>
      </c>
      <c r="L33" s="64">
        <f t="shared" si="13"/>
        <v>0.13344882465650537</v>
      </c>
      <c r="M33" s="64">
        <f t="shared" si="13"/>
        <v>-8.0244306690035405E-2</v>
      </c>
    </row>
    <row r="34" spans="1:13" outlineLevel="1" x14ac:dyDescent="0.3"/>
    <row r="35" spans="1:13" outlineLevel="1" x14ac:dyDescent="0.3">
      <c r="B35" s="52" t="s">
        <v>154</v>
      </c>
      <c r="C35" s="52">
        <f>IFERROR('Data Sheet'!B93,0)</f>
        <v>95.92</v>
      </c>
      <c r="D35" s="52">
        <f>IFERROR('Data Sheet'!C93,0)</f>
        <v>95.92</v>
      </c>
      <c r="E35" s="52">
        <f>IFERROR('Data Sheet'!D93,0)</f>
        <v>95.92</v>
      </c>
      <c r="F35" s="52">
        <f>IFERROR('Data Sheet'!E93,0)</f>
        <v>95.92</v>
      </c>
      <c r="G35" s="52">
        <f>IFERROR('Data Sheet'!F93,0)</f>
        <v>95.92</v>
      </c>
      <c r="H35" s="52">
        <f>IFERROR('Data Sheet'!G93,0)</f>
        <v>95.92</v>
      </c>
      <c r="I35" s="52">
        <f>IFERROR('Data Sheet'!H93,0)</f>
        <v>95.92</v>
      </c>
      <c r="J35" s="52">
        <f>IFERROR('Data Sheet'!I93,0)</f>
        <v>95.92</v>
      </c>
      <c r="K35" s="52">
        <f>IFERROR('Data Sheet'!J93,0)</f>
        <v>95.92</v>
      </c>
      <c r="L35" s="52">
        <f>IFERROR('Data Sheet'!K93,0)</f>
        <v>95.92</v>
      </c>
    </row>
    <row r="36" spans="1:13" outlineLevel="1" x14ac:dyDescent="0.3"/>
    <row r="37" spans="1:13" outlineLevel="1" x14ac:dyDescent="0.3">
      <c r="B37" s="52" t="s">
        <v>153</v>
      </c>
      <c r="C37" s="55">
        <f t="shared" ref="C37:L37" si="14">IFERROR(C32/C35,0)</f>
        <v>13.398561301084236</v>
      </c>
      <c r="D37" s="55">
        <f t="shared" si="14"/>
        <v>16.221538782318614</v>
      </c>
      <c r="E37" s="55">
        <f t="shared" si="14"/>
        <v>17.497393661384471</v>
      </c>
      <c r="F37" s="55">
        <f t="shared" si="14"/>
        <v>18.360195996663879</v>
      </c>
      <c r="G37" s="55">
        <f t="shared" si="14"/>
        <v>20.165450375312773</v>
      </c>
      <c r="H37" s="55">
        <f t="shared" si="14"/>
        <v>25.22039199332777</v>
      </c>
      <c r="I37" s="55">
        <f t="shared" si="14"/>
        <v>29.973936613844902</v>
      </c>
      <c r="J37" s="55">
        <f t="shared" si="14"/>
        <v>29.075583819849857</v>
      </c>
      <c r="K37" s="55">
        <f t="shared" si="14"/>
        <v>39.23967889908252</v>
      </c>
      <c r="L37" s="55">
        <f t="shared" si="14"/>
        <v>49.382089241034208</v>
      </c>
    </row>
    <row r="38" spans="1:13" outlineLevel="1" x14ac:dyDescent="0.3">
      <c r="B38" s="64" t="s">
        <v>152</v>
      </c>
      <c r="C38" s="64"/>
      <c r="D38" s="64">
        <f t="shared" ref="D38:L38" si="15">IFERROR(D37/C37-1,0)</f>
        <v>0.21069258241972122</v>
      </c>
      <c r="E38" s="64">
        <f t="shared" si="15"/>
        <v>7.8651902028957554E-2</v>
      </c>
      <c r="F38" s="64">
        <f t="shared" si="15"/>
        <v>4.9310334554771629E-2</v>
      </c>
      <c r="G38" s="64">
        <f t="shared" si="15"/>
        <v>9.8324352255112935E-2</v>
      </c>
      <c r="H38" s="64">
        <f t="shared" si="15"/>
        <v>0.25067338065523326</v>
      </c>
      <c r="I38" s="64">
        <f t="shared" si="15"/>
        <v>0.1884802037087574</v>
      </c>
      <c r="J38" s="64">
        <f t="shared" si="15"/>
        <v>-2.9971131438908061E-2</v>
      </c>
      <c r="K38" s="64">
        <f t="shared" si="15"/>
        <v>0.34957492658474676</v>
      </c>
      <c r="L38" s="64">
        <f t="shared" si="15"/>
        <v>0.25847332665581102</v>
      </c>
    </row>
    <row r="39" spans="1:13" outlineLevel="1" x14ac:dyDescent="0.3"/>
    <row r="40" spans="1:13" outlineLevel="1" x14ac:dyDescent="0.3">
      <c r="B40" s="52" t="s">
        <v>151</v>
      </c>
      <c r="C40" s="55">
        <f>IFERROR('Data Sheet'!B31/Historical!C35,0)</f>
        <v>6.0999791492910758</v>
      </c>
      <c r="D40" s="55">
        <f>IFERROR('Data Sheet'!C31/Historical!D35,0)</f>
        <v>7.5</v>
      </c>
      <c r="E40" s="55">
        <f>IFERROR('Data Sheet'!D31/Historical!E35,0)</f>
        <v>10.300041701417848</v>
      </c>
      <c r="F40" s="55">
        <f>IFERROR('Data Sheet'!E31/Historical!F35,0)</f>
        <v>8.6999582985821515</v>
      </c>
      <c r="G40" s="55">
        <f>IFERROR('Data Sheet'!F31/Historical!G35,0)</f>
        <v>10.5</v>
      </c>
      <c r="H40" s="55">
        <f>IFERROR('Data Sheet'!G31/Historical!H35,0)</f>
        <v>12</v>
      </c>
      <c r="I40" s="55">
        <f>IFERROR('Data Sheet'!H31/Historical!I35,0)</f>
        <v>17.849979149291077</v>
      </c>
      <c r="J40" s="55">
        <f>IFERROR('Data Sheet'!I31/Historical!J35,0)</f>
        <v>19.150020850708923</v>
      </c>
      <c r="K40" s="55">
        <f>IFERROR('Data Sheet'!J31/Historical!K35,0)</f>
        <v>25.650020850708923</v>
      </c>
      <c r="L40" s="55">
        <f>IFERROR('Data Sheet'!K31/Historical!L35,0)</f>
        <v>33.300041701417847</v>
      </c>
    </row>
    <row r="41" spans="1:13" outlineLevel="1" x14ac:dyDescent="0.3">
      <c r="B41" s="64" t="s">
        <v>150</v>
      </c>
      <c r="C41" s="64">
        <f t="shared" ref="C41:L41" si="16">IFERROR(C40/C37,0)</f>
        <v>0.45527120503583129</v>
      </c>
      <c r="D41" s="64">
        <f t="shared" si="16"/>
        <v>0.46234824578880013</v>
      </c>
      <c r="E41" s="64">
        <f t="shared" si="16"/>
        <v>0.58866148300414156</v>
      </c>
      <c r="F41" s="64">
        <f t="shared" si="16"/>
        <v>0.47384887939992409</v>
      </c>
      <c r="G41" s="64">
        <f t="shared" si="16"/>
        <v>0.52069256101785133</v>
      </c>
      <c r="H41" s="64">
        <f t="shared" si="16"/>
        <v>0.47580545152409542</v>
      </c>
      <c r="I41" s="64">
        <f t="shared" si="16"/>
        <v>0.59551667768077576</v>
      </c>
      <c r="J41" s="64">
        <f t="shared" si="16"/>
        <v>0.65862893654555732</v>
      </c>
      <c r="K41" s="64">
        <f t="shared" si="16"/>
        <v>0.65367560516170931</v>
      </c>
      <c r="L41" s="64">
        <f t="shared" si="16"/>
        <v>0.67433440369199826</v>
      </c>
    </row>
    <row r="42" spans="1:13" outlineLevel="1" x14ac:dyDescent="0.3"/>
    <row r="43" spans="1:13" outlineLevel="1" x14ac:dyDescent="0.3">
      <c r="B43" s="52" t="s">
        <v>149</v>
      </c>
      <c r="C43" s="63">
        <f t="shared" ref="C43:L43" si="17">IFERROR(IF(C37&gt;C40,1-C41,0),0)</f>
        <v>0.54472879496416871</v>
      </c>
      <c r="D43" s="63">
        <f t="shared" si="17"/>
        <v>0.53765175421119982</v>
      </c>
      <c r="E43" s="63">
        <f t="shared" si="17"/>
        <v>0.41133851699585844</v>
      </c>
      <c r="F43" s="63">
        <f t="shared" si="17"/>
        <v>0.52615112060007596</v>
      </c>
      <c r="G43" s="63">
        <f t="shared" si="17"/>
        <v>0.47930743898214867</v>
      </c>
      <c r="H43" s="63">
        <f t="shared" si="17"/>
        <v>0.52419454847590452</v>
      </c>
      <c r="I43" s="63">
        <f t="shared" si="17"/>
        <v>0.40448332231922424</v>
      </c>
      <c r="J43" s="63">
        <f t="shared" si="17"/>
        <v>0.34137106345444268</v>
      </c>
      <c r="K43" s="63">
        <f t="shared" si="17"/>
        <v>0.34632439483829069</v>
      </c>
      <c r="L43" s="63">
        <f t="shared" si="17"/>
        <v>0.32566559630800174</v>
      </c>
    </row>
    <row r="45" spans="1:13" x14ac:dyDescent="0.3">
      <c r="A45" s="52" t="s">
        <v>133</v>
      </c>
      <c r="B45" s="58" t="s">
        <v>148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</row>
    <row r="46" spans="1:13" outlineLevel="1" x14ac:dyDescent="0.3">
      <c r="B46" s="52" t="s">
        <v>147</v>
      </c>
      <c r="C46" s="55">
        <f>IFERROR('Data Sheet'!B57,0)</f>
        <v>95.92</v>
      </c>
      <c r="D46" s="55">
        <f>IFERROR('Data Sheet'!C57,0)</f>
        <v>95.92</v>
      </c>
      <c r="E46" s="55">
        <f>IFERROR('Data Sheet'!D57,0)</f>
        <v>95.92</v>
      </c>
      <c r="F46" s="55">
        <f>IFERROR('Data Sheet'!E57,0)</f>
        <v>95.92</v>
      </c>
      <c r="G46" s="55">
        <f>IFERROR('Data Sheet'!F57,0)</f>
        <v>95.92</v>
      </c>
      <c r="H46" s="55">
        <f>IFERROR('Data Sheet'!G57,0)</f>
        <v>95.92</v>
      </c>
      <c r="I46" s="55">
        <f>IFERROR('Data Sheet'!H57,0)</f>
        <v>95.92</v>
      </c>
      <c r="J46" s="55">
        <f>IFERROR('Data Sheet'!I57,0)</f>
        <v>95.92</v>
      </c>
      <c r="K46" s="55">
        <f>IFERROR('Data Sheet'!J57,0)</f>
        <v>95.92</v>
      </c>
      <c r="L46" s="55">
        <f>IFERROR('Data Sheet'!K57,0)</f>
        <v>95.92</v>
      </c>
    </row>
    <row r="47" spans="1:13" outlineLevel="1" x14ac:dyDescent="0.3">
      <c r="B47" s="52" t="s">
        <v>146</v>
      </c>
      <c r="C47" s="55">
        <f>IFERROR('Data Sheet'!B58,0)</f>
        <v>4646.4399999999996</v>
      </c>
      <c r="D47" s="55">
        <f>IFERROR('Data Sheet'!C58,0)</f>
        <v>6428.9</v>
      </c>
      <c r="E47" s="55">
        <f>IFERROR('Data Sheet'!D58,0)</f>
        <v>7507.97</v>
      </c>
      <c r="F47" s="55">
        <f>IFERROR('Data Sheet'!E58,0)</f>
        <v>8314.31</v>
      </c>
      <c r="G47" s="55">
        <f>IFERROR('Data Sheet'!F58,0)</f>
        <v>9374.6299999999992</v>
      </c>
      <c r="H47" s="55">
        <f>IFERROR('Data Sheet'!G58,0)</f>
        <v>10034.24</v>
      </c>
      <c r="I47" s="55">
        <f>IFERROR('Data Sheet'!H58,0)</f>
        <v>12710.37</v>
      </c>
      <c r="J47" s="55">
        <f>IFERROR('Data Sheet'!I58,0)</f>
        <v>13715.64</v>
      </c>
      <c r="K47" s="55">
        <f>IFERROR('Data Sheet'!J58,0)</f>
        <v>15896.31</v>
      </c>
      <c r="L47" s="55">
        <f>IFERROR('Data Sheet'!K58,0)</f>
        <v>18632.38</v>
      </c>
    </row>
    <row r="48" spans="1:13" outlineLevel="1" x14ac:dyDescent="0.3">
      <c r="B48" s="52" t="s">
        <v>145</v>
      </c>
      <c r="C48" s="55">
        <f>IFERROR('Data Sheet'!B59,0)</f>
        <v>418.17</v>
      </c>
      <c r="D48" s="55">
        <f>IFERROR('Data Sheet'!C59,0)</f>
        <v>323.29000000000002</v>
      </c>
      <c r="E48" s="55">
        <f>IFERROR('Data Sheet'!D59,0)</f>
        <v>560.34</v>
      </c>
      <c r="F48" s="55">
        <f>IFERROR('Data Sheet'!E59,0)</f>
        <v>533.42999999999995</v>
      </c>
      <c r="G48" s="55">
        <f>IFERROR('Data Sheet'!F59,0)</f>
        <v>1319.6</v>
      </c>
      <c r="H48" s="55">
        <f>IFERROR('Data Sheet'!G59,0)</f>
        <v>1118.5</v>
      </c>
      <c r="I48" s="55">
        <f>IFERROR('Data Sheet'!H59,0)</f>
        <v>1093.1199999999999</v>
      </c>
      <c r="J48" s="55">
        <f>IFERROR('Data Sheet'!I59,0)</f>
        <v>1586.88</v>
      </c>
      <c r="K48" s="55">
        <f>IFERROR('Data Sheet'!J59,0)</f>
        <v>1932.62</v>
      </c>
      <c r="L48" s="55">
        <f>IFERROR('Data Sheet'!K59,0)</f>
        <v>2474.38</v>
      </c>
    </row>
    <row r="49" spans="2:12" outlineLevel="1" x14ac:dyDescent="0.3">
      <c r="B49" s="52" t="s">
        <v>144</v>
      </c>
      <c r="C49" s="55">
        <f>IFERROR('Data Sheet'!B60,0)</f>
        <v>3753.97</v>
      </c>
      <c r="D49" s="55">
        <f>IFERROR('Data Sheet'!C60,0)</f>
        <v>3710.92</v>
      </c>
      <c r="E49" s="55">
        <f>IFERROR('Data Sheet'!D60,0)</f>
        <v>4240.96</v>
      </c>
      <c r="F49" s="55">
        <f>IFERROR('Data Sheet'!E60,0)</f>
        <v>4819.82</v>
      </c>
      <c r="G49" s="55">
        <f>IFERROR('Data Sheet'!F60,0)</f>
        <v>5458.69</v>
      </c>
      <c r="H49" s="55">
        <f>IFERROR('Data Sheet'!G60,0)</f>
        <v>4889.3100000000004</v>
      </c>
      <c r="I49" s="55">
        <f>IFERROR('Data Sheet'!H60,0)</f>
        <v>6455.93</v>
      </c>
      <c r="J49" s="55">
        <f>IFERROR('Data Sheet'!I60,0)</f>
        <v>7559.99</v>
      </c>
      <c r="K49" s="55">
        <f>IFERROR('Data Sheet'!J60,0)</f>
        <v>7854.48</v>
      </c>
      <c r="L49" s="55">
        <f>IFERROR('Data Sheet'!K60,0)</f>
        <v>8698.09</v>
      </c>
    </row>
    <row r="50" spans="2:12" outlineLevel="1" x14ac:dyDescent="0.3">
      <c r="B50" s="54" t="s">
        <v>143</v>
      </c>
      <c r="C50" s="53">
        <f>IFERROR('Data Sheet'!B61,0)</f>
        <v>8914.5</v>
      </c>
      <c r="D50" s="53">
        <f>IFERROR('Data Sheet'!C61,0)</f>
        <v>10559.03</v>
      </c>
      <c r="E50" s="53">
        <f>IFERROR('Data Sheet'!D61,0)</f>
        <v>12405.19</v>
      </c>
      <c r="F50" s="53">
        <f>IFERROR('Data Sheet'!E61,0)</f>
        <v>13763.48</v>
      </c>
      <c r="G50" s="53">
        <f>IFERROR('Data Sheet'!F61,0)</f>
        <v>16248.84</v>
      </c>
      <c r="H50" s="53">
        <f>IFERROR('Data Sheet'!G61,0)</f>
        <v>16137.97</v>
      </c>
      <c r="I50" s="53">
        <f>IFERROR('Data Sheet'!H61,0)</f>
        <v>20355.34</v>
      </c>
      <c r="J50" s="53">
        <f>IFERROR('Data Sheet'!I61,0)</f>
        <v>22958.43</v>
      </c>
      <c r="K50" s="53">
        <f>IFERROR('Data Sheet'!J61,0)</f>
        <v>25779.33</v>
      </c>
      <c r="L50" s="53">
        <f>IFERROR('Data Sheet'!K61,0)</f>
        <v>29900.77</v>
      </c>
    </row>
    <row r="51" spans="2:12" outlineLevel="1" x14ac:dyDescent="0.3"/>
    <row r="52" spans="2:12" outlineLevel="1" x14ac:dyDescent="0.3">
      <c r="B52" s="62" t="s">
        <v>142</v>
      </c>
      <c r="C52" s="55">
        <f>IFERROR('Data Sheet'!B62,0)</f>
        <v>2660.04</v>
      </c>
      <c r="D52" s="55">
        <f>IFERROR('Data Sheet'!C62,0)</f>
        <v>3416.35</v>
      </c>
      <c r="E52" s="55">
        <f>IFERROR('Data Sheet'!D62,0)</f>
        <v>3303.74</v>
      </c>
      <c r="F52" s="55">
        <f>IFERROR('Data Sheet'!E62,0)</f>
        <v>3732.24</v>
      </c>
      <c r="G52" s="55">
        <f>IFERROR('Data Sheet'!F62,0)</f>
        <v>6496.56</v>
      </c>
      <c r="H52" s="55">
        <f>IFERROR('Data Sheet'!G62,0)</f>
        <v>6272.31</v>
      </c>
      <c r="I52" s="55">
        <f>IFERROR('Data Sheet'!H62,0)</f>
        <v>5858.52</v>
      </c>
      <c r="J52" s="55">
        <f>IFERROR('Data Sheet'!I62,0)</f>
        <v>5519.06</v>
      </c>
      <c r="K52" s="55">
        <f>IFERROR('Data Sheet'!J62,0)</f>
        <v>5770.46</v>
      </c>
      <c r="L52" s="55">
        <f>IFERROR('Data Sheet'!K62,0)</f>
        <v>7146.62</v>
      </c>
    </row>
    <row r="53" spans="2:12" outlineLevel="1" x14ac:dyDescent="0.3">
      <c r="B53" s="62" t="s">
        <v>141</v>
      </c>
      <c r="C53" s="55">
        <f>IFERROR('Data Sheet'!B63,0)</f>
        <v>196</v>
      </c>
      <c r="D53" s="55">
        <f>IFERROR('Data Sheet'!C63,0)</f>
        <v>106.59</v>
      </c>
      <c r="E53" s="55">
        <f>IFERROR('Data Sheet'!D63,0)</f>
        <v>257.54000000000002</v>
      </c>
      <c r="F53" s="55">
        <f>IFERROR('Data Sheet'!E63,0)</f>
        <v>1405.11</v>
      </c>
      <c r="G53" s="55">
        <f>IFERROR('Data Sheet'!F63,0)</f>
        <v>209.67</v>
      </c>
      <c r="H53" s="55">
        <f>IFERROR('Data Sheet'!G63,0)</f>
        <v>140.24</v>
      </c>
      <c r="I53" s="55">
        <f>IFERROR('Data Sheet'!H63,0)</f>
        <v>182.98</v>
      </c>
      <c r="J53" s="55">
        <f>IFERROR('Data Sheet'!I63,0)</f>
        <v>426.43</v>
      </c>
      <c r="K53" s="55">
        <f>IFERROR('Data Sheet'!J63,0)</f>
        <v>1019.59</v>
      </c>
      <c r="L53" s="55">
        <f>IFERROR('Data Sheet'!K63,0)</f>
        <v>2698.37</v>
      </c>
    </row>
    <row r="54" spans="2:12" outlineLevel="1" x14ac:dyDescent="0.3">
      <c r="B54" s="62" t="s">
        <v>140</v>
      </c>
      <c r="C54" s="55">
        <f>IFERROR('Data Sheet'!B64,0)</f>
        <v>1587.79</v>
      </c>
      <c r="D54" s="55">
        <f>IFERROR('Data Sheet'!C64,0)</f>
        <v>2712.13</v>
      </c>
      <c r="E54" s="55">
        <f>IFERROR('Data Sheet'!D64,0)</f>
        <v>2651.99</v>
      </c>
      <c r="F54" s="55">
        <f>IFERROR('Data Sheet'!E64,0)</f>
        <v>2140.6999999999998</v>
      </c>
      <c r="G54" s="55">
        <f>IFERROR('Data Sheet'!F64,0)</f>
        <v>2568.58</v>
      </c>
      <c r="H54" s="55">
        <f>IFERROR('Data Sheet'!G64,0)</f>
        <v>2018.85</v>
      </c>
      <c r="I54" s="55">
        <f>IFERROR('Data Sheet'!H64,0)</f>
        <v>4736.8</v>
      </c>
      <c r="J54" s="55">
        <f>IFERROR('Data Sheet'!I64,0)</f>
        <v>3247.53</v>
      </c>
      <c r="K54" s="55">
        <f>IFERROR('Data Sheet'!J64,0)</f>
        <v>4261.71</v>
      </c>
      <c r="L54" s="55">
        <f>IFERROR('Data Sheet'!K64,0)</f>
        <v>4587.92</v>
      </c>
    </row>
    <row r="55" spans="2:12" outlineLevel="1" x14ac:dyDescent="0.3">
      <c r="B55" s="62" t="s">
        <v>139</v>
      </c>
      <c r="C55" s="55">
        <f>IFERROR('Data Sheet'!B65-SUM('Data Sheet'!B67:B69),0)</f>
        <v>825.69</v>
      </c>
      <c r="D55" s="55">
        <f>IFERROR('Data Sheet'!C65-SUM('Data Sheet'!C67:C69),0)</f>
        <v>714.68000000000029</v>
      </c>
      <c r="E55" s="55">
        <f>IFERROR('Data Sheet'!D65-SUM('Data Sheet'!D67:D69),0)</f>
        <v>1317.17</v>
      </c>
      <c r="F55" s="55">
        <f>IFERROR('Data Sheet'!E65-SUM('Data Sheet'!E67:E69),0)</f>
        <v>1691.8400000000001</v>
      </c>
      <c r="G55" s="55">
        <f>IFERROR('Data Sheet'!F65-SUM('Data Sheet'!F67:F69),0)</f>
        <v>1471.9599999999991</v>
      </c>
      <c r="H55" s="55">
        <f>IFERROR('Data Sheet'!G65-SUM('Data Sheet'!G67:G69),0)</f>
        <v>1738.71</v>
      </c>
      <c r="I55" s="55">
        <f>IFERROR('Data Sheet'!H65-SUM('Data Sheet'!H67:H69),0)</f>
        <v>2565.5200000000004</v>
      </c>
      <c r="J55" s="55">
        <f>IFERROR('Data Sheet'!I65-SUM('Data Sheet'!I67:I69),0)</f>
        <v>2876.66</v>
      </c>
      <c r="K55" s="55">
        <f>IFERROR('Data Sheet'!J65-SUM('Data Sheet'!J67:J69),0)</f>
        <v>3036.17</v>
      </c>
      <c r="L55" s="55">
        <f>IFERROR('Data Sheet'!K65-SUM('Data Sheet'!K67:K69),0)</f>
        <v>3571.3900000000012</v>
      </c>
    </row>
    <row r="56" spans="2:12" outlineLevel="1" x14ac:dyDescent="0.3">
      <c r="B56" s="61" t="s">
        <v>138</v>
      </c>
      <c r="C56" s="53">
        <f t="shared" ref="C56:L56" si="18">IFERROR(SUM(C52:C55),0)</f>
        <v>5269.52</v>
      </c>
      <c r="D56" s="53">
        <f t="shared" si="18"/>
        <v>6949.75</v>
      </c>
      <c r="E56" s="53">
        <f t="shared" si="18"/>
        <v>7530.44</v>
      </c>
      <c r="F56" s="53">
        <f t="shared" si="18"/>
        <v>8969.89</v>
      </c>
      <c r="G56" s="53">
        <f t="shared" si="18"/>
        <v>10746.77</v>
      </c>
      <c r="H56" s="53">
        <f t="shared" si="18"/>
        <v>10170.11</v>
      </c>
      <c r="I56" s="53">
        <f t="shared" si="18"/>
        <v>13343.82</v>
      </c>
      <c r="J56" s="53">
        <f t="shared" si="18"/>
        <v>12069.68</v>
      </c>
      <c r="K56" s="53">
        <f t="shared" si="18"/>
        <v>14087.93</v>
      </c>
      <c r="L56" s="53">
        <f t="shared" si="18"/>
        <v>18004.300000000003</v>
      </c>
    </row>
    <row r="57" spans="2:12" outlineLevel="1" x14ac:dyDescent="0.3"/>
    <row r="58" spans="2:12" outlineLevel="1" x14ac:dyDescent="0.3">
      <c r="B58" s="60" t="s">
        <v>129</v>
      </c>
      <c r="C58" s="55">
        <f>IFERROR('Data Sheet'!B67,0)</f>
        <v>1182.07</v>
      </c>
      <c r="D58" s="55">
        <f>IFERROR('Data Sheet'!C67,0)</f>
        <v>1186.8399999999999</v>
      </c>
      <c r="E58" s="55">
        <f>IFERROR('Data Sheet'!D67,0)</f>
        <v>1446.6</v>
      </c>
      <c r="F58" s="55">
        <f>IFERROR('Data Sheet'!E67,0)</f>
        <v>1730.63</v>
      </c>
      <c r="G58" s="55">
        <f>IFERROR('Data Sheet'!F67,0)</f>
        <v>1907.33</v>
      </c>
      <c r="H58" s="55">
        <f>IFERROR('Data Sheet'!G67,0)</f>
        <v>1795.22</v>
      </c>
      <c r="I58" s="55">
        <f>IFERROR('Data Sheet'!H67,0)</f>
        <v>2602.17</v>
      </c>
      <c r="J58" s="55">
        <f>IFERROR('Data Sheet'!I67,0)</f>
        <v>3871.44</v>
      </c>
      <c r="K58" s="55">
        <f>IFERROR('Data Sheet'!J67,0)</f>
        <v>4636.9399999999996</v>
      </c>
      <c r="L58" s="55">
        <f>IFERROR('Data Sheet'!K67,0)</f>
        <v>4889.05</v>
      </c>
    </row>
    <row r="59" spans="2:12" outlineLevel="1" x14ac:dyDescent="0.3">
      <c r="B59" s="60" t="s">
        <v>128</v>
      </c>
      <c r="C59" s="55">
        <f>IFERROR('Data Sheet'!B68,0)</f>
        <v>2258.52</v>
      </c>
      <c r="D59" s="55">
        <f>IFERROR('Data Sheet'!C68,0)</f>
        <v>1998.24</v>
      </c>
      <c r="E59" s="55">
        <f>IFERROR('Data Sheet'!D68,0)</f>
        <v>2626.94</v>
      </c>
      <c r="F59" s="55">
        <f>IFERROR('Data Sheet'!E68,0)</f>
        <v>2658.31</v>
      </c>
      <c r="G59" s="55">
        <f>IFERROR('Data Sheet'!F68,0)</f>
        <v>3149.86</v>
      </c>
      <c r="H59" s="55">
        <f>IFERROR('Data Sheet'!G68,0)</f>
        <v>3389.81</v>
      </c>
      <c r="I59" s="55">
        <f>IFERROR('Data Sheet'!H68,0)</f>
        <v>3798.6</v>
      </c>
      <c r="J59" s="55">
        <f>IFERROR('Data Sheet'!I68,0)</f>
        <v>6152.98</v>
      </c>
      <c r="K59" s="55">
        <f>IFERROR('Data Sheet'!J68,0)</f>
        <v>6210.64</v>
      </c>
      <c r="L59" s="55">
        <f>IFERROR('Data Sheet'!K68,0)</f>
        <v>5923.41</v>
      </c>
    </row>
    <row r="60" spans="2:12" outlineLevel="1" x14ac:dyDescent="0.3">
      <c r="B60" s="59" t="s">
        <v>137</v>
      </c>
      <c r="C60" s="55">
        <f>IFERROR('Data Sheet'!B69,0)</f>
        <v>204.39</v>
      </c>
      <c r="D60" s="55">
        <f>IFERROR('Data Sheet'!C69,0)</f>
        <v>424.2</v>
      </c>
      <c r="E60" s="55">
        <f>IFERROR('Data Sheet'!D69,0)</f>
        <v>801.21</v>
      </c>
      <c r="F60" s="55">
        <f>IFERROR('Data Sheet'!E69,0)</f>
        <v>404.65</v>
      </c>
      <c r="G60" s="55">
        <f>IFERROR('Data Sheet'!F69,0)</f>
        <v>444.88</v>
      </c>
      <c r="H60" s="55">
        <f>IFERROR('Data Sheet'!G69,0)</f>
        <v>782.83</v>
      </c>
      <c r="I60" s="55">
        <f>IFERROR('Data Sheet'!H69,0)</f>
        <v>610.75</v>
      </c>
      <c r="J60" s="55">
        <f>IFERROR('Data Sheet'!I69,0)</f>
        <v>864.33</v>
      </c>
      <c r="K60" s="55">
        <f>IFERROR('Data Sheet'!J69,0)</f>
        <v>843.82</v>
      </c>
      <c r="L60" s="55">
        <f>IFERROR('Data Sheet'!K69,0)</f>
        <v>1084.01</v>
      </c>
    </row>
    <row r="61" spans="2:12" outlineLevel="1" x14ac:dyDescent="0.3">
      <c r="B61" s="54" t="s">
        <v>136</v>
      </c>
      <c r="C61" s="53">
        <f t="shared" ref="C61:L61" si="19">IFERROR(SUM(C58:C60),0)</f>
        <v>3644.98</v>
      </c>
      <c r="D61" s="53">
        <f t="shared" si="19"/>
        <v>3609.2799999999997</v>
      </c>
      <c r="E61" s="53">
        <f t="shared" si="19"/>
        <v>4874.75</v>
      </c>
      <c r="F61" s="53">
        <f t="shared" si="19"/>
        <v>4793.59</v>
      </c>
      <c r="G61" s="53">
        <f t="shared" si="19"/>
        <v>5502.0700000000006</v>
      </c>
      <c r="H61" s="53">
        <f t="shared" si="19"/>
        <v>5967.86</v>
      </c>
      <c r="I61" s="53">
        <f t="shared" si="19"/>
        <v>7011.52</v>
      </c>
      <c r="J61" s="53">
        <f t="shared" si="19"/>
        <v>10888.75</v>
      </c>
      <c r="K61" s="53">
        <f t="shared" si="19"/>
        <v>11691.4</v>
      </c>
      <c r="L61" s="53">
        <f t="shared" si="19"/>
        <v>11896.47</v>
      </c>
    </row>
    <row r="62" spans="2:12" outlineLevel="1" x14ac:dyDescent="0.3"/>
    <row r="63" spans="2:12" outlineLevel="1" x14ac:dyDescent="0.3">
      <c r="B63" s="54" t="s">
        <v>135</v>
      </c>
      <c r="C63" s="53">
        <f t="shared" ref="C63:L63" si="20">IFERROR(SUM(C56,C61),0)</f>
        <v>8914.5</v>
      </c>
      <c r="D63" s="53">
        <f t="shared" si="20"/>
        <v>10559.029999999999</v>
      </c>
      <c r="E63" s="53">
        <f t="shared" si="20"/>
        <v>12405.189999999999</v>
      </c>
      <c r="F63" s="53">
        <f t="shared" si="20"/>
        <v>13763.48</v>
      </c>
      <c r="G63" s="53">
        <f t="shared" si="20"/>
        <v>16248.84</v>
      </c>
      <c r="H63" s="53">
        <f t="shared" si="20"/>
        <v>16137.970000000001</v>
      </c>
      <c r="I63" s="53">
        <f t="shared" si="20"/>
        <v>20355.34</v>
      </c>
      <c r="J63" s="53">
        <f t="shared" si="20"/>
        <v>22958.43</v>
      </c>
      <c r="K63" s="53">
        <f t="shared" si="20"/>
        <v>25779.33</v>
      </c>
      <c r="L63" s="53">
        <f t="shared" si="20"/>
        <v>29900.770000000004</v>
      </c>
    </row>
    <row r="64" spans="2:12" outlineLevel="1" x14ac:dyDescent="0.3"/>
    <row r="65" spans="1:13" outlineLevel="1" x14ac:dyDescent="0.3">
      <c r="B65" s="52" t="s">
        <v>134</v>
      </c>
      <c r="C65" s="52" t="b">
        <f t="shared" ref="C65:L65" si="21">IF(C63=C50, TRUE,FALSE)</f>
        <v>1</v>
      </c>
      <c r="D65" s="52" t="b">
        <f t="shared" si="21"/>
        <v>1</v>
      </c>
      <c r="E65" s="52" t="b">
        <f t="shared" si="21"/>
        <v>1</v>
      </c>
      <c r="F65" s="52" t="b">
        <f t="shared" si="21"/>
        <v>1</v>
      </c>
      <c r="G65" s="52" t="b">
        <f t="shared" si="21"/>
        <v>1</v>
      </c>
      <c r="H65" s="52" t="b">
        <f t="shared" si="21"/>
        <v>1</v>
      </c>
      <c r="I65" s="52" t="b">
        <f t="shared" si="21"/>
        <v>1</v>
      </c>
      <c r="J65" s="52" t="b">
        <f t="shared" si="21"/>
        <v>1</v>
      </c>
      <c r="K65" s="52" t="b">
        <f t="shared" si="21"/>
        <v>1</v>
      </c>
      <c r="L65" s="52" t="b">
        <f t="shared" si="21"/>
        <v>1</v>
      </c>
    </row>
    <row r="67" spans="1:13" x14ac:dyDescent="0.3">
      <c r="A67" s="52" t="s">
        <v>133</v>
      </c>
      <c r="B67" s="58" t="s">
        <v>132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</row>
    <row r="68" spans="1:13" outlineLevel="1" x14ac:dyDescent="0.3">
      <c r="B68" s="56" t="s">
        <v>131</v>
      </c>
    </row>
    <row r="69" spans="1:13" outlineLevel="1" x14ac:dyDescent="0.3">
      <c r="B69" s="52" t="s">
        <v>130</v>
      </c>
      <c r="C69" s="55">
        <f>IFERROR([2]Cash_Flow!E4,0)</f>
        <v>43397</v>
      </c>
      <c r="D69" s="55">
        <f>IFERROR([2]Cash_Flow!F4,0)</f>
        <v>38626</v>
      </c>
      <c r="E69" s="55">
        <f>IFERROR([2]Cash_Flow!G4,0)</f>
        <v>28840</v>
      </c>
      <c r="F69" s="55">
        <f>IFERROR([2]Cash_Flow!H4,0)</f>
        <v>33312</v>
      </c>
      <c r="G69" s="55">
        <f>IFERROR([2]Cash_Flow!I4,0)</f>
        <v>28771</v>
      </c>
      <c r="H69" s="55">
        <f>IFERROR([2]Cash_Flow!J4,0)</f>
        <v>23352</v>
      </c>
      <c r="I69" s="55">
        <f>IFERROR([2]Cash_Flow!K4,0)</f>
        <v>31198</v>
      </c>
      <c r="J69" s="55">
        <f>IFERROR([2]Cash_Flow!L4,0)</f>
        <v>26943</v>
      </c>
      <c r="K69" s="55">
        <f>IFERROR([2]Cash_Flow!M4,0)</f>
        <v>41694</v>
      </c>
      <c r="L69" s="55">
        <f>IFERROR([2]Cash_Flow!N4,0)</f>
        <v>65106</v>
      </c>
      <c r="M69" s="55">
        <f>IFERROR([2]Cash_Flow!O4,0)</f>
        <v>0</v>
      </c>
    </row>
    <row r="70" spans="1:13" outlineLevel="1" x14ac:dyDescent="0.3">
      <c r="B70" s="52" t="s">
        <v>129</v>
      </c>
      <c r="C70" s="55">
        <f>IFERROR([2]Cash_Flow!E5,0)</f>
        <v>-3179</v>
      </c>
      <c r="D70" s="55">
        <f>IFERROR([2]Cash_Flow!F5,0)</f>
        <v>-2223</v>
      </c>
      <c r="E70" s="55">
        <f>IFERROR([2]Cash_Flow!G5,0)</f>
        <v>-4152</v>
      </c>
      <c r="F70" s="55">
        <f>IFERROR([2]Cash_Flow!H5,0)</f>
        <v>-10688</v>
      </c>
      <c r="G70" s="55">
        <f>IFERROR([2]Cash_Flow!I5,0)</f>
        <v>-9109</v>
      </c>
      <c r="H70" s="55">
        <f>IFERROR([2]Cash_Flow!J5,0)</f>
        <v>9950</v>
      </c>
      <c r="I70" s="55">
        <f>IFERROR([2]Cash_Flow!K5,0)</f>
        <v>-5505</v>
      </c>
      <c r="J70" s="55">
        <f>IFERROR([2]Cash_Flow!L5,0)</f>
        <v>185</v>
      </c>
      <c r="K70" s="55">
        <f>IFERROR([2]Cash_Flow!M5,0)</f>
        <v>-2213</v>
      </c>
      <c r="L70" s="55">
        <f>IFERROR([2]Cash_Flow!N5,0)</f>
        <v>-1151</v>
      </c>
      <c r="M70" s="55">
        <f>IFERROR([2]Cash_Flow!O5,0)</f>
        <v>0</v>
      </c>
    </row>
    <row r="71" spans="1:13" outlineLevel="1" x14ac:dyDescent="0.3">
      <c r="B71" s="52" t="s">
        <v>128</v>
      </c>
      <c r="C71" s="55">
        <f>IFERROR([2]Cash_Flow!E6,0)</f>
        <v>-3692</v>
      </c>
      <c r="D71" s="55">
        <f>IFERROR([2]Cash_Flow!F6,0)</f>
        <v>-5743</v>
      </c>
      <c r="E71" s="55">
        <f>IFERROR([2]Cash_Flow!G6,0)</f>
        <v>-6621</v>
      </c>
      <c r="F71" s="55">
        <f>IFERROR([2]Cash_Flow!H6,0)</f>
        <v>-3560</v>
      </c>
      <c r="G71" s="55">
        <f>IFERROR([2]Cash_Flow!I6,0)</f>
        <v>2069</v>
      </c>
      <c r="H71" s="55">
        <f>IFERROR([2]Cash_Flow!J6,0)</f>
        <v>2326</v>
      </c>
      <c r="I71" s="55">
        <f>IFERROR([2]Cash_Flow!K6,0)</f>
        <v>3814</v>
      </c>
      <c r="J71" s="55">
        <f>IFERROR([2]Cash_Flow!L6,0)</f>
        <v>472</v>
      </c>
      <c r="K71" s="55">
        <f>IFERROR([2]Cash_Flow!M6,0)</f>
        <v>-5665</v>
      </c>
      <c r="L71" s="55">
        <f>IFERROR([2]Cash_Flow!N6,0)</f>
        <v>-7265</v>
      </c>
      <c r="M71" s="55">
        <f>IFERROR([2]Cash_Flow!O6,0)</f>
        <v>0</v>
      </c>
    </row>
    <row r="72" spans="1:13" outlineLevel="1" x14ac:dyDescent="0.3">
      <c r="B72" s="52" t="s">
        <v>127</v>
      </c>
      <c r="C72" s="55">
        <f>IFERROR([2]Cash_Flow!E7,0)</f>
        <v>3598</v>
      </c>
      <c r="D72" s="55">
        <f>IFERROR([2]Cash_Flow!F7,0)</f>
        <v>3947</v>
      </c>
      <c r="E72" s="55">
        <f>IFERROR([2]Cash_Flow!G7,0)</f>
        <v>9301</v>
      </c>
      <c r="F72" s="55">
        <f>IFERROR([2]Cash_Flow!H7,0)</f>
        <v>7320</v>
      </c>
      <c r="G72" s="55">
        <f>IFERROR([2]Cash_Flow!I7,0)</f>
        <v>-4692</v>
      </c>
      <c r="H72" s="55">
        <f>IFERROR([2]Cash_Flow!J7,0)</f>
        <v>-8085</v>
      </c>
      <c r="I72" s="55">
        <f>IFERROR([2]Cash_Flow!K7,0)</f>
        <v>5748</v>
      </c>
      <c r="J72" s="55">
        <f>IFERROR([2]Cash_Flow!L7,0)</f>
        <v>-7012</v>
      </c>
      <c r="K72" s="55">
        <f>IFERROR([2]Cash_Flow!M7,0)</f>
        <v>6945</v>
      </c>
      <c r="L72" s="55">
        <f>IFERROR([2]Cash_Flow!N7,0)</f>
        <v>13706</v>
      </c>
      <c r="M72" s="55">
        <f>IFERROR([2]Cash_Flow!O7,0)</f>
        <v>0</v>
      </c>
    </row>
    <row r="73" spans="1:13" outlineLevel="1" x14ac:dyDescent="0.3">
      <c r="B73" s="52" t="s">
        <v>126</v>
      </c>
      <c r="C73" s="55">
        <f>IFERROR([2]Cash_Flow!E8,0)</f>
        <v>0</v>
      </c>
      <c r="D73" s="55">
        <f>IFERROR([2]Cash_Flow!F8,0)</f>
        <v>-520</v>
      </c>
      <c r="E73" s="55">
        <f>IFERROR([2]Cash_Flow!G8,0)</f>
        <v>0</v>
      </c>
      <c r="F73" s="55">
        <f>IFERROR([2]Cash_Flow!H8,0)</f>
        <v>0</v>
      </c>
      <c r="G73" s="55">
        <f>IFERROR([2]Cash_Flow!I8,0)</f>
        <v>0</v>
      </c>
      <c r="H73" s="55">
        <f>IFERROR([2]Cash_Flow!J8,0)</f>
        <v>0</v>
      </c>
      <c r="I73" s="55">
        <f>IFERROR([2]Cash_Flow!K8,0)</f>
        <v>0</v>
      </c>
      <c r="J73" s="55">
        <f>IFERROR([2]Cash_Flow!L8,0)</f>
        <v>0</v>
      </c>
      <c r="K73" s="55">
        <f>IFERROR([2]Cash_Flow!M8,0)</f>
        <v>0</v>
      </c>
      <c r="L73" s="55">
        <f>IFERROR([2]Cash_Flow!N8,0)</f>
        <v>-3083</v>
      </c>
      <c r="M73" s="55">
        <f>IFERROR([2]Cash_Flow!O8,0)</f>
        <v>0</v>
      </c>
    </row>
    <row r="74" spans="1:13" outlineLevel="1" x14ac:dyDescent="0.3">
      <c r="B74" s="52" t="s">
        <v>125</v>
      </c>
      <c r="C74" s="55">
        <f>IFERROR([2]Cash_Flow!E9,0)</f>
        <v>-398</v>
      </c>
      <c r="D74" s="55">
        <f>IFERROR([2]Cash_Flow!F9,0)</f>
        <v>5852</v>
      </c>
      <c r="E74" s="55">
        <f>IFERROR([2]Cash_Flow!G9,0)</f>
        <v>4727</v>
      </c>
      <c r="F74" s="55">
        <f>IFERROR([2]Cash_Flow!H9,0)</f>
        <v>494</v>
      </c>
      <c r="G74" s="55">
        <f>IFERROR([2]Cash_Flow!I9,0)</f>
        <v>4512</v>
      </c>
      <c r="H74" s="55">
        <f>IFERROR([2]Cash_Flow!J9,0)</f>
        <v>875</v>
      </c>
      <c r="I74" s="55">
        <f>IFERROR([2]Cash_Flow!K9,0)</f>
        <v>-4150</v>
      </c>
      <c r="J74" s="55">
        <f>IFERROR([2]Cash_Flow!L9,0)</f>
        <v>-4396</v>
      </c>
      <c r="K74" s="55">
        <f>IFERROR([2]Cash_Flow!M9,0)</f>
        <v>-2194</v>
      </c>
      <c r="L74" s="55">
        <f>IFERROR([2]Cash_Flow!N9,0)</f>
        <v>5118</v>
      </c>
      <c r="M74" s="55">
        <f>IFERROR([2]Cash_Flow!O9,0)</f>
        <v>0</v>
      </c>
    </row>
    <row r="75" spans="1:13" outlineLevel="1" x14ac:dyDescent="0.3">
      <c r="B75" s="52" t="s">
        <v>124</v>
      </c>
      <c r="C75" s="55">
        <f>IFERROR([2]Cash_Flow!E10,0)</f>
        <v>-3672</v>
      </c>
      <c r="D75" s="55">
        <f>IFERROR([2]Cash_Flow!F10,0)</f>
        <v>1313</v>
      </c>
      <c r="E75" s="55">
        <f>IFERROR([2]Cash_Flow!G10,0)</f>
        <v>3254</v>
      </c>
      <c r="F75" s="55">
        <f>IFERROR([2]Cash_Flow!H10,0)</f>
        <v>-6434</v>
      </c>
      <c r="G75" s="55">
        <f>IFERROR([2]Cash_Flow!I10,0)</f>
        <v>-7221</v>
      </c>
      <c r="H75" s="55">
        <f>IFERROR([2]Cash_Flow!J10,0)</f>
        <v>5065</v>
      </c>
      <c r="I75" s="55">
        <f>IFERROR([2]Cash_Flow!K10,0)</f>
        <v>-93</v>
      </c>
      <c r="J75" s="55">
        <f>IFERROR([2]Cash_Flow!L10,0)</f>
        <v>-10750</v>
      </c>
      <c r="K75" s="55">
        <f>IFERROR([2]Cash_Flow!M10,0)</f>
        <v>-3127</v>
      </c>
      <c r="L75" s="55">
        <f>IFERROR([2]Cash_Flow!N10,0)</f>
        <v>7325</v>
      </c>
      <c r="M75" s="55">
        <f>IFERROR([2]Cash_Flow!O10,0)</f>
        <v>0</v>
      </c>
    </row>
    <row r="76" spans="1:13" outlineLevel="1" x14ac:dyDescent="0.3">
      <c r="B76" s="52" t="s">
        <v>123</v>
      </c>
      <c r="C76" s="55">
        <f>IFERROR([2]Cash_Flow!E11,0)</f>
        <v>-4194</v>
      </c>
      <c r="D76" s="55">
        <f>IFERROR([2]Cash_Flow!F11,0)</f>
        <v>-2040</v>
      </c>
      <c r="E76" s="55">
        <f>IFERROR([2]Cash_Flow!G11,0)</f>
        <v>-1895</v>
      </c>
      <c r="F76" s="55">
        <f>IFERROR([2]Cash_Flow!H11,0)</f>
        <v>-3021</v>
      </c>
      <c r="G76" s="55">
        <f>IFERROR([2]Cash_Flow!I11,0)</f>
        <v>-2659</v>
      </c>
      <c r="H76" s="55">
        <f>IFERROR([2]Cash_Flow!J11,0)</f>
        <v>-1785</v>
      </c>
      <c r="I76" s="55">
        <f>IFERROR([2]Cash_Flow!K11,0)</f>
        <v>-2105</v>
      </c>
      <c r="J76" s="55">
        <f>IFERROR([2]Cash_Flow!L11,0)</f>
        <v>-1910</v>
      </c>
      <c r="K76" s="55">
        <f>IFERROR([2]Cash_Flow!M11,0)</f>
        <v>-3179</v>
      </c>
      <c r="L76" s="55">
        <f>IFERROR([2]Cash_Flow!N11,0)</f>
        <v>-4516</v>
      </c>
      <c r="M76" s="55">
        <f>IFERROR([2]Cash_Flow!O11,0)</f>
        <v>0</v>
      </c>
    </row>
    <row r="77" spans="1:13" outlineLevel="1" x14ac:dyDescent="0.3">
      <c r="B77" s="54" t="s">
        <v>122</v>
      </c>
      <c r="C77" s="53">
        <f t="shared" ref="C77:M77" si="22">IFERROR(SUM(C69:C76),0)</f>
        <v>31860</v>
      </c>
      <c r="D77" s="53">
        <f t="shared" si="22"/>
        <v>39212</v>
      </c>
      <c r="E77" s="53">
        <f t="shared" si="22"/>
        <v>33454</v>
      </c>
      <c r="F77" s="53">
        <f t="shared" si="22"/>
        <v>17423</v>
      </c>
      <c r="G77" s="53">
        <f t="shared" si="22"/>
        <v>11671</v>
      </c>
      <c r="H77" s="53">
        <f t="shared" si="22"/>
        <v>31698</v>
      </c>
      <c r="I77" s="53">
        <f t="shared" si="22"/>
        <v>28907</v>
      </c>
      <c r="J77" s="53">
        <f t="shared" si="22"/>
        <v>3532</v>
      </c>
      <c r="K77" s="53">
        <f t="shared" si="22"/>
        <v>32261</v>
      </c>
      <c r="L77" s="53">
        <f t="shared" si="22"/>
        <v>75240</v>
      </c>
      <c r="M77" s="53">
        <f t="shared" si="22"/>
        <v>0</v>
      </c>
    </row>
    <row r="78" spans="1:13" outlineLevel="1" x14ac:dyDescent="0.3"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</row>
    <row r="79" spans="1:13" outlineLevel="1" x14ac:dyDescent="0.3">
      <c r="B79" s="56" t="s">
        <v>121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</row>
    <row r="80" spans="1:13" outlineLevel="1" x14ac:dyDescent="0.3">
      <c r="B80" s="52" t="s">
        <v>120</v>
      </c>
      <c r="C80" s="55">
        <f>IFERROR([2]Cash_Flow!E13,0)</f>
        <v>-31962</v>
      </c>
      <c r="D80" s="55">
        <f>IFERROR([2]Cash_Flow!F13,0)</f>
        <v>-31503</v>
      </c>
      <c r="E80" s="55">
        <f>IFERROR([2]Cash_Flow!G13,0)</f>
        <v>-16072</v>
      </c>
      <c r="F80" s="55">
        <f>IFERROR([2]Cash_Flow!H13,0)</f>
        <v>-35079</v>
      </c>
      <c r="G80" s="55">
        <f>IFERROR([2]Cash_Flow!I13,0)</f>
        <v>-35304</v>
      </c>
      <c r="H80" s="55">
        <f>IFERROR([2]Cash_Flow!J13,0)</f>
        <v>-29702</v>
      </c>
      <c r="I80" s="55">
        <f>IFERROR([2]Cash_Flow!K13,0)</f>
        <v>-20205</v>
      </c>
      <c r="J80" s="55">
        <f>IFERROR([2]Cash_Flow!L13,0)</f>
        <v>-15168</v>
      </c>
      <c r="K80" s="55">
        <f>IFERROR([2]Cash_Flow!M13,0)</f>
        <v>-19230</v>
      </c>
      <c r="L80" s="55">
        <f>IFERROR([2]Cash_Flow!N13,0)</f>
        <v>-31414</v>
      </c>
      <c r="M80" s="55">
        <f>IFERROR([2]Cash_Flow!O13,0)</f>
        <v>0</v>
      </c>
    </row>
    <row r="81" spans="2:13" outlineLevel="1" x14ac:dyDescent="0.3">
      <c r="B81" s="52" t="s">
        <v>119</v>
      </c>
      <c r="C81" s="55">
        <f>IFERROR([2]Cash_Flow!E14,0)</f>
        <v>74</v>
      </c>
      <c r="D81" s="55">
        <f>IFERROR([2]Cash_Flow!F14,0)</f>
        <v>59</v>
      </c>
      <c r="E81" s="55">
        <f>IFERROR([2]Cash_Flow!G14,0)</f>
        <v>53</v>
      </c>
      <c r="F81" s="55">
        <f>IFERROR([2]Cash_Flow!H14,0)</f>
        <v>30</v>
      </c>
      <c r="G81" s="55">
        <f>IFERROR([2]Cash_Flow!I14,0)</f>
        <v>67</v>
      </c>
      <c r="H81" s="55">
        <f>IFERROR([2]Cash_Flow!J14,0)</f>
        <v>171</v>
      </c>
      <c r="I81" s="55">
        <f>IFERROR([2]Cash_Flow!K14,0)</f>
        <v>351</v>
      </c>
      <c r="J81" s="55">
        <f>IFERROR([2]Cash_Flow!L14,0)</f>
        <v>230</v>
      </c>
      <c r="K81" s="55">
        <f>IFERROR([2]Cash_Flow!M14,0)</f>
        <v>285</v>
      </c>
      <c r="L81" s="55">
        <f>IFERROR([2]Cash_Flow!N14,0)</f>
        <v>231</v>
      </c>
      <c r="M81" s="55">
        <f>IFERROR([2]Cash_Flow!O14,0)</f>
        <v>0</v>
      </c>
    </row>
    <row r="82" spans="2:13" outlineLevel="1" x14ac:dyDescent="0.3">
      <c r="B82" s="52" t="s">
        <v>118</v>
      </c>
      <c r="C82" s="55">
        <f>IFERROR([2]Cash_Flow!E15,0)</f>
        <v>-5461</v>
      </c>
      <c r="D82" s="55">
        <f>IFERROR([2]Cash_Flow!F15,0)</f>
        <v>-4728</v>
      </c>
      <c r="E82" s="55">
        <f>IFERROR([2]Cash_Flow!G15,0)</f>
        <v>-6</v>
      </c>
      <c r="F82" s="55">
        <f>IFERROR([2]Cash_Flow!H15,0)</f>
        <v>-329</v>
      </c>
      <c r="G82" s="55">
        <f>IFERROR([2]Cash_Flow!I15,0)</f>
        <v>-130</v>
      </c>
      <c r="H82" s="55">
        <f>IFERROR([2]Cash_Flow!J15,0)</f>
        <v>-1439</v>
      </c>
      <c r="I82" s="55">
        <f>IFERROR([2]Cash_Flow!K15,0)</f>
        <v>-7530</v>
      </c>
      <c r="J82" s="55">
        <f>IFERROR([2]Cash_Flow!L15,0)</f>
        <v>-3008</v>
      </c>
      <c r="K82" s="55">
        <f>IFERROR([2]Cash_Flow!M15,0)</f>
        <v>-50</v>
      </c>
      <c r="L82" s="55">
        <f>IFERROR([2]Cash_Flow!N15,0)</f>
        <v>-5567</v>
      </c>
      <c r="M82" s="55">
        <f>IFERROR([2]Cash_Flow!O15,0)</f>
        <v>0</v>
      </c>
    </row>
    <row r="83" spans="2:13" outlineLevel="1" x14ac:dyDescent="0.3">
      <c r="B83" s="52" t="s">
        <v>117</v>
      </c>
      <c r="C83" s="55">
        <f>IFERROR([2]Cash_Flow!E16,0)</f>
        <v>42</v>
      </c>
      <c r="D83" s="55">
        <f>IFERROR([2]Cash_Flow!F16,0)</f>
        <v>89</v>
      </c>
      <c r="E83" s="55">
        <f>IFERROR([2]Cash_Flow!G16,0)</f>
        <v>1965</v>
      </c>
      <c r="F83" s="55">
        <f>IFERROR([2]Cash_Flow!H16,0)</f>
        <v>2381</v>
      </c>
      <c r="G83" s="55">
        <f>IFERROR([2]Cash_Flow!I16,0)</f>
        <v>5644</v>
      </c>
      <c r="H83" s="55">
        <f>IFERROR([2]Cash_Flow!J16,0)</f>
        <v>21</v>
      </c>
      <c r="I83" s="55">
        <f>IFERROR([2]Cash_Flow!K16,0)</f>
        <v>226</v>
      </c>
      <c r="J83" s="55">
        <f>IFERROR([2]Cash_Flow!L16,0)</f>
        <v>104</v>
      </c>
      <c r="K83" s="55">
        <f>IFERROR([2]Cash_Flow!M16,0)</f>
        <v>6895</v>
      </c>
      <c r="L83" s="55">
        <f>IFERROR([2]Cash_Flow!N16,0)</f>
        <v>10820</v>
      </c>
      <c r="M83" s="55">
        <f>IFERROR([2]Cash_Flow!O16,0)</f>
        <v>0</v>
      </c>
    </row>
    <row r="84" spans="2:13" outlineLevel="1" x14ac:dyDescent="0.3">
      <c r="B84" s="52" t="s">
        <v>116</v>
      </c>
      <c r="C84" s="55">
        <f>IFERROR([2]Cash_Flow!E17,0)</f>
        <v>698</v>
      </c>
      <c r="D84" s="55">
        <f>IFERROR([2]Cash_Flow!F17,0)</f>
        <v>731</v>
      </c>
      <c r="E84" s="55">
        <f>IFERROR([2]Cash_Flow!G17,0)</f>
        <v>638</v>
      </c>
      <c r="F84" s="55">
        <f>IFERROR([2]Cash_Flow!H17,0)</f>
        <v>690</v>
      </c>
      <c r="G84" s="55">
        <f>IFERROR([2]Cash_Flow!I17,0)</f>
        <v>761</v>
      </c>
      <c r="H84" s="55">
        <f>IFERROR([2]Cash_Flow!J17,0)</f>
        <v>1104</v>
      </c>
      <c r="I84" s="55">
        <f>IFERROR([2]Cash_Flow!K17,0)</f>
        <v>428</v>
      </c>
      <c r="J84" s="55">
        <f>IFERROR([2]Cash_Flow!L17,0)</f>
        <v>653</v>
      </c>
      <c r="K84" s="55">
        <f>IFERROR([2]Cash_Flow!M17,0)</f>
        <v>973</v>
      </c>
      <c r="L84" s="55">
        <f>IFERROR([2]Cash_Flow!N17,0)</f>
        <v>2493</v>
      </c>
      <c r="M84" s="55">
        <f>IFERROR([2]Cash_Flow!O17,0)</f>
        <v>0</v>
      </c>
    </row>
    <row r="85" spans="2:13" outlineLevel="1" x14ac:dyDescent="0.3">
      <c r="B85" s="52" t="s">
        <v>115</v>
      </c>
      <c r="C85" s="55">
        <f>IFERROR([2]Cash_Flow!E18,0)</f>
        <v>80</v>
      </c>
      <c r="D85" s="55">
        <f>IFERROR([2]Cash_Flow!F18,0)</f>
        <v>58</v>
      </c>
      <c r="E85" s="55">
        <f>IFERROR([2]Cash_Flow!G18,0)</f>
        <v>620</v>
      </c>
      <c r="F85" s="55">
        <f>IFERROR([2]Cash_Flow!H18,0)</f>
        <v>1797</v>
      </c>
      <c r="G85" s="55">
        <f>IFERROR([2]Cash_Flow!I18,0)</f>
        <v>232</v>
      </c>
      <c r="H85" s="55">
        <f>IFERROR([2]Cash_Flow!J18,0)</f>
        <v>21</v>
      </c>
      <c r="I85" s="55">
        <f>IFERROR([2]Cash_Flow!K18,0)</f>
        <v>18</v>
      </c>
      <c r="J85" s="55">
        <f>IFERROR([2]Cash_Flow!L18,0)</f>
        <v>32</v>
      </c>
      <c r="K85" s="55">
        <f>IFERROR([2]Cash_Flow!M18,0)</f>
        <v>46</v>
      </c>
      <c r="L85" s="55">
        <f>IFERROR([2]Cash_Flow!N18,0)</f>
        <v>96</v>
      </c>
      <c r="M85" s="55">
        <f>IFERROR([2]Cash_Flow!O18,0)</f>
        <v>0</v>
      </c>
    </row>
    <row r="86" spans="2:13" outlineLevel="1" x14ac:dyDescent="0.3">
      <c r="B86" s="52" t="s">
        <v>114</v>
      </c>
      <c r="C86" s="55">
        <f>IFERROR([2]Cash_Flow!E19,0)</f>
        <v>-160</v>
      </c>
      <c r="D86" s="55">
        <f>IFERROR([2]Cash_Flow!F19,0)</f>
        <v>0</v>
      </c>
      <c r="E86" s="55">
        <f>IFERROR([2]Cash_Flow!G19,0)</f>
        <v>-107</v>
      </c>
      <c r="F86" s="55">
        <f>IFERROR([2]Cash_Flow!H19,0)</f>
        <v>-4</v>
      </c>
      <c r="G86" s="55">
        <f>IFERROR([2]Cash_Flow!I19,0)</f>
        <v>-9</v>
      </c>
      <c r="H86" s="55">
        <f>IFERROR([2]Cash_Flow!J19,0)</f>
        <v>-606</v>
      </c>
      <c r="I86" s="55">
        <f>IFERROR([2]Cash_Flow!K19,0)</f>
        <v>-10</v>
      </c>
      <c r="J86" s="55">
        <f>IFERROR([2]Cash_Flow!L19,0)</f>
        <v>0</v>
      </c>
      <c r="K86" s="55">
        <f>IFERROR([2]Cash_Flow!M19,0)</f>
        <v>0</v>
      </c>
      <c r="L86" s="55">
        <f>IFERROR([2]Cash_Flow!N19,0)</f>
        <v>0</v>
      </c>
      <c r="M86" s="55">
        <f>IFERROR([2]Cash_Flow!O19,0)</f>
        <v>0</v>
      </c>
    </row>
    <row r="87" spans="2:13" outlineLevel="1" x14ac:dyDescent="0.3">
      <c r="B87" s="52" t="s">
        <v>113</v>
      </c>
      <c r="C87" s="55">
        <f>IFERROR([2]Cash_Flow!E20,0)</f>
        <v>0</v>
      </c>
      <c r="D87" s="55">
        <f>IFERROR([2]Cash_Flow!F20,0)</f>
        <v>0</v>
      </c>
      <c r="E87" s="55">
        <f>IFERROR([2]Cash_Flow!G20,0)</f>
        <v>0</v>
      </c>
      <c r="F87" s="55">
        <f>IFERROR([2]Cash_Flow!H20,0)</f>
        <v>14</v>
      </c>
      <c r="G87" s="55">
        <f>IFERROR([2]Cash_Flow!I20,0)</f>
        <v>533</v>
      </c>
      <c r="H87" s="55">
        <f>IFERROR([2]Cash_Flow!J20,0)</f>
        <v>0</v>
      </c>
      <c r="I87" s="55">
        <f>IFERROR([2]Cash_Flow!K20,0)</f>
        <v>0</v>
      </c>
      <c r="J87" s="55">
        <f>IFERROR([2]Cash_Flow!L20,0)</f>
        <v>0</v>
      </c>
      <c r="K87" s="55">
        <f>IFERROR([2]Cash_Flow!M20,0)</f>
        <v>19</v>
      </c>
      <c r="L87" s="55">
        <f>IFERROR([2]Cash_Flow!N20,0)</f>
        <v>108</v>
      </c>
      <c r="M87" s="55">
        <f>IFERROR([2]Cash_Flow!O20,0)</f>
        <v>0</v>
      </c>
    </row>
    <row r="88" spans="2:13" outlineLevel="1" x14ac:dyDescent="0.3">
      <c r="B88" s="52" t="s">
        <v>112</v>
      </c>
      <c r="C88" s="55">
        <f>IFERROR([2]Cash_Flow!E21,0)</f>
        <v>0</v>
      </c>
      <c r="D88" s="55">
        <f>IFERROR([2]Cash_Flow!F21,0)</f>
        <v>-111</v>
      </c>
      <c r="E88" s="55">
        <f>IFERROR([2]Cash_Flow!G21,0)</f>
        <v>0</v>
      </c>
      <c r="F88" s="55">
        <f>IFERROR([2]Cash_Flow!H21,0)</f>
        <v>0</v>
      </c>
      <c r="G88" s="55">
        <f>IFERROR([2]Cash_Flow!I21,0)</f>
        <v>-8</v>
      </c>
      <c r="H88" s="55">
        <f>IFERROR([2]Cash_Flow!J21,0)</f>
        <v>-27</v>
      </c>
      <c r="I88" s="55">
        <f>IFERROR([2]Cash_Flow!K21,0)</f>
        <v>0</v>
      </c>
      <c r="J88" s="55">
        <f>IFERROR([2]Cash_Flow!L21,0)</f>
        <v>-98</v>
      </c>
      <c r="K88" s="55">
        <f>IFERROR([2]Cash_Flow!M21,0)</f>
        <v>0</v>
      </c>
      <c r="L88" s="55">
        <f>IFERROR([2]Cash_Flow!N21,0)</f>
        <v>0</v>
      </c>
      <c r="M88" s="55">
        <f>IFERROR([2]Cash_Flow!O21,0)</f>
        <v>0</v>
      </c>
    </row>
    <row r="89" spans="2:13" outlineLevel="1" x14ac:dyDescent="0.3">
      <c r="B89" s="52" t="s">
        <v>111</v>
      </c>
      <c r="C89" s="55">
        <f>IFERROR([2]Cash_Flow!E22,0)</f>
        <v>0</v>
      </c>
      <c r="D89" s="55">
        <f>IFERROR([2]Cash_Flow!F22,0)</f>
        <v>0</v>
      </c>
      <c r="E89" s="55">
        <f>IFERROR([2]Cash_Flow!G22,0)</f>
        <v>0</v>
      </c>
      <c r="F89" s="55">
        <f>IFERROR([2]Cash_Flow!H22,0)</f>
        <v>0</v>
      </c>
      <c r="G89" s="55">
        <f>IFERROR([2]Cash_Flow!I22,0)</f>
        <v>0</v>
      </c>
      <c r="H89" s="55">
        <f>IFERROR([2]Cash_Flow!J22,0)</f>
        <v>0</v>
      </c>
      <c r="I89" s="55">
        <f>IFERROR([2]Cash_Flow!K22,0)</f>
        <v>0</v>
      </c>
      <c r="J89" s="55">
        <f>IFERROR([2]Cash_Flow!L22,0)</f>
        <v>0</v>
      </c>
      <c r="K89" s="55">
        <f>IFERROR([2]Cash_Flow!M22,0)</f>
        <v>0</v>
      </c>
      <c r="L89" s="55">
        <f>IFERROR([2]Cash_Flow!N22,0)</f>
        <v>-24</v>
      </c>
      <c r="M89" s="55">
        <f>IFERROR([2]Cash_Flow!O22,0)</f>
        <v>0</v>
      </c>
    </row>
    <row r="90" spans="2:13" outlineLevel="1" x14ac:dyDescent="0.3">
      <c r="B90" s="52" t="s">
        <v>110</v>
      </c>
      <c r="C90" s="55">
        <f>IFERROR([2]Cash_Flow!E23,0)</f>
        <v>456</v>
      </c>
      <c r="D90" s="55">
        <f>IFERROR([2]Cash_Flow!F23,0)</f>
        <v>-1289</v>
      </c>
      <c r="E90" s="55">
        <f>IFERROR([2]Cash_Flow!G23,0)</f>
        <v>-26663</v>
      </c>
      <c r="F90" s="55">
        <f>IFERROR([2]Cash_Flow!H23,0)</f>
        <v>5360</v>
      </c>
      <c r="G90" s="55">
        <f>IFERROR([2]Cash_Flow!I23,0)</f>
        <v>7335</v>
      </c>
      <c r="H90" s="55">
        <f>IFERROR([2]Cash_Flow!J23,0)</f>
        <v>-2659</v>
      </c>
      <c r="I90" s="55">
        <f>IFERROR([2]Cash_Flow!K23,0)</f>
        <v>1051</v>
      </c>
      <c r="J90" s="55">
        <f>IFERROR([2]Cash_Flow!L23,0)</f>
        <v>12813</v>
      </c>
      <c r="K90" s="55">
        <f>IFERROR([2]Cash_Flow!M23,0)</f>
        <v>-4357</v>
      </c>
      <c r="L90" s="55">
        <f>IFERROR([2]Cash_Flow!N23,0)</f>
        <v>429</v>
      </c>
      <c r="M90" s="55">
        <f>IFERROR([2]Cash_Flow!O23,0)</f>
        <v>0</v>
      </c>
    </row>
    <row r="91" spans="2:13" outlineLevel="1" x14ac:dyDescent="0.3">
      <c r="B91" s="54" t="s">
        <v>109</v>
      </c>
      <c r="C91" s="53">
        <f t="shared" ref="C91:M91" si="23">IFERROR(SUM(C80:C90),0)</f>
        <v>-36233</v>
      </c>
      <c r="D91" s="53">
        <f t="shared" si="23"/>
        <v>-36694</v>
      </c>
      <c r="E91" s="53">
        <f t="shared" si="23"/>
        <v>-39572</v>
      </c>
      <c r="F91" s="53">
        <f t="shared" si="23"/>
        <v>-25140</v>
      </c>
      <c r="G91" s="53">
        <f t="shared" si="23"/>
        <v>-20879</v>
      </c>
      <c r="H91" s="53">
        <f t="shared" si="23"/>
        <v>-33116</v>
      </c>
      <c r="I91" s="53">
        <f t="shared" si="23"/>
        <v>-25671</v>
      </c>
      <c r="J91" s="53">
        <f t="shared" si="23"/>
        <v>-4442</v>
      </c>
      <c r="K91" s="53">
        <f t="shared" si="23"/>
        <v>-15419</v>
      </c>
      <c r="L91" s="53">
        <f t="shared" si="23"/>
        <v>-22828</v>
      </c>
      <c r="M91" s="53">
        <f t="shared" si="23"/>
        <v>0</v>
      </c>
    </row>
    <row r="92" spans="2:13" outlineLevel="1" x14ac:dyDescent="0.3"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</row>
    <row r="93" spans="2:13" outlineLevel="1" x14ac:dyDescent="0.3">
      <c r="B93" s="56" t="s">
        <v>108</v>
      </c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</row>
    <row r="94" spans="2:13" outlineLevel="1" x14ac:dyDescent="0.3">
      <c r="B94" s="52" t="s">
        <v>107</v>
      </c>
      <c r="C94" s="55">
        <f>IFERROR([2]Cash_Flow!E25,0)</f>
        <v>0</v>
      </c>
      <c r="D94" s="55">
        <f>IFERROR([2]Cash_Flow!F25,0)</f>
        <v>7433</v>
      </c>
      <c r="E94" s="55">
        <f>IFERROR([2]Cash_Flow!G25,0)</f>
        <v>5</v>
      </c>
      <c r="F94" s="55">
        <f>IFERROR([2]Cash_Flow!H25,0)</f>
        <v>0</v>
      </c>
      <c r="G94" s="55">
        <f>IFERROR([2]Cash_Flow!I25,0)</f>
        <v>0</v>
      </c>
      <c r="H94" s="55">
        <f>IFERROR([2]Cash_Flow!J25,0)</f>
        <v>3889</v>
      </c>
      <c r="I94" s="55">
        <f>IFERROR([2]Cash_Flow!K25,0)</f>
        <v>2603</v>
      </c>
      <c r="J94" s="55">
        <f>IFERROR([2]Cash_Flow!L25,0)</f>
        <v>19</v>
      </c>
      <c r="K94" s="55">
        <f>IFERROR([2]Cash_Flow!M25,0)</f>
        <v>20</v>
      </c>
      <c r="L94" s="55">
        <f>IFERROR([2]Cash_Flow!N25,0)</f>
        <v>82</v>
      </c>
      <c r="M94" s="55">
        <f>IFERROR([2]Cash_Flow!O25,0)</f>
        <v>0</v>
      </c>
    </row>
    <row r="95" spans="2:13" outlineLevel="1" x14ac:dyDescent="0.3">
      <c r="B95" s="52" t="s">
        <v>106</v>
      </c>
      <c r="C95" s="55">
        <f>IFERROR([2]Cash_Flow!E26,0)</f>
        <v>-744</v>
      </c>
      <c r="D95" s="55">
        <f>IFERROR([2]Cash_Flow!F26,0)</f>
        <v>0</v>
      </c>
      <c r="E95" s="55">
        <f>IFERROR([2]Cash_Flow!G26,0)</f>
        <v>0</v>
      </c>
      <c r="F95" s="55">
        <f>IFERROR([2]Cash_Flow!H26,0)</f>
        <v>0</v>
      </c>
      <c r="G95" s="55">
        <f>IFERROR([2]Cash_Flow!I26,0)</f>
        <v>0</v>
      </c>
      <c r="H95" s="55">
        <f>IFERROR([2]Cash_Flow!J26,0)</f>
        <v>0</v>
      </c>
      <c r="I95" s="55">
        <f>IFERROR([2]Cash_Flow!K26,0)</f>
        <v>0</v>
      </c>
      <c r="J95" s="55">
        <f>IFERROR([2]Cash_Flow!L26,0)</f>
        <v>0</v>
      </c>
      <c r="K95" s="55">
        <f>IFERROR([2]Cash_Flow!M26,0)</f>
        <v>0</v>
      </c>
      <c r="L95" s="55">
        <f>IFERROR([2]Cash_Flow!N26,0)</f>
        <v>0</v>
      </c>
      <c r="M95" s="55">
        <f>IFERROR([2]Cash_Flow!O26,0)</f>
        <v>0</v>
      </c>
    </row>
    <row r="96" spans="2:13" outlineLevel="1" x14ac:dyDescent="0.3">
      <c r="B96" s="52" t="s">
        <v>105</v>
      </c>
      <c r="C96" s="55">
        <f>IFERROR([2]Cash_Flow!E27,0)</f>
        <v>36363</v>
      </c>
      <c r="D96" s="55">
        <f>IFERROR([2]Cash_Flow!F27,0)</f>
        <v>19519</v>
      </c>
      <c r="E96" s="55">
        <f>IFERROR([2]Cash_Flow!G27,0)</f>
        <v>33390</v>
      </c>
      <c r="F96" s="55">
        <f>IFERROR([2]Cash_Flow!H27,0)</f>
        <v>37482</v>
      </c>
      <c r="G96" s="55">
        <f>IFERROR([2]Cash_Flow!I27,0)</f>
        <v>51128</v>
      </c>
      <c r="H96" s="55">
        <f>IFERROR([2]Cash_Flow!J27,0)</f>
        <v>38297</v>
      </c>
      <c r="I96" s="55">
        <f>IFERROR([2]Cash_Flow!K27,0)</f>
        <v>46641</v>
      </c>
      <c r="J96" s="55">
        <f>IFERROR([2]Cash_Flow!L27,0)</f>
        <v>46578</v>
      </c>
      <c r="K96" s="55">
        <f>IFERROR([2]Cash_Flow!M27,0)</f>
        <v>43934</v>
      </c>
      <c r="L96" s="55">
        <f>IFERROR([2]Cash_Flow!N27,0)</f>
        <v>21824</v>
      </c>
      <c r="M96" s="55">
        <f>IFERROR([2]Cash_Flow!O27,0)</f>
        <v>0</v>
      </c>
    </row>
    <row r="97" spans="2:13" outlineLevel="1" x14ac:dyDescent="0.3">
      <c r="B97" s="52" t="s">
        <v>104</v>
      </c>
      <c r="C97" s="55">
        <f>IFERROR([2]Cash_Flow!E28,0)</f>
        <v>-23332</v>
      </c>
      <c r="D97" s="55">
        <f>IFERROR([2]Cash_Flow!F28,0)</f>
        <v>-24924</v>
      </c>
      <c r="E97" s="55">
        <f>IFERROR([2]Cash_Flow!G28,0)</f>
        <v>-21732</v>
      </c>
      <c r="F97" s="55">
        <f>IFERROR([2]Cash_Flow!H28,0)</f>
        <v>-29964</v>
      </c>
      <c r="G97" s="55">
        <f>IFERROR([2]Cash_Flow!I28,0)</f>
        <v>-35198</v>
      </c>
      <c r="H97" s="55">
        <f>IFERROR([2]Cash_Flow!J28,0)</f>
        <v>-29847</v>
      </c>
      <c r="I97" s="55">
        <f>IFERROR([2]Cash_Flow!K28,0)</f>
        <v>-29709</v>
      </c>
      <c r="J97" s="55">
        <f>IFERROR([2]Cash_Flow!L28,0)</f>
        <v>-42816</v>
      </c>
      <c r="K97" s="55">
        <f>IFERROR([2]Cash_Flow!M28,0)</f>
        <v>-62557</v>
      </c>
      <c r="L97" s="55">
        <f>IFERROR([2]Cash_Flow!N28,0)</f>
        <v>-50325</v>
      </c>
      <c r="M97" s="55">
        <f>IFERROR([2]Cash_Flow!O28,0)</f>
        <v>0</v>
      </c>
    </row>
    <row r="98" spans="2:13" outlineLevel="1" x14ac:dyDescent="0.3">
      <c r="B98" s="52" t="s">
        <v>103</v>
      </c>
      <c r="C98" s="55">
        <f>IFERROR([2]Cash_Flow!E29,0)</f>
        <v>-6307</v>
      </c>
      <c r="D98" s="55">
        <f>IFERROR([2]Cash_Flow!F29,0)</f>
        <v>-5716</v>
      </c>
      <c r="E98" s="55">
        <f>IFERROR([2]Cash_Flow!G29,0)</f>
        <v>-5336</v>
      </c>
      <c r="F98" s="55">
        <f>IFERROR([2]Cash_Flow!H29,0)</f>
        <v>-5411</v>
      </c>
      <c r="G98" s="55">
        <f>IFERROR([2]Cash_Flow!I29,0)</f>
        <v>-7005</v>
      </c>
      <c r="H98" s="55">
        <f>IFERROR([2]Cash_Flow!J29,0)</f>
        <v>-7518</v>
      </c>
      <c r="I98" s="55">
        <f>IFERROR([2]Cash_Flow!K29,0)</f>
        <v>-8123</v>
      </c>
      <c r="J98" s="55">
        <f>IFERROR([2]Cash_Flow!L29,0)</f>
        <v>-9251</v>
      </c>
      <c r="K98" s="55">
        <f>IFERROR([2]Cash_Flow!M29,0)</f>
        <v>-9336</v>
      </c>
      <c r="L98" s="55">
        <f>IFERROR([2]Cash_Flow!N29,0)</f>
        <v>-9332</v>
      </c>
      <c r="M98" s="55">
        <f>IFERROR([2]Cash_Flow!O29,0)</f>
        <v>0</v>
      </c>
    </row>
    <row r="99" spans="2:13" outlineLevel="1" x14ac:dyDescent="0.3">
      <c r="B99" s="52" t="s">
        <v>102</v>
      </c>
      <c r="C99" s="55">
        <f>IFERROR([2]Cash_Flow!E30,0)</f>
        <v>-720</v>
      </c>
      <c r="D99" s="55">
        <f>IFERROR([2]Cash_Flow!F30,0)</f>
        <v>-108</v>
      </c>
      <c r="E99" s="55">
        <f>IFERROR([2]Cash_Flow!G30,0)</f>
        <v>-121</v>
      </c>
      <c r="F99" s="55">
        <f>IFERROR([2]Cash_Flow!H30,0)</f>
        <v>-96</v>
      </c>
      <c r="G99" s="55">
        <f>IFERROR([2]Cash_Flow!I30,0)</f>
        <v>-95</v>
      </c>
      <c r="H99" s="55">
        <f>IFERROR([2]Cash_Flow!J30,0)</f>
        <v>-57</v>
      </c>
      <c r="I99" s="55">
        <f>IFERROR([2]Cash_Flow!K30,0)</f>
        <v>-30</v>
      </c>
      <c r="J99" s="55">
        <f>IFERROR([2]Cash_Flow!L30,0)</f>
        <v>-100</v>
      </c>
      <c r="K99" s="55">
        <f>IFERROR([2]Cash_Flow!M30,0)</f>
        <v>-141</v>
      </c>
      <c r="L99" s="55">
        <f>IFERROR([2]Cash_Flow!N30,0)</f>
        <v>-289</v>
      </c>
      <c r="M99" s="55">
        <f>IFERROR([2]Cash_Flow!O30,0)</f>
        <v>0</v>
      </c>
    </row>
    <row r="100" spans="2:13" outlineLevel="1" x14ac:dyDescent="0.3">
      <c r="B100" s="52" t="s">
        <v>101</v>
      </c>
      <c r="C100" s="55">
        <f>IFERROR([2]Cash_Flow!E31,0)</f>
        <v>0</v>
      </c>
      <c r="D100" s="55">
        <f>IFERROR([2]Cash_Flow!F31,0)</f>
        <v>0</v>
      </c>
      <c r="E100" s="55">
        <f>IFERROR([2]Cash_Flow!G31,0)</f>
        <v>0</v>
      </c>
      <c r="F100" s="55">
        <f>IFERROR([2]Cash_Flow!H31,0)</f>
        <v>0</v>
      </c>
      <c r="G100" s="55">
        <f>IFERROR([2]Cash_Flow!I31,0)</f>
        <v>0</v>
      </c>
      <c r="H100" s="55">
        <f>IFERROR([2]Cash_Flow!J31,0)</f>
        <v>-1346</v>
      </c>
      <c r="I100" s="55">
        <f>IFERROR([2]Cash_Flow!K31,0)</f>
        <v>-1477</v>
      </c>
      <c r="J100" s="55">
        <f>IFERROR([2]Cash_Flow!L31,0)</f>
        <v>-1559</v>
      </c>
      <c r="K100" s="55">
        <f>IFERROR([2]Cash_Flow!M31,0)</f>
        <v>-1517</v>
      </c>
      <c r="L100" s="55">
        <f>IFERROR([2]Cash_Flow!N31,0)</f>
        <v>-3848</v>
      </c>
      <c r="M100" s="55">
        <f>IFERROR([2]Cash_Flow!O31,0)</f>
        <v>0</v>
      </c>
    </row>
    <row r="101" spans="2:13" outlineLevel="1" x14ac:dyDescent="0.3">
      <c r="B101" s="52" t="s">
        <v>100</v>
      </c>
      <c r="C101" s="55">
        <f>IFERROR([2]Cash_Flow!E32,0)</f>
        <v>-57</v>
      </c>
      <c r="D101" s="55">
        <f>IFERROR([2]Cash_Flow!F32,0)</f>
        <v>0</v>
      </c>
      <c r="E101" s="55">
        <f>IFERROR([2]Cash_Flow!G32,0)</f>
        <v>0</v>
      </c>
      <c r="F101" s="55">
        <f>IFERROR([2]Cash_Flow!H32,0)</f>
        <v>0</v>
      </c>
      <c r="G101" s="55">
        <f>IFERROR([2]Cash_Flow!I32,0)</f>
        <v>0</v>
      </c>
      <c r="H101" s="55">
        <f>IFERROR([2]Cash_Flow!J32,0)</f>
        <v>-29</v>
      </c>
      <c r="I101" s="55">
        <f>IFERROR([2]Cash_Flow!K32,0)</f>
        <v>0</v>
      </c>
      <c r="J101" s="55">
        <f>IFERROR([2]Cash_Flow!L32,0)</f>
        <v>3750</v>
      </c>
      <c r="K101" s="55">
        <f>IFERROR([2]Cash_Flow!M32,0)</f>
        <v>3355</v>
      </c>
      <c r="L101" s="55">
        <f>IFERROR([2]Cash_Flow!N32,0)</f>
        <v>4884</v>
      </c>
      <c r="M101" s="55">
        <f>IFERROR([2]Cash_Flow!O32,0)</f>
        <v>0</v>
      </c>
    </row>
    <row r="102" spans="2:13" outlineLevel="1" x14ac:dyDescent="0.3">
      <c r="B102" s="54" t="s">
        <v>99</v>
      </c>
      <c r="C102" s="53">
        <f t="shared" ref="C102:M102" si="24">IFERROR(SUM(C94:C101),0)</f>
        <v>5203</v>
      </c>
      <c r="D102" s="53">
        <f t="shared" si="24"/>
        <v>-3796</v>
      </c>
      <c r="E102" s="53">
        <f t="shared" si="24"/>
        <v>6206</v>
      </c>
      <c r="F102" s="53">
        <f t="shared" si="24"/>
        <v>2011</v>
      </c>
      <c r="G102" s="53">
        <f t="shared" si="24"/>
        <v>8830</v>
      </c>
      <c r="H102" s="53">
        <f t="shared" si="24"/>
        <v>3389</v>
      </c>
      <c r="I102" s="53">
        <f t="shared" si="24"/>
        <v>9905</v>
      </c>
      <c r="J102" s="53">
        <f t="shared" si="24"/>
        <v>-3379</v>
      </c>
      <c r="K102" s="53">
        <f t="shared" si="24"/>
        <v>-26242</v>
      </c>
      <c r="L102" s="53">
        <f t="shared" si="24"/>
        <v>-37004</v>
      </c>
      <c r="M102" s="53">
        <f t="shared" si="24"/>
        <v>0</v>
      </c>
    </row>
    <row r="103" spans="2:13" outlineLevel="1" x14ac:dyDescent="0.3"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</row>
    <row r="104" spans="2:13" outlineLevel="1" x14ac:dyDescent="0.3">
      <c r="B104" s="54" t="s">
        <v>98</v>
      </c>
      <c r="C104" s="53">
        <f t="shared" ref="C104:M104" si="25">IFERROR(SUM(C77,C91,C102),0)</f>
        <v>830</v>
      </c>
      <c r="D104" s="53">
        <f t="shared" si="25"/>
        <v>-1278</v>
      </c>
      <c r="E104" s="53">
        <f t="shared" si="25"/>
        <v>88</v>
      </c>
      <c r="F104" s="53">
        <f t="shared" si="25"/>
        <v>-5706</v>
      </c>
      <c r="G104" s="53">
        <f t="shared" si="25"/>
        <v>-378</v>
      </c>
      <c r="H104" s="53">
        <f t="shared" si="25"/>
        <v>1971</v>
      </c>
      <c r="I104" s="53">
        <f t="shared" si="25"/>
        <v>13141</v>
      </c>
      <c r="J104" s="53">
        <f t="shared" si="25"/>
        <v>-4289</v>
      </c>
      <c r="K104" s="53">
        <f t="shared" si="25"/>
        <v>-9400</v>
      </c>
      <c r="L104" s="53">
        <f t="shared" si="25"/>
        <v>15408</v>
      </c>
      <c r="M104" s="53">
        <f t="shared" si="25"/>
        <v>0</v>
      </c>
    </row>
  </sheetData>
  <mergeCells count="1">
    <mergeCell ref="B2:M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D667-A835-44BE-8251-801FFD9681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23A4-C6C8-4CFE-A216-BF1BA6CBF4B6}">
  <dimension ref="A1:K93"/>
  <sheetViews>
    <sheetView tabSelected="1" zoomScale="120" zoomScaleNormal="120" zoomScalePageLayoutView="120" workbookViewId="0">
      <pane xSplit="1" ySplit="1" topLeftCell="B3" activePane="bottomRight" state="frozen"/>
      <selection activeCell="C4" sqref="C4"/>
      <selection pane="topRight" activeCell="C4" sqref="C4"/>
      <selection pane="bottomLeft" activeCell="C4" sqref="C4"/>
      <selection pane="bottomRight" activeCell="I9" sqref="I9"/>
    </sheetView>
  </sheetViews>
  <sheetFormatPr defaultColWidth="8.77734375" defaultRowHeight="14.4" x14ac:dyDescent="0.3"/>
  <cols>
    <col min="1" max="1" width="27.6640625" style="59" bestFit="1" customWidth="1"/>
    <col min="2" max="11" width="13.44140625" style="59" bestFit="1" customWidth="1"/>
    <col min="12" max="16384" width="8.77734375" style="59"/>
  </cols>
  <sheetData>
    <row r="1" spans="1:11" s="72" customFormat="1" x14ac:dyDescent="0.3">
      <c r="A1" s="72" t="s">
        <v>217</v>
      </c>
      <c r="B1" s="72" t="s">
        <v>216</v>
      </c>
      <c r="E1" s="133" t="str">
        <f>IF(B2&lt;&gt;B3, "A NEW VERSION OF THE WORKSHEET IS AVAILABLE", "")</f>
        <v/>
      </c>
      <c r="F1" s="133"/>
      <c r="G1" s="133"/>
      <c r="H1" s="133"/>
      <c r="I1" s="133"/>
      <c r="J1" s="133"/>
      <c r="K1" s="133"/>
    </row>
    <row r="2" spans="1:11" x14ac:dyDescent="0.3">
      <c r="A2" s="72" t="s">
        <v>215</v>
      </c>
      <c r="B2" s="59">
        <v>2.1</v>
      </c>
      <c r="E2" s="134" t="s">
        <v>214</v>
      </c>
      <c r="F2" s="134"/>
      <c r="G2" s="134"/>
      <c r="H2" s="134"/>
      <c r="I2" s="134"/>
      <c r="J2" s="134"/>
      <c r="K2" s="134"/>
    </row>
    <row r="3" spans="1:11" x14ac:dyDescent="0.3">
      <c r="A3" s="72" t="s">
        <v>213</v>
      </c>
      <c r="B3" s="59">
        <v>2.1</v>
      </c>
    </row>
    <row r="4" spans="1:11" x14ac:dyDescent="0.3">
      <c r="A4" s="72"/>
    </row>
    <row r="5" spans="1:11" x14ac:dyDescent="0.3">
      <c r="A5" s="72" t="s">
        <v>212</v>
      </c>
    </row>
    <row r="6" spans="1:11" x14ac:dyDescent="0.3">
      <c r="A6" s="59" t="s">
        <v>211</v>
      </c>
      <c r="B6" s="59">
        <f>IF(B9&gt;0, B9/B8, 0)</f>
        <v>95.919777919988931</v>
      </c>
    </row>
    <row r="7" spans="1:11" x14ac:dyDescent="0.3">
      <c r="A7" s="59" t="s">
        <v>210</v>
      </c>
      <c r="B7" s="52">
        <v>1</v>
      </c>
    </row>
    <row r="8" spans="1:11" x14ac:dyDescent="0.3">
      <c r="A8" s="59" t="s">
        <v>209</v>
      </c>
      <c r="B8" s="52">
        <v>2890.85</v>
      </c>
    </row>
    <row r="9" spans="1:11" x14ac:dyDescent="0.3">
      <c r="A9" s="59" t="s">
        <v>35</v>
      </c>
      <c r="B9" s="52">
        <v>277289.69</v>
      </c>
    </row>
    <row r="15" spans="1:11" x14ac:dyDescent="0.3">
      <c r="A15" s="72" t="s">
        <v>208</v>
      </c>
    </row>
    <row r="16" spans="1:11" s="73" customFormat="1" x14ac:dyDescent="0.3">
      <c r="A16" s="75" t="s">
        <v>185</v>
      </c>
      <c r="B16" s="74">
        <v>42094</v>
      </c>
      <c r="C16" s="74">
        <v>42460</v>
      </c>
      <c r="D16" s="74">
        <v>42825</v>
      </c>
      <c r="E16" s="74">
        <v>43190</v>
      </c>
      <c r="F16" s="74">
        <v>43555</v>
      </c>
      <c r="G16" s="74">
        <v>43921</v>
      </c>
      <c r="H16" s="74">
        <v>44286</v>
      </c>
      <c r="I16" s="74">
        <v>44651</v>
      </c>
      <c r="J16" s="74">
        <v>45016</v>
      </c>
      <c r="K16" s="74">
        <v>45382</v>
      </c>
    </row>
    <row r="17" spans="1:11" s="60" customFormat="1" x14ac:dyDescent="0.3">
      <c r="A17" s="60" t="s">
        <v>175</v>
      </c>
      <c r="B17" s="52">
        <v>13615.26</v>
      </c>
      <c r="C17" s="52">
        <v>14271.49</v>
      </c>
      <c r="D17" s="52">
        <v>15061.99</v>
      </c>
      <c r="E17" s="52">
        <v>16824.55</v>
      </c>
      <c r="F17" s="52">
        <v>19240.13</v>
      </c>
      <c r="G17" s="52">
        <v>20211.25</v>
      </c>
      <c r="H17" s="52">
        <v>21712.79</v>
      </c>
      <c r="I17" s="52">
        <v>29101.279999999999</v>
      </c>
      <c r="J17" s="52">
        <v>34488.589999999997</v>
      </c>
      <c r="K17" s="52">
        <v>35494.730000000003</v>
      </c>
    </row>
    <row r="18" spans="1:11" s="60" customFormat="1" x14ac:dyDescent="0.3">
      <c r="A18" s="59" t="s">
        <v>207</v>
      </c>
      <c r="B18" s="52">
        <v>6874.83</v>
      </c>
      <c r="C18" s="52">
        <v>6569.83</v>
      </c>
      <c r="D18" s="52">
        <v>7452.6</v>
      </c>
      <c r="E18" s="52">
        <v>8128.17</v>
      </c>
      <c r="F18" s="52">
        <v>9974.4</v>
      </c>
      <c r="G18" s="52">
        <v>9981.99</v>
      </c>
      <c r="H18" s="52">
        <v>10425.549999999999</v>
      </c>
      <c r="I18" s="52">
        <v>17123.25</v>
      </c>
      <c r="J18" s="52">
        <v>18985.53</v>
      </c>
      <c r="K18" s="52">
        <v>17410.84</v>
      </c>
    </row>
    <row r="19" spans="1:11" s="60" customFormat="1" x14ac:dyDescent="0.3">
      <c r="A19" s="59" t="s">
        <v>206</v>
      </c>
      <c r="B19" s="52">
        <v>148.07</v>
      </c>
      <c r="C19" s="52">
        <v>-199.33</v>
      </c>
      <c r="D19" s="52">
        <v>528.6</v>
      </c>
      <c r="E19" s="52">
        <v>-142.13</v>
      </c>
      <c r="F19" s="52">
        <v>293.26</v>
      </c>
      <c r="G19" s="52">
        <v>239.15</v>
      </c>
      <c r="H19" s="52">
        <v>92.45</v>
      </c>
      <c r="I19" s="52">
        <v>1324.97</v>
      </c>
      <c r="J19" s="52">
        <v>309.73</v>
      </c>
      <c r="K19" s="52">
        <v>-363.8</v>
      </c>
    </row>
    <row r="20" spans="1:11" s="60" customFormat="1" x14ac:dyDescent="0.3">
      <c r="A20" s="59" t="s">
        <v>205</v>
      </c>
      <c r="B20" s="52">
        <v>130.68</v>
      </c>
      <c r="C20" s="52">
        <v>114.48</v>
      </c>
      <c r="D20" s="52">
        <v>106.02</v>
      </c>
      <c r="E20" s="52">
        <v>110.3</v>
      </c>
      <c r="F20" s="52">
        <v>119.63</v>
      </c>
      <c r="G20" s="52">
        <v>97.79</v>
      </c>
      <c r="H20" s="52">
        <v>86.05</v>
      </c>
      <c r="I20" s="52">
        <v>117.23</v>
      </c>
      <c r="J20" s="52">
        <v>138.29</v>
      </c>
      <c r="K20">
        <v>133.25</v>
      </c>
    </row>
    <row r="21" spans="1:11" s="60" customFormat="1" x14ac:dyDescent="0.3">
      <c r="A21" s="59" t="s">
        <v>204</v>
      </c>
      <c r="B21" s="52">
        <v>1504.47</v>
      </c>
      <c r="C21" s="52">
        <v>1535.22</v>
      </c>
      <c r="D21" s="52">
        <v>1662.75</v>
      </c>
      <c r="E21" s="52">
        <v>1691.68</v>
      </c>
      <c r="F21" s="52">
        <v>1862.35</v>
      </c>
      <c r="G21" s="52">
        <v>1946.12</v>
      </c>
      <c r="H21" s="52">
        <v>2068.31</v>
      </c>
      <c r="I21" s="52">
        <v>2880.45</v>
      </c>
      <c r="J21" s="52">
        <v>2916.2</v>
      </c>
      <c r="K21">
        <v>2767.18</v>
      </c>
    </row>
    <row r="22" spans="1:11" s="60" customFormat="1" x14ac:dyDescent="0.3">
      <c r="A22" s="59" t="s">
        <v>203</v>
      </c>
      <c r="B22" s="52">
        <v>936.86</v>
      </c>
      <c r="C22" s="52">
        <v>994.98</v>
      </c>
      <c r="D22" s="52">
        <v>1039.8900000000001</v>
      </c>
      <c r="E22" s="52">
        <v>1121.8900000000001</v>
      </c>
      <c r="F22" s="52">
        <v>1242.69</v>
      </c>
      <c r="G22" s="52">
        <v>1371.27</v>
      </c>
      <c r="H22" s="52">
        <v>1547.61</v>
      </c>
      <c r="I22" s="52">
        <v>1794.61</v>
      </c>
      <c r="J22" s="52">
        <v>2036.41</v>
      </c>
      <c r="K22" s="52">
        <v>2334.92</v>
      </c>
    </row>
    <row r="23" spans="1:11" s="60" customFormat="1" x14ac:dyDescent="0.3">
      <c r="A23" s="59" t="s">
        <v>202</v>
      </c>
      <c r="B23" s="52">
        <v>3351.66</v>
      </c>
      <c r="C23" s="52">
        <v>3912.3</v>
      </c>
      <c r="D23" s="52">
        <v>4364.04</v>
      </c>
      <c r="E23" s="52">
        <v>2254.92</v>
      </c>
      <c r="F23" s="52">
        <v>2366.87</v>
      </c>
      <c r="G23" s="52">
        <v>2311.5100000000002</v>
      </c>
      <c r="H23" s="52">
        <v>2245.69</v>
      </c>
      <c r="I23" s="52">
        <v>2941.98</v>
      </c>
      <c r="J23" s="52">
        <v>3500.84</v>
      </c>
      <c r="K23">
        <v>3811.86</v>
      </c>
    </row>
    <row r="24" spans="1:11" s="60" customFormat="1" x14ac:dyDescent="0.3">
      <c r="A24" s="59" t="s">
        <v>201</v>
      </c>
      <c r="B24" s="52">
        <v>-1278.06</v>
      </c>
      <c r="C24" s="52">
        <v>-1779.69</v>
      </c>
      <c r="D24" s="52">
        <v>-2028.47</v>
      </c>
      <c r="E24" s="52">
        <v>171.45</v>
      </c>
      <c r="F24" s="52">
        <v>202.51</v>
      </c>
      <c r="G24" s="52">
        <v>584.9</v>
      </c>
      <c r="H24" s="52">
        <v>576.42999999999995</v>
      </c>
      <c r="I24" s="52">
        <v>765.12</v>
      </c>
      <c r="J24" s="52">
        <v>961.21</v>
      </c>
      <c r="K24" s="52">
        <v>1087.9000000000001</v>
      </c>
    </row>
    <row r="25" spans="1:11" s="60" customFormat="1" x14ac:dyDescent="0.3">
      <c r="A25" s="60" t="s">
        <v>197</v>
      </c>
      <c r="B25" s="52">
        <v>142.13999999999999</v>
      </c>
      <c r="C25" s="52">
        <v>213.39</v>
      </c>
      <c r="D25" s="52">
        <v>337.9</v>
      </c>
      <c r="E25" s="52">
        <v>336.41</v>
      </c>
      <c r="F25" s="52">
        <v>273.77</v>
      </c>
      <c r="G25" s="52">
        <v>355.05</v>
      </c>
      <c r="H25" s="52">
        <v>331.65</v>
      </c>
      <c r="I25" s="52">
        <v>295.88</v>
      </c>
      <c r="J25" s="52">
        <v>431.46</v>
      </c>
      <c r="K25" s="52">
        <v>820.96</v>
      </c>
    </row>
    <row r="26" spans="1:11" s="60" customFormat="1" x14ac:dyDescent="0.3">
      <c r="A26" s="60" t="s">
        <v>196</v>
      </c>
      <c r="B26" s="52">
        <v>265.92</v>
      </c>
      <c r="C26" s="52">
        <v>275.58</v>
      </c>
      <c r="D26" s="52">
        <v>334.79</v>
      </c>
      <c r="E26" s="52">
        <v>360.47</v>
      </c>
      <c r="F26" s="52">
        <v>622.14</v>
      </c>
      <c r="G26" s="52">
        <v>780.5</v>
      </c>
      <c r="H26" s="52">
        <v>791.27</v>
      </c>
      <c r="I26" s="52">
        <v>816.36</v>
      </c>
      <c r="J26" s="52">
        <v>858.02</v>
      </c>
      <c r="K26" s="52">
        <v>853</v>
      </c>
    </row>
    <row r="27" spans="1:11" s="60" customFormat="1" x14ac:dyDescent="0.3">
      <c r="A27" s="60" t="s">
        <v>195</v>
      </c>
      <c r="B27" s="52">
        <v>42.24</v>
      </c>
      <c r="C27" s="52">
        <v>49</v>
      </c>
      <c r="D27" s="52">
        <v>37.33</v>
      </c>
      <c r="E27" s="52">
        <v>41.47</v>
      </c>
      <c r="F27" s="52">
        <v>110.47</v>
      </c>
      <c r="G27" s="52">
        <v>102.33</v>
      </c>
      <c r="H27" s="52">
        <v>91.63</v>
      </c>
      <c r="I27" s="52">
        <v>95.41</v>
      </c>
      <c r="J27" s="52">
        <v>144.44999999999999</v>
      </c>
      <c r="K27" s="52">
        <v>205.17</v>
      </c>
    </row>
    <row r="28" spans="1:11" s="60" customFormat="1" x14ac:dyDescent="0.3">
      <c r="A28" s="60" t="s">
        <v>194</v>
      </c>
      <c r="B28" s="52">
        <v>2076.87</v>
      </c>
      <c r="C28" s="52">
        <v>2613.85</v>
      </c>
      <c r="D28" s="52">
        <v>2959.54</v>
      </c>
      <c r="E28" s="52">
        <v>3138.48</v>
      </c>
      <c r="F28" s="52">
        <v>3306.1</v>
      </c>
      <c r="G28" s="52">
        <v>3629.04</v>
      </c>
      <c r="H28" s="52">
        <v>4304.3500000000004</v>
      </c>
      <c r="I28" s="52">
        <v>4187.72</v>
      </c>
      <c r="J28" s="52">
        <v>5688.83</v>
      </c>
      <c r="K28" s="52">
        <v>7347.77</v>
      </c>
    </row>
    <row r="29" spans="1:11" s="60" customFormat="1" x14ac:dyDescent="0.3">
      <c r="A29" s="60" t="s">
        <v>158</v>
      </c>
      <c r="B29" s="52">
        <v>649.54</v>
      </c>
      <c r="C29" s="52">
        <v>844.49</v>
      </c>
      <c r="D29" s="52">
        <v>943.29</v>
      </c>
      <c r="E29" s="52">
        <v>1040.96</v>
      </c>
      <c r="F29" s="52">
        <v>1098.06</v>
      </c>
      <c r="G29" s="52">
        <v>854.85</v>
      </c>
      <c r="H29" s="52">
        <v>1097.5999999999999</v>
      </c>
      <c r="I29" s="52">
        <v>1102.9100000000001</v>
      </c>
      <c r="J29" s="52">
        <v>1493.5</v>
      </c>
      <c r="K29" s="52">
        <v>1790.08</v>
      </c>
    </row>
    <row r="30" spans="1:11" s="60" customFormat="1" x14ac:dyDescent="0.3">
      <c r="A30" s="60" t="s">
        <v>193</v>
      </c>
      <c r="B30" s="52">
        <v>1395.15</v>
      </c>
      <c r="C30" s="52">
        <v>1745.16</v>
      </c>
      <c r="D30" s="52">
        <v>1939.43</v>
      </c>
      <c r="E30" s="52">
        <v>2038.93</v>
      </c>
      <c r="F30" s="52">
        <v>2155.92</v>
      </c>
      <c r="G30" s="52">
        <v>2705.17</v>
      </c>
      <c r="H30" s="52">
        <v>3139.29</v>
      </c>
      <c r="I30" s="52">
        <v>3030.57</v>
      </c>
      <c r="J30" s="52">
        <v>4106.45</v>
      </c>
      <c r="K30" s="52">
        <v>5460.23</v>
      </c>
    </row>
    <row r="31" spans="1:11" s="60" customFormat="1" x14ac:dyDescent="0.3">
      <c r="A31" s="60" t="s">
        <v>200</v>
      </c>
      <c r="B31">
        <v>585.11</v>
      </c>
      <c r="C31" s="52">
        <v>719.4</v>
      </c>
      <c r="D31">
        <v>987.98</v>
      </c>
      <c r="E31">
        <v>834.5</v>
      </c>
      <c r="F31">
        <v>1007.16</v>
      </c>
      <c r="G31">
        <v>1151.04</v>
      </c>
      <c r="H31">
        <v>1712.17</v>
      </c>
      <c r="I31">
        <v>1836.87</v>
      </c>
      <c r="J31" s="52">
        <v>2460.35</v>
      </c>
      <c r="K31" s="52">
        <v>3194.14</v>
      </c>
    </row>
    <row r="32" spans="1:11" s="60" customFormat="1" x14ac:dyDescent="0.3"/>
    <row r="33" spans="1:11" x14ac:dyDescent="0.3">
      <c r="A33" s="60" t="s">
        <v>166</v>
      </c>
      <c r="B33" s="59">
        <f>B29+B30+B27+B26</f>
        <v>2352.85</v>
      </c>
      <c r="C33" s="59">
        <f t="shared" ref="C33:K33" si="0">C29+C30+C27+C26</f>
        <v>2914.23</v>
      </c>
      <c r="D33" s="59">
        <f t="shared" si="0"/>
        <v>3254.84</v>
      </c>
      <c r="E33" s="59">
        <f t="shared" si="0"/>
        <v>3481.83</v>
      </c>
      <c r="F33" s="59">
        <f t="shared" si="0"/>
        <v>3986.5899999999997</v>
      </c>
      <c r="G33" s="59">
        <f t="shared" si="0"/>
        <v>4442.8500000000004</v>
      </c>
      <c r="H33" s="59">
        <f t="shared" si="0"/>
        <v>5119.7899999999991</v>
      </c>
      <c r="I33" s="59">
        <f t="shared" si="0"/>
        <v>5045.25</v>
      </c>
      <c r="J33" s="59">
        <f t="shared" si="0"/>
        <v>6602.42</v>
      </c>
      <c r="K33" s="59">
        <f t="shared" si="0"/>
        <v>8308.48</v>
      </c>
    </row>
    <row r="34" spans="1:11" x14ac:dyDescent="0.3">
      <c r="A34" s="60"/>
    </row>
    <row r="35" spans="1:11" x14ac:dyDescent="0.3">
      <c r="A35" s="60"/>
    </row>
    <row r="36" spans="1:11" x14ac:dyDescent="0.3">
      <c r="A36" s="60"/>
    </row>
    <row r="37" spans="1:11" x14ac:dyDescent="0.3">
      <c r="A37" s="60"/>
    </row>
    <row r="38" spans="1:11" x14ac:dyDescent="0.3">
      <c r="A38" s="60"/>
    </row>
    <row r="39" spans="1:11" x14ac:dyDescent="0.3">
      <c r="A39" s="60"/>
    </row>
    <row r="40" spans="1:11" x14ac:dyDescent="0.3">
      <c r="A40" s="72" t="s">
        <v>199</v>
      </c>
    </row>
    <row r="41" spans="1:11" s="73" customFormat="1" x14ac:dyDescent="0.3">
      <c r="A41" s="75" t="s">
        <v>185</v>
      </c>
      <c r="B41" s="74">
        <v>44561</v>
      </c>
      <c r="C41" s="74">
        <v>44651</v>
      </c>
      <c r="D41" s="74">
        <v>44742</v>
      </c>
      <c r="E41" s="74">
        <v>44834</v>
      </c>
      <c r="F41" s="74">
        <v>44926</v>
      </c>
      <c r="G41" s="74">
        <v>45016</v>
      </c>
      <c r="H41" s="74">
        <v>45107</v>
      </c>
      <c r="I41" s="74">
        <v>45199</v>
      </c>
      <c r="J41" s="74">
        <v>45291</v>
      </c>
      <c r="K41" s="74">
        <v>45382</v>
      </c>
    </row>
    <row r="42" spans="1:11" s="60" customFormat="1" x14ac:dyDescent="0.3">
      <c r="A42" s="60" t="s">
        <v>175</v>
      </c>
      <c r="B42" s="52">
        <v>8527.24</v>
      </c>
      <c r="C42" s="52">
        <v>7892.67</v>
      </c>
      <c r="D42" s="52">
        <v>8606.94</v>
      </c>
      <c r="E42" s="52">
        <v>8457.57</v>
      </c>
      <c r="F42" s="52">
        <v>8636.74</v>
      </c>
      <c r="G42" s="52">
        <v>8787.34</v>
      </c>
      <c r="H42" s="52">
        <v>9182.31</v>
      </c>
      <c r="I42" s="52">
        <v>8478.57</v>
      </c>
      <c r="J42" s="52">
        <v>9103.09</v>
      </c>
      <c r="K42" s="52">
        <v>8730.76</v>
      </c>
    </row>
    <row r="43" spans="1:11" s="60" customFormat="1" x14ac:dyDescent="0.3">
      <c r="A43" s="60" t="s">
        <v>198</v>
      </c>
      <c r="B43" s="52">
        <v>6984.93</v>
      </c>
      <c r="C43" s="52">
        <v>6449.38</v>
      </c>
      <c r="D43" s="52">
        <v>7050.99</v>
      </c>
      <c r="E43" s="52">
        <v>7229.87</v>
      </c>
      <c r="F43" s="52">
        <v>7025.31</v>
      </c>
      <c r="G43" s="52">
        <v>6922.58</v>
      </c>
      <c r="H43" s="52">
        <v>7061.02</v>
      </c>
      <c r="I43" s="52">
        <v>6762.34</v>
      </c>
      <c r="J43" s="52">
        <v>7047</v>
      </c>
      <c r="K43" s="52">
        <v>7039.39</v>
      </c>
    </row>
    <row r="44" spans="1:11" s="60" customFormat="1" x14ac:dyDescent="0.3">
      <c r="A44" s="60" t="s">
        <v>197</v>
      </c>
      <c r="B44" s="52">
        <v>86.77</v>
      </c>
      <c r="C44" s="52">
        <v>-26.38</v>
      </c>
      <c r="D44" s="52">
        <v>87.52</v>
      </c>
      <c r="E44" s="52">
        <v>117.56</v>
      </c>
      <c r="F44" s="52">
        <v>122.21</v>
      </c>
      <c r="G44" s="52">
        <v>104.17</v>
      </c>
      <c r="H44" s="52">
        <v>227.74</v>
      </c>
      <c r="I44" s="52">
        <v>194.33</v>
      </c>
      <c r="J44" s="52">
        <v>186.46</v>
      </c>
      <c r="K44" s="52">
        <v>212.43</v>
      </c>
    </row>
    <row r="45" spans="1:11" s="60" customFormat="1" x14ac:dyDescent="0.3">
      <c r="A45" s="60" t="s">
        <v>196</v>
      </c>
      <c r="B45" s="52">
        <v>207.91</v>
      </c>
      <c r="C45" s="52">
        <v>205.11</v>
      </c>
      <c r="D45" s="52">
        <v>208.1</v>
      </c>
      <c r="E45" s="52">
        <v>215.7</v>
      </c>
      <c r="F45" s="52">
        <v>214.05</v>
      </c>
      <c r="G45" s="52">
        <v>220.17</v>
      </c>
      <c r="H45" s="52">
        <v>198.32</v>
      </c>
      <c r="I45" s="52">
        <v>208.72</v>
      </c>
      <c r="J45" s="52">
        <v>220.35</v>
      </c>
      <c r="K45" s="52">
        <v>225.61</v>
      </c>
    </row>
    <row r="46" spans="1:11" s="60" customFormat="1" x14ac:dyDescent="0.3">
      <c r="A46" s="60" t="s">
        <v>195</v>
      </c>
      <c r="B46" s="52">
        <v>27.45</v>
      </c>
      <c r="C46" s="52">
        <v>22.62</v>
      </c>
      <c r="D46" s="52">
        <v>28.75</v>
      </c>
      <c r="E46" s="52">
        <v>35.4</v>
      </c>
      <c r="F46" s="52">
        <v>41.39</v>
      </c>
      <c r="G46" s="52">
        <v>38.909999999999997</v>
      </c>
      <c r="H46" s="52">
        <v>45.75</v>
      </c>
      <c r="I46" s="52">
        <v>50.9</v>
      </c>
      <c r="J46" s="52">
        <v>54.42</v>
      </c>
      <c r="K46" s="52">
        <v>54.1</v>
      </c>
    </row>
    <row r="47" spans="1:11" s="60" customFormat="1" x14ac:dyDescent="0.3">
      <c r="A47" s="60" t="s">
        <v>194</v>
      </c>
      <c r="B47" s="52">
        <v>1393.72</v>
      </c>
      <c r="C47" s="52">
        <v>1189.18</v>
      </c>
      <c r="D47" s="52">
        <v>1406.62</v>
      </c>
      <c r="E47" s="52">
        <v>1094.1600000000001</v>
      </c>
      <c r="F47" s="52">
        <v>1478.2</v>
      </c>
      <c r="G47" s="52">
        <v>1709.85</v>
      </c>
      <c r="H47" s="52">
        <v>2104.96</v>
      </c>
      <c r="I47" s="52">
        <v>1650.94</v>
      </c>
      <c r="J47" s="52">
        <v>1967.78</v>
      </c>
      <c r="K47" s="52">
        <v>1624.09</v>
      </c>
    </row>
    <row r="48" spans="1:11" s="60" customFormat="1" x14ac:dyDescent="0.3">
      <c r="A48" s="60" t="s">
        <v>158</v>
      </c>
      <c r="B48" s="52">
        <v>362.43</v>
      </c>
      <c r="C48" s="52">
        <v>315.13</v>
      </c>
      <c r="D48" s="52">
        <v>370.59</v>
      </c>
      <c r="E48" s="52">
        <v>290.33</v>
      </c>
      <c r="F48" s="52">
        <v>381.14</v>
      </c>
      <c r="G48" s="52">
        <v>451.44</v>
      </c>
      <c r="H48" s="52">
        <v>530.12</v>
      </c>
      <c r="I48" s="52">
        <v>418.55</v>
      </c>
      <c r="J48" s="52">
        <v>492.62</v>
      </c>
      <c r="K48" s="52">
        <v>348.79</v>
      </c>
    </row>
    <row r="49" spans="1:11" s="60" customFormat="1" x14ac:dyDescent="0.3">
      <c r="A49" s="60" t="s">
        <v>193</v>
      </c>
      <c r="B49" s="52">
        <v>1015.69</v>
      </c>
      <c r="C49" s="52">
        <v>850.42</v>
      </c>
      <c r="D49" s="52">
        <v>1016.93</v>
      </c>
      <c r="E49" s="52">
        <v>782.71</v>
      </c>
      <c r="F49" s="52">
        <v>1072.67</v>
      </c>
      <c r="G49" s="52">
        <v>1234.1400000000001</v>
      </c>
      <c r="H49" s="52">
        <v>1550.37</v>
      </c>
      <c r="I49" s="52">
        <v>1205.42</v>
      </c>
      <c r="J49" s="52">
        <v>1447.72</v>
      </c>
      <c r="K49" s="52">
        <v>1256.72</v>
      </c>
    </row>
    <row r="50" spans="1:11" x14ac:dyDescent="0.3">
      <c r="A50" s="60" t="s">
        <v>192</v>
      </c>
      <c r="B50" s="52">
        <v>1542.31</v>
      </c>
      <c r="C50" s="52">
        <v>1443.29</v>
      </c>
      <c r="D50" s="52">
        <v>1555.95</v>
      </c>
      <c r="E50" s="52">
        <v>1227.7</v>
      </c>
      <c r="F50" s="52">
        <v>1611.43</v>
      </c>
      <c r="G50" s="52">
        <v>1864.76</v>
      </c>
      <c r="H50" s="52">
        <v>2121.29</v>
      </c>
      <c r="I50" s="52">
        <v>1716.23</v>
      </c>
      <c r="J50" s="52">
        <v>2056.09</v>
      </c>
      <c r="K50" s="52">
        <v>1691.37</v>
      </c>
    </row>
    <row r="51" spans="1:11" x14ac:dyDescent="0.3">
      <c r="A51" s="60"/>
    </row>
    <row r="52" spans="1:11" x14ac:dyDescent="0.3">
      <c r="A52" s="60"/>
    </row>
    <row r="53" spans="1:11" x14ac:dyDescent="0.3">
      <c r="A53" s="60"/>
    </row>
    <row r="54" spans="1:11" x14ac:dyDescent="0.3">
      <c r="A54" s="60"/>
    </row>
    <row r="55" spans="1:11" x14ac:dyDescent="0.3">
      <c r="A55" s="72" t="s">
        <v>191</v>
      </c>
    </row>
    <row r="56" spans="1:11" s="73" customFormat="1" x14ac:dyDescent="0.3">
      <c r="A56" s="75" t="s">
        <v>185</v>
      </c>
      <c r="B56" s="74">
        <v>42094</v>
      </c>
      <c r="C56" s="74">
        <v>42460</v>
      </c>
      <c r="D56" s="74">
        <v>42825</v>
      </c>
      <c r="E56" s="74">
        <v>43190</v>
      </c>
      <c r="F56" s="74">
        <v>43555</v>
      </c>
      <c r="G56" s="74">
        <v>43921</v>
      </c>
      <c r="H56" s="74">
        <v>44286</v>
      </c>
      <c r="I56" s="74">
        <v>44651</v>
      </c>
      <c r="J56" s="74">
        <v>45016</v>
      </c>
      <c r="K56" s="74">
        <v>45382</v>
      </c>
    </row>
    <row r="57" spans="1:11" x14ac:dyDescent="0.3">
      <c r="A57" s="60" t="s">
        <v>147</v>
      </c>
      <c r="B57" s="52">
        <v>95.92</v>
      </c>
      <c r="C57" s="52">
        <v>95.92</v>
      </c>
      <c r="D57" s="52">
        <v>95.92</v>
      </c>
      <c r="E57" s="52">
        <v>95.92</v>
      </c>
      <c r="F57" s="52">
        <v>95.92</v>
      </c>
      <c r="G57" s="52">
        <v>95.92</v>
      </c>
      <c r="H57" s="52">
        <v>95.92</v>
      </c>
      <c r="I57" s="52">
        <v>95.92</v>
      </c>
      <c r="J57" s="52">
        <v>95.92</v>
      </c>
      <c r="K57" s="52">
        <v>95.92</v>
      </c>
    </row>
    <row r="58" spans="1:11" x14ac:dyDescent="0.3">
      <c r="A58" s="60" t="s">
        <v>146</v>
      </c>
      <c r="B58" s="52">
        <v>4646.4399999999996</v>
      </c>
      <c r="C58" s="52">
        <v>6428.9</v>
      </c>
      <c r="D58" s="52">
        <v>7507.97</v>
      </c>
      <c r="E58" s="52">
        <v>8314.31</v>
      </c>
      <c r="F58" s="52">
        <v>9374.6299999999992</v>
      </c>
      <c r="G58" s="52">
        <v>10034.24</v>
      </c>
      <c r="H58" s="52">
        <v>12710.37</v>
      </c>
      <c r="I58" s="52">
        <v>13715.64</v>
      </c>
      <c r="J58" s="52">
        <v>15896.31</v>
      </c>
      <c r="K58" s="52">
        <v>18632.38</v>
      </c>
    </row>
    <row r="59" spans="1:11" x14ac:dyDescent="0.3">
      <c r="A59" s="60" t="s">
        <v>145</v>
      </c>
      <c r="B59" s="52">
        <v>418.17</v>
      </c>
      <c r="C59" s="52">
        <v>323.29000000000002</v>
      </c>
      <c r="D59" s="52">
        <v>560.34</v>
      </c>
      <c r="E59" s="52">
        <v>533.42999999999995</v>
      </c>
      <c r="F59" s="52">
        <v>1319.6</v>
      </c>
      <c r="G59" s="52">
        <v>1118.5</v>
      </c>
      <c r="H59" s="52">
        <v>1093.1199999999999</v>
      </c>
      <c r="I59" s="52">
        <v>1586.88</v>
      </c>
      <c r="J59" s="52">
        <v>1932.62</v>
      </c>
      <c r="K59" s="52">
        <v>2474.38</v>
      </c>
    </row>
    <row r="60" spans="1:11" x14ac:dyDescent="0.3">
      <c r="A60" s="60" t="s">
        <v>144</v>
      </c>
      <c r="B60" s="52">
        <v>3753.97</v>
      </c>
      <c r="C60" s="52">
        <v>3710.92</v>
      </c>
      <c r="D60" s="52">
        <v>4240.96</v>
      </c>
      <c r="E60" s="52">
        <v>4819.82</v>
      </c>
      <c r="F60" s="52">
        <v>5458.69</v>
      </c>
      <c r="G60" s="52">
        <v>4889.3100000000004</v>
      </c>
      <c r="H60" s="52">
        <v>6455.93</v>
      </c>
      <c r="I60" s="52">
        <v>7559.99</v>
      </c>
      <c r="J60" s="52">
        <v>7854.48</v>
      </c>
      <c r="K60" s="52">
        <v>8698.09</v>
      </c>
    </row>
    <row r="61" spans="1:11" s="72" customFormat="1" x14ac:dyDescent="0.3">
      <c r="A61" s="72" t="s">
        <v>65</v>
      </c>
      <c r="B61" s="52">
        <v>8914.5</v>
      </c>
      <c r="C61" s="52">
        <v>10559.03</v>
      </c>
      <c r="D61" s="52">
        <v>12405.19</v>
      </c>
      <c r="E61" s="52">
        <v>13763.48</v>
      </c>
      <c r="F61" s="52">
        <v>16248.84</v>
      </c>
      <c r="G61" s="52">
        <v>16137.97</v>
      </c>
      <c r="H61" s="52">
        <v>20355.34</v>
      </c>
      <c r="I61" s="52">
        <v>22958.43</v>
      </c>
      <c r="J61" s="52">
        <v>25779.33</v>
      </c>
      <c r="K61" s="52">
        <v>29900.77</v>
      </c>
    </row>
    <row r="62" spans="1:11" x14ac:dyDescent="0.3">
      <c r="A62" s="60" t="s">
        <v>190</v>
      </c>
      <c r="B62" s="52">
        <v>2660.04</v>
      </c>
      <c r="C62" s="52">
        <v>3416.35</v>
      </c>
      <c r="D62" s="52">
        <v>3303.74</v>
      </c>
      <c r="E62" s="52">
        <v>3732.24</v>
      </c>
      <c r="F62" s="52">
        <v>6496.56</v>
      </c>
      <c r="G62" s="52">
        <v>6272.31</v>
      </c>
      <c r="H62" s="52">
        <v>5858.52</v>
      </c>
      <c r="I62" s="52">
        <v>5519.06</v>
      </c>
      <c r="J62" s="52">
        <v>5770.46</v>
      </c>
      <c r="K62" s="52">
        <v>7146.62</v>
      </c>
    </row>
    <row r="63" spans="1:11" x14ac:dyDescent="0.3">
      <c r="A63" s="60" t="s">
        <v>141</v>
      </c>
      <c r="B63" s="52">
        <v>196</v>
      </c>
      <c r="C63" s="52">
        <v>106.59</v>
      </c>
      <c r="D63" s="52">
        <v>257.54000000000002</v>
      </c>
      <c r="E63" s="52">
        <v>1405.11</v>
      </c>
      <c r="F63" s="52">
        <v>209.67</v>
      </c>
      <c r="G63" s="52">
        <v>140.24</v>
      </c>
      <c r="H63" s="52">
        <v>182.98</v>
      </c>
      <c r="I63" s="52">
        <v>426.43</v>
      </c>
      <c r="J63" s="52">
        <v>1019.59</v>
      </c>
      <c r="K63" s="52">
        <v>2698.37</v>
      </c>
    </row>
    <row r="64" spans="1:11" x14ac:dyDescent="0.3">
      <c r="A64" s="60" t="s">
        <v>140</v>
      </c>
      <c r="B64" s="52">
        <v>1587.79</v>
      </c>
      <c r="C64" s="52">
        <v>2712.13</v>
      </c>
      <c r="D64" s="52">
        <v>2651.99</v>
      </c>
      <c r="E64" s="52">
        <v>2140.6999999999998</v>
      </c>
      <c r="F64" s="52">
        <v>2568.58</v>
      </c>
      <c r="G64" s="52">
        <v>2018.85</v>
      </c>
      <c r="H64" s="52">
        <v>4736.8</v>
      </c>
      <c r="I64" s="52">
        <v>3247.53</v>
      </c>
      <c r="J64" s="52">
        <v>4261.71</v>
      </c>
      <c r="K64" s="52">
        <v>4587.92</v>
      </c>
    </row>
    <row r="65" spans="1:11" x14ac:dyDescent="0.3">
      <c r="A65" s="60" t="s">
        <v>139</v>
      </c>
      <c r="B65" s="52">
        <v>4470.67</v>
      </c>
      <c r="C65" s="52">
        <v>4323.96</v>
      </c>
      <c r="D65" s="52">
        <v>6191.92</v>
      </c>
      <c r="E65" s="52">
        <v>6485.43</v>
      </c>
      <c r="F65" s="52">
        <v>6974.03</v>
      </c>
      <c r="G65" s="52">
        <v>7706.57</v>
      </c>
      <c r="H65" s="52">
        <v>9577.0400000000009</v>
      </c>
      <c r="I65" s="52">
        <v>13765.41</v>
      </c>
      <c r="J65" s="52">
        <v>14727.57</v>
      </c>
      <c r="K65" s="52">
        <v>15467.86</v>
      </c>
    </row>
    <row r="66" spans="1:11" s="72" customFormat="1" x14ac:dyDescent="0.3">
      <c r="A66" s="72" t="s">
        <v>65</v>
      </c>
      <c r="B66" s="52">
        <v>8914.5</v>
      </c>
      <c r="C66" s="52">
        <v>10559.03</v>
      </c>
      <c r="D66" s="52">
        <v>12405.19</v>
      </c>
      <c r="E66" s="52">
        <v>13763.48</v>
      </c>
      <c r="F66" s="52">
        <v>16248.84</v>
      </c>
      <c r="G66" s="52">
        <v>16137.97</v>
      </c>
      <c r="H66" s="52">
        <v>20355.34</v>
      </c>
      <c r="I66" s="52">
        <v>22958.43</v>
      </c>
      <c r="J66" s="52">
        <v>25779.33</v>
      </c>
      <c r="K66" s="52">
        <v>29900.77</v>
      </c>
    </row>
    <row r="67" spans="1:11" s="60" customFormat="1" x14ac:dyDescent="0.3">
      <c r="A67" s="60" t="s">
        <v>129</v>
      </c>
      <c r="B67" s="52">
        <v>1182.07</v>
      </c>
      <c r="C67" s="52">
        <v>1186.8399999999999</v>
      </c>
      <c r="D67" s="52">
        <v>1446.6</v>
      </c>
      <c r="E67" s="52">
        <v>1730.63</v>
      </c>
      <c r="F67" s="52">
        <v>1907.33</v>
      </c>
      <c r="G67" s="52">
        <v>1795.22</v>
      </c>
      <c r="H67" s="52">
        <v>2602.17</v>
      </c>
      <c r="I67" s="52">
        <v>3871.44</v>
      </c>
      <c r="J67" s="52">
        <v>4636.9399999999996</v>
      </c>
      <c r="K67" s="52">
        <v>4889.05</v>
      </c>
    </row>
    <row r="68" spans="1:11" x14ac:dyDescent="0.3">
      <c r="A68" s="60" t="s">
        <v>128</v>
      </c>
      <c r="B68" s="52">
        <v>2258.52</v>
      </c>
      <c r="C68" s="52">
        <v>1998.24</v>
      </c>
      <c r="D68" s="52">
        <v>2626.94</v>
      </c>
      <c r="E68" s="52">
        <v>2658.31</v>
      </c>
      <c r="F68" s="52">
        <v>3149.86</v>
      </c>
      <c r="G68" s="52">
        <v>3389.81</v>
      </c>
      <c r="H68" s="52">
        <v>3798.6</v>
      </c>
      <c r="I68" s="52">
        <v>6152.98</v>
      </c>
      <c r="J68" s="52">
        <v>6210.64</v>
      </c>
      <c r="K68" s="52">
        <v>5923.41</v>
      </c>
    </row>
    <row r="69" spans="1:11" x14ac:dyDescent="0.3">
      <c r="A69" s="59" t="s">
        <v>137</v>
      </c>
      <c r="B69" s="52">
        <v>204.39</v>
      </c>
      <c r="C69" s="52">
        <v>424.2</v>
      </c>
      <c r="D69" s="52">
        <v>801.21</v>
      </c>
      <c r="E69" s="52">
        <v>404.65</v>
      </c>
      <c r="F69" s="52">
        <v>444.88</v>
      </c>
      <c r="G69" s="52">
        <v>782.83</v>
      </c>
      <c r="H69" s="52">
        <v>610.75</v>
      </c>
      <c r="I69" s="52">
        <v>864.33</v>
      </c>
      <c r="J69" s="52">
        <v>843.82</v>
      </c>
      <c r="K69" s="52">
        <v>1084.01</v>
      </c>
    </row>
    <row r="70" spans="1:11" x14ac:dyDescent="0.3">
      <c r="A70" s="59" t="s">
        <v>189</v>
      </c>
      <c r="B70" s="52">
        <v>959197790</v>
      </c>
      <c r="C70" s="52">
        <v>959197790</v>
      </c>
      <c r="D70" s="52">
        <v>959197790</v>
      </c>
      <c r="E70" s="52">
        <v>959197790</v>
      </c>
      <c r="F70" s="52">
        <v>959197790</v>
      </c>
      <c r="G70" s="52">
        <v>959197790</v>
      </c>
      <c r="H70" s="52">
        <v>959197790</v>
      </c>
      <c r="I70" s="52">
        <v>959197790</v>
      </c>
      <c r="J70" s="52">
        <v>959197790</v>
      </c>
      <c r="K70">
        <v>959197790</v>
      </c>
    </row>
    <row r="71" spans="1:11" x14ac:dyDescent="0.3">
      <c r="A71" s="59" t="s">
        <v>188</v>
      </c>
    </row>
    <row r="72" spans="1:11" x14ac:dyDescent="0.3">
      <c r="A72" s="59" t="s">
        <v>187</v>
      </c>
      <c r="B72" s="52">
        <v>1</v>
      </c>
      <c r="C72" s="52">
        <v>1</v>
      </c>
      <c r="D72" s="52">
        <v>1</v>
      </c>
      <c r="E72" s="52">
        <v>1</v>
      </c>
      <c r="F72" s="52">
        <v>1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</row>
    <row r="74" spans="1:11" x14ac:dyDescent="0.3">
      <c r="A74" s="60"/>
    </row>
    <row r="75" spans="1:11" x14ac:dyDescent="0.3">
      <c r="A75" s="60"/>
    </row>
    <row r="76" spans="1:11" x14ac:dyDescent="0.3">
      <c r="A76" s="60"/>
    </row>
    <row r="77" spans="1:11" x14ac:dyDescent="0.3">
      <c r="A77" s="60"/>
    </row>
    <row r="78" spans="1:11" x14ac:dyDescent="0.3">
      <c r="A78" s="60"/>
    </row>
    <row r="79" spans="1:11" x14ac:dyDescent="0.3">
      <c r="A79" s="60"/>
    </row>
    <row r="80" spans="1:11" x14ac:dyDescent="0.3">
      <c r="A80" s="72" t="s">
        <v>186</v>
      </c>
    </row>
    <row r="81" spans="1:11" s="73" customFormat="1" x14ac:dyDescent="0.3">
      <c r="A81" s="75" t="s">
        <v>185</v>
      </c>
      <c r="B81" s="74">
        <v>42094</v>
      </c>
      <c r="C81" s="74">
        <v>42460</v>
      </c>
      <c r="D81" s="74">
        <v>42825</v>
      </c>
      <c r="E81" s="74">
        <v>43190</v>
      </c>
      <c r="F81" s="74">
        <v>43555</v>
      </c>
      <c r="G81" s="74">
        <v>43921</v>
      </c>
      <c r="H81" s="74">
        <v>44286</v>
      </c>
      <c r="I81" s="74">
        <v>44651</v>
      </c>
      <c r="J81" s="74">
        <v>45016</v>
      </c>
      <c r="K81" s="74">
        <v>45382</v>
      </c>
    </row>
    <row r="82" spans="1:11" s="72" customFormat="1" x14ac:dyDescent="0.3">
      <c r="A82" s="60" t="s">
        <v>184</v>
      </c>
      <c r="B82" s="52">
        <v>1187.69</v>
      </c>
      <c r="C82" s="52">
        <v>2242.9499999999998</v>
      </c>
      <c r="D82" s="52">
        <v>1527.33</v>
      </c>
      <c r="E82" s="52">
        <v>2113.44</v>
      </c>
      <c r="F82" s="52">
        <v>2469.54</v>
      </c>
      <c r="G82" s="52">
        <v>3038.15</v>
      </c>
      <c r="H82" s="52">
        <v>3683.35</v>
      </c>
      <c r="I82" s="52">
        <v>986.49</v>
      </c>
      <c r="J82" s="52">
        <v>4193.43</v>
      </c>
      <c r="K82" s="52">
        <v>6103.6</v>
      </c>
    </row>
    <row r="83" spans="1:11" s="60" customFormat="1" x14ac:dyDescent="0.3">
      <c r="A83" s="60" t="s">
        <v>183</v>
      </c>
      <c r="B83" s="52">
        <v>-464.99</v>
      </c>
      <c r="C83" s="52">
        <v>-866.21</v>
      </c>
      <c r="D83" s="52">
        <v>-681.11</v>
      </c>
      <c r="E83" s="52">
        <v>-1556.14</v>
      </c>
      <c r="F83" s="52">
        <v>-917.79</v>
      </c>
      <c r="G83" s="52">
        <v>-517.91</v>
      </c>
      <c r="H83" s="52">
        <v>-540.54</v>
      </c>
      <c r="I83" s="52">
        <v>-316.75</v>
      </c>
      <c r="J83" s="52">
        <v>-1282.3399999999999</v>
      </c>
      <c r="K83" s="52">
        <v>-2548.48</v>
      </c>
    </row>
    <row r="84" spans="1:11" s="60" customFormat="1" x14ac:dyDescent="0.3">
      <c r="A84" s="60" t="s">
        <v>182</v>
      </c>
      <c r="B84" s="52">
        <v>-576.09</v>
      </c>
      <c r="C84" s="52">
        <v>-848.98</v>
      </c>
      <c r="D84" s="52">
        <v>-756.43</v>
      </c>
      <c r="E84" s="52">
        <v>-1379.14</v>
      </c>
      <c r="F84" s="52">
        <v>-1117.46</v>
      </c>
      <c r="G84" s="52">
        <v>-2871.46</v>
      </c>
      <c r="H84" s="52">
        <v>-650.4</v>
      </c>
      <c r="I84" s="52">
        <v>-1807.61</v>
      </c>
      <c r="J84" s="52">
        <v>-2140.0500000000002</v>
      </c>
      <c r="K84" s="52">
        <v>-2982.5</v>
      </c>
    </row>
    <row r="85" spans="1:11" s="72" customFormat="1" x14ac:dyDescent="0.3">
      <c r="A85" s="60" t="s">
        <v>98</v>
      </c>
      <c r="B85" s="52">
        <v>146.61000000000001</v>
      </c>
      <c r="C85" s="52">
        <v>527.76</v>
      </c>
      <c r="D85" s="52">
        <v>89.79</v>
      </c>
      <c r="E85" s="52">
        <v>-821.84</v>
      </c>
      <c r="F85" s="52">
        <v>434.29</v>
      </c>
      <c r="G85" s="52">
        <v>-351.22</v>
      </c>
      <c r="H85" s="52">
        <v>2492.41</v>
      </c>
      <c r="I85" s="52">
        <v>-1137.8699999999999</v>
      </c>
      <c r="J85" s="52">
        <v>771.04</v>
      </c>
      <c r="K85" s="52">
        <v>572.62</v>
      </c>
    </row>
    <row r="86" spans="1:11" x14ac:dyDescent="0.3">
      <c r="A86" s="60"/>
    </row>
    <row r="87" spans="1:11" x14ac:dyDescent="0.3">
      <c r="A87" s="60"/>
    </row>
    <row r="88" spans="1:11" x14ac:dyDescent="0.3">
      <c r="A88" s="60"/>
    </row>
    <row r="89" spans="1:11" x14ac:dyDescent="0.3">
      <c r="A89" s="60"/>
    </row>
    <row r="90" spans="1:11" s="72" customFormat="1" x14ac:dyDescent="0.3">
      <c r="A90" s="72" t="s">
        <v>181</v>
      </c>
      <c r="B90" s="52">
        <v>811.3</v>
      </c>
      <c r="C90" s="52">
        <v>868.4</v>
      </c>
      <c r="D90" s="52">
        <v>1073.5</v>
      </c>
      <c r="E90" s="52">
        <v>1120.4000000000001</v>
      </c>
      <c r="F90" s="52">
        <v>1492.7</v>
      </c>
      <c r="G90" s="52">
        <v>1666.5</v>
      </c>
      <c r="H90" s="52">
        <v>2537.4</v>
      </c>
      <c r="I90" s="52">
        <v>3079.95</v>
      </c>
      <c r="J90" s="52">
        <v>2761.65</v>
      </c>
      <c r="K90" s="52">
        <v>2846.75</v>
      </c>
    </row>
    <row r="92" spans="1:11" s="72" customFormat="1" x14ac:dyDescent="0.3">
      <c r="A92" s="72" t="s">
        <v>180</v>
      </c>
    </row>
    <row r="93" spans="1:11" x14ac:dyDescent="0.3">
      <c r="A93" s="59" t="s">
        <v>179</v>
      </c>
      <c r="B93" s="71">
        <v>95.92</v>
      </c>
      <c r="C93" s="71">
        <v>95.92</v>
      </c>
      <c r="D93" s="71">
        <v>95.92</v>
      </c>
      <c r="E93" s="71">
        <v>95.92</v>
      </c>
      <c r="F93" s="71">
        <v>95.92</v>
      </c>
      <c r="G93" s="71">
        <v>95.92</v>
      </c>
      <c r="H93" s="71">
        <v>95.92</v>
      </c>
      <c r="I93" s="71">
        <v>95.92</v>
      </c>
      <c r="J93" s="71">
        <v>95.92</v>
      </c>
      <c r="K93" s="71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DB48F7C9-4DE2-445A-9B14-3C800A382B7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DCF&gt;</vt:lpstr>
      <vt:lpstr>WACC</vt:lpstr>
      <vt:lpstr>Data&gt;</vt:lpstr>
      <vt:lpstr>Beta Regression</vt:lpstr>
      <vt:lpstr>Beta Comps</vt:lpstr>
      <vt:lpstr>RM</vt:lpstr>
      <vt:lpstr>Intrinsic growth</vt:lpstr>
      <vt:lpstr>Comps_val</vt:lpstr>
      <vt:lpstr>DCF</vt:lpstr>
      <vt:lpstr>Football Feild</vt:lpstr>
      <vt:lpstr>Raw FS</vt:lpstr>
      <vt:lpstr>Historical</vt:lpstr>
      <vt:lpstr>Data Room&gt;</vt:lpstr>
      <vt:lpstr>Data Sheet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Tuneer Das</dc:creator>
  <cp:lastModifiedBy>Tuneer Das</cp:lastModifiedBy>
  <dcterms:created xsi:type="dcterms:W3CDTF">2024-06-12T05:22:39Z</dcterms:created>
  <dcterms:modified xsi:type="dcterms:W3CDTF">2024-06-30T19:47:13Z</dcterms:modified>
</cp:coreProperties>
</file>