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0.xml" ContentType="application/vnd.openxmlformats-officedocument.drawingml.chart+xml"/>
  <Override PartName="/xl/drawings/drawing1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bookViews>
    <workbookView xWindow="-15" yWindow="-15" windowWidth="6060" windowHeight="5835" tabRatio="835" activeTab="11"/>
  </bookViews>
  <sheets>
    <sheet name="FT- H2S" sheetId="8" r:id="rId1"/>
    <sheet name="FT- CO2" sheetId="9" r:id="rId2"/>
    <sheet name="FT- HSH" sheetId="21" r:id="rId3"/>
    <sheet name="COCOCHCO" sheetId="24" r:id="rId4"/>
    <sheet name="CHCO-HAR" sheetId="37" r:id="rId5"/>
    <sheet name="CO2-H2" sheetId="38" r:id="rId6"/>
    <sheet name="CAR-HAR" sheetId="25" r:id="rId7"/>
    <sheet name="Txyz" sheetId="35" r:id="rId8"/>
    <sheet name="Tcch" sheetId="31" r:id="rId9"/>
    <sheet name="Tnca" sheetId="32" r:id="rId10"/>
    <sheet name="Tnha" sheetId="33" r:id="rId11"/>
    <sheet name="input" sheetId="15" r:id="rId12"/>
    <sheet name="Info" sheetId="34" r:id="rId13"/>
    <sheet name="Ggrid" sheetId="11" r:id="rId14"/>
    <sheet name="Tgrid" sheetId="28" state="hidden" r:id="rId15"/>
    <sheet name="Ref" sheetId="30" state="hidden" r:id="rId16"/>
  </sheets>
  <calcPr calcId="145621"/>
</workbook>
</file>

<file path=xl/calcChain.xml><?xml version="1.0" encoding="utf-8"?>
<calcChain xmlns="http://schemas.openxmlformats.org/spreadsheetml/2006/main">
  <c r="F90" i="11" l="1"/>
  <c r="F91" i="11"/>
  <c r="F94" i="11"/>
  <c r="C94" i="11"/>
  <c r="B94" i="11"/>
  <c r="C93" i="11"/>
  <c r="B93" i="11"/>
  <c r="F93" i="11" s="1"/>
  <c r="C92" i="11"/>
  <c r="B92" i="11"/>
  <c r="F92" i="11" s="1"/>
  <c r="C91" i="11"/>
  <c r="B91" i="11"/>
  <c r="C90" i="11"/>
  <c r="B90" i="11"/>
  <c r="C89" i="11"/>
  <c r="B89" i="11"/>
  <c r="F89" i="11" s="1"/>
  <c r="C88" i="11"/>
  <c r="B88" i="11"/>
  <c r="F88" i="11" s="1"/>
  <c r="L87" i="11"/>
  <c r="K87" i="11"/>
  <c r="J87" i="11"/>
  <c r="I87" i="11"/>
  <c r="H87" i="11"/>
  <c r="G87" i="11"/>
  <c r="T188" i="11"/>
  <c r="T189" i="11"/>
  <c r="T190" i="11"/>
  <c r="T191" i="11"/>
  <c r="T192" i="11"/>
  <c r="T193" i="11"/>
  <c r="T194" i="11"/>
  <c r="T195" i="11"/>
  <c r="T196" i="11"/>
  <c r="T197" i="11"/>
  <c r="T187" i="11"/>
  <c r="E149" i="11"/>
  <c r="S188" i="11"/>
  <c r="S189" i="11"/>
  <c r="S190" i="11"/>
  <c r="S191" i="11"/>
  <c r="S192" i="11"/>
  <c r="S193" i="11"/>
  <c r="S194" i="11"/>
  <c r="S195" i="11"/>
  <c r="S196" i="11"/>
  <c r="S197" i="11"/>
  <c r="E148" i="11"/>
  <c r="C148" i="11"/>
  <c r="S187" i="11"/>
  <c r="CG9" i="15"/>
  <c r="CF9" i="15"/>
  <c r="CE9" i="15"/>
  <c r="B8" i="11"/>
  <c r="C8" i="11"/>
  <c r="I8" i="11" s="1"/>
  <c r="D8" i="11"/>
  <c r="K8" i="11" s="1"/>
  <c r="E8" i="11"/>
  <c r="F8" i="11"/>
  <c r="H8" i="11"/>
  <c r="B9" i="11"/>
  <c r="C9" i="11"/>
  <c r="D9" i="11"/>
  <c r="E9" i="11"/>
  <c r="H9" i="11" s="1"/>
  <c r="F9" i="11"/>
  <c r="K9" i="11"/>
  <c r="B10" i="11"/>
  <c r="C10" i="11"/>
  <c r="K10" i="11" s="1"/>
  <c r="D10" i="11"/>
  <c r="E10" i="11"/>
  <c r="F10" i="11"/>
  <c r="I10" i="11"/>
  <c r="B11" i="11"/>
  <c r="F11" i="11" s="1"/>
  <c r="C11" i="11"/>
  <c r="D11" i="11"/>
  <c r="E11" i="11"/>
  <c r="B12" i="11"/>
  <c r="C12" i="11"/>
  <c r="H12" i="11" s="1"/>
  <c r="D12" i="11"/>
  <c r="E12" i="11"/>
  <c r="F12" i="11"/>
  <c r="B13" i="11"/>
  <c r="F13" i="11" s="1"/>
  <c r="K13" i="11" s="1"/>
  <c r="C13" i="11"/>
  <c r="D13" i="11"/>
  <c r="E13" i="11"/>
  <c r="H13" i="11" s="1"/>
  <c r="B14" i="11"/>
  <c r="C14" i="11"/>
  <c r="L14" i="11" s="1"/>
  <c r="D14" i="11"/>
  <c r="E14" i="11"/>
  <c r="F14" i="11"/>
  <c r="I14" i="11"/>
  <c r="G27" i="11"/>
  <c r="G30" i="11" s="1"/>
  <c r="H27" i="11"/>
  <c r="H29" i="11" s="1"/>
  <c r="I27" i="11"/>
  <c r="J27" i="11"/>
  <c r="J48" i="11" s="1"/>
  <c r="K27" i="11"/>
  <c r="K34" i="11" s="1"/>
  <c r="L27" i="11"/>
  <c r="B28" i="11"/>
  <c r="C28" i="11"/>
  <c r="I28" i="11" s="1"/>
  <c r="D28" i="11"/>
  <c r="E28" i="11"/>
  <c r="F28" i="11"/>
  <c r="G28" i="11"/>
  <c r="B29" i="11"/>
  <c r="C29" i="11"/>
  <c r="G29" i="11" s="1"/>
  <c r="D29" i="11"/>
  <c r="E29" i="11"/>
  <c r="F29" i="11"/>
  <c r="B30" i="11"/>
  <c r="C30" i="11"/>
  <c r="D30" i="11"/>
  <c r="E30" i="11"/>
  <c r="F30" i="11"/>
  <c r="I30" i="11" s="1"/>
  <c r="B31" i="11"/>
  <c r="F31" i="11" s="1"/>
  <c r="L31" i="11" s="1"/>
  <c r="C31" i="11"/>
  <c r="D31" i="11"/>
  <c r="E31" i="11"/>
  <c r="H31" i="11" s="1"/>
  <c r="B32" i="11"/>
  <c r="C32" i="11"/>
  <c r="I32" i="11" s="1"/>
  <c r="D32" i="11"/>
  <c r="E32" i="11"/>
  <c r="G32" i="11" s="1"/>
  <c r="F32" i="11"/>
  <c r="K32" i="11"/>
  <c r="B33" i="11"/>
  <c r="C33" i="11"/>
  <c r="L33" i="11" s="1"/>
  <c r="D33" i="11"/>
  <c r="G33" i="11"/>
  <c r="E33" i="11"/>
  <c r="F33" i="11"/>
  <c r="J33" i="11"/>
  <c r="B34" i="11"/>
  <c r="C34" i="11"/>
  <c r="D34" i="11"/>
  <c r="E34" i="11"/>
  <c r="F34" i="11"/>
  <c r="I34" i="11"/>
  <c r="G47" i="11"/>
  <c r="H47" i="11"/>
  <c r="I47" i="11"/>
  <c r="J47" i="11"/>
  <c r="K47" i="11"/>
  <c r="L47" i="11"/>
  <c r="B48" i="11"/>
  <c r="C48" i="11"/>
  <c r="F48" i="11"/>
  <c r="H48" i="11"/>
  <c r="L48" i="11"/>
  <c r="N48" i="11" s="1"/>
  <c r="B49" i="11"/>
  <c r="F49" i="11" s="1"/>
  <c r="K49" i="11" s="1"/>
  <c r="C49" i="11"/>
  <c r="G49" i="11" s="1"/>
  <c r="B50" i="11"/>
  <c r="C50" i="11"/>
  <c r="L50" i="11" s="1"/>
  <c r="F50" i="11"/>
  <c r="G50" i="11"/>
  <c r="J50" i="11"/>
  <c r="B51" i="11"/>
  <c r="F51" i="11" s="1"/>
  <c r="C51" i="11"/>
  <c r="B52" i="11"/>
  <c r="C52" i="11"/>
  <c r="F52" i="11"/>
  <c r="H52" i="11" s="1"/>
  <c r="L52" i="11"/>
  <c r="M52" i="11" s="1"/>
  <c r="B53" i="11"/>
  <c r="C53" i="11"/>
  <c r="I53" i="11" s="1"/>
  <c r="F53" i="11"/>
  <c r="G53" i="11"/>
  <c r="K53" i="11"/>
  <c r="B54" i="11"/>
  <c r="F54" i="11" s="1"/>
  <c r="J54" i="11" s="1"/>
  <c r="C54" i="11"/>
  <c r="L54" i="11" s="1"/>
  <c r="G67" i="11"/>
  <c r="H67" i="11"/>
  <c r="I67" i="11"/>
  <c r="J67" i="11"/>
  <c r="K67" i="11"/>
  <c r="L67" i="11"/>
  <c r="B68" i="11"/>
  <c r="F68" i="11" s="1"/>
  <c r="C68" i="11"/>
  <c r="B69" i="11"/>
  <c r="F69" i="11" s="1"/>
  <c r="J69" i="11" s="1"/>
  <c r="C69" i="11"/>
  <c r="L69" i="11" s="1"/>
  <c r="B70" i="11"/>
  <c r="F70" i="11" s="1"/>
  <c r="C70" i="11"/>
  <c r="B71" i="11"/>
  <c r="C71" i="11"/>
  <c r="L71" i="11" s="1"/>
  <c r="F71" i="11"/>
  <c r="G71" i="11"/>
  <c r="J71" i="11"/>
  <c r="B72" i="11"/>
  <c r="F72" i="11" s="1"/>
  <c r="C72" i="11"/>
  <c r="B73" i="11"/>
  <c r="F73" i="11" s="1"/>
  <c r="J73" i="11" s="1"/>
  <c r="C73" i="11"/>
  <c r="B74" i="11"/>
  <c r="F74" i="11" s="1"/>
  <c r="C74" i="11"/>
  <c r="G107" i="11"/>
  <c r="H107" i="11"/>
  <c r="I107" i="11"/>
  <c r="J107" i="11"/>
  <c r="K107" i="11"/>
  <c r="L107" i="11"/>
  <c r="B108" i="11"/>
  <c r="C108" i="11"/>
  <c r="I108" i="11" s="1"/>
  <c r="D108" i="11"/>
  <c r="F108" i="11"/>
  <c r="G108" i="11"/>
  <c r="B109" i="11"/>
  <c r="C109" i="11"/>
  <c r="I109" i="11" s="1"/>
  <c r="D109" i="11"/>
  <c r="F109" i="11"/>
  <c r="G109" i="11"/>
  <c r="B110" i="11"/>
  <c r="C110" i="11"/>
  <c r="G110" i="11" s="1"/>
  <c r="D110" i="11"/>
  <c r="F110" i="11"/>
  <c r="I110" i="11"/>
  <c r="B111" i="11"/>
  <c r="C111" i="11"/>
  <c r="I111" i="11" s="1"/>
  <c r="D111" i="11"/>
  <c r="G111" i="11" s="1"/>
  <c r="F111" i="11"/>
  <c r="K111" i="11"/>
  <c r="B112" i="11"/>
  <c r="C112" i="11"/>
  <c r="K112" i="11" s="1"/>
  <c r="D112" i="11"/>
  <c r="F112" i="11"/>
  <c r="I112" i="11" s="1"/>
  <c r="B113" i="11"/>
  <c r="C113" i="11"/>
  <c r="D113" i="11"/>
  <c r="I113" i="11" s="1"/>
  <c r="F113" i="11"/>
  <c r="K113" i="11" s="1"/>
  <c r="B114" i="11"/>
  <c r="C114" i="11"/>
  <c r="G114" i="11" s="1"/>
  <c r="D114" i="11"/>
  <c r="F114" i="11"/>
  <c r="I114" i="11"/>
  <c r="J125" i="11"/>
  <c r="H125" i="11" s="1"/>
  <c r="K125" i="11"/>
  <c r="L125" i="11" s="1"/>
  <c r="B128" i="11"/>
  <c r="C128" i="11"/>
  <c r="D128" i="11"/>
  <c r="E128" i="11"/>
  <c r="B129" i="11"/>
  <c r="C129" i="11"/>
  <c r="D129" i="11"/>
  <c r="E129" i="11"/>
  <c r="B130" i="11"/>
  <c r="C130" i="11"/>
  <c r="D130" i="11"/>
  <c r="E130" i="11"/>
  <c r="B131" i="11"/>
  <c r="C131" i="11"/>
  <c r="D131" i="11"/>
  <c r="E131" i="11"/>
  <c r="B132" i="11"/>
  <c r="J132" i="11" s="1"/>
  <c r="K132" i="11" s="1"/>
  <c r="C132" i="11"/>
  <c r="D132" i="11"/>
  <c r="E132" i="11"/>
  <c r="B133" i="11"/>
  <c r="C133" i="11"/>
  <c r="D133" i="11"/>
  <c r="E133" i="11"/>
  <c r="B134" i="11"/>
  <c r="C134" i="11"/>
  <c r="D134" i="11"/>
  <c r="E134" i="11"/>
  <c r="B148" i="11"/>
  <c r="B149" i="11"/>
  <c r="C149" i="11"/>
  <c r="B150" i="11"/>
  <c r="C150" i="11"/>
  <c r="E150" i="11"/>
  <c r="B151" i="11"/>
  <c r="C151" i="11"/>
  <c r="E151" i="11"/>
  <c r="B152" i="11"/>
  <c r="C152" i="11"/>
  <c r="E152" i="11"/>
  <c r="B153" i="11"/>
  <c r="C153" i="11"/>
  <c r="E153" i="11"/>
  <c r="B154" i="11"/>
  <c r="C154" i="11"/>
  <c r="E154" i="11"/>
  <c r="E165" i="11"/>
  <c r="N166" i="11"/>
  <c r="U166" i="11" s="1"/>
  <c r="O166" i="11"/>
  <c r="V166" i="11" s="1"/>
  <c r="P166" i="11"/>
  <c r="W166" i="11" s="1"/>
  <c r="B168" i="11"/>
  <c r="G168" i="11" s="1"/>
  <c r="C168" i="11"/>
  <c r="D168" i="11"/>
  <c r="E168" i="11"/>
  <c r="B169" i="11"/>
  <c r="G169" i="11"/>
  <c r="C169" i="11"/>
  <c r="D169" i="11"/>
  <c r="E169" i="11"/>
  <c r="B170" i="11"/>
  <c r="G170" i="11" s="1"/>
  <c r="C170" i="11"/>
  <c r="D170" i="11"/>
  <c r="E170" i="11"/>
  <c r="B171" i="11"/>
  <c r="G171" i="11"/>
  <c r="C171" i="11"/>
  <c r="D171" i="11"/>
  <c r="E171" i="11"/>
  <c r="B172" i="11"/>
  <c r="G172" i="11" s="1"/>
  <c r="C172" i="11"/>
  <c r="D172" i="11"/>
  <c r="E172" i="11"/>
  <c r="B173" i="11"/>
  <c r="G173" i="11"/>
  <c r="C173" i="11"/>
  <c r="D173" i="11"/>
  <c r="E173" i="11"/>
  <c r="B174" i="11"/>
  <c r="G174" i="11" s="1"/>
  <c r="C174" i="11"/>
  <c r="D174" i="11"/>
  <c r="E174" i="11"/>
  <c r="B175" i="11"/>
  <c r="G175" i="11"/>
  <c r="C175" i="11"/>
  <c r="D175" i="11"/>
  <c r="E175" i="11"/>
  <c r="B176" i="11"/>
  <c r="G176" i="11" s="1"/>
  <c r="C176" i="11"/>
  <c r="D176" i="11"/>
  <c r="E176" i="11"/>
  <c r="A178" i="11"/>
  <c r="B178" i="11" s="1"/>
  <c r="E185" i="11"/>
  <c r="F185" i="11"/>
  <c r="B187" i="11"/>
  <c r="F187" i="11" s="1"/>
  <c r="E187" i="11"/>
  <c r="B188" i="11"/>
  <c r="E188" i="11" s="1"/>
  <c r="F188" i="11"/>
  <c r="B189" i="11"/>
  <c r="E189" i="11"/>
  <c r="F189" i="11"/>
  <c r="B190" i="11"/>
  <c r="B191" i="11"/>
  <c r="F191" i="11" s="1"/>
  <c r="E191" i="11"/>
  <c r="B192" i="11"/>
  <c r="E192" i="11"/>
  <c r="F192" i="11"/>
  <c r="B193" i="11"/>
  <c r="E193" i="11"/>
  <c r="F193" i="11"/>
  <c r="B194" i="11"/>
  <c r="B195" i="11"/>
  <c r="F195" i="11" s="1"/>
  <c r="E195" i="11"/>
  <c r="B196" i="11"/>
  <c r="E196" i="11"/>
  <c r="F196" i="11"/>
  <c r="B197" i="11"/>
  <c r="E197" i="11"/>
  <c r="F197" i="11"/>
  <c r="BM9" i="15"/>
  <c r="BM10" i="15" s="1"/>
  <c r="BN9" i="15"/>
  <c r="BN10" i="15"/>
  <c r="BO9" i="15"/>
  <c r="BO10" i="15" s="1"/>
  <c r="BR9" i="15"/>
  <c r="BR10" i="15"/>
  <c r="BS9" i="15"/>
  <c r="C4" i="30" s="1"/>
  <c r="BS10" i="15"/>
  <c r="BT9" i="15"/>
  <c r="BT10" i="15"/>
  <c r="BW9" i="15"/>
  <c r="H4" i="30"/>
  <c r="BX9" i="15"/>
  <c r="BX10" i="15"/>
  <c r="BY9" i="15"/>
  <c r="BY10" i="15"/>
  <c r="BW10" i="15"/>
  <c r="AJ41" i="15"/>
  <c r="AJ42" i="15"/>
  <c r="J4" i="30"/>
  <c r="K7" i="30"/>
  <c r="L7" i="30"/>
  <c r="E8" i="30"/>
  <c r="F8" i="30"/>
  <c r="E9" i="30"/>
  <c r="F9" i="30"/>
  <c r="K10" i="30"/>
  <c r="L10" i="30"/>
  <c r="B16" i="30"/>
  <c r="C16" i="30"/>
  <c r="D16" i="30"/>
  <c r="E16" i="30"/>
  <c r="F16" i="30"/>
  <c r="G16" i="30"/>
  <c r="G19" i="30" s="1"/>
  <c r="G20" i="30" s="1"/>
  <c r="G45" i="30" s="1"/>
  <c r="J16" i="30"/>
  <c r="K16" i="30"/>
  <c r="L16" i="30"/>
  <c r="L19" i="30" s="1"/>
  <c r="L22" i="30" s="1"/>
  <c r="M16" i="30"/>
  <c r="N16" i="30"/>
  <c r="O16" i="30"/>
  <c r="O19" i="30" s="1"/>
  <c r="O20" i="30" s="1"/>
  <c r="O45" i="30" s="1"/>
  <c r="R16" i="30"/>
  <c r="S16" i="30"/>
  <c r="T16" i="30"/>
  <c r="U16" i="30"/>
  <c r="V16" i="30"/>
  <c r="W16" i="30"/>
  <c r="J18" i="30"/>
  <c r="R18" i="30"/>
  <c r="B19" i="30"/>
  <c r="B20" i="30" s="1"/>
  <c r="B45" i="30" s="1"/>
  <c r="D19" i="30"/>
  <c r="F19" i="30"/>
  <c r="J19" i="30"/>
  <c r="J20" i="30" s="1"/>
  <c r="J45" i="30" s="1"/>
  <c r="N19" i="30"/>
  <c r="R19" i="30"/>
  <c r="R20" i="30" s="1"/>
  <c r="R45" i="30" s="1"/>
  <c r="D20" i="30"/>
  <c r="D45" i="30" s="1"/>
  <c r="F20" i="30"/>
  <c r="N20" i="30"/>
  <c r="N45" i="30" s="1"/>
  <c r="D22" i="30"/>
  <c r="F22" i="30"/>
  <c r="F25" i="30" s="1"/>
  <c r="G22" i="30"/>
  <c r="G25" i="30" s="1"/>
  <c r="N22" i="30"/>
  <c r="N25" i="30" s="1"/>
  <c r="D23" i="30"/>
  <c r="D46" i="30" s="1"/>
  <c r="F23" i="30"/>
  <c r="F46" i="30" s="1"/>
  <c r="L23" i="30"/>
  <c r="L46" i="30" s="1"/>
  <c r="D25" i="30"/>
  <c r="D28" i="30" s="1"/>
  <c r="L25" i="30"/>
  <c r="L28" i="30" s="1"/>
  <c r="G26" i="30"/>
  <c r="G47" i="30" s="1"/>
  <c r="L26" i="30"/>
  <c r="G28" i="30"/>
  <c r="G31" i="30" s="1"/>
  <c r="D29" i="30"/>
  <c r="G29" i="30"/>
  <c r="G48" i="30" s="1"/>
  <c r="L29" i="30"/>
  <c r="L48" i="30" s="1"/>
  <c r="D31" i="30"/>
  <c r="D34" i="30" s="1"/>
  <c r="L31" i="30"/>
  <c r="L34" i="30" s="1"/>
  <c r="L37" i="30" s="1"/>
  <c r="D32" i="30"/>
  <c r="D49" i="30" s="1"/>
  <c r="G32" i="30"/>
  <c r="G34" i="30"/>
  <c r="G37" i="30" s="1"/>
  <c r="G40" i="30" s="1"/>
  <c r="G41" i="30" s="1"/>
  <c r="G52" i="30" s="1"/>
  <c r="D35" i="30"/>
  <c r="D50" i="30" s="1"/>
  <c r="L35" i="30"/>
  <c r="L50" i="30" s="1"/>
  <c r="D37" i="30"/>
  <c r="D40" i="30" s="1"/>
  <c r="G38" i="30"/>
  <c r="G51" i="30" s="1"/>
  <c r="D41" i="30"/>
  <c r="D52" i="30" s="1"/>
  <c r="F45" i="30"/>
  <c r="L47" i="30"/>
  <c r="D48" i="30"/>
  <c r="G49" i="30"/>
  <c r="A54" i="30"/>
  <c r="C54" i="30"/>
  <c r="D54" i="30"/>
  <c r="E54" i="30"/>
  <c r="I54" i="30"/>
  <c r="Q54" i="30"/>
  <c r="F5" i="28"/>
  <c r="G5" i="28"/>
  <c r="K5" i="28"/>
  <c r="L5" i="28"/>
  <c r="P5" i="28"/>
  <c r="Q5" i="28"/>
  <c r="F6" i="28"/>
  <c r="G6" i="28"/>
  <c r="K6" i="28"/>
  <c r="L6" i="28"/>
  <c r="P6" i="28"/>
  <c r="Q6" i="28"/>
  <c r="F7" i="28"/>
  <c r="G7" i="28"/>
  <c r="K7" i="28"/>
  <c r="L7" i="28"/>
  <c r="P7" i="28"/>
  <c r="Q7" i="28"/>
  <c r="F8" i="28"/>
  <c r="G8" i="28"/>
  <c r="K8" i="28"/>
  <c r="L8" i="28"/>
  <c r="P8" i="28"/>
  <c r="Q8" i="28"/>
  <c r="F9" i="28"/>
  <c r="G9" i="28"/>
  <c r="K9" i="28"/>
  <c r="L9" i="28"/>
  <c r="P9" i="28"/>
  <c r="Q9" i="28"/>
  <c r="F10" i="28"/>
  <c r="G10" i="28"/>
  <c r="K10" i="28"/>
  <c r="L10" i="28"/>
  <c r="P10" i="28"/>
  <c r="Q10" i="28"/>
  <c r="F11" i="28"/>
  <c r="G11" i="28"/>
  <c r="K11" i="28"/>
  <c r="L11" i="28"/>
  <c r="P11" i="28"/>
  <c r="Q11" i="28"/>
  <c r="F12" i="28"/>
  <c r="G12" i="28"/>
  <c r="K12" i="28"/>
  <c r="L12" i="28"/>
  <c r="P12" i="28"/>
  <c r="Q12" i="28"/>
  <c r="F13" i="28"/>
  <c r="G13" i="28"/>
  <c r="K13" i="28"/>
  <c r="L13" i="28"/>
  <c r="P13" i="28"/>
  <c r="Q13" i="28"/>
  <c r="F14" i="28"/>
  <c r="G14" i="28"/>
  <c r="K14" i="28"/>
  <c r="L14" i="28"/>
  <c r="P14" i="28"/>
  <c r="Q14" i="28"/>
  <c r="F15" i="28"/>
  <c r="G15" i="28"/>
  <c r="K15" i="28"/>
  <c r="L15" i="28"/>
  <c r="P15" i="28"/>
  <c r="Q15" i="28"/>
  <c r="F16" i="28"/>
  <c r="G16" i="28"/>
  <c r="K16" i="28"/>
  <c r="L16" i="28"/>
  <c r="P16" i="28"/>
  <c r="Q16" i="28"/>
  <c r="F17" i="28"/>
  <c r="G17" i="28"/>
  <c r="K17" i="28"/>
  <c r="L17" i="28"/>
  <c r="P17" i="28"/>
  <c r="Q17" i="28"/>
  <c r="F18" i="28"/>
  <c r="G18" i="28"/>
  <c r="K18" i="28"/>
  <c r="L18" i="28"/>
  <c r="P18" i="28"/>
  <c r="Q18" i="28"/>
  <c r="F19" i="28"/>
  <c r="G19" i="28"/>
  <c r="K19" i="28"/>
  <c r="L19" i="28"/>
  <c r="P19" i="28"/>
  <c r="Q19" i="28"/>
  <c r="F20" i="28"/>
  <c r="G20" i="28"/>
  <c r="K20" i="28"/>
  <c r="L20" i="28"/>
  <c r="P20" i="28"/>
  <c r="Q20" i="28"/>
  <c r="F21" i="28"/>
  <c r="G21" i="28"/>
  <c r="K21" i="28"/>
  <c r="L21" i="28"/>
  <c r="P21" i="28"/>
  <c r="Q21" i="28"/>
  <c r="F22" i="28"/>
  <c r="G22" i="28"/>
  <c r="K22" i="28"/>
  <c r="L22" i="28"/>
  <c r="P22" i="28"/>
  <c r="Q22" i="28"/>
  <c r="L185" i="11"/>
  <c r="V185" i="11" s="1"/>
  <c r="J5" i="30"/>
  <c r="J6" i="30"/>
  <c r="I4" i="30"/>
  <c r="J8" i="30" s="1"/>
  <c r="D4" i="30"/>
  <c r="B4" i="30"/>
  <c r="B6" i="30" s="1"/>
  <c r="H5" i="30"/>
  <c r="K145" i="11"/>
  <c r="J131" i="11"/>
  <c r="K131" i="11" s="1"/>
  <c r="O125" i="11"/>
  <c r="O134" i="11" s="1"/>
  <c r="J134" i="11"/>
  <c r="K134" i="11" s="1"/>
  <c r="J130" i="11"/>
  <c r="K130" i="11" s="1"/>
  <c r="J128" i="11"/>
  <c r="K128" i="11" s="1"/>
  <c r="M125" i="11"/>
  <c r="M145" i="11" s="1"/>
  <c r="J133" i="11"/>
  <c r="K133" i="11" s="1"/>
  <c r="J129" i="11"/>
  <c r="K129" i="11" s="1"/>
  <c r="P125" i="11"/>
  <c r="P150" i="11" s="1"/>
  <c r="N125" i="11"/>
  <c r="N129" i="11" s="1"/>
  <c r="L194" i="11"/>
  <c r="L190" i="11"/>
  <c r="H6" i="30"/>
  <c r="L6" i="30" s="1"/>
  <c r="J9" i="30"/>
  <c r="K190" i="11"/>
  <c r="E178" i="11"/>
  <c r="J172" i="11"/>
  <c r="K172" i="11" s="1"/>
  <c r="S172" i="11" s="1"/>
  <c r="J168" i="11"/>
  <c r="K168" i="11" s="1"/>
  <c r="S168" i="11" s="1"/>
  <c r="H9" i="30"/>
  <c r="L9" i="30"/>
  <c r="I8" i="30"/>
  <c r="L196" i="11"/>
  <c r="L192" i="11"/>
  <c r="L188" i="11"/>
  <c r="C178" i="11"/>
  <c r="F176" i="11"/>
  <c r="H176" i="11" s="1"/>
  <c r="F175" i="11"/>
  <c r="H175" i="11" s="1"/>
  <c r="F174" i="11"/>
  <c r="H174" i="11" s="1"/>
  <c r="F173" i="11"/>
  <c r="H173" i="11" s="1"/>
  <c r="F172" i="11"/>
  <c r="H172" i="11" s="1"/>
  <c r="F170" i="11"/>
  <c r="H170" i="11" s="1"/>
  <c r="K195" i="11"/>
  <c r="K191" i="11"/>
  <c r="N149" i="11"/>
  <c r="D6" i="30"/>
  <c r="D7" i="30"/>
  <c r="R22" i="30"/>
  <c r="M133" i="11"/>
  <c r="O133" i="11"/>
  <c r="M131" i="11"/>
  <c r="O131" i="11"/>
  <c r="M129" i="11"/>
  <c r="O129" i="11"/>
  <c r="H114" i="11"/>
  <c r="J114" i="11"/>
  <c r="L114" i="11"/>
  <c r="H112" i="11"/>
  <c r="J112" i="11"/>
  <c r="L112" i="11"/>
  <c r="H110" i="11"/>
  <c r="J110" i="11"/>
  <c r="L110" i="11"/>
  <c r="L197" i="11"/>
  <c r="L195" i="11"/>
  <c r="L193" i="11"/>
  <c r="L191" i="11"/>
  <c r="L189" i="11"/>
  <c r="D178" i="11"/>
  <c r="N154" i="11"/>
  <c r="N152" i="11"/>
  <c r="N150" i="11"/>
  <c r="N148" i="11"/>
  <c r="N145" i="11"/>
  <c r="N133" i="11"/>
  <c r="N131" i="11"/>
  <c r="O154" i="11"/>
  <c r="M152" i="11"/>
  <c r="O152" i="11"/>
  <c r="O150" i="11"/>
  <c r="M148" i="11"/>
  <c r="O148" i="11"/>
  <c r="N128" i="11"/>
  <c r="N130" i="11"/>
  <c r="N132" i="11"/>
  <c r="N134" i="11"/>
  <c r="G125" i="11"/>
  <c r="G131" i="11" s="1"/>
  <c r="H113" i="11"/>
  <c r="J113" i="11"/>
  <c r="L113" i="11"/>
  <c r="H111" i="11"/>
  <c r="J111" i="11"/>
  <c r="L111" i="11"/>
  <c r="F125" i="11"/>
  <c r="F128" i="11" s="1"/>
  <c r="L109" i="11"/>
  <c r="J109" i="11"/>
  <c r="L108" i="11"/>
  <c r="J108" i="11"/>
  <c r="L74" i="11"/>
  <c r="J74" i="11"/>
  <c r="K73" i="11"/>
  <c r="I73" i="11"/>
  <c r="L72" i="11"/>
  <c r="J72" i="11"/>
  <c r="K71" i="11"/>
  <c r="I71" i="11"/>
  <c r="L70" i="11"/>
  <c r="J70" i="11"/>
  <c r="K69" i="11"/>
  <c r="I69" i="11"/>
  <c r="L68" i="11"/>
  <c r="J68" i="11"/>
  <c r="K54" i="11"/>
  <c r="I54" i="11"/>
  <c r="L53" i="11"/>
  <c r="J53" i="11"/>
  <c r="H53" i="11"/>
  <c r="K52" i="11"/>
  <c r="I52" i="11"/>
  <c r="L51" i="11"/>
  <c r="J51" i="11"/>
  <c r="H51" i="11"/>
  <c r="K50" i="11"/>
  <c r="I50" i="11"/>
  <c r="L49" i="11"/>
  <c r="J49" i="11"/>
  <c r="H49" i="11"/>
  <c r="K48" i="11"/>
  <c r="I48" i="11"/>
  <c r="L34" i="11"/>
  <c r="J34" i="11"/>
  <c r="H34" i="11"/>
  <c r="K33" i="11"/>
  <c r="I33" i="11"/>
  <c r="L32" i="11"/>
  <c r="J32" i="11"/>
  <c r="H32" i="11"/>
  <c r="K31" i="11"/>
  <c r="I31" i="11"/>
  <c r="L30" i="11"/>
  <c r="J30" i="11"/>
  <c r="H30" i="11"/>
  <c r="K29" i="11"/>
  <c r="I29" i="11"/>
  <c r="J14" i="11"/>
  <c r="L13" i="11"/>
  <c r="J13" i="11"/>
  <c r="L12" i="11"/>
  <c r="J12" i="11"/>
  <c r="L11" i="11"/>
  <c r="J11" i="11"/>
  <c r="L10" i="11"/>
  <c r="J10" i="11"/>
  <c r="L9" i="11"/>
  <c r="J9" i="11"/>
  <c r="N153" i="11"/>
  <c r="N151" i="11"/>
  <c r="K6" i="30"/>
  <c r="O145" i="11"/>
  <c r="B5" i="30"/>
  <c r="M130" i="11"/>
  <c r="P133" i="11"/>
  <c r="O130" i="11"/>
  <c r="O128" i="11"/>
  <c r="O132" i="11"/>
  <c r="M134" i="11"/>
  <c r="P131" i="11"/>
  <c r="K9" i="30"/>
  <c r="F130" i="11"/>
  <c r="F134" i="11"/>
  <c r="F151" i="11"/>
  <c r="F129" i="11"/>
  <c r="F133" i="11"/>
  <c r="F148" i="11"/>
  <c r="F152" i="11"/>
  <c r="G133" i="11"/>
  <c r="G148" i="11"/>
  <c r="G154" i="11"/>
  <c r="G130" i="11"/>
  <c r="R23" i="30"/>
  <c r="R46" i="30"/>
  <c r="R25" i="30"/>
  <c r="R26" i="30" s="1"/>
  <c r="R47" i="30" s="1"/>
  <c r="U21" i="15"/>
  <c r="V30" i="15"/>
  <c r="W32" i="15"/>
  <c r="V14" i="15"/>
  <c r="W19" i="15"/>
  <c r="V22" i="15"/>
  <c r="W16" i="15"/>
  <c r="W24" i="15"/>
  <c r="V31" i="15"/>
  <c r="O3" i="15"/>
  <c r="V11" i="15"/>
  <c r="V16" i="15"/>
  <c r="W27" i="15"/>
  <c r="V26" i="15"/>
  <c r="T31" i="15"/>
  <c r="V19" i="15"/>
  <c r="V27" i="15"/>
  <c r="W33" i="15"/>
  <c r="U15" i="15"/>
  <c r="U37" i="15"/>
  <c r="V35" i="15"/>
  <c r="V36" i="15"/>
  <c r="W13" i="15"/>
  <c r="W29" i="15"/>
  <c r="W39" i="15"/>
  <c r="CB10" i="15"/>
  <c r="W12" i="15"/>
  <c r="U25" i="15"/>
  <c r="U35" i="15"/>
  <c r="W23" i="15"/>
  <c r="T19" i="15"/>
  <c r="T27" i="15"/>
  <c r="T20" i="15"/>
  <c r="U28" i="15"/>
  <c r="T12" i="15"/>
  <c r="T16" i="15"/>
  <c r="W22" i="15"/>
  <c r="U33" i="15"/>
  <c r="T36" i="15"/>
  <c r="T37" i="15"/>
  <c r="U14" i="15"/>
  <c r="T23" i="15"/>
  <c r="T24" i="15"/>
  <c r="U36" i="15"/>
  <c r="T14" i="15"/>
  <c r="T40" i="15"/>
  <c r="V32" i="15"/>
  <c r="U39" i="15"/>
  <c r="V12" i="15"/>
  <c r="W11" i="15"/>
  <c r="V18" i="15"/>
  <c r="T28" i="15"/>
  <c r="T32" i="15"/>
  <c r="V21" i="15"/>
  <c r="U23" i="15"/>
  <c r="W38" i="15"/>
  <c r="V37" i="15"/>
  <c r="V38" i="15"/>
  <c r="W21" i="15"/>
  <c r="W20" i="15"/>
  <c r="W36" i="15"/>
  <c r="U12" i="15"/>
  <c r="T21" i="15"/>
  <c r="T22" i="15"/>
  <c r="T13" i="15"/>
  <c r="U11" i="15"/>
  <c r="W34" i="15"/>
  <c r="T38" i="15"/>
  <c r="T39" i="15"/>
  <c r="U22" i="15"/>
  <c r="U20" i="15"/>
  <c r="W31" i="15"/>
  <c r="O4" i="15"/>
  <c r="W17" i="15"/>
  <c r="U34" i="15"/>
  <c r="U38" i="15"/>
  <c r="O5" i="15"/>
  <c r="V28" i="15"/>
  <c r="V33" i="15"/>
  <c r="W40" i="15"/>
  <c r="V13" i="15"/>
  <c r="V20" i="15"/>
  <c r="T29" i="15"/>
  <c r="T33" i="15"/>
  <c r="V23" i="15"/>
  <c r="U40" i="15"/>
  <c r="CD10" i="15"/>
  <c r="W18" i="15"/>
  <c r="V39" i="15"/>
  <c r="V40" i="15"/>
  <c r="U19" i="15"/>
  <c r="W30" i="15"/>
  <c r="U13" i="15"/>
  <c r="V29" i="15"/>
  <c r="U29" i="15"/>
  <c r="V15" i="15"/>
  <c r="U16" i="15"/>
  <c r="U24" i="15"/>
  <c r="V24" i="15"/>
  <c r="T30" i="15"/>
  <c r="V17" i="15"/>
  <c r="V25" i="15"/>
  <c r="U32" i="15"/>
  <c r="W26" i="15"/>
  <c r="U31" i="15"/>
  <c r="V34" i="15"/>
  <c r="CC10" i="15"/>
  <c r="U18" i="15"/>
  <c r="U26" i="15"/>
  <c r="U17" i="15"/>
  <c r="W28" i="15"/>
  <c r="W15" i="15"/>
  <c r="T17" i="15"/>
  <c r="T25" i="15"/>
  <c r="T18" i="15"/>
  <c r="T26" i="15"/>
  <c r="W37" i="15"/>
  <c r="T11" i="15"/>
  <c r="T15" i="15"/>
  <c r="W14" i="15"/>
  <c r="U27" i="15"/>
  <c r="T34" i="15"/>
  <c r="T35" i="15"/>
  <c r="W25" i="15"/>
  <c r="U30" i="15"/>
  <c r="W35" i="15"/>
  <c r="F5" i="30" l="1"/>
  <c r="M10" i="11"/>
  <c r="N10" i="11"/>
  <c r="O10" i="11"/>
  <c r="N12" i="11"/>
  <c r="O12" i="11"/>
  <c r="M12" i="11"/>
  <c r="N26" i="30"/>
  <c r="N47" i="30" s="1"/>
  <c r="N28" i="30"/>
  <c r="M32" i="11"/>
  <c r="N32" i="11"/>
  <c r="O32" i="11"/>
  <c r="N53" i="11"/>
  <c r="O53" i="11"/>
  <c r="M53" i="11"/>
  <c r="O68" i="11"/>
  <c r="M68" i="11"/>
  <c r="N68" i="11"/>
  <c r="F26" i="30"/>
  <c r="F47" i="30" s="1"/>
  <c r="F28" i="30"/>
  <c r="R28" i="30"/>
  <c r="L40" i="30"/>
  <c r="L41" i="30" s="1"/>
  <c r="L52" i="30" s="1"/>
  <c r="L38" i="30"/>
  <c r="L51" i="30" s="1"/>
  <c r="N30" i="11"/>
  <c r="M30" i="11"/>
  <c r="O30" i="11"/>
  <c r="M51" i="11"/>
  <c r="N51" i="11"/>
  <c r="O51" i="11"/>
  <c r="M112" i="11"/>
  <c r="N112" i="11"/>
  <c r="O112" i="11"/>
  <c r="P129" i="11"/>
  <c r="K5" i="30"/>
  <c r="D26" i="30"/>
  <c r="D47" i="30" s="1"/>
  <c r="G23" i="30"/>
  <c r="G46" i="30" s="1"/>
  <c r="O22" i="30"/>
  <c r="G70" i="11"/>
  <c r="I70" i="11"/>
  <c r="H70" i="11"/>
  <c r="K70" i="11"/>
  <c r="I68" i="11"/>
  <c r="H68" i="11"/>
  <c r="K68" i="11"/>
  <c r="G68" i="11"/>
  <c r="O31" i="11"/>
  <c r="N31" i="11"/>
  <c r="M31" i="11"/>
  <c r="I11" i="11"/>
  <c r="M70" i="11"/>
  <c r="N70" i="11"/>
  <c r="O70" i="11"/>
  <c r="N72" i="11"/>
  <c r="O72" i="11"/>
  <c r="M72" i="11"/>
  <c r="O74" i="11"/>
  <c r="M74" i="11"/>
  <c r="N74" i="11"/>
  <c r="M109" i="11"/>
  <c r="N109" i="11"/>
  <c r="O109" i="11"/>
  <c r="N110" i="11"/>
  <c r="M110" i="11"/>
  <c r="O110" i="11"/>
  <c r="W19" i="30"/>
  <c r="T19" i="30"/>
  <c r="E194" i="11"/>
  <c r="F194" i="11"/>
  <c r="G74" i="11"/>
  <c r="I74" i="11"/>
  <c r="H74" i="11"/>
  <c r="K74" i="11"/>
  <c r="I72" i="11"/>
  <c r="H72" i="11"/>
  <c r="K72" i="11"/>
  <c r="G72" i="11"/>
  <c r="M71" i="11"/>
  <c r="N71" i="11"/>
  <c r="O71" i="11"/>
  <c r="O69" i="11"/>
  <c r="M69" i="11"/>
  <c r="N69" i="11"/>
  <c r="M33" i="11"/>
  <c r="N33" i="11"/>
  <c r="O33" i="11"/>
  <c r="K11" i="11"/>
  <c r="H11" i="11"/>
  <c r="G11" i="11"/>
  <c r="G152" i="11"/>
  <c r="G129" i="11"/>
  <c r="P128" i="11"/>
  <c r="O9" i="11"/>
  <c r="M9" i="11"/>
  <c r="N9" i="11"/>
  <c r="M11" i="11"/>
  <c r="N11" i="11"/>
  <c r="O11" i="11"/>
  <c r="O13" i="11"/>
  <c r="M13" i="11"/>
  <c r="N13" i="11"/>
  <c r="N34" i="11"/>
  <c r="O34" i="11"/>
  <c r="M34" i="11"/>
  <c r="M113" i="11"/>
  <c r="N113" i="11"/>
  <c r="O113" i="11"/>
  <c r="P130" i="11"/>
  <c r="M150" i="11"/>
  <c r="M154" i="11"/>
  <c r="O149" i="11"/>
  <c r="O151" i="11"/>
  <c r="O153" i="11"/>
  <c r="V19" i="30"/>
  <c r="D5" i="30"/>
  <c r="E5" i="30" s="1"/>
  <c r="H8" i="30"/>
  <c r="D38" i="30"/>
  <c r="D51" i="30" s="1"/>
  <c r="G35" i="30"/>
  <c r="G50" i="30" s="1"/>
  <c r="L32" i="30"/>
  <c r="L49" i="30" s="1"/>
  <c r="N23" i="30"/>
  <c r="N46" i="30" s="1"/>
  <c r="J22" i="30"/>
  <c r="B22" i="30"/>
  <c r="L20" i="30"/>
  <c r="L45" i="30" s="1"/>
  <c r="E190" i="11"/>
  <c r="F190" i="11"/>
  <c r="L73" i="11"/>
  <c r="G134" i="11"/>
  <c r="G150" i="11"/>
  <c r="N49" i="11"/>
  <c r="O49" i="11"/>
  <c r="M49" i="11"/>
  <c r="M108" i="11"/>
  <c r="O108" i="11"/>
  <c r="N108" i="11"/>
  <c r="O111" i="11"/>
  <c r="M111" i="11"/>
  <c r="N111" i="11"/>
  <c r="P149" i="11"/>
  <c r="N114" i="11"/>
  <c r="O114" i="11"/>
  <c r="M114" i="11"/>
  <c r="M149" i="11"/>
  <c r="M151" i="11"/>
  <c r="M153" i="11"/>
  <c r="P152" i="11"/>
  <c r="C10" i="30"/>
  <c r="B10" i="30"/>
  <c r="L5" i="30"/>
  <c r="K187" i="11"/>
  <c r="K192" i="11"/>
  <c r="K185" i="11"/>
  <c r="U185" i="11" s="1"/>
  <c r="O54" i="11"/>
  <c r="M54" i="11"/>
  <c r="N54" i="11"/>
  <c r="G51" i="11"/>
  <c r="I51" i="11"/>
  <c r="O50" i="11"/>
  <c r="M50" i="11"/>
  <c r="N50" i="11"/>
  <c r="N14" i="11"/>
  <c r="O14" i="11"/>
  <c r="M14" i="11"/>
  <c r="H28" i="11"/>
  <c r="H73" i="11"/>
  <c r="H69" i="11"/>
  <c r="H54" i="11"/>
  <c r="J52" i="11"/>
  <c r="I49" i="11"/>
  <c r="G48" i="11"/>
  <c r="G34" i="11"/>
  <c r="H33" i="11"/>
  <c r="J31" i="11"/>
  <c r="G31" i="11"/>
  <c r="K30" i="11"/>
  <c r="L29" i="11"/>
  <c r="J28" i="11"/>
  <c r="G14" i="11"/>
  <c r="H14" i="11"/>
  <c r="I13" i="11"/>
  <c r="K12" i="11"/>
  <c r="G10" i="11"/>
  <c r="H10" i="11"/>
  <c r="I9" i="11"/>
  <c r="L8" i="11"/>
  <c r="G8" i="11"/>
  <c r="M48" i="11"/>
  <c r="O52" i="11"/>
  <c r="F168" i="11"/>
  <c r="H168" i="11" s="1"/>
  <c r="K109" i="11"/>
  <c r="H109" i="11"/>
  <c r="K108" i="11"/>
  <c r="H108" i="11"/>
  <c r="G73" i="11"/>
  <c r="G69" i="11"/>
  <c r="G54" i="11"/>
  <c r="J29" i="11"/>
  <c r="K28" i="11"/>
  <c r="L28" i="11"/>
  <c r="G13" i="11"/>
  <c r="I12" i="11"/>
  <c r="G9" i="11"/>
  <c r="J8" i="11"/>
  <c r="O48" i="11"/>
  <c r="N52" i="11"/>
  <c r="L187" i="11"/>
  <c r="K114" i="11"/>
  <c r="G113" i="11"/>
  <c r="G112" i="11"/>
  <c r="K110" i="11"/>
  <c r="H71" i="11"/>
  <c r="G52" i="11"/>
  <c r="K51" i="11"/>
  <c r="H50" i="11"/>
  <c r="K14" i="11"/>
  <c r="G12" i="11"/>
  <c r="I176" i="11"/>
  <c r="T176" i="11" s="1"/>
  <c r="M176" i="11"/>
  <c r="M173" i="11"/>
  <c r="I173" i="11"/>
  <c r="T173" i="11" s="1"/>
  <c r="I175" i="11"/>
  <c r="T175" i="11" s="1"/>
  <c r="M175" i="11"/>
  <c r="K88" i="11"/>
  <c r="K89" i="11"/>
  <c r="K90" i="11"/>
  <c r="K91" i="11"/>
  <c r="K92" i="11"/>
  <c r="K93" i="11"/>
  <c r="K94" i="11"/>
  <c r="I174" i="11"/>
  <c r="T174" i="11" s="1"/>
  <c r="M174" i="11"/>
  <c r="L88" i="11"/>
  <c r="J88" i="11"/>
  <c r="H88" i="11"/>
  <c r="L89" i="11"/>
  <c r="J89" i="11"/>
  <c r="H89" i="11"/>
  <c r="L90" i="11"/>
  <c r="J90" i="11"/>
  <c r="H90" i="11"/>
  <c r="L91" i="11"/>
  <c r="J91" i="11"/>
  <c r="H91" i="11"/>
  <c r="L92" i="11"/>
  <c r="J92" i="11"/>
  <c r="H92" i="11"/>
  <c r="L93" i="11"/>
  <c r="J93" i="11"/>
  <c r="H93" i="11"/>
  <c r="L94" i="11"/>
  <c r="J94" i="11"/>
  <c r="H94" i="11"/>
  <c r="G132" i="11"/>
  <c r="G128" i="11"/>
  <c r="G153" i="11"/>
  <c r="G151" i="11"/>
  <c r="G149" i="11"/>
  <c r="G145" i="11"/>
  <c r="F154" i="11"/>
  <c r="F150" i="11"/>
  <c r="F145" i="11"/>
  <c r="F131" i="11"/>
  <c r="F153" i="11"/>
  <c r="F149" i="11"/>
  <c r="F132" i="11"/>
  <c r="P145" i="11"/>
  <c r="M132" i="11"/>
  <c r="P154" i="11"/>
  <c r="P148" i="11"/>
  <c r="P151" i="11"/>
  <c r="P132" i="11"/>
  <c r="M128" i="11"/>
  <c r="I125" i="11"/>
  <c r="I128" i="11" s="1"/>
  <c r="P134" i="11"/>
  <c r="J145" i="11"/>
  <c r="P153" i="11"/>
  <c r="L168" i="11"/>
  <c r="L172" i="11"/>
  <c r="K189" i="11"/>
  <c r="K193" i="11"/>
  <c r="K197" i="11"/>
  <c r="F169" i="11"/>
  <c r="H169" i="11" s="1"/>
  <c r="F171" i="11"/>
  <c r="H171" i="11" s="1"/>
  <c r="I171" i="11" s="1"/>
  <c r="T171" i="11" s="1"/>
  <c r="J170" i="11"/>
  <c r="J174" i="11"/>
  <c r="J176" i="11"/>
  <c r="K188" i="11"/>
  <c r="K196" i="11"/>
  <c r="J169" i="11"/>
  <c r="J173" i="11"/>
  <c r="J171" i="11"/>
  <c r="K194" i="11"/>
  <c r="J175" i="11"/>
  <c r="G88" i="11"/>
  <c r="I88" i="11"/>
  <c r="G89" i="11"/>
  <c r="I89" i="11"/>
  <c r="G90" i="11"/>
  <c r="I90" i="11"/>
  <c r="G91" i="11"/>
  <c r="I91" i="11"/>
  <c r="G92" i="11"/>
  <c r="I92" i="11"/>
  <c r="G93" i="11"/>
  <c r="I93" i="11"/>
  <c r="G94" i="11"/>
  <c r="I94" i="11"/>
  <c r="U188" i="11"/>
  <c r="V188" i="11" s="1"/>
  <c r="U190" i="11"/>
  <c r="V190" i="11" s="1"/>
  <c r="U192" i="11"/>
  <c r="V192" i="11" s="1"/>
  <c r="U194" i="11"/>
  <c r="V194" i="11" s="1"/>
  <c r="U196" i="11"/>
  <c r="V196" i="11" s="1"/>
  <c r="U187" i="11"/>
  <c r="V187" i="11" s="1"/>
  <c r="U189" i="11"/>
  <c r="V189" i="11" s="1"/>
  <c r="U191" i="11"/>
  <c r="V191" i="11" s="1"/>
  <c r="U193" i="11"/>
  <c r="V193" i="11" s="1"/>
  <c r="U195" i="11"/>
  <c r="V195" i="11" s="1"/>
  <c r="U197" i="11"/>
  <c r="V197" i="11" s="1"/>
  <c r="I132" i="11"/>
  <c r="I153" i="11"/>
  <c r="I149" i="11"/>
  <c r="M169" i="11"/>
  <c r="I169" i="11"/>
  <c r="T169" i="11" s="1"/>
  <c r="I170" i="11"/>
  <c r="T170" i="11" s="1"/>
  <c r="M170" i="11"/>
  <c r="I172" i="11"/>
  <c r="T172" i="11" s="1"/>
  <c r="W172" i="11" s="1"/>
  <c r="M172" i="11"/>
  <c r="U172" i="11"/>
  <c r="V172" i="11"/>
  <c r="F178" i="11"/>
  <c r="G178" i="11"/>
  <c r="J178" i="11"/>
  <c r="I168" i="11"/>
  <c r="T168" i="11" s="1"/>
  <c r="W168" i="11" s="1"/>
  <c r="M168" i="11"/>
  <c r="L145" i="11"/>
  <c r="L152" i="11"/>
  <c r="L131" i="11"/>
  <c r="L149" i="11"/>
  <c r="L128" i="11"/>
  <c r="L132" i="11"/>
  <c r="L148" i="11"/>
  <c r="L154" i="11"/>
  <c r="L150" i="11"/>
  <c r="L133" i="11"/>
  <c r="L129" i="11"/>
  <c r="L153" i="11"/>
  <c r="L151" i="11"/>
  <c r="L130" i="11"/>
  <c r="L134" i="11"/>
  <c r="F6" i="30"/>
  <c r="E6" i="30"/>
  <c r="H128" i="11"/>
  <c r="H132" i="11"/>
  <c r="H129" i="11"/>
  <c r="H133" i="11"/>
  <c r="H148" i="11"/>
  <c r="H152" i="11"/>
  <c r="H149" i="11"/>
  <c r="H153" i="11"/>
  <c r="H130" i="11"/>
  <c r="H134" i="11"/>
  <c r="H131" i="11"/>
  <c r="H145" i="11"/>
  <c r="H150" i="11"/>
  <c r="H154" i="11"/>
  <c r="H151" i="11"/>
  <c r="B7" i="30"/>
  <c r="AN39" i="15"/>
  <c r="AN37" i="15"/>
  <c r="AN35" i="15"/>
  <c r="AN40" i="15"/>
  <c r="AN38" i="15"/>
  <c r="AN36" i="15"/>
  <c r="AN34" i="15"/>
  <c r="AI40" i="15"/>
  <c r="AM38" i="15"/>
  <c r="AI36" i="15"/>
  <c r="AM34" i="15"/>
  <c r="AI32" i="15"/>
  <c r="AI30" i="15"/>
  <c r="AL30" i="15" s="1"/>
  <c r="AN33" i="15"/>
  <c r="AJ33" i="15"/>
  <c r="AN32" i="15"/>
  <c r="AJ32" i="15"/>
  <c r="AN31" i="15"/>
  <c r="AJ31" i="15"/>
  <c r="AN30" i="15"/>
  <c r="AJ30" i="15"/>
  <c r="AN29" i="15"/>
  <c r="AJ29" i="15"/>
  <c r="AN28" i="15"/>
  <c r="AJ28" i="15"/>
  <c r="AI26" i="15"/>
  <c r="AL26" i="15" s="1"/>
  <c r="AI22" i="15"/>
  <c r="AL22" i="15" s="1"/>
  <c r="AI18" i="15"/>
  <c r="AL18" i="15" s="1"/>
  <c r="AI14" i="15"/>
  <c r="AL14" i="15" s="1"/>
  <c r="CF8" i="15"/>
  <c r="CF10" i="15" s="1"/>
  <c r="AI39" i="15"/>
  <c r="AM37" i="15"/>
  <c r="AI35" i="15"/>
  <c r="AM33" i="15"/>
  <c r="AI31" i="15"/>
  <c r="AN26" i="15"/>
  <c r="AN24" i="15"/>
  <c r="AN22" i="15"/>
  <c r="AN20" i="15"/>
  <c r="AN18" i="15"/>
  <c r="AN27" i="15"/>
  <c r="AN25" i="15"/>
  <c r="AN23" i="15"/>
  <c r="AN21" i="15"/>
  <c r="AN19" i="15"/>
  <c r="AN17" i="15"/>
  <c r="AI27" i="15"/>
  <c r="AL27" i="15" s="1"/>
  <c r="AI23" i="15"/>
  <c r="AL23" i="15" s="1"/>
  <c r="AI19" i="15"/>
  <c r="AL19" i="15" s="1"/>
  <c r="AI15" i="15"/>
  <c r="AM15" i="15" s="1"/>
  <c r="AI11" i="15"/>
  <c r="AM11" i="15" s="1"/>
  <c r="AJ39" i="15"/>
  <c r="AJ37" i="15"/>
  <c r="AJ35" i="15"/>
  <c r="AJ40" i="15"/>
  <c r="AJ38" i="15"/>
  <c r="AJ36" i="15"/>
  <c r="AJ34" i="15"/>
  <c r="AM40" i="15"/>
  <c r="AI38" i="15"/>
  <c r="AM36" i="15"/>
  <c r="AI34" i="15"/>
  <c r="AM32" i="15"/>
  <c r="AI28" i="15"/>
  <c r="AL33" i="15"/>
  <c r="AL32" i="15"/>
  <c r="AL31" i="15"/>
  <c r="AI24" i="15"/>
  <c r="AM24" i="15" s="1"/>
  <c r="AI20" i="15"/>
  <c r="AI16" i="15"/>
  <c r="AM16" i="15" s="1"/>
  <c r="AI12" i="15"/>
  <c r="AM31" i="15"/>
  <c r="CE8" i="15"/>
  <c r="CE10" i="15" s="1"/>
  <c r="AL39" i="15"/>
  <c r="AL37" i="15"/>
  <c r="AL35" i="15"/>
  <c r="AL40" i="15"/>
  <c r="AL38" i="15"/>
  <c r="AL36" i="15"/>
  <c r="AL34" i="15"/>
  <c r="AM39" i="15"/>
  <c r="AI37" i="15"/>
  <c r="AM35" i="15"/>
  <c r="AI33" i="15"/>
  <c r="AI29" i="15"/>
  <c r="AJ26" i="15"/>
  <c r="AJ24" i="15"/>
  <c r="AJ22" i="15"/>
  <c r="AJ20" i="15"/>
  <c r="AJ18" i="15"/>
  <c r="AJ27" i="15"/>
  <c r="AJ25" i="15"/>
  <c r="AJ23" i="15"/>
  <c r="AJ21" i="15"/>
  <c r="AJ19" i="15"/>
  <c r="AJ17" i="15"/>
  <c r="AI25" i="15"/>
  <c r="AI21" i="15"/>
  <c r="AI17" i="15"/>
  <c r="AI13" i="15"/>
  <c r="AN16" i="15"/>
  <c r="AJ16" i="15"/>
  <c r="AN15" i="15"/>
  <c r="AJ15" i="15"/>
  <c r="AN14" i="15"/>
  <c r="AJ14" i="15"/>
  <c r="AN13" i="15"/>
  <c r="AJ13" i="15"/>
  <c r="AN12" i="15"/>
  <c r="AJ12" i="15"/>
  <c r="AN11" i="15"/>
  <c r="AJ11" i="15"/>
  <c r="CG8" i="15"/>
  <c r="CG10" i="15" s="1"/>
  <c r="L8" i="30" l="1"/>
  <c r="K8" i="30"/>
  <c r="E10" i="30"/>
  <c r="F10" i="30"/>
  <c r="T22" i="30"/>
  <c r="T20" i="30"/>
  <c r="T45" i="30" s="1"/>
  <c r="M171" i="11"/>
  <c r="O28" i="11"/>
  <c r="M28" i="11"/>
  <c r="N28" i="11"/>
  <c r="M8" i="11"/>
  <c r="N8" i="11"/>
  <c r="O8" i="11"/>
  <c r="O73" i="11"/>
  <c r="M73" i="11"/>
  <c r="N73" i="11"/>
  <c r="B23" i="30"/>
  <c r="B46" i="30" s="1"/>
  <c r="B25" i="30"/>
  <c r="V22" i="30"/>
  <c r="V20" i="30"/>
  <c r="V45" i="30" s="1"/>
  <c r="W20" i="30"/>
  <c r="W45" i="30" s="1"/>
  <c r="W22" i="30"/>
  <c r="O25" i="30"/>
  <c r="O23" i="30"/>
  <c r="O46" i="30" s="1"/>
  <c r="R29" i="30"/>
  <c r="R48" i="30" s="1"/>
  <c r="R31" i="30"/>
  <c r="N29" i="30"/>
  <c r="N48" i="30" s="1"/>
  <c r="N31" i="30"/>
  <c r="M29" i="11"/>
  <c r="O29" i="11"/>
  <c r="N29" i="11"/>
  <c r="J23" i="30"/>
  <c r="J46" i="30" s="1"/>
  <c r="J25" i="30"/>
  <c r="F31" i="30"/>
  <c r="F29" i="30"/>
  <c r="F48" i="30" s="1"/>
  <c r="L173" i="11"/>
  <c r="K173" i="11"/>
  <c r="S173" i="11" s="1"/>
  <c r="K176" i="11"/>
  <c r="S176" i="11" s="1"/>
  <c r="L176" i="11"/>
  <c r="K170" i="11"/>
  <c r="S170" i="11" s="1"/>
  <c r="L170" i="11"/>
  <c r="N93" i="11"/>
  <c r="O93" i="11"/>
  <c r="M93" i="11"/>
  <c r="N91" i="11"/>
  <c r="O91" i="11"/>
  <c r="M91" i="11"/>
  <c r="N89" i="11"/>
  <c r="O89" i="11"/>
  <c r="M89" i="11"/>
  <c r="AM30" i="15"/>
  <c r="W170" i="11"/>
  <c r="I145" i="11"/>
  <c r="I151" i="11"/>
  <c r="W175" i="11"/>
  <c r="W176" i="11"/>
  <c r="L175" i="11"/>
  <c r="K175" i="11"/>
  <c r="S175" i="11" s="1"/>
  <c r="K171" i="11"/>
  <c r="S171" i="11" s="1"/>
  <c r="L171" i="11"/>
  <c r="K169" i="11"/>
  <c r="S169" i="11" s="1"/>
  <c r="U169" i="11" s="1"/>
  <c r="L169" i="11"/>
  <c r="K174" i="11"/>
  <c r="S174" i="11" s="1"/>
  <c r="W174" i="11" s="1"/>
  <c r="L174" i="11"/>
  <c r="J148" i="11"/>
  <c r="K148" i="11" s="1"/>
  <c r="J151" i="11"/>
  <c r="K151" i="11" s="1"/>
  <c r="J150" i="11"/>
  <c r="K150" i="11" s="1"/>
  <c r="J154" i="11"/>
  <c r="K154" i="11" s="1"/>
  <c r="J149" i="11"/>
  <c r="K149" i="11" s="1"/>
  <c r="J153" i="11"/>
  <c r="K153" i="11" s="1"/>
  <c r="J152" i="11"/>
  <c r="K152" i="11" s="1"/>
  <c r="I131" i="11"/>
  <c r="I129" i="11"/>
  <c r="I148" i="11"/>
  <c r="I152" i="11"/>
  <c r="I130" i="11"/>
  <c r="I133" i="11"/>
  <c r="I150" i="11"/>
  <c r="I154" i="11"/>
  <c r="I134" i="11"/>
  <c r="N94" i="11"/>
  <c r="O94" i="11"/>
  <c r="M94" i="11"/>
  <c r="N92" i="11"/>
  <c r="O92" i="11"/>
  <c r="M92" i="11"/>
  <c r="N90" i="11"/>
  <c r="O90" i="11"/>
  <c r="M90" i="11"/>
  <c r="N88" i="11"/>
  <c r="O88" i="11"/>
  <c r="M88" i="11"/>
  <c r="W169" i="11"/>
  <c r="P175" i="11"/>
  <c r="P176" i="11"/>
  <c r="AK34" i="15"/>
  <c r="AO34" i="15" s="1"/>
  <c r="AP34" i="15" s="1"/>
  <c r="AQ34" i="15" s="1"/>
  <c r="AK38" i="15"/>
  <c r="AO38" i="15" s="1"/>
  <c r="AP38" i="15" s="1"/>
  <c r="AM23" i="15"/>
  <c r="AL15" i="15"/>
  <c r="V169" i="11"/>
  <c r="AM22" i="15"/>
  <c r="AK22" i="15" s="1"/>
  <c r="AO22" i="15" s="1"/>
  <c r="AP22" i="15" s="1"/>
  <c r="AM14" i="15"/>
  <c r="AK14" i="15" s="1"/>
  <c r="AO14" i="15" s="1"/>
  <c r="AP14" i="15" s="1"/>
  <c r="AM26" i="15"/>
  <c r="AM18" i="15"/>
  <c r="AK18" i="15" s="1"/>
  <c r="AO18" i="15" s="1"/>
  <c r="AP18" i="15" s="1"/>
  <c r="AK33" i="15"/>
  <c r="AO33" i="15" s="1"/>
  <c r="AP33" i="15" s="1"/>
  <c r="AQ33" i="15" s="1"/>
  <c r="O168" i="11"/>
  <c r="N168" i="11"/>
  <c r="P168" i="11"/>
  <c r="K178" i="11"/>
  <c r="S178" i="11" s="1"/>
  <c r="L178" i="11"/>
  <c r="Y172" i="11"/>
  <c r="X172" i="11"/>
  <c r="N169" i="11"/>
  <c r="P169" i="11"/>
  <c r="O169" i="11"/>
  <c r="H178" i="11"/>
  <c r="U168" i="11"/>
  <c r="F7" i="30"/>
  <c r="E7" i="30"/>
  <c r="X169" i="11"/>
  <c r="Y169" i="11"/>
  <c r="O172" i="11"/>
  <c r="N172" i="11"/>
  <c r="P172" i="11"/>
  <c r="O170" i="11"/>
  <c r="N170" i="11"/>
  <c r="P170" i="11"/>
  <c r="N171" i="11"/>
  <c r="P171" i="11"/>
  <c r="O171" i="11"/>
  <c r="V168" i="11"/>
  <c r="AK37" i="15"/>
  <c r="AO37" i="15" s="1"/>
  <c r="AP37" i="15" s="1"/>
  <c r="AQ37" i="15" s="1"/>
  <c r="AM19" i="15"/>
  <c r="AM27" i="15"/>
  <c r="AL11" i="15"/>
  <c r="AK11" i="15" s="1"/>
  <c r="AO11" i="15" s="1"/>
  <c r="AP11" i="15" s="1"/>
  <c r="AK35" i="15"/>
  <c r="AO35" i="15" s="1"/>
  <c r="AP35" i="15" s="1"/>
  <c r="AQ35" i="15" s="1"/>
  <c r="AK39" i="15"/>
  <c r="AO39" i="15" s="1"/>
  <c r="AP39" i="15" s="1"/>
  <c r="AQ39" i="15" s="1"/>
  <c r="AK23" i="15"/>
  <c r="AO23" i="15" s="1"/>
  <c r="AP23" i="15" s="1"/>
  <c r="AK36" i="15"/>
  <c r="AO36" i="15" s="1"/>
  <c r="AP36" i="15" s="1"/>
  <c r="AQ36" i="15" s="1"/>
  <c r="AK40" i="15"/>
  <c r="AO40" i="15" s="1"/>
  <c r="AP40" i="15" s="1"/>
  <c r="AQ40" i="15" s="1"/>
  <c r="AK19" i="15"/>
  <c r="AO19" i="15" s="1"/>
  <c r="AP19" i="15" s="1"/>
  <c r="AQ19" i="15" s="1"/>
  <c r="AK27" i="15"/>
  <c r="AO27" i="15" s="1"/>
  <c r="AP27" i="15" s="1"/>
  <c r="AK30" i="15"/>
  <c r="AO30" i="15" s="1"/>
  <c r="AP30" i="15" s="1"/>
  <c r="AK32" i="15"/>
  <c r="AO32" i="15" s="1"/>
  <c r="AP32" i="15" s="1"/>
  <c r="AQ32" i="15" s="1"/>
  <c r="AK15" i="15"/>
  <c r="AO15" i="15" s="1"/>
  <c r="AP15" i="15" s="1"/>
  <c r="AQ15" i="15" s="1"/>
  <c r="AK31" i="15"/>
  <c r="AO31" i="15" s="1"/>
  <c r="AP31" i="15" s="1"/>
  <c r="AK26" i="15"/>
  <c r="AO26" i="15" s="1"/>
  <c r="AP26" i="15" s="1"/>
  <c r="AQ26" i="15" s="1"/>
  <c r="AQ38" i="15"/>
  <c r="AQ11" i="15"/>
  <c r="AQ23" i="15"/>
  <c r="AQ27" i="15"/>
  <c r="AQ30" i="15"/>
  <c r="AL28" i="15"/>
  <c r="AM12" i="15"/>
  <c r="AM20" i="15"/>
  <c r="AM28" i="15"/>
  <c r="AL12" i="15"/>
  <c r="AL16" i="15"/>
  <c r="AK16" i="15" s="1"/>
  <c r="AO16" i="15" s="1"/>
  <c r="AP16" i="15" s="1"/>
  <c r="AQ16" i="15" s="1"/>
  <c r="AM13" i="15"/>
  <c r="AM21" i="15"/>
  <c r="AM29" i="15"/>
  <c r="AL17" i="15"/>
  <c r="AL21" i="15"/>
  <c r="AL25" i="15"/>
  <c r="AQ31" i="15"/>
  <c r="AQ14" i="15"/>
  <c r="AQ18" i="15"/>
  <c r="AQ22" i="15"/>
  <c r="AL29" i="15"/>
  <c r="AL13" i="15"/>
  <c r="AM17" i="15"/>
  <c r="AM25" i="15"/>
  <c r="AL20" i="15"/>
  <c r="AL24" i="15"/>
  <c r="AK24" i="15" s="1"/>
  <c r="AO24" i="15" s="1"/>
  <c r="AP24" i="15" s="1"/>
  <c r="AQ24" i="15" s="1"/>
  <c r="AT30" i="15" l="1"/>
  <c r="AX30" i="15"/>
  <c r="BK30" i="15" s="1"/>
  <c r="AU30" i="15"/>
  <c r="AY30" i="15"/>
  <c r="AR30" i="15"/>
  <c r="AV30" i="15"/>
  <c r="AZ30" i="15"/>
  <c r="AS30" i="15"/>
  <c r="AW30" i="15"/>
  <c r="AT38" i="15"/>
  <c r="AX38" i="15"/>
  <c r="BK38" i="15" s="1"/>
  <c r="AR38" i="15"/>
  <c r="AV38" i="15"/>
  <c r="AU38" i="15"/>
  <c r="AY38" i="15"/>
  <c r="AZ38" i="15"/>
  <c r="AS38" i="15"/>
  <c r="AW38" i="15"/>
  <c r="AT32" i="15"/>
  <c r="AX32" i="15"/>
  <c r="BK32" i="15" s="1"/>
  <c r="AU32" i="15"/>
  <c r="AY32" i="15"/>
  <c r="AR32" i="15"/>
  <c r="AV32" i="15"/>
  <c r="AZ32" i="15"/>
  <c r="AS32" i="15"/>
  <c r="AW32" i="15"/>
  <c r="AT40" i="15"/>
  <c r="AX40" i="15"/>
  <c r="BK40" i="15" s="1"/>
  <c r="AR40" i="15"/>
  <c r="BB40" i="15" s="1"/>
  <c r="AV40" i="15"/>
  <c r="AU40" i="15"/>
  <c r="AY40" i="15"/>
  <c r="AZ40" i="15"/>
  <c r="AS40" i="15"/>
  <c r="AW40" i="15"/>
  <c r="AR35" i="15"/>
  <c r="AV35" i="15"/>
  <c r="AZ35" i="15"/>
  <c r="AT35" i="15"/>
  <c r="AS35" i="15"/>
  <c r="AW35" i="15"/>
  <c r="AX35" i="15"/>
  <c r="BK35" i="15" s="1"/>
  <c r="AU35" i="15"/>
  <c r="AY35" i="15"/>
  <c r="AR37" i="15"/>
  <c r="AV37" i="15"/>
  <c r="AZ37" i="15"/>
  <c r="AT37" i="15"/>
  <c r="AS37" i="15"/>
  <c r="AW37" i="15"/>
  <c r="AX37" i="15"/>
  <c r="BK37" i="15" s="1"/>
  <c r="AU37" i="15"/>
  <c r="AY37" i="15"/>
  <c r="AT34" i="15"/>
  <c r="AX34" i="15"/>
  <c r="BK34" i="15" s="1"/>
  <c r="AR34" i="15"/>
  <c r="AZ34" i="15"/>
  <c r="AU34" i="15"/>
  <c r="AY34" i="15"/>
  <c r="AV34" i="15"/>
  <c r="AS34" i="15"/>
  <c r="AW34" i="15"/>
  <c r="AR27" i="15"/>
  <c r="AV27" i="15"/>
  <c r="AZ27" i="15"/>
  <c r="AS27" i="15"/>
  <c r="AW27" i="15"/>
  <c r="AT27" i="15"/>
  <c r="AX27" i="15"/>
  <c r="BK27" i="15" s="1"/>
  <c r="AU27" i="15"/>
  <c r="AY27" i="15"/>
  <c r="AT26" i="15"/>
  <c r="AX26" i="15"/>
  <c r="BK26" i="15" s="1"/>
  <c r="AU26" i="15"/>
  <c r="AY26" i="15"/>
  <c r="AR26" i="15"/>
  <c r="AV26" i="15"/>
  <c r="AZ26" i="15"/>
  <c r="AS26" i="15"/>
  <c r="AW26" i="15"/>
  <c r="BK36" i="15"/>
  <c r="AT36" i="15"/>
  <c r="AX36" i="15"/>
  <c r="AV36" i="15"/>
  <c r="AU36" i="15"/>
  <c r="AY36" i="15"/>
  <c r="AR36" i="15"/>
  <c r="AZ36" i="15"/>
  <c r="AS36" i="15"/>
  <c r="AW36" i="15"/>
  <c r="AT22" i="15"/>
  <c r="AX22" i="15"/>
  <c r="AU22" i="15"/>
  <c r="AY22" i="15"/>
  <c r="AR22" i="15"/>
  <c r="AV22" i="15"/>
  <c r="AZ22" i="15"/>
  <c r="AS22" i="15"/>
  <c r="AW22" i="15"/>
  <c r="AT18" i="15"/>
  <c r="AX18" i="15"/>
  <c r="BK18" i="15" s="1"/>
  <c r="AU18" i="15"/>
  <c r="AY18" i="15"/>
  <c r="AR18" i="15"/>
  <c r="AV18" i="15"/>
  <c r="AZ18" i="15"/>
  <c r="AS18" i="15"/>
  <c r="AW18" i="15"/>
  <c r="AT24" i="15"/>
  <c r="AX24" i="15"/>
  <c r="BK24" i="15" s="1"/>
  <c r="AU24" i="15"/>
  <c r="AY24" i="15"/>
  <c r="AR24" i="15"/>
  <c r="AV24" i="15"/>
  <c r="AZ24" i="15"/>
  <c r="AS24" i="15"/>
  <c r="AW24" i="15"/>
  <c r="AT14" i="15"/>
  <c r="AX14" i="15"/>
  <c r="BK14" i="15" s="1"/>
  <c r="AU14" i="15"/>
  <c r="AY14" i="15"/>
  <c r="AR14" i="15"/>
  <c r="AV14" i="15"/>
  <c r="AZ14" i="15"/>
  <c r="AS14" i="15"/>
  <c r="AW14" i="15"/>
  <c r="AT16" i="15"/>
  <c r="AX16" i="15"/>
  <c r="BK16" i="15" s="1"/>
  <c r="AU16" i="15"/>
  <c r="AY16" i="15"/>
  <c r="AR16" i="15"/>
  <c r="AV16" i="15"/>
  <c r="AZ16" i="15"/>
  <c r="AS16" i="15"/>
  <c r="AW16" i="15"/>
  <c r="AR23" i="15"/>
  <c r="AV23" i="15"/>
  <c r="AZ23" i="15"/>
  <c r="AS23" i="15"/>
  <c r="AW23" i="15"/>
  <c r="AT23" i="15"/>
  <c r="AX23" i="15"/>
  <c r="BK23" i="15" s="1"/>
  <c r="AU23" i="15"/>
  <c r="AY23" i="15"/>
  <c r="AR31" i="15"/>
  <c r="AV31" i="15"/>
  <c r="AZ31" i="15"/>
  <c r="AS31" i="15"/>
  <c r="AW31" i="15"/>
  <c r="AT31" i="15"/>
  <c r="AX31" i="15"/>
  <c r="BK31" i="15" s="1"/>
  <c r="AU31" i="15"/>
  <c r="AY31" i="15"/>
  <c r="AR11" i="15"/>
  <c r="AV11" i="15"/>
  <c r="AZ11" i="15"/>
  <c r="AS11" i="15"/>
  <c r="AW11" i="15"/>
  <c r="AT11" i="15"/>
  <c r="AX11" i="15"/>
  <c r="AU11" i="15"/>
  <c r="AY11" i="15"/>
  <c r="AR15" i="15"/>
  <c r="AV15" i="15"/>
  <c r="AZ15" i="15"/>
  <c r="AS15" i="15"/>
  <c r="AW15" i="15"/>
  <c r="AT15" i="15"/>
  <c r="AX15" i="15"/>
  <c r="BK15" i="15" s="1"/>
  <c r="AU15" i="15"/>
  <c r="AY15" i="15"/>
  <c r="AR19" i="15"/>
  <c r="AV19" i="15"/>
  <c r="AZ19" i="15"/>
  <c r="AS19" i="15"/>
  <c r="AW19" i="15"/>
  <c r="AT19" i="15"/>
  <c r="AX19" i="15"/>
  <c r="BK19" i="15" s="1"/>
  <c r="AU19" i="15"/>
  <c r="AY19" i="15"/>
  <c r="AR39" i="15"/>
  <c r="AV39" i="15"/>
  <c r="AZ39" i="15"/>
  <c r="AT39" i="15"/>
  <c r="AS39" i="15"/>
  <c r="AW39" i="15"/>
  <c r="AX39" i="15"/>
  <c r="BK39" i="15" s="1"/>
  <c r="AU39" i="15"/>
  <c r="AY39" i="15"/>
  <c r="AR33" i="15"/>
  <c r="AV33" i="15"/>
  <c r="AZ33" i="15"/>
  <c r="AS33" i="15"/>
  <c r="AW33" i="15"/>
  <c r="AT33" i="15"/>
  <c r="AX33" i="15"/>
  <c r="BK33" i="15" s="1"/>
  <c r="AU33" i="15"/>
  <c r="AY33" i="15"/>
  <c r="N32" i="30"/>
  <c r="N49" i="30" s="1"/>
  <c r="N34" i="30"/>
  <c r="O28" i="30"/>
  <c r="O26" i="30"/>
  <c r="O47" i="30" s="1"/>
  <c r="V23" i="30"/>
  <c r="V46" i="30" s="1"/>
  <c r="V25" i="30"/>
  <c r="F32" i="30"/>
  <c r="F49" i="30" s="1"/>
  <c r="F34" i="30"/>
  <c r="R32" i="30"/>
  <c r="R49" i="30" s="1"/>
  <c r="R34" i="30"/>
  <c r="W23" i="30"/>
  <c r="W46" i="30" s="1"/>
  <c r="W25" i="30"/>
  <c r="B28" i="30"/>
  <c r="B26" i="30"/>
  <c r="B47" i="30" s="1"/>
  <c r="J28" i="30"/>
  <c r="J26" i="30"/>
  <c r="J47" i="30" s="1"/>
  <c r="T23" i="30"/>
  <c r="T46" i="30" s="1"/>
  <c r="T25" i="30"/>
  <c r="N174" i="11"/>
  <c r="O174" i="11"/>
  <c r="V175" i="11"/>
  <c r="U175" i="11"/>
  <c r="U170" i="11"/>
  <c r="V170" i="11"/>
  <c r="U176" i="11"/>
  <c r="V176" i="11"/>
  <c r="P173" i="11"/>
  <c r="N173" i="11"/>
  <c r="O173" i="11"/>
  <c r="P174" i="11"/>
  <c r="V174" i="11"/>
  <c r="U174" i="11"/>
  <c r="V171" i="11"/>
  <c r="U171" i="11"/>
  <c r="N175" i="11"/>
  <c r="R175" i="11" s="1"/>
  <c r="O175" i="11"/>
  <c r="N176" i="11"/>
  <c r="O176" i="11"/>
  <c r="U173" i="11"/>
  <c r="W173" i="11"/>
  <c r="V173" i="11"/>
  <c r="W171" i="11"/>
  <c r="Q171" i="11"/>
  <c r="R171" i="11"/>
  <c r="Q170" i="11"/>
  <c r="R170" i="11"/>
  <c r="I178" i="11"/>
  <c r="T178" i="11" s="1"/>
  <c r="V178" i="11" s="1"/>
  <c r="M178" i="11"/>
  <c r="P178" i="11" s="1"/>
  <c r="R172" i="11"/>
  <c r="Q172" i="11"/>
  <c r="Y168" i="11"/>
  <c r="X168" i="11"/>
  <c r="Q169" i="11"/>
  <c r="R169" i="11"/>
  <c r="E15" i="30"/>
  <c r="E19" i="30" s="1"/>
  <c r="M15" i="30"/>
  <c r="M19" i="30" s="1"/>
  <c r="U15" i="30"/>
  <c r="U19" i="30" s="1"/>
  <c r="R168" i="11"/>
  <c r="Q168" i="11"/>
  <c r="BK22" i="15"/>
  <c r="AK13" i="15"/>
  <c r="AO13" i="15" s="1"/>
  <c r="AP13" i="15" s="1"/>
  <c r="AQ13" i="15" s="1"/>
  <c r="BH30" i="15"/>
  <c r="BD24" i="15"/>
  <c r="BD16" i="15"/>
  <c r="BD32" i="15"/>
  <c r="BH36" i="15"/>
  <c r="BH19" i="15"/>
  <c r="BH34" i="15"/>
  <c r="AK20" i="15"/>
  <c r="AO20" i="15" s="1"/>
  <c r="AP20" i="15" s="1"/>
  <c r="AQ20" i="15" s="1"/>
  <c r="AK29" i="15"/>
  <c r="AO29" i="15" s="1"/>
  <c r="AP29" i="15" s="1"/>
  <c r="AQ29" i="15" s="1"/>
  <c r="BH31" i="15"/>
  <c r="BH26" i="15"/>
  <c r="AK17" i="15"/>
  <c r="AO17" i="15" s="1"/>
  <c r="AP17" i="15" s="1"/>
  <c r="AQ17" i="15" s="1"/>
  <c r="BH18" i="15"/>
  <c r="BH35" i="15"/>
  <c r="BH23" i="15"/>
  <c r="BI39" i="15"/>
  <c r="BH39" i="15"/>
  <c r="BI40" i="15"/>
  <c r="BI32" i="15"/>
  <c r="BH14" i="15"/>
  <c r="BI31" i="15"/>
  <c r="BI35" i="15"/>
  <c r="BY11" i="15"/>
  <c r="BI24" i="15"/>
  <c r="BH16" i="15"/>
  <c r="BI33" i="15"/>
  <c r="BI37" i="15"/>
  <c r="AK21" i="15"/>
  <c r="AO21" i="15" s="1"/>
  <c r="AP21" i="15" s="1"/>
  <c r="AQ21" i="15" s="1"/>
  <c r="AK12" i="15"/>
  <c r="AO12" i="15" s="1"/>
  <c r="AP12" i="15" s="1"/>
  <c r="AQ12" i="15" s="1"/>
  <c r="AK28" i="15"/>
  <c r="AO28" i="15" s="1"/>
  <c r="AP28" i="15" s="1"/>
  <c r="AQ28" i="15" s="1"/>
  <c r="BI36" i="15"/>
  <c r="BI19" i="15"/>
  <c r="BI34" i="15"/>
  <c r="BI38" i="15"/>
  <c r="BD37" i="15"/>
  <c r="AK25" i="15"/>
  <c r="AO25" i="15" s="1"/>
  <c r="AP25" i="15" s="1"/>
  <c r="AQ25" i="15" s="1"/>
  <c r="CC30" i="15"/>
  <c r="CB33" i="15"/>
  <c r="CC26" i="15"/>
  <c r="CD16" i="15"/>
  <c r="CC40" i="15"/>
  <c r="CC23" i="15"/>
  <c r="CB30" i="15"/>
  <c r="CC33" i="15"/>
  <c r="CB26" i="15"/>
  <c r="CB34" i="15"/>
  <c r="CD11" i="15"/>
  <c r="CB39" i="15"/>
  <c r="CC31" i="15"/>
  <c r="CD35" i="15"/>
  <c r="CD19" i="15"/>
  <c r="CC34" i="15"/>
  <c r="CD37" i="15"/>
  <c r="CC27" i="15"/>
  <c r="CB22" i="15"/>
  <c r="CC36" i="15"/>
  <c r="CB38" i="15"/>
  <c r="CD33" i="15"/>
  <c r="CD27" i="15"/>
  <c r="CC18" i="15"/>
  <c r="CB40" i="15"/>
  <c r="CB23" i="15"/>
  <c r="CB19" i="15"/>
  <c r="CB18" i="15"/>
  <c r="CC38" i="15"/>
  <c r="CD26" i="15"/>
  <c r="CC39" i="15"/>
  <c r="CC35" i="15"/>
  <c r="CB27" i="15"/>
  <c r="CD40" i="15"/>
  <c r="CC22" i="15"/>
  <c r="CB24" i="15"/>
  <c r="CB35" i="15"/>
  <c r="CC11" i="15"/>
  <c r="CD34" i="15"/>
  <c r="CD14" i="15"/>
  <c r="CC37" i="15"/>
  <c r="CD36" i="15"/>
  <c r="CC16" i="15"/>
  <c r="CD15" i="15"/>
  <c r="CD30" i="15"/>
  <c r="CB32" i="15"/>
  <c r="CB11" i="15"/>
  <c r="CB37" i="15"/>
  <c r="CC19" i="15"/>
  <c r="CD22" i="15"/>
  <c r="CD32" i="15"/>
  <c r="CD39" i="15"/>
  <c r="CC14" i="15"/>
  <c r="CB14" i="15"/>
  <c r="CB16" i="15"/>
  <c r="CC15" i="15"/>
  <c r="CD23" i="15"/>
  <c r="CD38" i="15"/>
  <c r="CB31" i="15"/>
  <c r="CB36" i="15"/>
  <c r="CD24" i="15"/>
  <c r="CC32" i="15"/>
  <c r="CC24" i="15"/>
  <c r="CB15" i="15"/>
  <c r="CD18" i="15"/>
  <c r="CD31" i="15"/>
  <c r="BH33" i="15" l="1"/>
  <c r="BB35" i="15"/>
  <c r="BB38" i="15"/>
  <c r="AT28" i="15"/>
  <c r="AX28" i="15"/>
  <c r="BK28" i="15" s="1"/>
  <c r="AU28" i="15"/>
  <c r="AY28" i="15"/>
  <c r="AR28" i="15"/>
  <c r="AV28" i="15"/>
  <c r="AZ28" i="15"/>
  <c r="AS28" i="15"/>
  <c r="AW28" i="15"/>
  <c r="AR17" i="15"/>
  <c r="AV17" i="15"/>
  <c r="AZ17" i="15"/>
  <c r="AS17" i="15"/>
  <c r="AW17" i="15"/>
  <c r="AT17" i="15"/>
  <c r="AX17" i="15"/>
  <c r="BK17" i="15" s="1"/>
  <c r="AU17" i="15"/>
  <c r="AY17" i="15"/>
  <c r="AR29" i="15"/>
  <c r="AV29" i="15"/>
  <c r="AZ29" i="15"/>
  <c r="BI29" i="15" s="1"/>
  <c r="AS29" i="15"/>
  <c r="AW29" i="15"/>
  <c r="AT29" i="15"/>
  <c r="AX29" i="15"/>
  <c r="BK29" i="15" s="1"/>
  <c r="AU29" i="15"/>
  <c r="AY29" i="15"/>
  <c r="BB39" i="15"/>
  <c r="BB15" i="15"/>
  <c r="BB27" i="15"/>
  <c r="BB34" i="15"/>
  <c r="BB37" i="15"/>
  <c r="AT20" i="15"/>
  <c r="AX20" i="15"/>
  <c r="BK20" i="15" s="1"/>
  <c r="AU20" i="15"/>
  <c r="AY20" i="15"/>
  <c r="AR20" i="15"/>
  <c r="AV20" i="15"/>
  <c r="AZ20" i="15"/>
  <c r="AS20" i="15"/>
  <c r="AW20" i="15"/>
  <c r="AR13" i="15"/>
  <c r="AV13" i="15"/>
  <c r="AZ13" i="15"/>
  <c r="AS13" i="15"/>
  <c r="AW13" i="15"/>
  <c r="AT13" i="15"/>
  <c r="AX13" i="15"/>
  <c r="AU13" i="15"/>
  <c r="AY13" i="15"/>
  <c r="BB23" i="15"/>
  <c r="BB14" i="15"/>
  <c r="BB18" i="15"/>
  <c r="AT12" i="15"/>
  <c r="AX12" i="15"/>
  <c r="BK12" i="15" s="1"/>
  <c r="AU12" i="15"/>
  <c r="AY12" i="15"/>
  <c r="AR12" i="15"/>
  <c r="AV12" i="15"/>
  <c r="AZ12" i="15"/>
  <c r="AS12" i="15"/>
  <c r="AW12" i="15"/>
  <c r="BK21" i="15"/>
  <c r="AR21" i="15"/>
  <c r="AV21" i="15"/>
  <c r="AZ21" i="15"/>
  <c r="AS21" i="15"/>
  <c r="AW21" i="15"/>
  <c r="AT21" i="15"/>
  <c r="AX21" i="15"/>
  <c r="AU21" i="15"/>
  <c r="AY21" i="15"/>
  <c r="BB33" i="15"/>
  <c r="BB19" i="15"/>
  <c r="BB11" i="15"/>
  <c r="BB26" i="15"/>
  <c r="BB32" i="15"/>
  <c r="BB30" i="15"/>
  <c r="BK25" i="15"/>
  <c r="AR25" i="15"/>
  <c r="AV25" i="15"/>
  <c r="AZ25" i="15"/>
  <c r="AS25" i="15"/>
  <c r="AW25" i="15"/>
  <c r="AT25" i="15"/>
  <c r="AX25" i="15"/>
  <c r="AU25" i="15"/>
  <c r="AY25" i="15"/>
  <c r="BB31" i="15"/>
  <c r="BB16" i="15"/>
  <c r="BB24" i="15"/>
  <c r="BB22" i="15"/>
  <c r="BB36" i="15"/>
  <c r="BX13" i="15"/>
  <c r="BN17" i="15"/>
  <c r="BD12" i="15"/>
  <c r="BH29" i="15"/>
  <c r="BX17" i="15"/>
  <c r="BK13" i="15"/>
  <c r="BT17" i="15"/>
  <c r="BM21" i="15"/>
  <c r="BH28" i="15"/>
  <c r="BD21" i="15"/>
  <c r="W26" i="30"/>
  <c r="W47" i="30" s="1"/>
  <c r="W28" i="30"/>
  <c r="F35" i="30"/>
  <c r="F50" i="30" s="1"/>
  <c r="F37" i="30"/>
  <c r="J29" i="30"/>
  <c r="J48" i="30" s="1"/>
  <c r="J31" i="30"/>
  <c r="O31" i="30"/>
  <c r="O29" i="30"/>
  <c r="O48" i="30" s="1"/>
  <c r="BD23" i="15"/>
  <c r="N178" i="11"/>
  <c r="Q175" i="11"/>
  <c r="T28" i="30"/>
  <c r="T26" i="30"/>
  <c r="T47" i="30" s="1"/>
  <c r="R35" i="30"/>
  <c r="R50" i="30" s="1"/>
  <c r="R37" i="30"/>
  <c r="V26" i="30"/>
  <c r="V47" i="30" s="1"/>
  <c r="V28" i="30"/>
  <c r="N37" i="30"/>
  <c r="N35" i="30"/>
  <c r="N50" i="30" s="1"/>
  <c r="B29" i="30"/>
  <c r="B48" i="30" s="1"/>
  <c r="B31" i="30"/>
  <c r="X173" i="11"/>
  <c r="Y173" i="11"/>
  <c r="Q176" i="11"/>
  <c r="R176" i="11"/>
  <c r="Y176" i="11"/>
  <c r="X176" i="11"/>
  <c r="Y170" i="11"/>
  <c r="X170" i="11"/>
  <c r="Q174" i="11"/>
  <c r="R174" i="11"/>
  <c r="O178" i="11"/>
  <c r="X171" i="11"/>
  <c r="Y171" i="11"/>
  <c r="X174" i="11"/>
  <c r="Y174" i="11"/>
  <c r="Q173" i="11"/>
  <c r="R173" i="11"/>
  <c r="Y175" i="11"/>
  <c r="X175" i="11"/>
  <c r="BH11" i="15"/>
  <c r="BK11" i="15"/>
  <c r="BR12" i="15"/>
  <c r="BV12" i="15" s="1"/>
  <c r="BX31" i="15"/>
  <c r="BT31" i="15"/>
  <c r="BX30" i="15"/>
  <c r="BW35" i="15"/>
  <c r="BT14" i="15"/>
  <c r="BW28" i="15"/>
  <c r="CA28" i="15" s="1"/>
  <c r="BT11" i="15"/>
  <c r="BR16" i="15"/>
  <c r="BT24" i="15"/>
  <c r="BT15" i="15"/>
  <c r="BR40" i="15"/>
  <c r="BY37" i="15"/>
  <c r="BY35" i="15"/>
  <c r="BR33" i="15"/>
  <c r="BT29" i="15"/>
  <c r="BD33" i="15"/>
  <c r="BX20" i="15"/>
  <c r="BX27" i="15"/>
  <c r="BW32" i="15"/>
  <c r="CA32" i="15" s="1"/>
  <c r="BH25" i="15"/>
  <c r="BX33" i="15"/>
  <c r="BX11" i="15"/>
  <c r="BR30" i="15"/>
  <c r="BV30" i="15" s="1"/>
  <c r="BT34" i="15"/>
  <c r="BW37" i="15"/>
  <c r="BW24" i="15"/>
  <c r="CA24" i="15" s="1"/>
  <c r="BX15" i="15"/>
  <c r="BT23" i="15"/>
  <c r="BD35" i="15"/>
  <c r="BX36" i="15"/>
  <c r="BX26" i="15"/>
  <c r="BX25" i="15"/>
  <c r="BX29" i="15"/>
  <c r="BX28" i="15"/>
  <c r="BX24" i="15"/>
  <c r="BX23" i="15"/>
  <c r="BX18" i="15"/>
  <c r="BT32" i="15"/>
  <c r="U20" i="30"/>
  <c r="U45" i="30" s="1"/>
  <c r="U22" i="30"/>
  <c r="E20" i="30"/>
  <c r="E45" i="30" s="1"/>
  <c r="E22" i="30"/>
  <c r="L56" i="30"/>
  <c r="T56" i="30"/>
  <c r="D56" i="30"/>
  <c r="C15" i="30"/>
  <c r="C19" i="30" s="1"/>
  <c r="K15" i="30"/>
  <c r="K19" i="30" s="1"/>
  <c r="S15" i="30"/>
  <c r="S19" i="30" s="1"/>
  <c r="W178" i="11"/>
  <c r="M20" i="30"/>
  <c r="M45" i="30" s="1"/>
  <c r="M22" i="30"/>
  <c r="Q178" i="11"/>
  <c r="C56" i="30"/>
  <c r="K56" i="30"/>
  <c r="R178" i="11"/>
  <c r="S56" i="30"/>
  <c r="U56" i="30"/>
  <c r="E56" i="30"/>
  <c r="M56" i="30"/>
  <c r="BY30" i="15"/>
  <c r="BT37" i="15"/>
  <c r="BT30" i="15"/>
  <c r="U178" i="11"/>
  <c r="BT35" i="15"/>
  <c r="BY14" i="15"/>
  <c r="BW16" i="15"/>
  <c r="CA16" i="15" s="1"/>
  <c r="BD28" i="15"/>
  <c r="BR37" i="15"/>
  <c r="BV37" i="15" s="1"/>
  <c r="BR35" i="15"/>
  <c r="BR32" i="15"/>
  <c r="BT33" i="15"/>
  <c r="BR24" i="15"/>
  <c r="BV24" i="15" s="1"/>
  <c r="BR23" i="15"/>
  <c r="BR26" i="15"/>
  <c r="BV26" i="15" s="1"/>
  <c r="BH17" i="15"/>
  <c r="BW25" i="15"/>
  <c r="CA25" i="15" s="1"/>
  <c r="BY25" i="15"/>
  <c r="BY29" i="15"/>
  <c r="BR28" i="15"/>
  <c r="BV28" i="15" s="1"/>
  <c r="BW33" i="15"/>
  <c r="CA33" i="15" s="1"/>
  <c r="BX12" i="15"/>
  <c r="BH12" i="15"/>
  <c r="BH15" i="15"/>
  <c r="BW23" i="15"/>
  <c r="CA23" i="15" s="1"/>
  <c r="BY23" i="15"/>
  <c r="BI26" i="15"/>
  <c r="BR27" i="15"/>
  <c r="BV27" i="15" s="1"/>
  <c r="BY39" i="15"/>
  <c r="BH37" i="15"/>
  <c r="BX37" i="15"/>
  <c r="BX16" i="15"/>
  <c r="BH24" i="15"/>
  <c r="BI18" i="15"/>
  <c r="BH22" i="15"/>
  <c r="BX32" i="15"/>
  <c r="BX19" i="15"/>
  <c r="BX35" i="15"/>
  <c r="BX14" i="15"/>
  <c r="BX22" i="15"/>
  <c r="BH32" i="15"/>
  <c r="BH40" i="15"/>
  <c r="BX40" i="15"/>
  <c r="BY15" i="15"/>
  <c r="BI13" i="15"/>
  <c r="BY33" i="15"/>
  <c r="BY17" i="15"/>
  <c r="BI21" i="15"/>
  <c r="BX38" i="15"/>
  <c r="BI20" i="15"/>
  <c r="BI25" i="15"/>
  <c r="BD14" i="15"/>
  <c r="BI22" i="15"/>
  <c r="BY20" i="15"/>
  <c r="CG34" i="15"/>
  <c r="CG15" i="15"/>
  <c r="CG19" i="15"/>
  <c r="CG27" i="15"/>
  <c r="CG26" i="15"/>
  <c r="CG37" i="15"/>
  <c r="CG33" i="15"/>
  <c r="CG24" i="15"/>
  <c r="CG35" i="15"/>
  <c r="CG30" i="15"/>
  <c r="CG31" i="15"/>
  <c r="CG14" i="15"/>
  <c r="CG39" i="15"/>
  <c r="CE38" i="15"/>
  <c r="CF38" i="15"/>
  <c r="CF34" i="15"/>
  <c r="CF36" i="15"/>
  <c r="CE36" i="15"/>
  <c r="CF16" i="15"/>
  <c r="CE24" i="15"/>
  <c r="CF11" i="15"/>
  <c r="CF23" i="15"/>
  <c r="CF31" i="15"/>
  <c r="CE31" i="15"/>
  <c r="CF14" i="15"/>
  <c r="CF18" i="15"/>
  <c r="CE18" i="15"/>
  <c r="CF22" i="15"/>
  <c r="CE22" i="15"/>
  <c r="CF40" i="15"/>
  <c r="CE39" i="15"/>
  <c r="CG38" i="15"/>
  <c r="CG36" i="15"/>
  <c r="CG16" i="15"/>
  <c r="CG11" i="15"/>
  <c r="CG23" i="15"/>
  <c r="CG18" i="15"/>
  <c r="CG22" i="15"/>
  <c r="CG32" i="15"/>
  <c r="CG40" i="15"/>
  <c r="CE34" i="15"/>
  <c r="CF15" i="15"/>
  <c r="CE15" i="15"/>
  <c r="CF19" i="15"/>
  <c r="CE19" i="15"/>
  <c r="CE27" i="15"/>
  <c r="CF27" i="15"/>
  <c r="CF26" i="15"/>
  <c r="CE26" i="15"/>
  <c r="CE37" i="15"/>
  <c r="CF37" i="15"/>
  <c r="CE33" i="15"/>
  <c r="CF33" i="15"/>
  <c r="CE16" i="15"/>
  <c r="CF24" i="15"/>
  <c r="CE11" i="15"/>
  <c r="CE23" i="15"/>
  <c r="CF35" i="15"/>
  <c r="CE35" i="15"/>
  <c r="CF30" i="15"/>
  <c r="CE30" i="15"/>
  <c r="CE14" i="15"/>
  <c r="CF32" i="15"/>
  <c r="CE32" i="15"/>
  <c r="CE40" i="15"/>
  <c r="CF39" i="15"/>
  <c r="BV40" i="15"/>
  <c r="BG21" i="15"/>
  <c r="BE21" i="15"/>
  <c r="BN21" i="15"/>
  <c r="BJ21" i="15"/>
  <c r="BN38" i="15"/>
  <c r="BG38" i="15"/>
  <c r="BE38" i="15"/>
  <c r="BS38" i="15"/>
  <c r="BM12" i="15"/>
  <c r="BJ12" i="15"/>
  <c r="BY38" i="15"/>
  <c r="BT38" i="15"/>
  <c r="BE17" i="15"/>
  <c r="BF17" i="15"/>
  <c r="BC17" i="15"/>
  <c r="BO21" i="15"/>
  <c r="BU37" i="15"/>
  <c r="BO38" i="15"/>
  <c r="BF38" i="15"/>
  <c r="BC38" i="15"/>
  <c r="BJ38" i="15"/>
  <c r="BM38" i="15"/>
  <c r="BV33" i="15"/>
  <c r="BO12" i="15"/>
  <c r="BF12" i="15"/>
  <c r="BC12" i="15"/>
  <c r="BV16" i="15"/>
  <c r="BS20" i="15"/>
  <c r="BN20" i="15"/>
  <c r="BG20" i="15"/>
  <c r="BE20" i="15"/>
  <c r="BM20" i="15"/>
  <c r="BJ20" i="15"/>
  <c r="BF34" i="15"/>
  <c r="BO34" i="15"/>
  <c r="BC34" i="15"/>
  <c r="BM19" i="15"/>
  <c r="BJ19" i="15"/>
  <c r="BV23" i="15"/>
  <c r="BM27" i="15"/>
  <c r="BJ27" i="15"/>
  <c r="CA35" i="15"/>
  <c r="BO36" i="15"/>
  <c r="BC36" i="15"/>
  <c r="BF36" i="15"/>
  <c r="BS36" i="15"/>
  <c r="BG36" i="15"/>
  <c r="BE36" i="15"/>
  <c r="BN36" i="15"/>
  <c r="BM26" i="15"/>
  <c r="BJ26" i="15"/>
  <c r="BR19" i="15"/>
  <c r="BW19" i="15"/>
  <c r="BD19" i="15"/>
  <c r="BS13" i="15"/>
  <c r="BN13" i="15"/>
  <c r="BE13" i="15"/>
  <c r="BO13" i="15"/>
  <c r="BF13" i="15"/>
  <c r="BJ25" i="15"/>
  <c r="BS25" i="15"/>
  <c r="BO29" i="15"/>
  <c r="BC29" i="15"/>
  <c r="BF29" i="15"/>
  <c r="BM28" i="15"/>
  <c r="BJ28" i="15"/>
  <c r="BF16" i="15"/>
  <c r="BO16" i="15"/>
  <c r="BC16" i="15"/>
  <c r="BG24" i="15"/>
  <c r="BE24" i="15"/>
  <c r="BS24" i="15"/>
  <c r="BN24" i="15"/>
  <c r="BF11" i="15"/>
  <c r="BC11" i="15"/>
  <c r="BO11" i="15"/>
  <c r="BO23" i="15"/>
  <c r="BF23" i="15"/>
  <c r="BC23" i="15"/>
  <c r="BJ35" i="15"/>
  <c r="BM35" i="15"/>
  <c r="BF31" i="15"/>
  <c r="BC31" i="15"/>
  <c r="BO31" i="15"/>
  <c r="BE31" i="15"/>
  <c r="BG31" i="15"/>
  <c r="BS31" i="15"/>
  <c r="BN31" i="15"/>
  <c r="BO14" i="15"/>
  <c r="BF14" i="15"/>
  <c r="BC14" i="15"/>
  <c r="BM14" i="15"/>
  <c r="BJ14" i="15"/>
  <c r="BO18" i="15"/>
  <c r="BF18" i="15"/>
  <c r="BC18" i="15"/>
  <c r="BM18" i="15"/>
  <c r="BJ18" i="15"/>
  <c r="BN18" i="15"/>
  <c r="BE18" i="15"/>
  <c r="BG18" i="15"/>
  <c r="BS18" i="15"/>
  <c r="BO22" i="15"/>
  <c r="BF22" i="15"/>
  <c r="BC22" i="15"/>
  <c r="BM22" i="15"/>
  <c r="BJ22" i="15"/>
  <c r="BE22" i="15"/>
  <c r="BN22" i="15"/>
  <c r="BG22" i="15"/>
  <c r="BS22" i="15"/>
  <c r="BJ32" i="15"/>
  <c r="BM32" i="15"/>
  <c r="BO40" i="15"/>
  <c r="BF40" i="15"/>
  <c r="BC40" i="15"/>
  <c r="BM40" i="15"/>
  <c r="BJ40" i="15"/>
  <c r="BS39" i="15"/>
  <c r="BE39" i="15"/>
  <c r="BG39" i="15"/>
  <c r="BN39" i="15"/>
  <c r="BI12" i="15"/>
  <c r="BI17" i="15"/>
  <c r="BH38" i="15"/>
  <c r="BT20" i="15"/>
  <c r="BI15" i="15"/>
  <c r="BH27" i="15"/>
  <c r="BW36" i="15"/>
  <c r="BR36" i="15"/>
  <c r="BW29" i="15"/>
  <c r="BI28" i="15"/>
  <c r="BY28" i="15"/>
  <c r="BI16" i="15"/>
  <c r="BY16" i="15"/>
  <c r="BY24" i="15"/>
  <c r="BI11" i="15"/>
  <c r="BW11" i="15"/>
  <c r="BD11" i="15"/>
  <c r="BI23" i="15"/>
  <c r="BI30" i="15"/>
  <c r="BD30" i="15"/>
  <c r="BY31" i="15"/>
  <c r="BW14" i="15"/>
  <c r="BR22" i="15"/>
  <c r="BD22" i="15"/>
  <c r="BD31" i="15"/>
  <c r="BX39" i="15"/>
  <c r="BD18" i="15"/>
  <c r="BT18" i="15"/>
  <c r="BT22" i="15"/>
  <c r="BT26" i="15"/>
  <c r="BW40" i="15"/>
  <c r="BY40" i="15"/>
  <c r="BR21" i="15"/>
  <c r="BR38" i="15"/>
  <c r="BW12" i="15"/>
  <c r="BR20" i="15"/>
  <c r="BY36" i="15"/>
  <c r="BD26" i="15"/>
  <c r="BD15" i="15"/>
  <c r="BT19" i="15"/>
  <c r="BW27" i="15"/>
  <c r="BY12" i="15"/>
  <c r="BD34" i="15"/>
  <c r="BW34" i="15"/>
  <c r="BR34" i="15"/>
  <c r="BG12" i="15"/>
  <c r="BN12" i="15"/>
  <c r="BE12" i="15"/>
  <c r="BS12" i="15"/>
  <c r="BO20" i="15"/>
  <c r="BC20" i="15"/>
  <c r="BF20" i="15"/>
  <c r="BJ34" i="15"/>
  <c r="BM34" i="15"/>
  <c r="BG34" i="15"/>
  <c r="BN34" i="15"/>
  <c r="BE34" i="15"/>
  <c r="BS34" i="15"/>
  <c r="BF15" i="15"/>
  <c r="BC15" i="15"/>
  <c r="BO15" i="15"/>
  <c r="BG15" i="15"/>
  <c r="BE15" i="15"/>
  <c r="BN15" i="15"/>
  <c r="BS15" i="15"/>
  <c r="BJ15" i="15"/>
  <c r="BM15" i="15"/>
  <c r="BC19" i="15"/>
  <c r="BF19" i="15"/>
  <c r="BO19" i="15"/>
  <c r="BS19" i="15"/>
  <c r="BG19" i="15"/>
  <c r="BE19" i="15"/>
  <c r="BN19" i="15"/>
  <c r="BN27" i="15"/>
  <c r="BG27" i="15"/>
  <c r="BE27" i="15"/>
  <c r="BS27" i="15"/>
  <c r="BF27" i="15"/>
  <c r="BO27" i="15"/>
  <c r="BC27" i="15"/>
  <c r="BV35" i="15"/>
  <c r="BJ36" i="15"/>
  <c r="BM36" i="15"/>
  <c r="BO26" i="15"/>
  <c r="BC26" i="15"/>
  <c r="BF26" i="15"/>
  <c r="BE26" i="15"/>
  <c r="BG26" i="15"/>
  <c r="BS26" i="15"/>
  <c r="BN26" i="15"/>
  <c r="BV32" i="15"/>
  <c r="BY21" i="15"/>
  <c r="BY27" i="15"/>
  <c r="BT27" i="15"/>
  <c r="BW39" i="15"/>
  <c r="BD39" i="15"/>
  <c r="BR39" i="15"/>
  <c r="BJ13" i="15"/>
  <c r="BM13" i="15"/>
  <c r="BF25" i="15"/>
  <c r="BC25" i="15"/>
  <c r="BE29" i="15"/>
  <c r="BG29" i="15"/>
  <c r="BS29" i="15"/>
  <c r="BN29" i="15"/>
  <c r="BJ29" i="15"/>
  <c r="BM29" i="15"/>
  <c r="BJ37" i="15"/>
  <c r="BM37" i="15"/>
  <c r="BG37" i="15"/>
  <c r="BN37" i="15"/>
  <c r="BS37" i="15"/>
  <c r="BE37" i="15"/>
  <c r="BF37" i="15"/>
  <c r="BC37" i="15"/>
  <c r="BO37" i="15"/>
  <c r="BC28" i="15"/>
  <c r="BF28" i="15"/>
  <c r="BO28" i="15"/>
  <c r="BE28" i="15"/>
  <c r="BN28" i="15"/>
  <c r="BG28" i="15"/>
  <c r="BS28" i="15"/>
  <c r="BE33" i="15"/>
  <c r="BN33" i="15"/>
  <c r="BS33" i="15"/>
  <c r="BG33" i="15"/>
  <c r="BC33" i="15"/>
  <c r="BF33" i="15"/>
  <c r="BO33" i="15"/>
  <c r="BJ33" i="15"/>
  <c r="BM33" i="15"/>
  <c r="BE16" i="15"/>
  <c r="BG16" i="15"/>
  <c r="BS16" i="15"/>
  <c r="BN16" i="15"/>
  <c r="BJ16" i="15"/>
  <c r="BM16" i="15"/>
  <c r="BF24" i="15"/>
  <c r="BC24" i="15"/>
  <c r="BO24" i="15"/>
  <c r="BM24" i="15"/>
  <c r="BJ24" i="15"/>
  <c r="BJ11" i="15"/>
  <c r="BM11" i="15"/>
  <c r="BG11" i="15"/>
  <c r="BS11" i="15"/>
  <c r="BE11" i="15"/>
  <c r="BN11" i="15"/>
  <c r="BM23" i="15"/>
  <c r="BJ23" i="15"/>
  <c r="BG23" i="15"/>
  <c r="BE23" i="15"/>
  <c r="BN23" i="15"/>
  <c r="BS23" i="15"/>
  <c r="BO35" i="15"/>
  <c r="BC35" i="15"/>
  <c r="BF35" i="15"/>
  <c r="BN35" i="15"/>
  <c r="BG35" i="15"/>
  <c r="BE35" i="15"/>
  <c r="BS35" i="15"/>
  <c r="BC30" i="15"/>
  <c r="BO30" i="15"/>
  <c r="BF30" i="15"/>
  <c r="BN30" i="15"/>
  <c r="BS30" i="15"/>
  <c r="BE30" i="15"/>
  <c r="BG30" i="15"/>
  <c r="BM30" i="15"/>
  <c r="BJ30" i="15"/>
  <c r="BM31" i="15"/>
  <c r="BJ31" i="15"/>
  <c r="BE14" i="15"/>
  <c r="BS14" i="15"/>
  <c r="BG14" i="15"/>
  <c r="BN14" i="15"/>
  <c r="BO32" i="15"/>
  <c r="BC32" i="15"/>
  <c r="BF32" i="15"/>
  <c r="BG32" i="15"/>
  <c r="BE32" i="15"/>
  <c r="BN32" i="15"/>
  <c r="BS32" i="15"/>
  <c r="BN40" i="15"/>
  <c r="BE40" i="15"/>
  <c r="BG40" i="15"/>
  <c r="BS40" i="15"/>
  <c r="BO39" i="15"/>
  <c r="BC39" i="15"/>
  <c r="BF39" i="15"/>
  <c r="BJ39" i="15"/>
  <c r="BM39" i="15"/>
  <c r="BX34" i="15"/>
  <c r="BI27" i="15"/>
  <c r="BD36" i="15"/>
  <c r="BD29" i="15"/>
  <c r="BR29" i="15"/>
  <c r="BT28" i="15"/>
  <c r="BT16" i="15"/>
  <c r="BU16" i="15" s="1"/>
  <c r="BR11" i="15"/>
  <c r="BW30" i="15"/>
  <c r="BI14" i="15"/>
  <c r="BR14" i="15"/>
  <c r="BW22" i="15"/>
  <c r="BY32" i="15"/>
  <c r="BZ32" i="15" s="1"/>
  <c r="BR31" i="15"/>
  <c r="BW31" i="15"/>
  <c r="BT39" i="15"/>
  <c r="BW18" i="15"/>
  <c r="BR18" i="15"/>
  <c r="BY18" i="15"/>
  <c r="BY22" i="15"/>
  <c r="BY26" i="15"/>
  <c r="BD40" i="15"/>
  <c r="BT40" i="15"/>
  <c r="BD17" i="15"/>
  <c r="BW17" i="15"/>
  <c r="BY34" i="15"/>
  <c r="BW38" i="15"/>
  <c r="BD38" i="15"/>
  <c r="BW20" i="15"/>
  <c r="BD20" i="15"/>
  <c r="BT36" i="15"/>
  <c r="BW26" i="15"/>
  <c r="BR15" i="15"/>
  <c r="BW15" i="15"/>
  <c r="BY19" i="15"/>
  <c r="BD27" i="15"/>
  <c r="BT12" i="15"/>
  <c r="BU12" i="15" s="1"/>
  <c r="CB13" i="15"/>
  <c r="CD13" i="15"/>
  <c r="CC13" i="15"/>
  <c r="CC25" i="15"/>
  <c r="CD17" i="15"/>
  <c r="CC12" i="15"/>
  <c r="CD20" i="15"/>
  <c r="CB29" i="15"/>
  <c r="CC29" i="15"/>
  <c r="CB28" i="15"/>
  <c r="CD28" i="15"/>
  <c r="CC17" i="15"/>
  <c r="CB12" i="15"/>
  <c r="CB20" i="15"/>
  <c r="CC20" i="15"/>
  <c r="CD21" i="15"/>
  <c r="CB21" i="15"/>
  <c r="CC28" i="15"/>
  <c r="CD25" i="15"/>
  <c r="CB17" i="15"/>
  <c r="CD12" i="15"/>
  <c r="CB25" i="15"/>
  <c r="CC21" i="15"/>
  <c r="CD29" i="15"/>
  <c r="BT25" i="15" l="1"/>
  <c r="BB17" i="15"/>
  <c r="BH21" i="15"/>
  <c r="BB12" i="15"/>
  <c r="BB13" i="15"/>
  <c r="BH20" i="15"/>
  <c r="BB29" i="15"/>
  <c r="BB28" i="15"/>
  <c r="BU35" i="15"/>
  <c r="BZ37" i="15"/>
  <c r="BB25" i="15"/>
  <c r="BB21" i="15"/>
  <c r="BB20" i="15"/>
  <c r="CG13" i="15"/>
  <c r="CE13" i="15"/>
  <c r="CF13" i="15"/>
  <c r="BR17" i="15"/>
  <c r="BC13" i="15"/>
  <c r="BO17" i="15"/>
  <c r="BS17" i="15"/>
  <c r="BS21" i="15"/>
  <c r="BM17" i="15"/>
  <c r="BR13" i="15"/>
  <c r="BV13" i="15" s="1"/>
  <c r="BT13" i="15"/>
  <c r="BH13" i="15"/>
  <c r="BW13" i="15"/>
  <c r="CA13" i="15" s="1"/>
  <c r="BO25" i="15"/>
  <c r="BY13" i="15"/>
  <c r="BE25" i="15"/>
  <c r="BN25" i="15"/>
  <c r="BG13" i="15"/>
  <c r="BC21" i="15"/>
  <c r="BG17" i="15"/>
  <c r="BJ17" i="15"/>
  <c r="BR25" i="15"/>
  <c r="BV25" i="15" s="1"/>
  <c r="BX21" i="15"/>
  <c r="BD13" i="15"/>
  <c r="BW21" i="15"/>
  <c r="BZ21" i="15" s="1"/>
  <c r="BT21" i="15"/>
  <c r="BZ28" i="15"/>
  <c r="BG25" i="15"/>
  <c r="BM25" i="15"/>
  <c r="BF21" i="15"/>
  <c r="CG29" i="15"/>
  <c r="CF21" i="15"/>
  <c r="CE25" i="15"/>
  <c r="CG12" i="15"/>
  <c r="CE17" i="15"/>
  <c r="CG25" i="15"/>
  <c r="CF28" i="15"/>
  <c r="CE21" i="15"/>
  <c r="CG21" i="15"/>
  <c r="CF20" i="15"/>
  <c r="CE20" i="15"/>
  <c r="CE12" i="15"/>
  <c r="CI12" i="15" s="1"/>
  <c r="CF17" i="15"/>
  <c r="CG28" i="15"/>
  <c r="CE28" i="15"/>
  <c r="CF29" i="15"/>
  <c r="CE29" i="15"/>
  <c r="CG20" i="15"/>
  <c r="CF12" i="15"/>
  <c r="CG17" i="15"/>
  <c r="CF25" i="15"/>
  <c r="BD25" i="15"/>
  <c r="BZ33" i="15"/>
  <c r="T31" i="30"/>
  <c r="T29" i="30"/>
  <c r="T48" i="30" s="1"/>
  <c r="F38" i="30"/>
  <c r="F51" i="30" s="1"/>
  <c r="F40" i="30"/>
  <c r="F41" i="30" s="1"/>
  <c r="F52" i="30" s="1"/>
  <c r="R38" i="30"/>
  <c r="R51" i="30" s="1"/>
  <c r="R40" i="30"/>
  <c r="R41" i="30" s="1"/>
  <c r="R52" i="30" s="1"/>
  <c r="O34" i="30"/>
  <c r="O32" i="30"/>
  <c r="O49" i="30" s="1"/>
  <c r="N38" i="30"/>
  <c r="N51" i="30" s="1"/>
  <c r="N40" i="30"/>
  <c r="N41" i="30" s="1"/>
  <c r="N52" i="30" s="1"/>
  <c r="J32" i="30"/>
  <c r="J49" i="30" s="1"/>
  <c r="J34" i="30"/>
  <c r="W29" i="30"/>
  <c r="W48" i="30" s="1"/>
  <c r="W31" i="30"/>
  <c r="B34" i="30"/>
  <c r="B32" i="30"/>
  <c r="B49" i="30" s="1"/>
  <c r="V31" i="30"/>
  <c r="V29" i="30"/>
  <c r="V48" i="30" s="1"/>
  <c r="BU25" i="15"/>
  <c r="CA37" i="15"/>
  <c r="BU13" i="15"/>
  <c r="BU23" i="15"/>
  <c r="BU32" i="15"/>
  <c r="BZ16" i="15"/>
  <c r="BU30" i="15"/>
  <c r="BU33" i="15"/>
  <c r="BU40" i="15"/>
  <c r="BU24" i="15"/>
  <c r="BZ23" i="15"/>
  <c r="BZ24" i="15"/>
  <c r="BZ35" i="15"/>
  <c r="BU28" i="15"/>
  <c r="BU27" i="15"/>
  <c r="BU26" i="15"/>
  <c r="BZ25" i="15"/>
  <c r="Y178" i="11"/>
  <c r="X178" i="11"/>
  <c r="G56" i="30"/>
  <c r="O56" i="30"/>
  <c r="W56" i="30"/>
  <c r="M23" i="30"/>
  <c r="M46" i="30" s="1"/>
  <c r="M25" i="30"/>
  <c r="K20" i="30"/>
  <c r="K45" i="30" s="1"/>
  <c r="M57" i="30" s="1"/>
  <c r="K22" i="30"/>
  <c r="F56" i="30"/>
  <c r="N56" i="30"/>
  <c r="V56" i="30"/>
  <c r="S20" i="30"/>
  <c r="S45" i="30" s="1"/>
  <c r="U57" i="30" s="1"/>
  <c r="S22" i="30"/>
  <c r="C20" i="30"/>
  <c r="C45" i="30" s="1"/>
  <c r="E57" i="30" s="1"/>
  <c r="C22" i="30"/>
  <c r="E23" i="30"/>
  <c r="E46" i="30" s="1"/>
  <c r="E25" i="30"/>
  <c r="U23" i="30"/>
  <c r="U46" i="30" s="1"/>
  <c r="U25" i="30"/>
  <c r="BZ17" i="15"/>
  <c r="CA17" i="15"/>
  <c r="BZ18" i="15"/>
  <c r="CA18" i="15"/>
  <c r="CA30" i="15"/>
  <c r="BZ30" i="15"/>
  <c r="BU29" i="15"/>
  <c r="BV29" i="15"/>
  <c r="BP23" i="15"/>
  <c r="BQ23" i="15"/>
  <c r="BQ11" i="15"/>
  <c r="BP11" i="15"/>
  <c r="BP33" i="15"/>
  <c r="BQ33" i="15"/>
  <c r="BP37" i="15"/>
  <c r="BQ37" i="15"/>
  <c r="BP13" i="15"/>
  <c r="BQ13" i="15"/>
  <c r="BZ39" i="15"/>
  <c r="CA39" i="15"/>
  <c r="BZ27" i="15"/>
  <c r="CA27" i="15"/>
  <c r="BZ40" i="15"/>
  <c r="CA40" i="15"/>
  <c r="BZ15" i="15"/>
  <c r="CA15" i="15"/>
  <c r="BZ26" i="15"/>
  <c r="CA26" i="15"/>
  <c r="BZ38" i="15"/>
  <c r="CA38" i="15"/>
  <c r="CA21" i="15"/>
  <c r="BV18" i="15"/>
  <c r="BU18" i="15"/>
  <c r="BU31" i="15"/>
  <c r="BV31" i="15"/>
  <c r="BZ22" i="15"/>
  <c r="CA22" i="15"/>
  <c r="BU11" i="15"/>
  <c r="BV11" i="15"/>
  <c r="BP39" i="15"/>
  <c r="BQ39" i="15"/>
  <c r="BP31" i="15"/>
  <c r="BQ31" i="15"/>
  <c r="BQ30" i="15"/>
  <c r="BP30" i="15"/>
  <c r="BQ24" i="15"/>
  <c r="BP24" i="15"/>
  <c r="BQ16" i="15"/>
  <c r="BP16" i="15"/>
  <c r="BP36" i="15"/>
  <c r="BQ36" i="15"/>
  <c r="BQ15" i="15"/>
  <c r="BP15" i="15"/>
  <c r="BZ34" i="15"/>
  <c r="CA34" i="15"/>
  <c r="BV20" i="15"/>
  <c r="BU20" i="15"/>
  <c r="BU38" i="15"/>
  <c r="BV38" i="15"/>
  <c r="BU21" i="15"/>
  <c r="BV21" i="15"/>
  <c r="BZ14" i="15"/>
  <c r="CA14" i="15"/>
  <c r="BZ11" i="15"/>
  <c r="CA11" i="15"/>
  <c r="CA36" i="15"/>
  <c r="BZ36" i="15"/>
  <c r="BP40" i="15"/>
  <c r="BQ40" i="15"/>
  <c r="BP32" i="15"/>
  <c r="BQ32" i="15"/>
  <c r="BP22" i="15"/>
  <c r="BQ22" i="15"/>
  <c r="BP18" i="15"/>
  <c r="BQ18" i="15"/>
  <c r="BQ28" i="15"/>
  <c r="BP28" i="15"/>
  <c r="BZ19" i="15"/>
  <c r="CA19" i="15"/>
  <c r="BP20" i="15"/>
  <c r="BQ20" i="15"/>
  <c r="BQ12" i="15"/>
  <c r="BP12" i="15"/>
  <c r="CH40" i="15"/>
  <c r="CI40" i="15"/>
  <c r="CI30" i="15"/>
  <c r="CH30" i="15"/>
  <c r="CI35" i="15"/>
  <c r="CH35" i="15"/>
  <c r="CH23" i="15"/>
  <c r="CI23" i="15"/>
  <c r="CH28" i="15"/>
  <c r="CI28" i="15"/>
  <c r="CI29" i="15"/>
  <c r="CH29" i="15"/>
  <c r="CI26" i="15"/>
  <c r="CH26" i="15"/>
  <c r="CH19" i="15"/>
  <c r="CI19" i="15"/>
  <c r="CI15" i="15"/>
  <c r="CH15" i="15"/>
  <c r="CH34" i="15"/>
  <c r="CI34" i="15"/>
  <c r="CI39" i="15"/>
  <c r="CH39" i="15"/>
  <c r="CI22" i="15"/>
  <c r="CH22" i="15"/>
  <c r="CH18" i="15"/>
  <c r="CI18" i="15"/>
  <c r="CH25" i="15"/>
  <c r="CI25" i="15"/>
  <c r="CH13" i="15"/>
  <c r="CI13" i="15"/>
  <c r="CI20" i="15"/>
  <c r="CH20" i="15"/>
  <c r="CI38" i="15"/>
  <c r="CH38" i="15"/>
  <c r="BV15" i="15"/>
  <c r="BU15" i="15"/>
  <c r="BZ20" i="15"/>
  <c r="CA20" i="15"/>
  <c r="CA31" i="15"/>
  <c r="BZ31" i="15"/>
  <c r="BU14" i="15"/>
  <c r="BV14" i="15"/>
  <c r="BP29" i="15"/>
  <c r="BQ29" i="15"/>
  <c r="BU39" i="15"/>
  <c r="BV39" i="15"/>
  <c r="BP34" i="15"/>
  <c r="BQ34" i="15"/>
  <c r="BV34" i="15"/>
  <c r="BU34" i="15"/>
  <c r="CA12" i="15"/>
  <c r="BZ12" i="15"/>
  <c r="BU17" i="15"/>
  <c r="BV17" i="15"/>
  <c r="BU22" i="15"/>
  <c r="BV22" i="15"/>
  <c r="CA29" i="15"/>
  <c r="BZ29" i="15"/>
  <c r="BV36" i="15"/>
  <c r="BU36" i="15"/>
  <c r="BP14" i="15"/>
  <c r="BQ14" i="15"/>
  <c r="BP35" i="15"/>
  <c r="BQ35" i="15"/>
  <c r="BP25" i="15"/>
  <c r="BQ25" i="15"/>
  <c r="BU19" i="15"/>
  <c r="BV19" i="15"/>
  <c r="BP26" i="15"/>
  <c r="BQ26" i="15"/>
  <c r="BP27" i="15"/>
  <c r="BQ27" i="15"/>
  <c r="BQ19" i="15"/>
  <c r="BP19" i="15"/>
  <c r="BP38" i="15"/>
  <c r="BQ38" i="15"/>
  <c r="BP21" i="15"/>
  <c r="BQ21" i="15"/>
  <c r="BP17" i="15"/>
  <c r="BQ17" i="15"/>
  <c r="CI32" i="15"/>
  <c r="CH32" i="15"/>
  <c r="CI14" i="15"/>
  <c r="CH14" i="15"/>
  <c r="CH11" i="15"/>
  <c r="CI11" i="15"/>
  <c r="CH16" i="15"/>
  <c r="CI16" i="15"/>
  <c r="CI33" i="15"/>
  <c r="CH33" i="15"/>
  <c r="CI37" i="15"/>
  <c r="CH37" i="15"/>
  <c r="CI27" i="15"/>
  <c r="CH27" i="15"/>
  <c r="CH31" i="15"/>
  <c r="CI31" i="15"/>
  <c r="CI24" i="15"/>
  <c r="CH24" i="15"/>
  <c r="CI36" i="15"/>
  <c r="CH36" i="15"/>
  <c r="CI17" i="15"/>
  <c r="CH17" i="15"/>
  <c r="CI21" i="15"/>
  <c r="CH21" i="15" l="1"/>
  <c r="CH12" i="15"/>
  <c r="BZ13" i="15"/>
  <c r="J35" i="30"/>
  <c r="J50" i="30" s="1"/>
  <c r="J37" i="30"/>
  <c r="B35" i="30"/>
  <c r="B50" i="30" s="1"/>
  <c r="B37" i="30"/>
  <c r="O37" i="30"/>
  <c r="O35" i="30"/>
  <c r="O50" i="30" s="1"/>
  <c r="W34" i="30"/>
  <c r="W32" i="30"/>
  <c r="W49" i="30" s="1"/>
  <c r="L57" i="30"/>
  <c r="V34" i="30"/>
  <c r="V32" i="30"/>
  <c r="V49" i="30" s="1"/>
  <c r="T34" i="30"/>
  <c r="T32" i="30"/>
  <c r="T49" i="30" s="1"/>
  <c r="K57" i="30"/>
  <c r="O57" i="30"/>
  <c r="N57" i="30"/>
  <c r="K25" i="30"/>
  <c r="K23" i="30"/>
  <c r="K46" i="30" s="1"/>
  <c r="M58" i="30" s="1"/>
  <c r="M26" i="30"/>
  <c r="M47" i="30" s="1"/>
  <c r="M28" i="30"/>
  <c r="S57" i="30"/>
  <c r="C57" i="30"/>
  <c r="U26" i="30"/>
  <c r="U47" i="30" s="1"/>
  <c r="U28" i="30"/>
  <c r="E26" i="30"/>
  <c r="E47" i="30" s="1"/>
  <c r="E28" i="30"/>
  <c r="C23" i="30"/>
  <c r="C46" i="30" s="1"/>
  <c r="E58" i="30" s="1"/>
  <c r="C25" i="30"/>
  <c r="S23" i="30"/>
  <c r="S46" i="30" s="1"/>
  <c r="U58" i="30" s="1"/>
  <c r="S25" i="30"/>
  <c r="L58" i="30"/>
  <c r="K58" i="30"/>
  <c r="T57" i="30"/>
  <c r="D57" i="30"/>
  <c r="T37" i="30" l="1"/>
  <c r="T35" i="30"/>
  <c r="T50" i="30" s="1"/>
  <c r="B38" i="30"/>
  <c r="B51" i="30" s="1"/>
  <c r="B40" i="30"/>
  <c r="B41" i="30" s="1"/>
  <c r="B52" i="30" s="1"/>
  <c r="W35" i="30"/>
  <c r="W50" i="30" s="1"/>
  <c r="W37" i="30"/>
  <c r="V35" i="30"/>
  <c r="V50" i="30" s="1"/>
  <c r="V37" i="30"/>
  <c r="J40" i="30"/>
  <c r="J41" i="30" s="1"/>
  <c r="J52" i="30" s="1"/>
  <c r="J38" i="30"/>
  <c r="J51" i="30" s="1"/>
  <c r="O40" i="30"/>
  <c r="O41" i="30" s="1"/>
  <c r="O52" i="30" s="1"/>
  <c r="O38" i="30"/>
  <c r="O51" i="30" s="1"/>
  <c r="V57" i="30"/>
  <c r="W57" i="30"/>
  <c r="K26" i="30"/>
  <c r="K47" i="30" s="1"/>
  <c r="M59" i="30" s="1"/>
  <c r="K28" i="30"/>
  <c r="C58" i="30"/>
  <c r="T58" i="30"/>
  <c r="N58" i="30"/>
  <c r="O58" i="30"/>
  <c r="S26" i="30"/>
  <c r="S47" i="30" s="1"/>
  <c r="U59" i="30" s="1"/>
  <c r="S28" i="30"/>
  <c r="C26" i="30"/>
  <c r="C47" i="30" s="1"/>
  <c r="E59" i="30" s="1"/>
  <c r="C28" i="30"/>
  <c r="E29" i="30"/>
  <c r="E48" i="30" s="1"/>
  <c r="E31" i="30"/>
  <c r="U29" i="30"/>
  <c r="U48" i="30" s="1"/>
  <c r="U31" i="30"/>
  <c r="F57" i="30"/>
  <c r="G57" i="30"/>
  <c r="M29" i="30"/>
  <c r="M48" i="30" s="1"/>
  <c r="M31" i="30"/>
  <c r="D58" i="30"/>
  <c r="S58" i="30"/>
  <c r="V40" i="30" l="1"/>
  <c r="V41" i="30" s="1"/>
  <c r="V52" i="30" s="1"/>
  <c r="V38" i="30"/>
  <c r="V51" i="30" s="1"/>
  <c r="W40" i="30"/>
  <c r="W41" i="30" s="1"/>
  <c r="W52" i="30" s="1"/>
  <c r="W38" i="30"/>
  <c r="W51" i="30" s="1"/>
  <c r="T38" i="30"/>
  <c r="T51" i="30" s="1"/>
  <c r="T40" i="30"/>
  <c r="T41" i="30" s="1"/>
  <c r="T52" i="30" s="1"/>
  <c r="G58" i="30"/>
  <c r="F58" i="30"/>
  <c r="L59" i="30"/>
  <c r="S59" i="30"/>
  <c r="C59" i="30"/>
  <c r="V58" i="30"/>
  <c r="W58" i="30"/>
  <c r="M32" i="30"/>
  <c r="M49" i="30" s="1"/>
  <c r="M34" i="30"/>
  <c r="U32" i="30"/>
  <c r="U49" i="30" s="1"/>
  <c r="U34" i="30"/>
  <c r="E32" i="30"/>
  <c r="E49" i="30" s="1"/>
  <c r="E34" i="30"/>
  <c r="C29" i="30"/>
  <c r="C48" i="30" s="1"/>
  <c r="E60" i="30" s="1"/>
  <c r="C31" i="30"/>
  <c r="S29" i="30"/>
  <c r="S48" i="30" s="1"/>
  <c r="U60" i="30" s="1"/>
  <c r="S31" i="30"/>
  <c r="K29" i="30"/>
  <c r="K48" i="30" s="1"/>
  <c r="M60" i="30" s="1"/>
  <c r="K31" i="30"/>
  <c r="K59" i="30"/>
  <c r="T59" i="30"/>
  <c r="D59" i="30"/>
  <c r="S32" i="30" l="1"/>
  <c r="S49" i="30" s="1"/>
  <c r="U61" i="30" s="1"/>
  <c r="S34" i="30"/>
  <c r="C32" i="30"/>
  <c r="C49" i="30" s="1"/>
  <c r="E61" i="30" s="1"/>
  <c r="C34" i="30"/>
  <c r="E35" i="30"/>
  <c r="E50" i="30" s="1"/>
  <c r="E37" i="30"/>
  <c r="U37" i="30"/>
  <c r="U35" i="30"/>
  <c r="U50" i="30" s="1"/>
  <c r="M35" i="30"/>
  <c r="M50" i="30" s="1"/>
  <c r="M37" i="30"/>
  <c r="G59" i="30"/>
  <c r="F59" i="30"/>
  <c r="D60" i="30"/>
  <c r="S60" i="30"/>
  <c r="K60" i="30"/>
  <c r="K32" i="30"/>
  <c r="K49" i="30" s="1"/>
  <c r="M61" i="30" s="1"/>
  <c r="K34" i="30"/>
  <c r="O59" i="30"/>
  <c r="N59" i="30"/>
  <c r="C61" i="30"/>
  <c r="S61" i="30"/>
  <c r="W59" i="30"/>
  <c r="V59" i="30"/>
  <c r="C60" i="30"/>
  <c r="T60" i="30"/>
  <c r="L60" i="30"/>
  <c r="K61" i="30" l="1"/>
  <c r="L61" i="30"/>
  <c r="T61" i="30"/>
  <c r="D61" i="30"/>
  <c r="V61" i="30"/>
  <c r="W61" i="30"/>
  <c r="K37" i="30"/>
  <c r="K35" i="30"/>
  <c r="K50" i="30" s="1"/>
  <c r="M62" i="30" s="1"/>
  <c r="U40" i="30"/>
  <c r="U41" i="30" s="1"/>
  <c r="U52" i="30" s="1"/>
  <c r="U38" i="30"/>
  <c r="U51" i="30" s="1"/>
  <c r="F61" i="30"/>
  <c r="G61" i="30"/>
  <c r="O60" i="30"/>
  <c r="N60" i="30"/>
  <c r="G60" i="30"/>
  <c r="F60" i="30"/>
  <c r="O61" i="30"/>
  <c r="N61" i="30"/>
  <c r="V60" i="30"/>
  <c r="W60" i="30"/>
  <c r="M38" i="30"/>
  <c r="M51" i="30" s="1"/>
  <c r="M40" i="30"/>
  <c r="M41" i="30" s="1"/>
  <c r="M52" i="30" s="1"/>
  <c r="E38" i="30"/>
  <c r="E51" i="30" s="1"/>
  <c r="E40" i="30"/>
  <c r="E41" i="30" s="1"/>
  <c r="E52" i="30" s="1"/>
  <c r="C35" i="30"/>
  <c r="C50" i="30" s="1"/>
  <c r="E62" i="30" s="1"/>
  <c r="C37" i="30"/>
  <c r="S37" i="30"/>
  <c r="S35" i="30"/>
  <c r="S50" i="30" s="1"/>
  <c r="U62" i="30" s="1"/>
  <c r="K62" i="30" l="1"/>
  <c r="L62" i="30"/>
  <c r="S62" i="30"/>
  <c r="W62" i="30" s="1"/>
  <c r="S38" i="30"/>
  <c r="S51" i="30" s="1"/>
  <c r="U63" i="30" s="1"/>
  <c r="S40" i="30"/>
  <c r="S41" i="30" s="1"/>
  <c r="S52" i="30" s="1"/>
  <c r="U64" i="30" s="1"/>
  <c r="K38" i="30"/>
  <c r="K51" i="30" s="1"/>
  <c r="M63" i="30" s="1"/>
  <c r="K40" i="30"/>
  <c r="K41" i="30" s="1"/>
  <c r="K52" i="30" s="1"/>
  <c r="M64" i="30" s="1"/>
  <c r="C62" i="30"/>
  <c r="V62" i="30"/>
  <c r="C38" i="30"/>
  <c r="C51" i="30" s="1"/>
  <c r="E63" i="30" s="1"/>
  <c r="C40" i="30"/>
  <c r="C41" i="30" s="1"/>
  <c r="C52" i="30" s="1"/>
  <c r="E64" i="30" s="1"/>
  <c r="S63" i="30"/>
  <c r="O62" i="30"/>
  <c r="N62" i="30"/>
  <c r="T62" i="30"/>
  <c r="D62" i="30"/>
  <c r="K64" i="30" l="1"/>
  <c r="L64" i="30"/>
  <c r="T63" i="30"/>
  <c r="S64" i="30"/>
  <c r="V64" i="30" s="1"/>
  <c r="T64" i="30"/>
  <c r="G62" i="30"/>
  <c r="F62" i="30"/>
  <c r="K63" i="30"/>
  <c r="D63" i="30"/>
  <c r="W63" i="30"/>
  <c r="V63" i="30"/>
  <c r="O64" i="30"/>
  <c r="N64" i="30"/>
  <c r="W64" i="30"/>
  <c r="D64" i="30"/>
  <c r="C64" i="30"/>
  <c r="L63" i="30"/>
  <c r="C63" i="30"/>
  <c r="O63" i="30" l="1"/>
  <c r="N63" i="30"/>
  <c r="G63" i="30"/>
  <c r="F63" i="30"/>
  <c r="F64" i="30"/>
  <c r="G64" i="30"/>
</calcChain>
</file>

<file path=xl/sharedStrings.xml><?xml version="1.0" encoding="utf-8"?>
<sst xmlns="http://schemas.openxmlformats.org/spreadsheetml/2006/main" count="692" uniqueCount="354">
  <si>
    <t>Temp C</t>
  </si>
  <si>
    <t>FT</t>
  </si>
  <si>
    <t>NAH</t>
  </si>
  <si>
    <t>Temp K</t>
  </si>
  <si>
    <t>CH4 + 2H2O = CO2 + 4H2</t>
  </si>
  <si>
    <t>Equation for Y=1</t>
  </si>
  <si>
    <t>Equation for any Y</t>
  </si>
  <si>
    <t>Y value</t>
  </si>
  <si>
    <t>T-factor</t>
  </si>
  <si>
    <t>Nitrogen - Ammonia reaction:</t>
  </si>
  <si>
    <t>2NH3 = N2 + 3H2</t>
  </si>
  <si>
    <t>logK = 10.80 - 5400/T  (deg K)  GGB 1980</t>
  </si>
  <si>
    <t>At Y=0</t>
  </si>
  <si>
    <t>for any Y</t>
  </si>
  <si>
    <t>H2S geothermometer</t>
  </si>
  <si>
    <t>CO2 geothermometer</t>
  </si>
  <si>
    <t>Log f CO2 = .0168T(degC) - 3.78</t>
  </si>
  <si>
    <t>liquid</t>
  </si>
  <si>
    <t>CO2</t>
  </si>
  <si>
    <t>H2S</t>
  </si>
  <si>
    <t>H2</t>
  </si>
  <si>
    <t>CH4</t>
  </si>
  <si>
    <t>N2</t>
  </si>
  <si>
    <t>NH3</t>
  </si>
  <si>
    <t>Ar</t>
  </si>
  <si>
    <t>3log(rH2S) - log(rH2) = 3log((Y+ (1-Y)/BH2S) - log((Y+ (1-Y)/BH2) + T-factor</t>
  </si>
  <si>
    <t>Source</t>
  </si>
  <si>
    <t>Date</t>
  </si>
  <si>
    <t>He</t>
  </si>
  <si>
    <t>Type</t>
  </si>
  <si>
    <t>G/S x10^6</t>
  </si>
  <si>
    <t>Total noncondensible gas</t>
  </si>
  <si>
    <t>HSH</t>
  </si>
  <si>
    <t>CAR</t>
  </si>
  <si>
    <t>HAR</t>
  </si>
  <si>
    <t>Fischer - Tropsch reaction</t>
  </si>
  <si>
    <t>(GGB 1980)</t>
  </si>
  <si>
    <t>GGB 1980</t>
  </si>
  <si>
    <t>logK = 31.42 - 20282/T  (deg K)  GGB 1980  (log K is without H2O)</t>
  </si>
  <si>
    <t>Log f H2S = 6.05 - 3990/T  (degK)  GGB 1997  (assumes RH of -2.8)</t>
  </si>
  <si>
    <t>H2S - H2 geothermometer (Giggenbach 1980)</t>
  </si>
  <si>
    <t>G&amp;G 1989</t>
  </si>
  <si>
    <t>log(CO/CO2) = RH + 2.485 - 2248/T</t>
  </si>
  <si>
    <t>vapor phase</t>
  </si>
  <si>
    <t>BCO</t>
  </si>
  <si>
    <t>BCH4</t>
  </si>
  <si>
    <t>log(CO/CO2)liq = log(CO/CO2)vap + log(BCO2/BCO)</t>
  </si>
  <si>
    <t>log(CH4/CO2)liq = log(CH4/CO2)vap + log(BCO2/BCH4)</t>
  </si>
  <si>
    <t>RH =</t>
  </si>
  <si>
    <t>log(CH4/CO2) = 4RH +0.135 + 5181/T</t>
  </si>
  <si>
    <t>Vapor</t>
  </si>
  <si>
    <t>Liquid</t>
  </si>
  <si>
    <t>log(CO/CO2)</t>
  </si>
  <si>
    <t>log(CH4/CO2)</t>
  </si>
  <si>
    <t>log(H2/Ar)vap = RH + 6.52  (Ar =0.3E-6)</t>
  </si>
  <si>
    <t>log(H2/Ar)liq = RH -3.53 +.014T (deg K)</t>
  </si>
  <si>
    <t>log(CO2/Ar)vap = -7.36 +.0168T +2048/T (degK)</t>
  </si>
  <si>
    <t>log(CO2/Ar)liq = -15.10 +.0277T + 2048/T (degK)</t>
  </si>
  <si>
    <t>log(CO2/Ar)</t>
  </si>
  <si>
    <t>log(H2/Ar)</t>
  </si>
  <si>
    <t>CO</t>
  </si>
  <si>
    <t>Gas data input sheet</t>
  </si>
  <si>
    <t>Sample Name</t>
  </si>
  <si>
    <t>Sample Label</t>
  </si>
  <si>
    <t>weight percent</t>
  </si>
  <si>
    <t>O2  (if reported)</t>
  </si>
  <si>
    <t>sum of percentages</t>
  </si>
  <si>
    <t>average mol. wt.</t>
  </si>
  <si>
    <t>%air contam</t>
  </si>
  <si>
    <t>This will be the label plotted on the charts</t>
  </si>
  <si>
    <t>mole percent</t>
  </si>
  <si>
    <t>% air from O2 analysis</t>
  </si>
  <si>
    <t>mole% NCG</t>
  </si>
  <si>
    <t>air corrected gas/steam molar ratios</t>
  </si>
  <si>
    <t>G/S ratio uncorr</t>
  </si>
  <si>
    <t>G/S ratio air corrected</t>
  </si>
  <si>
    <t>mole percent of dry gas in analysis</t>
  </si>
  <si>
    <t>Log(CO2)</t>
  </si>
  <si>
    <t>Log(H2S)</t>
  </si>
  <si>
    <t>Log(CO2/Ar)</t>
  </si>
  <si>
    <t>Log(H2/Ar)</t>
  </si>
  <si>
    <t>Log(CO/CO2)</t>
  </si>
  <si>
    <t>Log(CH4/CO2)</t>
  </si>
  <si>
    <t>CO/CO2</t>
  </si>
  <si>
    <t>CH4/CO2</t>
  </si>
  <si>
    <t>CCH Ternary</t>
  </si>
  <si>
    <t>NCA Ternary</t>
  </si>
  <si>
    <t>factors:</t>
  </si>
  <si>
    <t>Labels:</t>
  </si>
  <si>
    <t>X</t>
  </si>
  <si>
    <t>Y</t>
  </si>
  <si>
    <t>NHA Ternary</t>
  </si>
  <si>
    <t>Vertices for ternary diagram</t>
  </si>
  <si>
    <t>Outer border</t>
  </si>
  <si>
    <t>A percentage grid</t>
  </si>
  <si>
    <t>B percentage grid</t>
  </si>
  <si>
    <t>C percentage grid</t>
  </si>
  <si>
    <t xml:space="preserve">X </t>
  </si>
  <si>
    <t>A</t>
  </si>
  <si>
    <t>C</t>
  </si>
  <si>
    <t>N2-CO2-Ar plot</t>
  </si>
  <si>
    <t xml:space="preserve">N2 </t>
  </si>
  <si>
    <t>factor</t>
  </si>
  <si>
    <t>asw</t>
  </si>
  <si>
    <t>air</t>
  </si>
  <si>
    <t>magmatic</t>
  </si>
  <si>
    <t>initial liquid</t>
  </si>
  <si>
    <t>B value @</t>
  </si>
  <si>
    <t>boiled frac=</t>
  </si>
  <si>
    <t>res liquid</t>
  </si>
  <si>
    <t>new vapor</t>
  </si>
  <si>
    <t>plot field</t>
  </si>
  <si>
    <t>N2-He-Ar plot</t>
  </si>
  <si>
    <t xml:space="preserve">CO2 </t>
  </si>
  <si>
    <t>=magmatic point</t>
  </si>
  <si>
    <t xml:space="preserve">CO2/N2 </t>
  </si>
  <si>
    <t>boiling step</t>
  </si>
  <si>
    <t>Input one of these values.  Percentages are decimals (e.g. 1.75% = 1.75)</t>
  </si>
  <si>
    <t>Log(rCO2) + 4log (rH2) - log (rCH4) = 9.76 - 5075/T - 4logT = T-factor</t>
  </si>
  <si>
    <t>Log(rCO2) + 4log (rH2) - log (rCH4) =  log (Y+ (1-Y)/BCO2) +4log (Y+ (1-Y)/BH2) - log (Y+ (1-Y)/BCH4) + T-factor)</t>
  </si>
  <si>
    <t>BCO2</t>
  </si>
  <si>
    <t>BH2</t>
  </si>
  <si>
    <t>log (rN2) + 3log(rH2) - 2log(rNH3)  = 5.79 - 1228/T - 2log T = T-factor</t>
  </si>
  <si>
    <t>Log(rN2) + 3log(rH2) - 2log(rNH3) =  log (Y+ (1-Y)/BN2) + 3log((Y+ (1-Y)/BH2) - 2log((Y+ (1-Y)/BNH3) + T-factor</t>
  </si>
  <si>
    <t>BN2</t>
  </si>
  <si>
    <t>BNH3</t>
  </si>
  <si>
    <t>log (rH2S))  = 3.045 - 1904/T - log T = T-factor</t>
  </si>
  <si>
    <t>BH2S</t>
  </si>
  <si>
    <t>3log(rH2S) - log(rH2)  = 9.70 - 5969/T - 2log T = T-factor</t>
  </si>
  <si>
    <t>F</t>
  </si>
  <si>
    <t>CAR-HAR</t>
  </si>
  <si>
    <t>RH</t>
  </si>
  <si>
    <t>COCO-CHCO</t>
  </si>
  <si>
    <t>Argon error line</t>
  </si>
  <si>
    <t>Reference RH  from input sheet</t>
  </si>
  <si>
    <t>H2S/CO2</t>
  </si>
  <si>
    <t>Assumes HSH reaction as RH dependent for H2S,  and CO2 geothermometer</t>
  </si>
  <si>
    <t>log (rCO2))  = -11.371 +.0168T + 2086/T - log T = T-factor</t>
  </si>
  <si>
    <t>(note: CO2 geothermometer is written in TdegC, but this has been corrected to TdegK in log(rCO2) calc'n)</t>
  </si>
  <si>
    <t xml:space="preserve">log (r CO2)  = -11.371 +.0168T + 2086/T - log T </t>
  </si>
  <si>
    <t>log (r H2S) = (RH / 3) + 4.07 - 1977/T - logT</t>
  </si>
  <si>
    <t>log(r H2S)</t>
  </si>
  <si>
    <t>log(r CO2)</t>
  </si>
  <si>
    <t>log(H2S/CO2)</t>
  </si>
  <si>
    <t>for CH4-CO2-H2S ternary</t>
  </si>
  <si>
    <t>Vapor Conc (CO2=1)</t>
  </si>
  <si>
    <t>%CH4</t>
  </si>
  <si>
    <t>%H2S</t>
  </si>
  <si>
    <t>%CO2</t>
  </si>
  <si>
    <t>Plotting scale from Input sheet</t>
  </si>
  <si>
    <t>Liquid Conc (CO2=1)</t>
  </si>
  <si>
    <t>plot scales</t>
  </si>
  <si>
    <t>Initial Liquid in CCH ternary</t>
  </si>
  <si>
    <t>Ggrid sheet</t>
  </si>
  <si>
    <t>equil vapor</t>
  </si>
  <si>
    <t>0 step is</t>
  </si>
  <si>
    <t>from</t>
  </si>
  <si>
    <t>E</t>
  </si>
  <si>
    <t>G</t>
  </si>
  <si>
    <t>H</t>
  </si>
  <si>
    <t>I</t>
  </si>
  <si>
    <t>J</t>
  </si>
  <si>
    <t>K</t>
  </si>
  <si>
    <t>L</t>
  </si>
  <si>
    <t>M</t>
  </si>
  <si>
    <t>N</t>
  </si>
  <si>
    <t>O</t>
  </si>
  <si>
    <t>P</t>
  </si>
  <si>
    <t>Q</t>
  </si>
  <si>
    <t>R</t>
  </si>
  <si>
    <t>S</t>
  </si>
  <si>
    <t>Copy data into columns inside bold box.  Input values are in black, fixed headings and calculations are in blue.</t>
  </si>
  <si>
    <t>Data entry field:</t>
  </si>
  <si>
    <t>1)</t>
  </si>
  <si>
    <t>2)</t>
  </si>
  <si>
    <t>3)</t>
  </si>
  <si>
    <t>4)</t>
  </si>
  <si>
    <t>5)</t>
  </si>
  <si>
    <t>6)</t>
  </si>
  <si>
    <r>
      <t>Sample Label</t>
    </r>
    <r>
      <rPr>
        <sz val="12"/>
        <rFont val="Arial"/>
        <family val="2"/>
      </rPr>
      <t>' in column E is a text field that will determine the label for points of this data row on the plots</t>
    </r>
  </si>
  <si>
    <t>7)</t>
  </si>
  <si>
    <t>Notes:</t>
  </si>
  <si>
    <t xml:space="preserve">Columns AE to AU are hidden.  These cells copy the cells in the input field based upon fixed cell addresses, so that data can be cut/pasted and moved in the input data field without changing cell addresses in the calculations.  </t>
  </si>
  <si>
    <t>Columns BR to DJ are hidden.  These cells contain the geothermometer and ternary grid calculations</t>
  </si>
  <si>
    <r>
      <t xml:space="preserve">Two additional sheets used to generate the plots are hidden but available.  </t>
    </r>
    <r>
      <rPr>
        <b/>
        <sz val="12"/>
        <rFont val="Arial"/>
        <family val="2"/>
      </rPr>
      <t>Ggrid</t>
    </r>
    <r>
      <rPr>
        <sz val="12"/>
        <rFont val="Arial"/>
        <family val="2"/>
      </rPr>
      <t xml:space="preserve"> has the data for the gas geothermometry grids.  </t>
    </r>
    <r>
      <rPr>
        <b/>
        <sz val="12"/>
        <rFont val="Arial"/>
        <family val="2"/>
      </rPr>
      <t>Tgrid</t>
    </r>
    <r>
      <rPr>
        <sz val="12"/>
        <rFont val="Arial"/>
        <family val="2"/>
      </rPr>
      <t xml:space="preserve"> has the plot data for the ternary grids.  </t>
    </r>
    <r>
      <rPr>
        <b/>
        <sz val="12"/>
        <rFont val="Arial"/>
        <family val="2"/>
      </rPr>
      <t>Ref</t>
    </r>
    <r>
      <rPr>
        <sz val="12"/>
        <rFont val="Arial"/>
        <family val="2"/>
      </rPr>
      <t xml:space="preserve"> has reference plot data for the ternaries, including gas solubility calculations in the CH4-CO2-H2S ternary (Tcch).</t>
    </r>
  </si>
  <si>
    <t>CO labels</t>
  </si>
  <si>
    <t>Tie-lines</t>
  </si>
  <si>
    <t>geothermometer grid plot locations</t>
  </si>
  <si>
    <t>Gas depletion model for Tcch</t>
  </si>
  <si>
    <t>Gas_Analysis_v1_Powell-2010-StanfordGW.xls  Geochemical Plotting Spreadsheet</t>
  </si>
  <si>
    <t>The charts and geothermometry report in this spreadsheet are described in an accompanying article by T Powell &amp; W Cumming delivered at the 35th Workshop on Geothermal Reservoir Engineering, Stanford University, Stanford, California, February 1-3, 2010.  References for the calculations and charts can be found in that document</t>
  </si>
  <si>
    <t>This spreadsheet accepts gas analyses and plots them in standard ternary and geothermometer grids.  Data are entered or pasted into the 'Input' sheet and appear on all the graphics applicable to that data type.  (Data may be cut, pasted and moved within the data entry field without changing cell addresses in the calculations)</t>
  </si>
  <si>
    <t>Charts can be edited directly as EXCEL97 graphics and certain grid dimentions (e.g. multipliers on ternary diagrams and RH factors on geothermometers) which can be changed on the 'input' sheet.  Fields for changing these parameters are located above the data entry field.</t>
  </si>
  <si>
    <r>
      <t>Rows 11 through 40 accept data (30 analyses) for the plots.  The first 4 columns (</t>
    </r>
    <r>
      <rPr>
        <b/>
        <sz val="12"/>
        <rFont val="Arial"/>
        <family val="2"/>
      </rPr>
      <t>Sample Name</t>
    </r>
    <r>
      <rPr>
        <sz val="12"/>
        <rFont val="Arial"/>
        <family val="2"/>
      </rPr>
      <t>,</t>
    </r>
    <r>
      <rPr>
        <b/>
        <sz val="12"/>
        <rFont val="Arial"/>
        <family val="2"/>
      </rPr>
      <t xml:space="preserve"> Source</t>
    </r>
    <r>
      <rPr>
        <sz val="12"/>
        <rFont val="Arial"/>
        <family val="2"/>
      </rPr>
      <t>,</t>
    </r>
    <r>
      <rPr>
        <b/>
        <sz val="12"/>
        <rFont val="Arial"/>
        <family val="2"/>
      </rPr>
      <t xml:space="preserve"> Type</t>
    </r>
    <r>
      <rPr>
        <sz val="12"/>
        <rFont val="Arial"/>
        <family val="2"/>
      </rPr>
      <t xml:space="preserve"> &amp; </t>
    </r>
    <r>
      <rPr>
        <b/>
        <sz val="12"/>
        <rFont val="Arial"/>
        <family val="2"/>
      </rPr>
      <t>Date</t>
    </r>
    <r>
      <rPr>
        <sz val="12"/>
        <rFont val="Arial"/>
        <family val="2"/>
      </rPr>
      <t>) are not referenced by the plots and are there for user reference.</t>
    </r>
  </si>
  <si>
    <r>
      <t>Columns F, G or H accept total noncondensible gas concentration either as gas/steam molar ratio (times 10</t>
    </r>
    <r>
      <rPr>
        <vertAlign val="superscript"/>
        <sz val="12"/>
        <rFont val="Arial"/>
        <family val="2"/>
      </rPr>
      <t>6</t>
    </r>
    <r>
      <rPr>
        <sz val="12"/>
        <rFont val="Arial"/>
        <family val="2"/>
      </rPr>
      <t>), mole% or weight%.  Only one of these values is required. Enter 1000000 (g/s ratio) or 100% for hot spring or gas seep samples where the sample is only gas (no steam).  Total gas reported in other units will need to be converted to one of these units (i.e., 10*[mmole gas/100 mole H2O] = 10</t>
    </r>
    <r>
      <rPr>
        <vertAlign val="superscript"/>
        <sz val="12"/>
        <rFont val="Arial"/>
        <family val="2"/>
      </rPr>
      <t>6</t>
    </r>
    <r>
      <rPr>
        <sz val="12"/>
        <rFont val="Arial"/>
        <family val="2"/>
      </rPr>
      <t xml:space="preserve"> g/s ratio). Total gas concentration or gas/steam ratio is needed to calculate the "Y-T" geothermometers but not for the others.  If no total gas concentration is known, input 100%</t>
    </r>
  </si>
  <si>
    <t xml:space="preserve">Concentrations of individual gases are entered as "mole% of dry gas" and should sum to 100 in the column to the right of the input field.  Individual gas concentrations reported as gas/steam ratio (in mm gas/mole H2O or mm gas/100 mole H2O) need to be converted to mole% of the total gas fraction before input.  Gas analyses reported as individual gas/steam ratios should be summed to yield total gas, then divided by the gas/steam ratio of the individual gases to find mole% of each.  Negative values are interpreted a "below detection" and are plotted at the detection limit.    </t>
  </si>
  <si>
    <t>If the gas analysis includes oxygen and an air correction to N2 and Ar concentrations has not been applied, enter the mole% oxygen and an air correction will automatically be calculated to the right and the appropriate amount of air N2 and Ar will be removed for the remainder of the analysis.  If percent air contamination is given with the analysis and an air correction has been applied, enter the percent air contamination in the input field with the analysis.</t>
  </si>
  <si>
    <r>
      <t>Columns to the right of the input field provide quality assurance measures of the analysis.  '</t>
    </r>
    <r>
      <rPr>
        <b/>
        <sz val="12"/>
        <rFont val="Arial"/>
        <family val="2"/>
      </rPr>
      <t>sum of percentages</t>
    </r>
    <r>
      <rPr>
        <sz val="12"/>
        <rFont val="Arial"/>
        <family val="2"/>
      </rPr>
      <t>' gives the sum of the mole% values input for the analysis, and should be 100.0%.  '</t>
    </r>
    <r>
      <rPr>
        <b/>
        <sz val="12"/>
        <rFont val="Arial"/>
        <family val="2"/>
      </rPr>
      <t>average mol. wt.</t>
    </r>
    <r>
      <rPr>
        <sz val="12"/>
        <rFont val="Arial"/>
        <family val="2"/>
      </rPr>
      <t>' gives the calculated molecular weight of the gas, used to convert weight percent total gas to mole ratio.  '</t>
    </r>
    <r>
      <rPr>
        <b/>
        <sz val="12"/>
        <rFont val="Arial"/>
        <family val="2"/>
      </rPr>
      <t>% air N2</t>
    </r>
    <r>
      <rPr>
        <sz val="12"/>
        <rFont val="Arial"/>
        <family val="2"/>
      </rPr>
      <t xml:space="preserve"> and '</t>
    </r>
    <r>
      <rPr>
        <b/>
        <sz val="12"/>
        <rFont val="Arial"/>
        <family val="2"/>
      </rPr>
      <t>% air Ar</t>
    </r>
    <r>
      <rPr>
        <sz val="12"/>
        <rFont val="Arial"/>
        <family val="2"/>
      </rPr>
      <t>' give the percentages of these gases introduced by air in the raw gas analysis.  High percentages (&gt;10-20%) indicate degraded accuracy in these consituents.</t>
    </r>
  </si>
  <si>
    <t>molecular weight:</t>
  </si>
  <si>
    <t>Points plotted on the grids are accompanied by labels input in column E.  Empty data rows (rows without input data) are plotted outside of the chart area (-99) and their data labels are blank. Labels for incomplete data will sometimes be plotted outside the chart area.  These can be removed for presentation by adjusting the plot ranges of the charts.  This may, however, permanently remove the labels from the data range beyond the plot range.  It is recommended that graphs to be altered for presentation should be moved to a separate sheet (Menu:"Edit"/"Move or Copy Sheet"/"Create a Copy" checkbox).  Alternatively, labels can be easily assigned to data using the freeware X-Y labeller add-in by AppsPro (www.appspro.com/Utilities/ChartLabeler.htm)</t>
  </si>
  <si>
    <t>Enter gas analysis as percentages of gases in decimals (e.g. 95.6% = 95.6).  Include reported % air to calculate the percentage of N2 and Ar from air contamination.  Include %O2 if reported, and % air, % N2 and % Ar will be calculated.  Enter numbers less than detection as negative numbers. Data will be plotted at the detection limit.</t>
  </si>
  <si>
    <t>initial reservoir T</t>
  </si>
  <si>
    <t>The Tchn ternary contains a CH4-CO2 geothermometer grid on the left and trend lines of gas depletion at different temperatures.  Initial reservoir temperature (set in the input sheet) is the starting point for these trends.  Temperatures of the trends can be changed or added from the hidden "Ref" sheet (three temperatures trends are calculated but only two are shown).</t>
  </si>
  <si>
    <t>The hidden Ggrid sheet contains the Y-T data for the N2 + 3H2 = 2NH3 (NAH) gas geothermometer proposed by Giggenbach, D'Amore &amp; Truesdell and others (see Powell, 2000), but it has not been included in this spreadsheet because if has been found to rarely work for geothermal gases, probably because its equilibration temperature is too high (400 deg C).  Users of this spreadsheet are welcome to construct their own grids with this geothermometer.  Acceptable grids can be constructed with NAH on the x-axis of the chart and H2S, HSH or CO2 on the y-axis.  The FT-NAH grid is too flat to be useful.</t>
  </si>
  <si>
    <t>air N2</t>
  </si>
  <si>
    <t>air Ar</t>
  </si>
  <si>
    <t>Due to its low concentration in geothemal samples, many of the CO analyses plotted in the COCOCHCO geothermometer ratio grid are below detection.  Plot labels are only given for analyses above detection.</t>
  </si>
  <si>
    <t>XYZ Ternary</t>
  </si>
  <si>
    <t>Z</t>
  </si>
  <si>
    <t>Gases in ternary</t>
  </si>
  <si>
    <t>column</t>
  </si>
  <si>
    <t>gas</t>
  </si>
  <si>
    <t>i</t>
  </si>
  <si>
    <t>j</t>
  </si>
  <si>
    <t>Equation for neg Y</t>
  </si>
  <si>
    <t>[Log(rCO2) + 4log (rH2) - log (rCH4)]equil liquid - [log(1+F(BCO2-1)) +4 log(1+F(BH2-1)) - log(1+F(BCH4-1)), where F=-Y</t>
  </si>
  <si>
    <t>F value</t>
  </si>
  <si>
    <t>Version</t>
  </si>
  <si>
    <t>Added 0.001 and 0.01 negative Y to FT Y-T charts, calculated as gas lost from equlibrated liquid in one step boiling</t>
  </si>
  <si>
    <t>Added user defined ternary (Txyz)</t>
  </si>
  <si>
    <t>Removed CO2-H2S-NH3 ternary.  Can now be user defined in Txyz</t>
  </si>
  <si>
    <t>Fixed bug in CH4 address effecting FT geothermometer calculation</t>
  </si>
  <si>
    <t>Added unit conversion tables below data input field to convert gas analyses in mm/100mH2O to G/S ratio and mole% dry gas.  Input mm/100m data in bottom field, then copy values from upper output table to the input field of the spreadsheet.  Sample name, date, etc can be input opposite mm/100m analysis data, then copied to input field above</t>
  </si>
  <si>
    <t>Fixed bugs in air contamination calculation</t>
  </si>
  <si>
    <t>k</t>
  </si>
  <si>
    <t>Charts are sized to A4 paper</t>
  </si>
  <si>
    <t>Fixed address field for input data; allows data in the input field to be moved with out changing calculation cell addresses</t>
  </si>
  <si>
    <t>Fixed bug so that calcuation cells are addressed to "indirect" field in 2nd row downward CO2, H2S, NH3, H2,</t>
  </si>
  <si>
    <t>CO2/CH4</t>
  </si>
  <si>
    <t>Vapour</t>
  </si>
  <si>
    <t>Log(H2)</t>
  </si>
  <si>
    <t>H2 geothermometer</t>
  </si>
  <si>
    <t>Not completed TP 26 March 2011</t>
  </si>
  <si>
    <t>3FeS2 + 2H2 + 4H2O = Fe3O4 + 6H2S</t>
  </si>
  <si>
    <t>Dissolved gas analysis for Wilbur Springs</t>
  </si>
  <si>
    <t>Dissolved gas analysis for Jordan Hot Spring</t>
  </si>
  <si>
    <t>Dissolved gas analysis for Keough Hot Springs</t>
  </si>
  <si>
    <t>Dissolved gas analysis for Klamath Hot Springs</t>
  </si>
  <si>
    <t>Dissolved gas analysis for Klamath Hot Springs (swimming pool)</t>
  </si>
  <si>
    <t>Dissolved gas analysis for Little Hot Spring</t>
  </si>
  <si>
    <t>Dissolved gas analysis for Lower Warm Springs</t>
  </si>
  <si>
    <t>Dissolved gas analysis for Indian Valley Hot Springs</t>
  </si>
  <si>
    <t>Dissolved gas analysis for Magma well</t>
  </si>
  <si>
    <t>Dissolved gas analysis for Unnamed hot spring near Twain</t>
  </si>
  <si>
    <t>Dissolved gas analysis for Miracle Hot Springs</t>
  </si>
  <si>
    <t>Dissolved gas analysis for Mono Hot Springs</t>
  </si>
  <si>
    <t>Dissolved gas analysis for Sespe Hot Springs A</t>
  </si>
  <si>
    <t>Dissolved gas analysis for Sespe Hot Springs B</t>
  </si>
  <si>
    <t>Dissolved gas analysis for Shallow well</t>
  </si>
  <si>
    <t>Dissolved gas analysis for Signal MLM #1 steam well</t>
  </si>
  <si>
    <t>Dissolved gas analysis for Skaggs Spring #1</t>
  </si>
  <si>
    <t>Dissolved gas analysis for Skaggs Spring #2</t>
  </si>
  <si>
    <t>Dissolved gas analysis for Steam well, Rorabaugh A-1</t>
  </si>
  <si>
    <t>Dissolved gas analysis for Steam well, Rorabaugh A-2</t>
  </si>
  <si>
    <t>Dissolved gas analysis for Steam well, Rorabaugh A-3</t>
  </si>
  <si>
    <t>Dissolved gas analysis for Sulfur Bank No. 14 steam well</t>
  </si>
  <si>
    <t>Dissolved gas analysis for Sulfur spring in Sulfur Creek Canyon</t>
  </si>
  <si>
    <t>Dissolved gas analysis for Sulphur Bank Mine - bubbling spring</t>
  </si>
  <si>
    <t>Dissolved gas analysis for Sulphur Bank Mine - spring</t>
  </si>
  <si>
    <t>Dissolved gas analysis for Sulphur spring in Griswold Canyon</t>
  </si>
  <si>
    <t>Dissolved gas analysis for Wheeler Hot Spring</t>
  </si>
  <si>
    <t>Dissolved gas analysis for New Idria Mine A</t>
  </si>
  <si>
    <t>Dissolved gas analysis for New Idria Mine B</t>
  </si>
  <si>
    <t>Dissolved gas analysis for New Idria Mine C</t>
  </si>
  <si>
    <t>Dissolved gas analysis for Pachateau's well #5 (Calistoga)</t>
  </si>
  <si>
    <t>Dissolved gas analysis for Palm Spring</t>
  </si>
  <si>
    <t>Dissolved gas analysis for Red's Meadow Hot Springs</t>
  </si>
  <si>
    <t>Dissolved gas analysis for Rorabaugh A-8 steam well</t>
  </si>
  <si>
    <t>Dissolved gas analysis for Sakai well #2 (Calistoga)</t>
  </si>
  <si>
    <t>Dissolved gas analysis for Salt spring at Crystal Creek - west</t>
  </si>
  <si>
    <t>Dissolved gas analysis for Scovern Hot Springs</t>
  </si>
  <si>
    <t>Dissolved gas analysis for Seep (west of Camel Back Ridge)</t>
  </si>
  <si>
    <t>Dissolved gas analysis for Tassajara Hot Spring A</t>
  </si>
  <si>
    <t>Dissolved gas analysis for Tassajara Hot Spring B</t>
  </si>
  <si>
    <t>Dissolved gas analysis for Tecopa Hot Springs</t>
  </si>
  <si>
    <t>Dissolved gas analysis for The Hot Springs</t>
  </si>
  <si>
    <t>Dissolved gas analysis for Thermal No 14 steam well</t>
  </si>
  <si>
    <t>Dissolved gas analysis for Thermal well</t>
  </si>
  <si>
    <t>Dissolved gas analysis for Tolenas Spring</t>
  </si>
  <si>
    <t>Dissolved gas analysis for Travertine Hot Springs</t>
  </si>
  <si>
    <t>Dissolved gas analysis for Unnamed hot spring northeast of Wendel Hot Springs</t>
  </si>
  <si>
    <t>Dissolved gas analysis for Unnamed hot spring, north shore of Mono Lake</t>
  </si>
  <si>
    <t>Dissolved gas analysis for Unnamed hot spring, Paoha Island, Mono Lake</t>
  </si>
  <si>
    <t>Dissolved gas analysis for Unnamed hot spring, south shore of Mono Lake</t>
  </si>
  <si>
    <t>Dissolved gas analysis for Unnamed sulfur spring</t>
  </si>
  <si>
    <t>Dissolved gas analysis for Unnamed warm spring</t>
  </si>
  <si>
    <t>Dissolved gas analysis for Upper Warm Spring</t>
  </si>
  <si>
    <t>Dissolved gas analysis for Warm spring 1.75 miles SW of Clayton</t>
  </si>
  <si>
    <t>Dissolved gas analysis for Warm well 1.75 miles SW of Clayton, Calif.</t>
  </si>
  <si>
    <t>Dissolved gas analysis for Wendel Hot Spring, main spring</t>
  </si>
  <si>
    <t>Dissolved gas analysis for White Sulphur Spring</t>
  </si>
  <si>
    <t>Dissolved gas analysis for Zamboni Hot Springs</t>
  </si>
  <si>
    <t>Dissolved gas analysis for Southern Pacific Railroad well</t>
  </si>
  <si>
    <t>Dissolved gas analysis for Magnolia School artesian well</t>
  </si>
  <si>
    <t>Dissolved gas analysis for Massion's artesian well</t>
  </si>
  <si>
    <t>Dissolved gas analysis for Grovers Hot Springs</t>
  </si>
  <si>
    <t>Dissolved gas analysis for Harbin Springs</t>
  </si>
  <si>
    <t>Dissolved gas analysis for Hot Creek Gorge</t>
  </si>
  <si>
    <t>Dissolved gas analysis for Hot Creek Gorge, east side of creek</t>
  </si>
  <si>
    <t>Dissolved gas analysis for Hot spring 28HS1</t>
  </si>
  <si>
    <t>Dissolved gas analysis for Hot spring 31AS1</t>
  </si>
  <si>
    <t>Dissolved gas analysis for Hot springs 34KS1</t>
  </si>
  <si>
    <t>Dissolved gas analysis for Hot Springs Creek at Sespe Hot Springs</t>
  </si>
  <si>
    <t>Dissolved gas analysis for Hot Springs Gorge - new spring (clear bubbling pool)</t>
  </si>
  <si>
    <t>Dissolved gas analysis for Hot Springs Gorge - new spring (mud pool)</t>
  </si>
  <si>
    <t>Dissolved gas analysis for Hunt Hot Spring</t>
  </si>
  <si>
    <t>Dissolved gas analysis for I.I.D.#1</t>
  </si>
  <si>
    <t>Dissolved gas analysis for Artesian well in Saline Valley</t>
  </si>
  <si>
    <t>Dissolved gas analysis for De Paoli artesian well</t>
  </si>
  <si>
    <t>Dissolved gas analysis for Agua Caliente Spring</t>
  </si>
  <si>
    <t>Dissolved gas analysis for Little Hot Creek Springs</t>
  </si>
  <si>
    <t>Dissolved gas analysis for Amadee Hot Springs (west)</t>
  </si>
  <si>
    <t>Dissolved gas analysis for Arrowhead Hot Springs</t>
  </si>
  <si>
    <t>Dissolved gas analysis for Artesian well</t>
  </si>
  <si>
    <t>Dissolved gas analysis for Blayney Meadows Hot Springs</t>
  </si>
  <si>
    <t>Dissolved gas analysis for Brockway Hot Springs</t>
  </si>
  <si>
    <t>Dissolved gas analysis for Buckeye Hot Springs</t>
  </si>
  <si>
    <t>Dissolved gas analysis for Benton Hot Springs</t>
  </si>
  <si>
    <t>Dissolved gas analysis for Casa Diablo Springs - Endogenous well #2</t>
  </si>
  <si>
    <t>Dissolved gas analysis for Casa Diablo steam well, Magma-Ritchie #5</t>
  </si>
  <si>
    <t>Dissolved gas analysis for Democrat Hot Springs</t>
  </si>
  <si>
    <t>Dissolved gas analysis for Hot spring 21PS1</t>
  </si>
  <si>
    <t>Dissolved gas analysis for Hot well for Roosevelt swimming pool</t>
  </si>
  <si>
    <t>Dissolved gas analysis for Aqua Caliente</t>
  </si>
  <si>
    <t>Dissolved gas analysis for Amadee Hot Springs (near house)</t>
  </si>
  <si>
    <t>Dissolved gas analysis for Hot spring (pool)</t>
  </si>
  <si>
    <t>Dissolved gas analysis for Howard Springs</t>
  </si>
  <si>
    <t>Dissolved gas analysis for Big Soda Spring (island)</t>
  </si>
  <si>
    <t>Dissolved gas analysis for Big Soda Springs</t>
  </si>
  <si>
    <t>Dissolved gas analysis for California Hot Springs</t>
  </si>
  <si>
    <t>Dissolved gas analysis for Coalinga Mineral Springs</t>
  </si>
  <si>
    <t>Dissolved gas analysis for Coalinga Mineral Springs (?)</t>
  </si>
  <si>
    <t>Dissolved gas analysis for Coffee's Hotel &amp; Public Spa</t>
  </si>
  <si>
    <t>Dissolved gas analysis for Colton Spring</t>
  </si>
  <si>
    <t>Dissolved gas analysis for Cordero well</t>
  </si>
  <si>
    <t>Dissolved gas analysis for Crabtree Hot Spring #1</t>
  </si>
  <si>
    <t>Dissolved gas analysis for Crabtree Hot Spring #2</t>
  </si>
  <si>
    <t>Dissolved gas analysis for CV Ranch House (artesian well)</t>
  </si>
  <si>
    <t>Dissolved gas analysis for DX-2 steam well</t>
  </si>
  <si>
    <t>Dissolved gas analysis for DX-5 steam well</t>
  </si>
  <si>
    <t>Dissolved gas analysis for Elgin Mine (hot spring)</t>
  </si>
  <si>
    <t>Dissolved gas analysis for Ettawa Springs</t>
  </si>
  <si>
    <t>Dissolved gas analysis for Fales Hot Springs</t>
  </si>
  <si>
    <t>Dissolved gas analysis for Acid sulfate spring on top of Mt. Shasta</t>
  </si>
  <si>
    <t>Dissolved gas analysis for Adit drainage (Unn. warm spring)</t>
  </si>
  <si>
    <t>Dissolved gas analysis for Amadee Hot Springs</t>
  </si>
  <si>
    <t>Dissolved gas analysis for Fumerole and water seep</t>
  </si>
  <si>
    <t>Dissolved gas analysis for Gaviota Hot Springs (Las Cruces Hot Springs)</t>
  </si>
  <si>
    <t>Dissolved gas analysis for Geyser Gun Club No 1 steam well</t>
  </si>
  <si>
    <t>Dissolved gas analysis for Skaggs Spring #3</t>
  </si>
  <si>
    <t>Dissolved gas analysis for Spring (Capay Hills)</t>
  </si>
  <si>
    <t>Dissolved gas analysis for Spring near Big Sulphur Creek</t>
  </si>
  <si>
    <t>Dissolved gas analysis for Steam well at Randsburg</t>
  </si>
  <si>
    <t>Dissolved gas analysis for Grizzly Spring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</si>
</sst>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0000"/>
    <numFmt numFmtId="165" formatCode="0.0000"/>
    <numFmt numFmtId="166" formatCode="0.000"/>
    <numFmt numFmtId="167" formatCode="0.0"/>
    <numFmt numFmtId="168" formatCode="0.0E+00"/>
    <numFmt numFmtId="169" formatCode="0.0%"/>
    <numFmt numFmtId="170" formatCode="0.00;[Red]\&lt;0.00"/>
    <numFmt numFmtId="171" formatCode="0;[Red]\&lt;0"/>
    <numFmt numFmtId="172" formatCode="_(* #,##0_);_(* \(#,##0\);_(* &quot;-&quot;??_);_(@_)"/>
    <numFmt numFmtId="173" formatCode="0.000;[Red]\&lt;0.000"/>
    <numFmt numFmtId="174" formatCode="m/d/yy"/>
    <numFmt numFmtId="175" formatCode="0.0;[Red]\&lt;0.0"/>
  </numFmts>
  <fonts count="69" x14ac:knownFonts="1">
    <font>
      <sz val="10"/>
      <name val="Arial"/>
    </font>
    <font>
      <sz val="11"/>
      <color theme="1"/>
      <name val="Calibri"/>
      <family val="2"/>
      <scheme val="minor"/>
    </font>
    <font>
      <sz val="10"/>
      <name val="Arial"/>
      <family val="2"/>
    </font>
    <font>
      <sz val="10"/>
      <name val="Arial"/>
      <family val="2"/>
    </font>
    <font>
      <sz val="10"/>
      <color indexed="56"/>
      <name val="Arial"/>
      <family val="2"/>
    </font>
    <font>
      <sz val="10"/>
      <color indexed="12"/>
      <name val="Arial"/>
      <family val="2"/>
    </font>
    <font>
      <b/>
      <sz val="10"/>
      <color indexed="56"/>
      <name val="Arial"/>
      <family val="2"/>
    </font>
    <font>
      <b/>
      <sz val="14"/>
      <name val="Arial"/>
      <family val="2"/>
    </font>
    <font>
      <sz val="12"/>
      <name val="Arial"/>
      <family val="2"/>
    </font>
    <font>
      <b/>
      <sz val="12"/>
      <name val="Arial"/>
      <family val="2"/>
    </font>
    <font>
      <sz val="8"/>
      <name val="Helv"/>
    </font>
    <font>
      <b/>
      <sz val="10"/>
      <name val="Arial"/>
      <family val="2"/>
    </font>
    <font>
      <b/>
      <sz val="10"/>
      <color indexed="12"/>
      <name val="Arial"/>
      <family val="2"/>
    </font>
    <font>
      <sz val="10"/>
      <name val="Helv"/>
    </font>
    <font>
      <b/>
      <sz val="10"/>
      <color indexed="8"/>
      <name val="Arial"/>
      <family val="2"/>
    </font>
    <font>
      <sz val="10"/>
      <color indexed="8"/>
      <name val="Arial"/>
      <family val="2"/>
    </font>
    <font>
      <vertAlign val="superscript"/>
      <sz val="12"/>
      <name val="Arial"/>
      <family val="2"/>
    </font>
    <font>
      <b/>
      <sz val="9"/>
      <color indexed="56"/>
      <name val="Arial"/>
      <family val="2"/>
    </font>
    <font>
      <b/>
      <sz val="10"/>
      <color rgb="FFFF0000"/>
      <name val="Arial"/>
      <family val="2"/>
    </font>
    <font>
      <sz val="10"/>
      <name val="Arial"/>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u/>
      <sz val="10"/>
      <color indexed="12"/>
      <name val="Arial"/>
      <family val="2"/>
    </font>
    <font>
      <sz val="10"/>
      <name val="Times New Roman"/>
      <family val="1"/>
    </font>
    <font>
      <sz val="11"/>
      <color theme="1"/>
      <name val="Calibri"/>
      <family val="2"/>
    </font>
    <font>
      <sz val="11"/>
      <color theme="0"/>
      <name val="Calibri"/>
      <family val="2"/>
    </font>
    <font>
      <sz val="11"/>
      <color rgb="FF9C0006"/>
      <name val="Calibri"/>
      <family val="2"/>
    </font>
    <font>
      <sz val="11"/>
      <color indexed="20"/>
      <name val="Calibri"/>
      <family val="2"/>
      <scheme val="minor"/>
    </font>
    <font>
      <b/>
      <sz val="11"/>
      <color indexed="52"/>
      <name val="Calibri"/>
      <family val="2"/>
      <scheme val="minor"/>
    </font>
    <font>
      <b/>
      <sz val="11"/>
      <color rgb="FFFA7D00"/>
      <name val="Calibri"/>
      <family val="2"/>
    </font>
    <font>
      <b/>
      <sz val="11"/>
      <color theme="0"/>
      <name val="Calibri"/>
      <family val="2"/>
    </font>
    <font>
      <i/>
      <sz val="11"/>
      <color rgb="FF7F7F7F"/>
      <name val="Calibri"/>
      <family val="2"/>
    </font>
    <font>
      <sz val="11"/>
      <color rgb="FF006100"/>
      <name val="Calibri"/>
      <family val="2"/>
    </font>
    <font>
      <b/>
      <sz val="15"/>
      <color theme="3"/>
      <name val="Calibri"/>
      <family val="2"/>
    </font>
    <font>
      <b/>
      <sz val="15"/>
      <color indexed="56"/>
      <name val="Calibri"/>
      <family val="2"/>
      <scheme val="minor"/>
    </font>
    <font>
      <b/>
      <sz val="13"/>
      <color theme="3"/>
      <name val="Calibri"/>
      <family val="2"/>
    </font>
    <font>
      <b/>
      <sz val="13"/>
      <color indexed="56"/>
      <name val="Calibri"/>
      <family val="2"/>
      <scheme val="minor"/>
    </font>
    <font>
      <b/>
      <sz val="11"/>
      <color theme="3"/>
      <name val="Calibri"/>
      <family val="2"/>
    </font>
    <font>
      <b/>
      <sz val="11"/>
      <color indexed="56"/>
      <name val="Calibri"/>
      <family val="2"/>
      <scheme val="minor"/>
    </font>
    <font>
      <u/>
      <sz val="11"/>
      <color theme="10"/>
      <name val="Calibri"/>
      <family val="2"/>
      <scheme val="minor"/>
    </font>
    <font>
      <u/>
      <sz val="10"/>
      <color theme="10"/>
      <name val="Arial"/>
      <family val="2"/>
    </font>
    <font>
      <sz val="11"/>
      <color rgb="FF3F3F76"/>
      <name val="Calibri"/>
      <family val="2"/>
    </font>
    <font>
      <sz val="11"/>
      <color rgb="FFFA7D00"/>
      <name val="Calibri"/>
      <family val="2"/>
    </font>
    <font>
      <sz val="11"/>
      <color indexed="60"/>
      <name val="Calibri"/>
      <family val="2"/>
      <scheme val="minor"/>
    </font>
    <font>
      <sz val="11"/>
      <color rgb="FF9C6500"/>
      <name val="Calibri"/>
      <family val="2"/>
    </font>
    <font>
      <b/>
      <sz val="11"/>
      <color rgb="FF3F3F3F"/>
      <name val="Calibri"/>
      <family val="2"/>
    </font>
    <font>
      <b/>
      <sz val="18"/>
      <color indexed="56"/>
      <name val="Cambria"/>
      <family val="2"/>
      <scheme val="major"/>
    </font>
    <font>
      <b/>
      <sz val="11"/>
      <color theme="1"/>
      <name val="Calibri"/>
      <family val="2"/>
    </font>
    <font>
      <sz val="11"/>
      <color rgb="FFFF0000"/>
      <name val="Calibri"/>
      <family val="2"/>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6"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s>
  <cellStyleXfs count="373">
    <xf numFmtId="0" fontId="0" fillId="0" borderId="0"/>
    <xf numFmtId="43" fontId="2" fillId="0" borderId="0" applyFont="0" applyFill="0" applyBorder="0" applyAlignment="0" applyProtection="0"/>
    <xf numFmtId="9" fontId="2" fillId="0" borderId="0" applyFont="0" applyFill="0" applyBorder="0" applyAlignment="0" applyProtection="0"/>
    <xf numFmtId="0" fontId="20" fillId="0" borderId="0" applyNumberFormat="0" applyFill="0" applyBorder="0" applyAlignment="0" applyProtection="0"/>
    <xf numFmtId="0" fontId="21" fillId="0" borderId="21" applyNumberFormat="0" applyFill="0" applyAlignment="0" applyProtection="0"/>
    <xf numFmtId="0" fontId="22" fillId="0" borderId="22" applyNumberFormat="0" applyFill="0" applyAlignment="0" applyProtection="0"/>
    <xf numFmtId="0" fontId="23" fillId="0" borderId="23"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24" applyNumberFormat="0" applyAlignment="0" applyProtection="0"/>
    <xf numFmtId="0" fontId="28" fillId="6" borderId="25" applyNumberFormat="0" applyAlignment="0" applyProtection="0"/>
    <xf numFmtId="0" fontId="29" fillId="6" borderId="24" applyNumberFormat="0" applyAlignment="0" applyProtection="0"/>
    <xf numFmtId="0" fontId="30" fillId="0" borderId="26" applyNumberFormat="0" applyFill="0" applyAlignment="0" applyProtection="0"/>
    <xf numFmtId="0" fontId="31" fillId="7" borderId="27"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29" applyNumberFormat="0" applyFill="0" applyAlignment="0" applyProtection="0"/>
    <xf numFmtId="0" fontId="3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5" fillId="32" borderId="0" applyNumberFormat="0" applyBorder="0" applyAlignment="0" applyProtection="0"/>
    <xf numFmtId="0" fontId="36" fillId="0" borderId="0" applyProtection="0"/>
    <xf numFmtId="0" fontId="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4" fillId="1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4" fillId="1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4" fillId="18"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44" fillId="22"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4" fillId="26" borderId="0" applyNumberFormat="0" applyBorder="0" applyAlignment="0" applyProtection="0"/>
    <xf numFmtId="0" fontId="1" fillId="37"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44" fillId="30" borderId="0" applyNumberFormat="0" applyBorder="0" applyAlignment="0" applyProtection="0"/>
    <xf numFmtId="0" fontId="1" fillId="3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44" fillId="11" borderId="0" applyNumberFormat="0" applyBorder="0" applyAlignment="0" applyProtection="0"/>
    <xf numFmtId="0" fontId="1"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4" fillId="15" borderId="0" applyNumberFormat="0" applyBorder="0" applyAlignment="0" applyProtection="0"/>
    <xf numFmtId="0" fontId="1" fillId="4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44" fillId="19"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44" fillId="23"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44" fillId="27" borderId="0" applyNumberFormat="0" applyBorder="0" applyAlignment="0" applyProtection="0"/>
    <xf numFmtId="0" fontId="1"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4" fillId="31" borderId="0" applyNumberFormat="0" applyBorder="0" applyAlignment="0" applyProtection="0"/>
    <xf numFmtId="0" fontId="1" fillId="41" borderId="0" applyNumberFormat="0" applyBorder="0" applyAlignment="0" applyProtection="0"/>
    <xf numFmtId="0" fontId="35" fillId="4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45" fillId="1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45" fillId="16" borderId="0" applyNumberFormat="0" applyBorder="0" applyAlignment="0" applyProtection="0"/>
    <xf numFmtId="0" fontId="35" fillId="4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45" fillId="20"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45" fillId="24"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45" fillId="28" borderId="0" applyNumberFormat="0" applyBorder="0" applyAlignment="0" applyProtection="0"/>
    <xf numFmtId="0" fontId="35" fillId="45"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45" fillId="32"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45" fillId="9"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45" fillId="13"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45" fillId="17" borderId="0" applyNumberFormat="0" applyBorder="0" applyAlignment="0" applyProtection="0"/>
    <xf numFmtId="0" fontId="35" fillId="48" borderId="0" applyNumberFormat="0" applyBorder="0" applyAlignment="0" applyProtection="0"/>
    <xf numFmtId="0" fontId="35" fillId="43"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45" fillId="21" borderId="0" applyNumberFormat="0" applyBorder="0" applyAlignment="0" applyProtection="0"/>
    <xf numFmtId="0" fontId="35" fillId="43"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45" fillId="25" borderId="0" applyNumberFormat="0" applyBorder="0" applyAlignment="0" applyProtection="0"/>
    <xf numFmtId="0" fontId="35" fillId="4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45" fillId="29" borderId="0" applyNumberFormat="0" applyBorder="0" applyAlignment="0" applyProtection="0"/>
    <xf numFmtId="0" fontId="25" fillId="3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46" fillId="3" borderId="0" applyNumberFormat="0" applyBorder="0" applyAlignment="0" applyProtection="0"/>
    <xf numFmtId="0" fontId="47" fillId="3" borderId="0" applyNumberFormat="0" applyBorder="0" applyAlignment="0" applyProtection="0"/>
    <xf numFmtId="0" fontId="48" fillId="37" borderId="24" applyNumberFormat="0" applyAlignment="0" applyProtection="0"/>
    <xf numFmtId="0" fontId="29" fillId="6" borderId="24" applyNumberFormat="0" applyAlignment="0" applyProtection="0"/>
    <xf numFmtId="0" fontId="29" fillId="6" borderId="24" applyNumberFormat="0" applyAlignment="0" applyProtection="0"/>
    <xf numFmtId="0" fontId="48" fillId="37" borderId="24" applyNumberFormat="0" applyAlignment="0" applyProtection="0"/>
    <xf numFmtId="0" fontId="48" fillId="37" borderId="24" applyNumberFormat="0" applyAlignment="0" applyProtection="0"/>
    <xf numFmtId="0" fontId="49" fillId="6" borderId="24" applyNumberFormat="0" applyAlignment="0" applyProtection="0"/>
    <xf numFmtId="0" fontId="29" fillId="37" borderId="24" applyNumberFormat="0" applyAlignment="0" applyProtection="0"/>
    <xf numFmtId="0" fontId="31" fillId="7" borderId="27" applyNumberFormat="0" applyAlignment="0" applyProtection="0"/>
    <xf numFmtId="0" fontId="31" fillId="7" borderId="27" applyNumberFormat="0" applyAlignment="0" applyProtection="0"/>
    <xf numFmtId="0" fontId="50" fillId="7" borderId="27" applyNumberFormat="0" applyAlignment="0" applyProtection="0"/>
    <xf numFmtId="43" fontId="2" fillId="0" borderId="0" applyFont="0" applyFill="0" applyBorder="0" applyAlignment="0" applyProtection="0"/>
    <xf numFmtId="0" fontId="11" fillId="50" borderId="8">
      <alignment wrapText="1"/>
    </xf>
    <xf numFmtId="0" fontId="33" fillId="0" borderId="0" applyNumberFormat="0" applyFill="0" applyBorder="0" applyAlignment="0" applyProtection="0"/>
    <xf numFmtId="0" fontId="33" fillId="0" borderId="0" applyNumberFormat="0" applyFill="0" applyBorder="0" applyAlignment="0" applyProtection="0"/>
    <xf numFmtId="0" fontId="51" fillId="0" borderId="0" applyNumberFormat="0" applyFill="0" applyBorder="0" applyAlignment="0" applyProtection="0"/>
    <xf numFmtId="0" fontId="24" fillId="35"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52" fillId="2" borderId="0" applyNumberFormat="0" applyBorder="0" applyAlignment="0" applyProtection="0"/>
    <xf numFmtId="0" fontId="38" fillId="0" borderId="30" applyNumberFormat="0" applyFill="0" applyAlignment="0" applyProtection="0"/>
    <xf numFmtId="0" fontId="21" fillId="0" borderId="21" applyNumberFormat="0" applyFill="0" applyAlignment="0" applyProtection="0"/>
    <xf numFmtId="0" fontId="21" fillId="0" borderId="21" applyNumberFormat="0" applyFill="0" applyAlignment="0" applyProtection="0"/>
    <xf numFmtId="0" fontId="38" fillId="0" borderId="30" applyNumberFormat="0" applyFill="0" applyAlignment="0" applyProtection="0"/>
    <xf numFmtId="0" fontId="38" fillId="0" borderId="30" applyNumberFormat="0" applyFill="0" applyAlignment="0" applyProtection="0"/>
    <xf numFmtId="0" fontId="53" fillId="0" borderId="21" applyNumberFormat="0" applyFill="0" applyAlignment="0" applyProtection="0"/>
    <xf numFmtId="0" fontId="54" fillId="0" borderId="30" applyNumberFormat="0" applyFill="0" applyAlignment="0" applyProtection="0"/>
    <xf numFmtId="0" fontId="39" fillId="0" borderId="31" applyNumberFormat="0" applyFill="0" applyAlignment="0" applyProtection="0"/>
    <xf numFmtId="0" fontId="22" fillId="0" borderId="22" applyNumberFormat="0" applyFill="0" applyAlignment="0" applyProtection="0"/>
    <xf numFmtId="0" fontId="22" fillId="0" borderId="22" applyNumberFormat="0" applyFill="0" applyAlignment="0" applyProtection="0"/>
    <xf numFmtId="0" fontId="39" fillId="0" borderId="31" applyNumberFormat="0" applyFill="0" applyAlignment="0" applyProtection="0"/>
    <xf numFmtId="0" fontId="39" fillId="0" borderId="31" applyNumberFormat="0" applyFill="0" applyAlignment="0" applyProtection="0"/>
    <xf numFmtId="0" fontId="55" fillId="0" borderId="22" applyNumberFormat="0" applyFill="0" applyAlignment="0" applyProtection="0"/>
    <xf numFmtId="0" fontId="56" fillId="0" borderId="22" applyNumberFormat="0" applyFill="0" applyAlignment="0" applyProtection="0"/>
    <xf numFmtId="0" fontId="40" fillId="0" borderId="32" applyNumberFormat="0" applyFill="0" applyAlignment="0" applyProtection="0"/>
    <xf numFmtId="0" fontId="23" fillId="0" borderId="23" applyNumberFormat="0" applyFill="0" applyAlignment="0" applyProtection="0"/>
    <xf numFmtId="0" fontId="23" fillId="0" borderId="23" applyNumberFormat="0" applyFill="0" applyAlignment="0" applyProtection="0"/>
    <xf numFmtId="0" fontId="40" fillId="0" borderId="32" applyNumberFormat="0" applyFill="0" applyAlignment="0" applyProtection="0"/>
    <xf numFmtId="0" fontId="40" fillId="0" borderId="32" applyNumberFormat="0" applyFill="0" applyAlignment="0" applyProtection="0"/>
    <xf numFmtId="0" fontId="57" fillId="0" borderId="23" applyNumberFormat="0" applyFill="0" applyAlignment="0" applyProtection="0"/>
    <xf numFmtId="0" fontId="58" fillId="0" borderId="32" applyNumberFormat="0" applyFill="0" applyAlignment="0" applyProtection="0"/>
    <xf numFmtId="0" fontId="40"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42" fillId="0" borderId="0" applyNumberFormat="0" applyFill="0" applyBorder="0" applyAlignment="0" applyProtection="0">
      <alignment vertical="top"/>
      <protection locked="0"/>
    </xf>
    <xf numFmtId="0" fontId="5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42" fillId="0" borderId="0" applyNumberFormat="0" applyFill="0" applyBorder="0" applyAlignment="0" applyProtection="0"/>
    <xf numFmtId="0" fontId="27" fillId="37" borderId="24" applyNumberFormat="0" applyAlignment="0" applyProtection="0"/>
    <xf numFmtId="0" fontId="27" fillId="5" borderId="24" applyNumberFormat="0" applyAlignment="0" applyProtection="0"/>
    <xf numFmtId="0" fontId="27" fillId="5" borderId="24" applyNumberFormat="0" applyAlignment="0" applyProtection="0"/>
    <xf numFmtId="0" fontId="27" fillId="37" borderId="24" applyNumberFormat="0" applyAlignment="0" applyProtection="0"/>
    <xf numFmtId="0" fontId="27" fillId="37" borderId="24" applyNumberFormat="0" applyAlignment="0" applyProtection="0"/>
    <xf numFmtId="0" fontId="61" fillId="5" borderId="24" applyNumberFormat="0" applyAlignment="0" applyProtection="0"/>
    <xf numFmtId="0" fontId="41" fillId="0" borderId="33" applyNumberFormat="0" applyFill="0" applyAlignment="0" applyProtection="0"/>
    <xf numFmtId="0" fontId="30" fillId="0" borderId="26" applyNumberFormat="0" applyFill="0" applyAlignment="0" applyProtection="0"/>
    <xf numFmtId="0" fontId="30" fillId="0" borderId="26" applyNumberFormat="0" applyFill="0" applyAlignment="0" applyProtection="0"/>
    <xf numFmtId="0" fontId="41" fillId="0" borderId="33" applyNumberFormat="0" applyFill="0" applyAlignment="0" applyProtection="0"/>
    <xf numFmtId="0" fontId="41" fillId="0" borderId="33" applyNumberFormat="0" applyFill="0" applyAlignment="0" applyProtection="0"/>
    <xf numFmtId="0" fontId="62" fillId="0" borderId="26" applyNumberFormat="0" applyFill="0" applyAlignment="0" applyProtection="0"/>
    <xf numFmtId="0" fontId="63"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4" fillId="4" borderId="0" applyNumberFormat="0" applyBorder="0" applyAlignment="0" applyProtection="0"/>
    <xf numFmtId="0" fontId="2" fillId="0" borderId="0"/>
    <xf numFmtId="0" fontId="2" fillId="0" borderId="0"/>
    <xf numFmtId="0" fontId="2" fillId="0" borderId="0"/>
    <xf numFmtId="0" fontId="1" fillId="0" borderId="0"/>
    <xf numFmtId="0" fontId="2" fillId="0" borderId="0"/>
    <xf numFmtId="0" fontId="1" fillId="0" borderId="0"/>
    <xf numFmtId="0" fontId="44" fillId="0" borderId="0"/>
    <xf numFmtId="0" fontId="1" fillId="0" borderId="0"/>
    <xf numFmtId="0" fontId="44"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8" borderId="28" applyNumberFormat="0" applyFont="0" applyAlignment="0" applyProtection="0"/>
    <xf numFmtId="0" fontId="37" fillId="8" borderId="28" applyNumberFormat="0" applyFont="0" applyAlignment="0" applyProtection="0"/>
    <xf numFmtId="0" fontId="1" fillId="8" borderId="28" applyNumberFormat="0" applyFont="0" applyAlignment="0" applyProtection="0"/>
    <xf numFmtId="0" fontId="1" fillId="0" borderId="0"/>
    <xf numFmtId="0" fontId="1" fillId="8" borderId="28" applyNumberFormat="0" applyFont="0" applyAlignment="0" applyProtection="0"/>
    <xf numFmtId="0" fontId="1" fillId="0" borderId="0"/>
    <xf numFmtId="0" fontId="1" fillId="0" borderId="0"/>
    <xf numFmtId="0" fontId="1" fillId="0" borderId="0"/>
    <xf numFmtId="0" fontId="37" fillId="8" borderId="28" applyNumberFormat="0" applyFont="0" applyAlignment="0" applyProtection="0"/>
    <xf numFmtId="0" fontId="37" fillId="8" borderId="28" applyNumberFormat="0" applyFont="0" applyAlignment="0" applyProtection="0"/>
    <xf numFmtId="0" fontId="1" fillId="0" borderId="0"/>
    <xf numFmtId="0" fontId="37" fillId="8" borderId="28" applyNumberFormat="0" applyFont="0" applyAlignment="0" applyProtection="0"/>
    <xf numFmtId="0" fontId="1" fillId="0" borderId="0"/>
    <xf numFmtId="0" fontId="37" fillId="8" borderId="28" applyNumberFormat="0" applyFont="0" applyAlignment="0" applyProtection="0"/>
    <xf numFmtId="0" fontId="28" fillId="37" borderId="25" applyNumberFormat="0" applyAlignment="0" applyProtection="0"/>
    <xf numFmtId="0" fontId="1" fillId="0" borderId="0"/>
    <xf numFmtId="0" fontId="28" fillId="6" borderId="25" applyNumberFormat="0" applyAlignment="0" applyProtection="0"/>
    <xf numFmtId="0" fontId="28" fillId="6" borderId="25" applyNumberFormat="0" applyAlignment="0" applyProtection="0"/>
    <xf numFmtId="0" fontId="1" fillId="0" borderId="0"/>
    <xf numFmtId="0" fontId="28" fillId="6" borderId="25" applyNumberFormat="0" applyAlignment="0" applyProtection="0"/>
    <xf numFmtId="0" fontId="1" fillId="0" borderId="0"/>
    <xf numFmtId="0" fontId="28" fillId="6" borderId="25" applyNumberFormat="0" applyAlignment="0" applyProtection="0"/>
    <xf numFmtId="0" fontId="1" fillId="0" borderId="0"/>
    <xf numFmtId="0" fontId="28" fillId="6" borderId="25" applyNumberFormat="0" applyAlignment="0" applyProtection="0"/>
    <xf numFmtId="0" fontId="65" fillId="6" borderId="25" applyNumberFormat="0" applyAlignment="0" applyProtection="0"/>
    <xf numFmtId="9" fontId="2" fillId="0" borderId="0" applyFont="0" applyFill="0" applyBorder="0" applyAlignment="0" applyProtection="0"/>
    <xf numFmtId="0" fontId="1" fillId="0" borderId="0"/>
    <xf numFmtId="0" fontId="20" fillId="0" borderId="0" applyNumberFormat="0" applyFill="0" applyBorder="0" applyAlignment="0" applyProtection="0"/>
    <xf numFmtId="0" fontId="20" fillId="0" borderId="0" applyNumberFormat="0" applyFill="0" applyBorder="0" applyAlignment="0" applyProtection="0"/>
    <xf numFmtId="0" fontId="1" fillId="0" borderId="0"/>
    <xf numFmtId="0" fontId="20" fillId="0" borderId="0" applyNumberFormat="0" applyFill="0" applyBorder="0" applyAlignment="0" applyProtection="0"/>
    <xf numFmtId="0" fontId="1" fillId="0" borderId="0"/>
    <xf numFmtId="0" fontId="1" fillId="0" borderId="0"/>
    <xf numFmtId="0" fontId="20" fillId="0" borderId="0" applyNumberFormat="0" applyFill="0" applyBorder="0" applyAlignment="0" applyProtection="0"/>
    <xf numFmtId="0" fontId="66" fillId="0" borderId="0" applyNumberFormat="0" applyFill="0" applyBorder="0" applyAlignment="0" applyProtection="0"/>
    <xf numFmtId="0" fontId="34" fillId="0" borderId="34" applyNumberFormat="0" applyFill="0" applyAlignment="0" applyProtection="0"/>
    <xf numFmtId="0" fontId="1" fillId="0" borderId="0"/>
    <xf numFmtId="0" fontId="34" fillId="0" borderId="29" applyNumberFormat="0" applyFill="0" applyAlignment="0" applyProtection="0"/>
    <xf numFmtId="0" fontId="34" fillId="0" borderId="29" applyNumberFormat="0" applyFill="0" applyAlignment="0" applyProtection="0"/>
    <xf numFmtId="0" fontId="1" fillId="0" borderId="0"/>
    <xf numFmtId="0" fontId="34" fillId="0" borderId="29" applyNumberFormat="0" applyFill="0" applyAlignment="0" applyProtection="0"/>
    <xf numFmtId="0" fontId="1" fillId="0" borderId="0"/>
    <xf numFmtId="0" fontId="34" fillId="0" borderId="29" applyNumberFormat="0" applyFill="0" applyAlignment="0" applyProtection="0"/>
    <xf numFmtId="0" fontId="1" fillId="0" borderId="0"/>
    <xf numFmtId="0" fontId="34" fillId="0" borderId="29" applyNumberFormat="0" applyFill="0" applyAlignment="0" applyProtection="0"/>
    <xf numFmtId="0" fontId="67" fillId="0" borderId="29" applyNumberFormat="0" applyFill="0" applyAlignment="0" applyProtection="0"/>
    <xf numFmtId="0" fontId="1" fillId="0" borderId="0"/>
    <xf numFmtId="0" fontId="32" fillId="0" borderId="0" applyNumberFormat="0" applyFill="0" applyBorder="0" applyAlignment="0" applyProtection="0"/>
    <xf numFmtId="0" fontId="32"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32" fillId="0" borderId="0" applyNumberFormat="0" applyFill="0" applyBorder="0" applyAlignment="0" applyProtection="0"/>
    <xf numFmtId="0" fontId="68" fillId="0" borderId="0" applyNumberFormat="0" applyFill="0" applyBorder="0" applyAlignment="0" applyProtection="0"/>
  </cellStyleXfs>
  <cellXfs count="298">
    <xf numFmtId="0" fontId="0" fillId="0" borderId="0" xfId="0"/>
    <xf numFmtId="0" fontId="0" fillId="0" borderId="0" xfId="0" applyFill="1"/>
    <xf numFmtId="0" fontId="0" fillId="0" borderId="0" xfId="0" applyFill="1" applyAlignment="1">
      <alignment horizontal="left"/>
    </xf>
    <xf numFmtId="0" fontId="0" fillId="0" borderId="0" xfId="0" applyFill="1" applyAlignment="1">
      <alignment horizontal="center"/>
    </xf>
    <xf numFmtId="1" fontId="0" fillId="0" borderId="0" xfId="0" applyNumberFormat="1" applyFill="1"/>
    <xf numFmtId="0" fontId="5" fillId="0" borderId="0" xfId="0" applyFont="1" applyFill="1"/>
    <xf numFmtId="0" fontId="11" fillId="0" borderId="0" xfId="0" applyFont="1" applyFill="1"/>
    <xf numFmtId="0" fontId="11" fillId="0" borderId="0" xfId="0" applyFont="1" applyFill="1" applyAlignment="1">
      <alignment horizontal="left"/>
    </xf>
    <xf numFmtId="0" fontId="11" fillId="0" borderId="0" xfId="0" applyFont="1" applyFill="1" applyAlignment="1">
      <alignment horizontal="center"/>
    </xf>
    <xf numFmtId="0" fontId="0" fillId="0" borderId="0" xfId="0" applyFill="1" applyAlignment="1">
      <alignment horizontal="center" vertical="center" wrapText="1"/>
    </xf>
    <xf numFmtId="0" fontId="4" fillId="0" borderId="0" xfId="0" applyFont="1" applyFill="1" applyBorder="1" applyAlignment="1">
      <alignment horizontal="center" wrapText="1"/>
    </xf>
    <xf numFmtId="0" fontId="4" fillId="0" borderId="0" xfId="0" applyFont="1" applyFill="1" applyBorder="1" applyAlignment="1">
      <alignment horizontal="center"/>
    </xf>
    <xf numFmtId="0" fontId="4" fillId="0" borderId="1" xfId="0" applyFont="1" applyFill="1" applyBorder="1" applyAlignment="1">
      <alignment horizontal="center" vertical="center" wrapText="1"/>
    </xf>
    <xf numFmtId="0" fontId="6" fillId="0" borderId="0" xfId="0" applyFont="1" applyFill="1" applyBorder="1" applyAlignment="1">
      <alignment horizontal="center"/>
    </xf>
    <xf numFmtId="0" fontId="6" fillId="0" borderId="0" xfId="0" applyFont="1" applyFill="1" applyBorder="1" applyAlignment="1">
      <alignment horizontal="center" wrapText="1"/>
    </xf>
    <xf numFmtId="0" fontId="0" fillId="0" borderId="0" xfId="0" applyFill="1" applyBorder="1" applyAlignment="1">
      <alignment horizontal="left" vertical="center" wrapText="1"/>
    </xf>
    <xf numFmtId="0" fontId="6" fillId="0" borderId="0" xfId="0" applyFont="1" applyFill="1" applyBorder="1" applyAlignment="1">
      <alignment horizontal="left" wrapText="1"/>
    </xf>
    <xf numFmtId="0" fontId="5" fillId="0" borderId="2" xfId="0" applyFont="1" applyFill="1" applyBorder="1" applyProtection="1">
      <protection locked="0"/>
    </xf>
    <xf numFmtId="0" fontId="10" fillId="0" borderId="0" xfId="0" applyFont="1" applyFill="1" applyBorder="1" applyAlignment="1" applyProtection="1">
      <alignment horizontal="left"/>
      <protection locked="0"/>
    </xf>
    <xf numFmtId="1" fontId="0" fillId="0" borderId="0" xfId="0" applyNumberFormat="1" applyFill="1" applyBorder="1" applyProtection="1">
      <protection locked="0"/>
    </xf>
    <xf numFmtId="0" fontId="5" fillId="0" borderId="0" xfId="0" applyFont="1" applyFill="1" applyBorder="1" applyProtection="1">
      <protection locked="0"/>
    </xf>
    <xf numFmtId="0" fontId="0" fillId="0" borderId="0" xfId="0" applyFill="1" applyBorder="1" applyAlignment="1" applyProtection="1">
      <alignment horizontal="center"/>
      <protection locked="0"/>
    </xf>
    <xf numFmtId="9" fontId="0" fillId="0" borderId="0" xfId="0" applyNumberFormat="1" applyFill="1" applyBorder="1" applyAlignment="1" applyProtection="1">
      <alignment horizontal="center"/>
      <protection locked="0"/>
    </xf>
    <xf numFmtId="0" fontId="0" fillId="0" borderId="0" xfId="0" applyFill="1" applyBorder="1" applyProtection="1">
      <protection locked="0"/>
    </xf>
    <xf numFmtId="0" fontId="10" fillId="0" borderId="0" xfId="0" applyFont="1" applyFill="1" applyBorder="1" applyProtection="1">
      <protection locked="0"/>
    </xf>
    <xf numFmtId="9" fontId="0" fillId="0" borderId="0" xfId="2" applyFont="1" applyFill="1" applyBorder="1" applyAlignment="1" applyProtection="1">
      <alignment horizontal="center"/>
      <protection locked="0"/>
    </xf>
    <xf numFmtId="0" fontId="0" fillId="0" borderId="0" xfId="0" applyFill="1" applyBorder="1" applyAlignment="1" applyProtection="1">
      <alignment horizontal="left"/>
      <protection locked="0"/>
    </xf>
    <xf numFmtId="0" fontId="0" fillId="0" borderId="3" xfId="0" applyFill="1" applyBorder="1" applyProtection="1">
      <protection locked="0"/>
    </xf>
    <xf numFmtId="0" fontId="5" fillId="0" borderId="3" xfId="0" applyFont="1" applyFill="1" applyBorder="1" applyProtection="1">
      <protection locked="0"/>
    </xf>
    <xf numFmtId="0" fontId="0" fillId="0" borderId="4" xfId="0" applyFill="1" applyBorder="1" applyAlignment="1" applyProtection="1">
      <alignment horizontal="left"/>
      <protection locked="0"/>
    </xf>
    <xf numFmtId="0" fontId="0" fillId="0" borderId="4" xfId="0" applyFill="1" applyBorder="1" applyAlignment="1" applyProtection="1">
      <alignment horizontal="center"/>
      <protection locked="0"/>
    </xf>
    <xf numFmtId="9" fontId="0" fillId="0" borderId="4" xfId="2" applyFont="1" applyFill="1" applyBorder="1" applyAlignment="1" applyProtection="1">
      <alignment horizontal="center"/>
      <protection locked="0"/>
    </xf>
    <xf numFmtId="1" fontId="0" fillId="0" borderId="4" xfId="0" applyNumberFormat="1" applyFill="1" applyBorder="1" applyProtection="1">
      <protection locked="0"/>
    </xf>
    <xf numFmtId="0" fontId="0" fillId="0" borderId="4" xfId="0" applyFill="1" applyBorder="1" applyProtection="1">
      <protection locked="0"/>
    </xf>
    <xf numFmtId="0" fontId="0" fillId="0" borderId="5" xfId="0" applyFill="1" applyBorder="1" applyProtection="1">
      <protection locked="0"/>
    </xf>
    <xf numFmtId="0" fontId="6" fillId="0" borderId="0" xfId="0" applyFont="1" applyFill="1"/>
    <xf numFmtId="0" fontId="0" fillId="0" borderId="6" xfId="0" applyFill="1" applyBorder="1" applyProtection="1">
      <protection locked="0"/>
    </xf>
    <xf numFmtId="0" fontId="0" fillId="0" borderId="7" xfId="0" applyFill="1" applyBorder="1" applyProtection="1">
      <protection locked="0"/>
    </xf>
    <xf numFmtId="0" fontId="0" fillId="0" borderId="8" xfId="0" applyFill="1" applyBorder="1" applyProtection="1">
      <protection locked="0"/>
    </xf>
    <xf numFmtId="0" fontId="3" fillId="0" borderId="0" xfId="0" applyFont="1" applyBorder="1" applyAlignment="1">
      <alignment horizontal="right"/>
    </xf>
    <xf numFmtId="0" fontId="3" fillId="0" borderId="0" xfId="0" applyFont="1" applyBorder="1"/>
    <xf numFmtId="0" fontId="3" fillId="0" borderId="0" xfId="0" applyFont="1" applyBorder="1" applyProtection="1"/>
    <xf numFmtId="0" fontId="3" fillId="0" borderId="9" xfId="0" applyFont="1" applyBorder="1" applyProtection="1"/>
    <xf numFmtId="0" fontId="3" fillId="0" borderId="10" xfId="0" applyFont="1" applyBorder="1" applyProtection="1"/>
    <xf numFmtId="9" fontId="3" fillId="0" borderId="0" xfId="2" applyFont="1" applyBorder="1"/>
    <xf numFmtId="0" fontId="3" fillId="0" borderId="0" xfId="0" applyFont="1"/>
    <xf numFmtId="43" fontId="3" fillId="0" borderId="0" xfId="1" applyFont="1" applyBorder="1"/>
    <xf numFmtId="2" fontId="3" fillId="0" borderId="0" xfId="1" applyNumberFormat="1" applyFont="1" applyBorder="1"/>
    <xf numFmtId="0" fontId="5" fillId="0" borderId="0" xfId="0" applyFont="1" applyFill="1" applyAlignment="1">
      <alignment horizontal="center"/>
    </xf>
    <xf numFmtId="0" fontId="3" fillId="0" borderId="0" xfId="0" applyFont="1" applyFill="1" applyBorder="1" applyProtection="1">
      <protection locked="0"/>
    </xf>
    <xf numFmtId="0" fontId="3" fillId="0" borderId="2" xfId="0" applyFont="1" applyFill="1" applyBorder="1" applyProtection="1">
      <protection locked="0"/>
    </xf>
    <xf numFmtId="0" fontId="0" fillId="0" borderId="1" xfId="0" applyFill="1" applyBorder="1" applyAlignment="1" applyProtection="1">
      <alignment horizontal="center"/>
      <protection locked="0"/>
    </xf>
    <xf numFmtId="0" fontId="11" fillId="0" borderId="8" xfId="0" applyFont="1" applyFill="1" applyBorder="1" applyProtection="1">
      <protection locked="0"/>
    </xf>
    <xf numFmtId="0" fontId="6" fillId="0" borderId="11" xfId="0" applyFont="1" applyFill="1" applyBorder="1" applyAlignment="1">
      <alignment horizontal="center"/>
    </xf>
    <xf numFmtId="172" fontId="13" fillId="0" borderId="0" xfId="1" applyNumberFormat="1" applyFont="1" applyFill="1" applyBorder="1" applyProtection="1">
      <protection locked="0"/>
    </xf>
    <xf numFmtId="0" fontId="4" fillId="0" borderId="0" xfId="0" applyFont="1" applyFill="1" applyBorder="1" applyAlignment="1" applyProtection="1">
      <alignment horizontal="center" wrapText="1"/>
    </xf>
    <xf numFmtId="0" fontId="4" fillId="0" borderId="0" xfId="0" applyFont="1" applyFill="1" applyBorder="1" applyAlignment="1" applyProtection="1">
      <alignment horizontal="center"/>
    </xf>
    <xf numFmtId="166" fontId="4" fillId="0" borderId="0" xfId="0" applyNumberFormat="1" applyFont="1" applyFill="1" applyAlignment="1" applyProtection="1">
      <alignment horizontal="center"/>
    </xf>
    <xf numFmtId="2" fontId="4" fillId="0" borderId="0" xfId="0" applyNumberFormat="1" applyFont="1" applyFill="1" applyAlignment="1" applyProtection="1">
      <alignment horizontal="center"/>
    </xf>
    <xf numFmtId="9" fontId="4" fillId="0" borderId="0" xfId="2" applyFont="1" applyFill="1" applyAlignment="1" applyProtection="1">
      <alignment horizontal="center"/>
    </xf>
    <xf numFmtId="0" fontId="0" fillId="0" borderId="0" xfId="0" applyFill="1" applyProtection="1"/>
    <xf numFmtId="0" fontId="0" fillId="0" borderId="0" xfId="0" applyFill="1" applyAlignment="1" applyProtection="1">
      <alignment horizontal="center"/>
    </xf>
    <xf numFmtId="0" fontId="11" fillId="0" borderId="0" xfId="0" applyFont="1" applyFill="1" applyProtection="1"/>
    <xf numFmtId="0" fontId="11" fillId="0" borderId="0" xfId="0" applyFont="1" applyFill="1" applyAlignment="1" applyProtection="1">
      <alignment horizontal="center"/>
    </xf>
    <xf numFmtId="0" fontId="11" fillId="0" borderId="0" xfId="0" applyFont="1" applyFill="1" applyBorder="1" applyAlignment="1" applyProtection="1">
      <alignment horizontal="left"/>
    </xf>
    <xf numFmtId="0" fontId="11" fillId="0" borderId="0" xfId="0" applyFont="1" applyFill="1" applyAlignment="1" applyProtection="1">
      <alignment horizontal="center" vertical="center"/>
    </xf>
    <xf numFmtId="0" fontId="11"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center"/>
    </xf>
    <xf numFmtId="0" fontId="6" fillId="0" borderId="0" xfId="0" applyFont="1" applyFill="1" applyBorder="1" applyAlignment="1" applyProtection="1">
      <alignment horizontal="center"/>
    </xf>
    <xf numFmtId="0" fontId="3" fillId="0" borderId="0" xfId="0" applyFont="1" applyFill="1" applyBorder="1" applyAlignment="1" applyProtection="1">
      <alignment horizontal="center" wrapText="1"/>
    </xf>
    <xf numFmtId="0" fontId="3" fillId="0" borderId="0" xfId="0" applyFont="1" applyFill="1" applyBorder="1" applyAlignment="1" applyProtection="1">
      <alignment horizontal="center"/>
    </xf>
    <xf numFmtId="0" fontId="3" fillId="0" borderId="0" xfId="0" applyFont="1" applyFill="1" applyBorder="1" applyProtection="1"/>
    <xf numFmtId="1" fontId="3" fillId="0" borderId="0" xfId="0" applyNumberFormat="1" applyFont="1" applyFill="1" applyBorder="1" applyProtection="1"/>
    <xf numFmtId="2" fontId="3" fillId="0" borderId="0" xfId="0" applyNumberFormat="1" applyFont="1" applyFill="1" applyBorder="1" applyProtection="1"/>
    <xf numFmtId="0" fontId="5" fillId="0" borderId="0" xfId="0" applyFont="1" applyFill="1" applyProtection="1"/>
    <xf numFmtId="0" fontId="3" fillId="0" borderId="0" xfId="0" applyFont="1" applyFill="1" applyAlignment="1" applyProtection="1">
      <alignment horizontal="center"/>
    </xf>
    <xf numFmtId="0" fontId="11" fillId="0" borderId="0" xfId="0" applyFont="1" applyFill="1" applyBorder="1" applyProtection="1"/>
    <xf numFmtId="0" fontId="9" fillId="0" borderId="0" xfId="0" applyFont="1" applyBorder="1" applyProtection="1"/>
    <xf numFmtId="0" fontId="3" fillId="0" borderId="0" xfId="0" applyFont="1" applyFill="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0" xfId="0" applyFont="1" applyBorder="1" applyAlignment="1" applyProtection="1">
      <alignment wrapText="1"/>
    </xf>
    <xf numFmtId="0" fontId="3" fillId="0" borderId="9" xfId="0" applyFont="1" applyBorder="1" applyAlignment="1" applyProtection="1">
      <alignment horizontal="right"/>
    </xf>
    <xf numFmtId="0" fontId="3" fillId="0" borderId="0" xfId="0" applyFont="1" applyBorder="1" applyAlignment="1" applyProtection="1">
      <alignment horizontal="right"/>
    </xf>
    <xf numFmtId="0" fontId="3" fillId="0" borderId="0" xfId="0" applyFont="1" applyFill="1" applyBorder="1" applyAlignment="1" applyProtection="1">
      <alignment horizontal="right"/>
    </xf>
    <xf numFmtId="0" fontId="3" fillId="0" borderId="0" xfId="0" quotePrefix="1" applyFont="1" applyFill="1" applyBorder="1" applyAlignment="1" applyProtection="1">
      <alignment horizontal="right"/>
    </xf>
    <xf numFmtId="0" fontId="3" fillId="0" borderId="10" xfId="0" applyFont="1" applyBorder="1" applyAlignment="1" applyProtection="1">
      <alignment horizontal="right"/>
    </xf>
    <xf numFmtId="10" fontId="3" fillId="0" borderId="0" xfId="2" applyNumberFormat="1" applyFont="1" applyFill="1" applyAlignment="1" applyProtection="1">
      <alignment horizontal="center"/>
    </xf>
    <xf numFmtId="2" fontId="3" fillId="0" borderId="0" xfId="0" applyNumberFormat="1" applyFont="1" applyFill="1" applyBorder="1" applyAlignment="1" applyProtection="1">
      <alignment horizontal="right"/>
    </xf>
    <xf numFmtId="167" fontId="3" fillId="0" borderId="0" xfId="0" applyNumberFormat="1" applyFont="1" applyFill="1" applyBorder="1" applyProtection="1"/>
    <xf numFmtId="2" fontId="3" fillId="0" borderId="0" xfId="0" applyNumberFormat="1" applyFont="1" applyBorder="1" applyProtection="1"/>
    <xf numFmtId="9" fontId="3" fillId="0" borderId="0" xfId="2" applyFont="1" applyBorder="1" applyProtection="1"/>
    <xf numFmtId="166" fontId="3" fillId="0" borderId="0" xfId="0" applyNumberFormat="1" applyFont="1" applyBorder="1" applyProtection="1"/>
    <xf numFmtId="166" fontId="3" fillId="0" borderId="10" xfId="0" applyNumberFormat="1" applyFont="1" applyBorder="1" applyProtection="1"/>
    <xf numFmtId="9" fontId="3" fillId="0" borderId="9" xfId="2" applyFont="1" applyBorder="1" applyProtection="1"/>
    <xf numFmtId="171" fontId="0" fillId="0" borderId="0" xfId="0" applyNumberFormat="1" applyBorder="1" applyAlignment="1" applyProtection="1">
      <alignment horizontal="center"/>
      <protection locked="0"/>
    </xf>
    <xf numFmtId="0" fontId="10" fillId="0" borderId="3" xfId="0" applyFont="1" applyFill="1" applyBorder="1" applyAlignment="1" applyProtection="1">
      <alignment horizontal="center"/>
      <protection locked="0"/>
    </xf>
    <xf numFmtId="0" fontId="3" fillId="0" borderId="3" xfId="0" applyFont="1" applyFill="1" applyBorder="1" applyAlignment="1" applyProtection="1">
      <alignment horizontal="center"/>
      <protection locked="0"/>
    </xf>
    <xf numFmtId="174" fontId="0" fillId="0" borderId="0" xfId="0" applyNumberFormat="1" applyFill="1" applyAlignment="1">
      <alignment horizontal="center"/>
    </xf>
    <xf numFmtId="174" fontId="11" fillId="0" borderId="0" xfId="0" applyNumberFormat="1" applyFont="1" applyFill="1" applyAlignment="1">
      <alignment horizontal="center"/>
    </xf>
    <xf numFmtId="174" fontId="6" fillId="0" borderId="0" xfId="0" applyNumberFormat="1" applyFont="1" applyFill="1" applyBorder="1" applyAlignment="1">
      <alignment horizontal="center" wrapText="1"/>
    </xf>
    <xf numFmtId="174" fontId="0" fillId="0" borderId="0" xfId="0" applyNumberFormat="1" applyFill="1" applyBorder="1" applyAlignment="1" applyProtection="1">
      <alignment horizontal="center"/>
      <protection locked="0"/>
    </xf>
    <xf numFmtId="174" fontId="0" fillId="0" borderId="4" xfId="0" applyNumberFormat="1" applyFill="1" applyBorder="1" applyAlignment="1" applyProtection="1">
      <alignment horizontal="center"/>
      <protection locked="0"/>
    </xf>
    <xf numFmtId="174" fontId="13" fillId="0" borderId="2" xfId="0" applyNumberFormat="1" applyFont="1" applyFill="1" applyBorder="1" applyAlignment="1" applyProtection="1">
      <alignment horizontal="center"/>
      <protection locked="0"/>
    </xf>
    <xf numFmtId="174" fontId="13" fillId="0" borderId="0" xfId="0" applyNumberFormat="1" applyFont="1" applyFill="1" applyBorder="1" applyAlignment="1" applyProtection="1">
      <alignment horizontal="center"/>
      <protection locked="0"/>
    </xf>
    <xf numFmtId="14" fontId="10" fillId="0" borderId="0" xfId="0" applyNumberFormat="1" applyFont="1" applyFill="1" applyBorder="1" applyProtection="1">
      <protection locked="0"/>
    </xf>
    <xf numFmtId="14" fontId="10" fillId="0" borderId="0" xfId="0" applyNumberFormat="1" applyFont="1" applyFill="1" applyBorder="1" applyAlignment="1" applyProtection="1">
      <alignment horizontal="right"/>
      <protection locked="0"/>
    </xf>
    <xf numFmtId="14" fontId="0" fillId="0" borderId="0" xfId="0" applyNumberFormat="1" applyFill="1" applyBorder="1" applyAlignment="1" applyProtection="1">
      <alignment horizontal="center"/>
      <protection locked="0"/>
    </xf>
    <xf numFmtId="0" fontId="7" fillId="0" borderId="0" xfId="0" applyFont="1"/>
    <xf numFmtId="0" fontId="8" fillId="0" borderId="0" xfId="0" applyFont="1"/>
    <xf numFmtId="0" fontId="8" fillId="0" borderId="0" xfId="0" applyFont="1" applyAlignment="1">
      <alignment vertical="center"/>
    </xf>
    <xf numFmtId="173" fontId="0" fillId="0" borderId="0" xfId="0" applyNumberFormat="1" applyBorder="1" applyAlignment="1" applyProtection="1">
      <alignment horizontal="right"/>
      <protection locked="0"/>
    </xf>
    <xf numFmtId="0" fontId="8" fillId="0" borderId="0" xfId="0" quotePrefix="1" applyFont="1" applyAlignment="1">
      <alignment horizontal="left" vertical="center"/>
    </xf>
    <xf numFmtId="0" fontId="8" fillId="0" borderId="0" xfId="0" applyFont="1" applyAlignment="1">
      <alignment horizontal="left" vertical="center"/>
    </xf>
    <xf numFmtId="0" fontId="15" fillId="0" borderId="0" xfId="0" applyFont="1" applyBorder="1" applyAlignment="1">
      <alignment horizontal="right"/>
    </xf>
    <xf numFmtId="0" fontId="15" fillId="0" borderId="0" xfId="0" applyFont="1" applyBorder="1"/>
    <xf numFmtId="0" fontId="15" fillId="0" borderId="0" xfId="0" quotePrefix="1" applyFont="1" applyBorder="1"/>
    <xf numFmtId="166" fontId="15" fillId="0" borderId="0" xfId="0" applyNumberFormat="1" applyFont="1" applyBorder="1"/>
    <xf numFmtId="9" fontId="15" fillId="0" borderId="0" xfId="2" applyFont="1" applyBorder="1"/>
    <xf numFmtId="0" fontId="15" fillId="0" borderId="0" xfId="0" applyFont="1" applyFill="1" applyBorder="1" applyAlignment="1">
      <alignment horizontal="right"/>
    </xf>
    <xf numFmtId="1" fontId="15" fillId="0" borderId="0" xfId="0" applyNumberFormat="1" applyFont="1" applyBorder="1"/>
    <xf numFmtId="167" fontId="15" fillId="0" borderId="0" xfId="0" applyNumberFormat="1" applyFont="1" applyBorder="1"/>
    <xf numFmtId="2" fontId="15" fillId="0" borderId="0" xfId="0" applyNumberFormat="1" applyFont="1" applyBorder="1"/>
    <xf numFmtId="0" fontId="15" fillId="0" borderId="12" xfId="0" applyFont="1" applyBorder="1"/>
    <xf numFmtId="0" fontId="15" fillId="0" borderId="13" xfId="0" applyFont="1" applyBorder="1" applyAlignment="1">
      <alignment horizontal="right"/>
    </xf>
    <xf numFmtId="0" fontId="15" fillId="0" borderId="14" xfId="0" applyFont="1" applyBorder="1" applyAlignment="1">
      <alignment horizontal="right"/>
    </xf>
    <xf numFmtId="0" fontId="15" fillId="0" borderId="9" xfId="0" applyFont="1" applyBorder="1"/>
    <xf numFmtId="2" fontId="15" fillId="0" borderId="10" xfId="0" applyNumberFormat="1" applyFont="1" applyBorder="1"/>
    <xf numFmtId="169" fontId="15" fillId="0" borderId="0" xfId="2" applyNumberFormat="1" applyFont="1" applyBorder="1"/>
    <xf numFmtId="0" fontId="15" fillId="0" borderId="10" xfId="0" applyFont="1" applyBorder="1"/>
    <xf numFmtId="1" fontId="15" fillId="0" borderId="10" xfId="0" applyNumberFormat="1" applyFont="1" applyBorder="1"/>
    <xf numFmtId="0" fontId="15" fillId="0" borderId="10" xfId="0" applyFont="1" applyBorder="1" applyAlignment="1">
      <alignment horizontal="right"/>
    </xf>
    <xf numFmtId="167" fontId="15" fillId="0" borderId="10" xfId="0" applyNumberFormat="1" applyFont="1" applyBorder="1"/>
    <xf numFmtId="164" fontId="15" fillId="0" borderId="0" xfId="0" applyNumberFormat="1" applyFont="1" applyBorder="1"/>
    <xf numFmtId="165" fontId="15" fillId="0" borderId="0" xfId="0" applyNumberFormat="1" applyFont="1" applyBorder="1"/>
    <xf numFmtId="166" fontId="15" fillId="0" borderId="10" xfId="0" applyNumberFormat="1" applyFont="1" applyBorder="1"/>
    <xf numFmtId="0" fontId="15" fillId="0" borderId="9" xfId="0" applyFont="1" applyBorder="1" applyAlignment="1">
      <alignment horizontal="left"/>
    </xf>
    <xf numFmtId="0" fontId="14" fillId="0" borderId="0" xfId="0" applyFont="1" applyBorder="1" applyProtection="1"/>
    <xf numFmtId="0" fontId="15" fillId="0" borderId="0" xfId="0" applyFont="1" applyBorder="1" applyProtection="1"/>
    <xf numFmtId="0" fontId="15" fillId="0" borderId="0" xfId="0" applyFont="1" applyProtection="1"/>
    <xf numFmtId="0" fontId="15" fillId="0" borderId="0" xfId="0" applyFont="1" applyBorder="1" applyAlignment="1" applyProtection="1">
      <alignment horizontal="centerContinuous"/>
    </xf>
    <xf numFmtId="1" fontId="15" fillId="0" borderId="0" xfId="0" applyNumberFormat="1" applyFont="1" applyBorder="1" applyProtection="1"/>
    <xf numFmtId="2" fontId="15" fillId="0" borderId="0" xfId="0" applyNumberFormat="1" applyFont="1" applyBorder="1" applyProtection="1"/>
    <xf numFmtId="0" fontId="15" fillId="0" borderId="0" xfId="0" applyFont="1" applyBorder="1" applyAlignment="1" applyProtection="1">
      <alignment horizontal="right"/>
    </xf>
    <xf numFmtId="0" fontId="15" fillId="0" borderId="15" xfId="0" applyFont="1" applyBorder="1" applyProtection="1"/>
    <xf numFmtId="0" fontId="15" fillId="0" borderId="11" xfId="0" applyFont="1" applyBorder="1" applyProtection="1"/>
    <xf numFmtId="0" fontId="15" fillId="0" borderId="0" xfId="0" applyFont="1" applyAlignment="1" applyProtection="1">
      <alignment horizontal="right"/>
    </xf>
    <xf numFmtId="0" fontId="15" fillId="0" borderId="0" xfId="0" applyFont="1" applyBorder="1" applyAlignment="1" applyProtection="1">
      <alignment horizontal="center"/>
    </xf>
    <xf numFmtId="0" fontId="15" fillId="0" borderId="0" xfId="0" applyFont="1" applyAlignment="1" applyProtection="1">
      <alignment horizontal="center"/>
    </xf>
    <xf numFmtId="2" fontId="15" fillId="0" borderId="0" xfId="0" applyNumberFormat="1" applyFont="1" applyProtection="1"/>
    <xf numFmtId="0" fontId="15" fillId="0" borderId="1" xfId="0" applyFont="1" applyBorder="1" applyProtection="1"/>
    <xf numFmtId="0" fontId="15" fillId="0" borderId="9" xfId="0" applyFont="1" applyBorder="1" applyAlignment="1" applyProtection="1">
      <alignment horizontal="center"/>
    </xf>
    <xf numFmtId="0" fontId="15" fillId="0" borderId="10" xfId="0" applyFont="1" applyBorder="1" applyAlignment="1" applyProtection="1">
      <alignment horizontal="center"/>
    </xf>
    <xf numFmtId="2" fontId="15" fillId="0" borderId="9" xfId="0" applyNumberFormat="1" applyFont="1" applyBorder="1" applyProtection="1"/>
    <xf numFmtId="2" fontId="15" fillId="0" borderId="10" xfId="0" applyNumberFormat="1" applyFont="1" applyBorder="1" applyProtection="1"/>
    <xf numFmtId="164" fontId="15" fillId="0" borderId="12" xfId="0" applyNumberFormat="1" applyFont="1" applyBorder="1" applyProtection="1"/>
    <xf numFmtId="164" fontId="15" fillId="0" borderId="13" xfId="0" applyNumberFormat="1" applyFont="1" applyBorder="1" applyProtection="1"/>
    <xf numFmtId="9" fontId="15" fillId="0" borderId="13" xfId="2" applyFont="1" applyBorder="1" applyAlignment="1" applyProtection="1">
      <alignment horizontal="center"/>
    </xf>
    <xf numFmtId="166" fontId="15" fillId="0" borderId="13" xfId="0" applyNumberFormat="1" applyFont="1" applyBorder="1" applyProtection="1"/>
    <xf numFmtId="166" fontId="15" fillId="0" borderId="14" xfId="0" applyNumberFormat="1" applyFont="1" applyBorder="1" applyProtection="1"/>
    <xf numFmtId="164" fontId="15" fillId="0" borderId="9" xfId="0" applyNumberFormat="1" applyFont="1" applyBorder="1" applyProtection="1"/>
    <xf numFmtId="164" fontId="15" fillId="0" borderId="0" xfId="0" applyNumberFormat="1" applyFont="1" applyBorder="1" applyProtection="1"/>
    <xf numFmtId="9" fontId="15" fillId="0" borderId="0" xfId="2" applyFont="1" applyBorder="1" applyAlignment="1" applyProtection="1">
      <alignment horizontal="center"/>
    </xf>
    <xf numFmtId="166" fontId="15" fillId="0" borderId="0" xfId="0" applyNumberFormat="1" applyFont="1" applyBorder="1" applyProtection="1"/>
    <xf numFmtId="166" fontId="15" fillId="0" borderId="10" xfId="0" applyNumberFormat="1" applyFont="1" applyBorder="1" applyProtection="1"/>
    <xf numFmtId="164" fontId="15" fillId="0" borderId="0" xfId="0" applyNumberFormat="1" applyFont="1" applyProtection="1"/>
    <xf numFmtId="9" fontId="15" fillId="0" borderId="0" xfId="2" applyFont="1" applyAlignment="1" applyProtection="1">
      <alignment horizontal="center"/>
    </xf>
    <xf numFmtId="167" fontId="15" fillId="0" borderId="0" xfId="0" applyNumberFormat="1" applyFont="1" applyBorder="1" applyProtection="1"/>
    <xf numFmtId="0" fontId="14" fillId="0" borderId="9" xfId="0" applyFont="1" applyBorder="1" applyAlignment="1">
      <alignment horizontal="center"/>
    </xf>
    <xf numFmtId="171" fontId="0" fillId="0" borderId="2" xfId="0" applyNumberFormat="1" applyBorder="1" applyAlignment="1" applyProtection="1">
      <alignment horizontal="center"/>
      <protection locked="0"/>
    </xf>
    <xf numFmtId="173" fontId="0" fillId="0" borderId="16" xfId="0" applyNumberFormat="1" applyBorder="1" applyAlignment="1" applyProtection="1">
      <alignment horizontal="center"/>
      <protection locked="0"/>
    </xf>
    <xf numFmtId="173" fontId="0" fillId="0" borderId="3" xfId="0" applyNumberFormat="1" applyBorder="1" applyAlignment="1" applyProtection="1">
      <alignment horizontal="center"/>
      <protection locked="0"/>
    </xf>
    <xf numFmtId="175" fontId="0" fillId="0" borderId="0" xfId="0" applyNumberFormat="1" applyBorder="1" applyAlignment="1" applyProtection="1">
      <alignment horizontal="right"/>
      <protection locked="0"/>
    </xf>
    <xf numFmtId="170" fontId="0" fillId="0" borderId="0" xfId="0" applyNumberFormat="1" applyBorder="1" applyAlignment="1" applyProtection="1">
      <alignment horizontal="left"/>
      <protection locked="0"/>
    </xf>
    <xf numFmtId="1" fontId="0" fillId="0" borderId="0" xfId="0" applyNumberFormat="1" applyFill="1" applyBorder="1" applyAlignment="1" applyProtection="1">
      <alignment horizontal="center"/>
      <protection locked="0"/>
    </xf>
    <xf numFmtId="0" fontId="3" fillId="0" borderId="0" xfId="0" applyNumberFormat="1" applyFont="1" applyFill="1" applyBorder="1" applyAlignment="1" applyProtection="1">
      <alignment horizontal="center"/>
    </xf>
    <xf numFmtId="0" fontId="3" fillId="0" borderId="0" xfId="0" applyNumberFormat="1" applyFont="1" applyFill="1" applyBorder="1" applyProtection="1"/>
    <xf numFmtId="0" fontId="15" fillId="0" borderId="9" xfId="0" applyFont="1" applyBorder="1" applyAlignment="1">
      <alignment horizontal="center"/>
    </xf>
    <xf numFmtId="1" fontId="13" fillId="0" borderId="2" xfId="0" applyNumberFormat="1" applyFont="1" applyFill="1" applyBorder="1" applyAlignment="1" applyProtection="1">
      <alignment horizontal="center"/>
      <protection locked="0"/>
    </xf>
    <xf numFmtId="1" fontId="13" fillId="0" borderId="0" xfId="0" applyNumberFormat="1" applyFont="1" applyFill="1" applyBorder="1" applyAlignment="1" applyProtection="1">
      <alignment horizontal="center"/>
      <protection locked="0"/>
    </xf>
    <xf numFmtId="0" fontId="10" fillId="0" borderId="0" xfId="0" applyFont="1" applyFill="1" applyBorder="1" applyAlignment="1" applyProtection="1">
      <alignment horizontal="center"/>
      <protection locked="0"/>
    </xf>
    <xf numFmtId="0" fontId="12" fillId="0" borderId="0" xfId="0" applyFont="1" applyFill="1" applyAlignment="1">
      <alignment horizontal="right"/>
    </xf>
    <xf numFmtId="0" fontId="2" fillId="0" borderId="0" xfId="0" applyFont="1" applyFill="1" applyAlignment="1">
      <alignment horizontal="center"/>
    </xf>
    <xf numFmtId="0" fontId="0" fillId="0" borderId="6" xfId="0" applyFill="1" applyBorder="1"/>
    <xf numFmtId="0" fontId="0" fillId="0" borderId="7" xfId="0" applyFill="1" applyBorder="1"/>
    <xf numFmtId="0" fontId="0" fillId="0" borderId="8" xfId="0" applyFill="1" applyBorder="1"/>
    <xf numFmtId="0" fontId="0" fillId="0" borderId="18" xfId="0" applyFill="1" applyBorder="1"/>
    <xf numFmtId="0" fontId="17" fillId="0" borderId="9" xfId="0" applyFont="1" applyFill="1" applyBorder="1" applyAlignment="1">
      <alignment horizontal="center"/>
    </xf>
    <xf numFmtId="0" fontId="17" fillId="0" borderId="10" xfId="0" applyFont="1" applyFill="1" applyBorder="1" applyAlignment="1">
      <alignment horizontal="center"/>
    </xf>
    <xf numFmtId="0" fontId="4" fillId="0" borderId="9" xfId="0" applyFont="1" applyFill="1" applyBorder="1" applyAlignment="1">
      <alignment horizontal="center"/>
    </xf>
    <xf numFmtId="0" fontId="4" fillId="0" borderId="17" xfId="0" applyFont="1" applyFill="1" applyBorder="1" applyAlignment="1">
      <alignment horizontal="center"/>
    </xf>
    <xf numFmtId="0" fontId="12" fillId="0" borderId="17" xfId="0" applyFont="1" applyFill="1" applyBorder="1" applyAlignment="1">
      <alignment horizontal="center"/>
    </xf>
    <xf numFmtId="0" fontId="17" fillId="0" borderId="0"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1" fillId="0" borderId="8" xfId="0" applyFont="1" applyFill="1" applyBorder="1" applyAlignment="1">
      <alignment horizont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right"/>
    </xf>
    <xf numFmtId="168" fontId="0" fillId="0" borderId="0" xfId="0" applyNumberFormat="1" applyFill="1"/>
    <xf numFmtId="168" fontId="0" fillId="0" borderId="0" xfId="0" applyNumberFormat="1" applyFill="1" applyAlignment="1">
      <alignment horizontal="center"/>
    </xf>
    <xf numFmtId="170" fontId="0" fillId="0" borderId="0" xfId="0" applyNumberFormat="1" applyFill="1" applyBorder="1" applyAlignment="1" applyProtection="1">
      <alignment horizontal="left"/>
      <protection locked="0"/>
    </xf>
    <xf numFmtId="175" fontId="0" fillId="0" borderId="0" xfId="0" applyNumberFormat="1" applyFill="1" applyBorder="1" applyAlignment="1" applyProtection="1">
      <alignment horizontal="right"/>
      <protection locked="0"/>
    </xf>
    <xf numFmtId="173" fontId="0" fillId="0" borderId="3" xfId="0" applyNumberFormat="1" applyFill="1" applyBorder="1" applyAlignment="1" applyProtection="1">
      <alignment horizontal="center"/>
      <protection locked="0"/>
    </xf>
    <xf numFmtId="9" fontId="3" fillId="0" borderId="0" xfId="2" applyFont="1" applyFill="1" applyBorder="1" applyProtection="1"/>
    <xf numFmtId="166" fontId="3" fillId="0" borderId="0" xfId="0" applyNumberFormat="1" applyFont="1" applyFill="1" applyBorder="1" applyProtection="1"/>
    <xf numFmtId="166" fontId="3" fillId="0" borderId="10" xfId="0" applyNumberFormat="1" applyFont="1" applyFill="1" applyBorder="1" applyProtection="1"/>
    <xf numFmtId="9" fontId="3" fillId="0" borderId="9" xfId="2" applyFont="1" applyFill="1" applyBorder="1" applyProtection="1"/>
    <xf numFmtId="0" fontId="3" fillId="0" borderId="0" xfId="2" applyNumberFormat="1" applyFont="1" applyFill="1" applyAlignment="1" applyProtection="1">
      <alignment horizontal="center"/>
    </xf>
    <xf numFmtId="0" fontId="6" fillId="0" borderId="0" xfId="0" applyFont="1" applyFill="1" applyBorder="1" applyAlignment="1">
      <alignment horizontal="left"/>
    </xf>
    <xf numFmtId="0" fontId="0" fillId="0" borderId="0" xfId="0" applyFill="1" applyBorder="1"/>
    <xf numFmtId="0" fontId="0" fillId="0" borderId="19" xfId="0" applyFill="1" applyBorder="1"/>
    <xf numFmtId="0" fontId="0" fillId="0" borderId="0" xfId="0" applyNumberFormat="1" applyFill="1" applyAlignment="1">
      <alignment horizontal="center"/>
    </xf>
    <xf numFmtId="0" fontId="0" fillId="0" borderId="0" xfId="0" applyFill="1" applyAlignment="1" applyProtection="1">
      <alignment horizontal="left"/>
    </xf>
    <xf numFmtId="174" fontId="0" fillId="0" borderId="0" xfId="0" applyNumberFormat="1" applyFill="1" applyAlignment="1" applyProtection="1">
      <alignment horizontal="center"/>
    </xf>
    <xf numFmtId="9" fontId="11" fillId="0" borderId="0" xfId="0" applyNumberFormat="1" applyFont="1" applyFill="1" applyAlignment="1" applyProtection="1">
      <alignment horizontal="right"/>
    </xf>
    <xf numFmtId="0" fontId="2" fillId="0" borderId="20" xfId="0" applyFont="1" applyFill="1" applyBorder="1" applyProtection="1"/>
    <xf numFmtId="0" fontId="2" fillId="0" borderId="11" xfId="0" applyFont="1" applyFill="1" applyBorder="1" applyProtection="1"/>
    <xf numFmtId="0" fontId="2" fillId="0" borderId="0" xfId="0" applyFont="1" applyFill="1" applyProtection="1"/>
    <xf numFmtId="2" fontId="0" fillId="0" borderId="6" xfId="0" applyNumberFormat="1" applyFill="1" applyBorder="1" applyAlignment="1" applyProtection="1">
      <alignment horizontal="center"/>
    </xf>
    <xf numFmtId="0" fontId="0" fillId="0" borderId="13" xfId="0" applyFill="1" applyBorder="1" applyAlignment="1" applyProtection="1">
      <alignment horizontal="center"/>
      <protection locked="0"/>
    </xf>
    <xf numFmtId="0" fontId="0" fillId="0" borderId="14" xfId="0" applyFill="1" applyBorder="1" applyAlignment="1" applyProtection="1">
      <alignment horizontal="center"/>
      <protection locked="0"/>
    </xf>
    <xf numFmtId="0" fontId="0" fillId="0" borderId="10" xfId="0" applyFill="1" applyBorder="1" applyAlignment="1" applyProtection="1">
      <alignment horizontal="center"/>
      <protection locked="0"/>
    </xf>
    <xf numFmtId="0" fontId="0" fillId="0" borderId="19" xfId="0" applyFill="1" applyBorder="1" applyAlignment="1" applyProtection="1">
      <alignment horizontal="center"/>
      <protection locked="0"/>
    </xf>
    <xf numFmtId="0" fontId="0" fillId="0" borderId="18" xfId="0" applyFill="1" applyBorder="1" applyAlignment="1" applyProtection="1">
      <alignment horizontal="center"/>
      <protection locked="0"/>
    </xf>
    <xf numFmtId="0" fontId="0" fillId="0" borderId="0" xfId="0" applyNumberFormat="1" applyFill="1" applyAlignment="1" applyProtection="1">
      <alignment horizontal="center"/>
    </xf>
    <xf numFmtId="0" fontId="0" fillId="0" borderId="19" xfId="0" applyFill="1" applyBorder="1" applyAlignment="1" applyProtection="1">
      <alignment horizontal="left"/>
      <protection locked="0"/>
    </xf>
    <xf numFmtId="174" fontId="0" fillId="0" borderId="19" xfId="0" applyNumberFormat="1" applyFill="1" applyBorder="1" applyAlignment="1" applyProtection="1">
      <alignment horizontal="center"/>
      <protection locked="0"/>
    </xf>
    <xf numFmtId="0" fontId="0" fillId="0" borderId="12" xfId="0" applyFill="1" applyBorder="1" applyProtection="1"/>
    <xf numFmtId="0" fontId="5" fillId="0" borderId="13" xfId="0" applyFont="1" applyFill="1" applyBorder="1" applyProtection="1"/>
    <xf numFmtId="9" fontId="0" fillId="0" borderId="0" xfId="0" applyNumberFormat="1" applyFill="1" applyAlignment="1" applyProtection="1">
      <alignment horizontal="center"/>
    </xf>
    <xf numFmtId="0" fontId="5" fillId="0" borderId="0" xfId="0" applyFont="1" applyFill="1" applyBorder="1" applyProtection="1"/>
    <xf numFmtId="2" fontId="0" fillId="0" borderId="0" xfId="0" applyNumberFormat="1" applyFill="1" applyBorder="1" applyAlignment="1" applyProtection="1">
      <alignment horizontal="center"/>
    </xf>
    <xf numFmtId="2" fontId="0" fillId="0" borderId="10" xfId="0" applyNumberFormat="1" applyFill="1" applyBorder="1" applyAlignment="1" applyProtection="1">
      <alignment horizontal="center"/>
    </xf>
    <xf numFmtId="1" fontId="2" fillId="0" borderId="15" xfId="0" applyNumberFormat="1" applyFont="1" applyFill="1" applyBorder="1" applyProtection="1"/>
    <xf numFmtId="0" fontId="5" fillId="0" borderId="20" xfId="0" applyFont="1" applyFill="1" applyBorder="1" applyProtection="1"/>
    <xf numFmtId="2" fontId="0" fillId="0" borderId="20" xfId="0" applyNumberFormat="1" applyFill="1" applyBorder="1" applyAlignment="1" applyProtection="1">
      <alignment horizontal="center"/>
    </xf>
    <xf numFmtId="2" fontId="2" fillId="0" borderId="11" xfId="0" applyNumberFormat="1" applyFont="1" applyFill="1" applyBorder="1" applyAlignment="1" applyProtection="1">
      <alignment horizontal="center"/>
    </xf>
    <xf numFmtId="1" fontId="0" fillId="0" borderId="9" xfId="0" applyNumberFormat="1" applyFill="1" applyBorder="1" applyAlignment="1" applyProtection="1">
      <alignment horizontal="center"/>
    </xf>
    <xf numFmtId="1" fontId="0" fillId="0" borderId="17" xfId="0" applyNumberFormat="1" applyFill="1" applyBorder="1" applyAlignment="1" applyProtection="1">
      <alignment horizontal="center"/>
    </xf>
    <xf numFmtId="0" fontId="5" fillId="0" borderId="19" xfId="0" applyFont="1" applyFill="1" applyBorder="1" applyProtection="1"/>
    <xf numFmtId="2" fontId="0" fillId="0" borderId="19" xfId="0" applyNumberFormat="1" applyFill="1" applyBorder="1" applyAlignment="1" applyProtection="1">
      <alignment horizontal="center"/>
    </xf>
    <xf numFmtId="2" fontId="0" fillId="0" borderId="18" xfId="0" applyNumberFormat="1" applyFill="1" applyBorder="1" applyAlignment="1" applyProtection="1">
      <alignment horizontal="center"/>
    </xf>
    <xf numFmtId="2" fontId="5" fillId="0" borderId="0" xfId="0" applyNumberFormat="1" applyFont="1" applyFill="1"/>
    <xf numFmtId="0" fontId="14" fillId="0" borderId="0" xfId="0" applyFont="1" applyProtection="1"/>
    <xf numFmtId="0" fontId="2" fillId="0" borderId="0" xfId="0" applyFont="1" applyFill="1" applyBorder="1" applyAlignment="1" applyProtection="1">
      <alignment horizontal="left"/>
    </xf>
    <xf numFmtId="0" fontId="18" fillId="0" borderId="0" xfId="0" applyFont="1" applyBorder="1" applyProtection="1"/>
    <xf numFmtId="2" fontId="2" fillId="0" borderId="13" xfId="0" applyNumberFormat="1" applyFont="1" applyFill="1" applyBorder="1" applyAlignment="1" applyProtection="1">
      <alignment horizontal="center"/>
    </xf>
    <xf numFmtId="2" fontId="2" fillId="0" borderId="14" xfId="0" applyNumberFormat="1" applyFont="1" applyFill="1" applyBorder="1" applyAlignment="1" applyProtection="1">
      <alignment horizontal="center"/>
    </xf>
    <xf numFmtId="2" fontId="2" fillId="0" borderId="19" xfId="0" applyNumberFormat="1" applyFont="1" applyFill="1" applyBorder="1" applyAlignment="1" applyProtection="1">
      <alignment horizontal="center"/>
    </xf>
    <xf numFmtId="2" fontId="2" fillId="0" borderId="18" xfId="0" applyNumberFormat="1" applyFont="1" applyFill="1" applyBorder="1" applyAlignment="1" applyProtection="1">
      <alignment horizontal="center"/>
    </xf>
    <xf numFmtId="0" fontId="11" fillId="0" borderId="15" xfId="0" applyFont="1" applyFill="1" applyBorder="1" applyAlignment="1" applyProtection="1">
      <alignment horizontal="center"/>
    </xf>
    <xf numFmtId="0" fontId="11" fillId="0" borderId="20" xfId="0" applyFont="1" applyFill="1" applyBorder="1" applyAlignment="1" applyProtection="1">
      <alignment horizontal="center"/>
    </xf>
    <xf numFmtId="0" fontId="11" fillId="0" borderId="11" xfId="0" applyFont="1" applyFill="1" applyBorder="1" applyAlignment="1" applyProtection="1">
      <alignment horizontal="center"/>
    </xf>
    <xf numFmtId="0" fontId="6" fillId="0" borderId="15" xfId="0" applyFont="1" applyFill="1" applyBorder="1" applyAlignment="1">
      <alignment horizontal="center"/>
    </xf>
    <xf numFmtId="0" fontId="6" fillId="0" borderId="20" xfId="0" applyFont="1" applyFill="1" applyBorder="1" applyAlignment="1">
      <alignment horizontal="center"/>
    </xf>
    <xf numFmtId="0" fontId="4" fillId="0" borderId="15"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1" fillId="0" borderId="15" xfId="0" applyFont="1" applyFill="1" applyBorder="1" applyAlignment="1" applyProtection="1">
      <alignment horizontal="center" vertical="center" wrapText="1"/>
    </xf>
    <xf numFmtId="0" fontId="11" fillId="0" borderId="20" xfId="0" applyFont="1" applyFill="1" applyBorder="1" applyAlignment="1" applyProtection="1">
      <alignment horizontal="center" vertical="center" wrapText="1"/>
    </xf>
    <xf numFmtId="0" fontId="11" fillId="0" borderId="11" xfId="0" applyFont="1" applyFill="1" applyBorder="1" applyAlignment="1" applyProtection="1">
      <alignment horizontal="center" vertical="center" wrapText="1"/>
    </xf>
    <xf numFmtId="174" fontId="4" fillId="0" borderId="15" xfId="0" applyNumberFormat="1" applyFont="1" applyFill="1" applyBorder="1" applyAlignment="1">
      <alignment horizontal="center" vertical="center" wrapText="1"/>
    </xf>
    <xf numFmtId="174" fontId="4" fillId="0" borderId="20" xfId="0" applyNumberFormat="1" applyFont="1" applyFill="1" applyBorder="1" applyAlignment="1">
      <alignment horizontal="center" vertical="center" wrapText="1"/>
    </xf>
    <xf numFmtId="174" fontId="4" fillId="0" borderId="11" xfId="0" applyNumberFormat="1" applyFont="1" applyFill="1" applyBorder="1" applyAlignment="1">
      <alignment horizontal="center" vertical="center" wrapText="1"/>
    </xf>
    <xf numFmtId="0" fontId="6" fillId="0" borderId="11" xfId="0" applyFont="1" applyFill="1" applyBorder="1" applyAlignment="1">
      <alignment horizontal="center"/>
    </xf>
    <xf numFmtId="0" fontId="8" fillId="0" borderId="9"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10" xfId="0" applyFont="1" applyFill="1" applyBorder="1" applyAlignment="1">
      <alignment horizontal="center" vertical="center" wrapText="1"/>
    </xf>
    <xf numFmtId="0" fontId="6" fillId="0" borderId="0" xfId="0" applyFont="1" applyFill="1" applyBorder="1" applyAlignment="1">
      <alignment horizontal="center"/>
    </xf>
    <xf numFmtId="0" fontId="6" fillId="0" borderId="12" xfId="0" applyFont="1" applyFill="1" applyBorder="1" applyAlignment="1">
      <alignment horizontal="center"/>
    </xf>
    <xf numFmtId="0" fontId="6" fillId="0" borderId="14" xfId="0" applyFont="1" applyFill="1" applyBorder="1" applyAlignment="1">
      <alignment horizontal="center"/>
    </xf>
    <xf numFmtId="0" fontId="6" fillId="0" borderId="13" xfId="0" applyFont="1" applyFill="1" applyBorder="1" applyAlignment="1">
      <alignment horizontal="center"/>
    </xf>
    <xf numFmtId="0" fontId="9" fillId="0" borderId="15" xfId="0" applyFont="1" applyBorder="1" applyAlignment="1" applyProtection="1">
      <alignment horizontal="center"/>
    </xf>
    <xf numFmtId="0" fontId="9" fillId="0" borderId="20" xfId="0" applyFont="1" applyBorder="1" applyAlignment="1" applyProtection="1">
      <alignment horizontal="center"/>
    </xf>
    <xf numFmtId="0" fontId="9" fillId="0" borderId="11" xfId="0" applyFont="1" applyBorder="1" applyAlignment="1" applyProtection="1">
      <alignment horizontal="center"/>
    </xf>
    <xf numFmtId="0" fontId="9" fillId="0" borderId="12" xfId="0" applyFont="1" applyBorder="1" applyAlignment="1" applyProtection="1">
      <alignment horizontal="center"/>
    </xf>
    <xf numFmtId="0" fontId="9" fillId="0" borderId="13" xfId="0" applyFont="1" applyBorder="1" applyAlignment="1" applyProtection="1">
      <alignment horizontal="center"/>
    </xf>
    <xf numFmtId="0" fontId="9" fillId="0" borderId="14" xfId="0" applyFont="1" applyBorder="1" applyAlignment="1" applyProtection="1">
      <alignment horizontal="center"/>
    </xf>
    <xf numFmtId="0" fontId="8" fillId="0" borderId="0" xfId="0" applyFont="1" applyAlignment="1">
      <alignment horizontal="left" vertical="center" wrapText="1"/>
    </xf>
    <xf numFmtId="0" fontId="9" fillId="0" borderId="0" xfId="0" quotePrefix="1" applyFont="1" applyAlignment="1">
      <alignment horizontal="left" vertical="center" wrapText="1"/>
    </xf>
    <xf numFmtId="0" fontId="8" fillId="0" borderId="9" xfId="0" applyFont="1" applyBorder="1" applyAlignment="1">
      <alignment horizontal="left" vertical="top" wrapText="1"/>
    </xf>
    <xf numFmtId="0" fontId="8" fillId="0" borderId="0" xfId="0" applyFont="1" applyBorder="1" applyAlignment="1">
      <alignment horizontal="left" vertical="top" wrapText="1"/>
    </xf>
    <xf numFmtId="0" fontId="8" fillId="0" borderId="10" xfId="0" applyFont="1" applyBorder="1" applyAlignment="1">
      <alignment horizontal="left" vertical="top" wrapText="1"/>
    </xf>
    <xf numFmtId="0" fontId="8" fillId="0" borderId="17" xfId="0" applyFont="1" applyBorder="1" applyAlignment="1">
      <alignment horizontal="left" vertical="top" wrapText="1"/>
    </xf>
    <xf numFmtId="0" fontId="8" fillId="0" borderId="19" xfId="0" applyFont="1" applyBorder="1" applyAlignment="1">
      <alignment horizontal="left" vertical="top" wrapText="1"/>
    </xf>
    <xf numFmtId="0" fontId="8" fillId="0" borderId="18" xfId="0" applyFont="1" applyBorder="1" applyAlignment="1">
      <alignment horizontal="left" vertical="top"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15" fillId="0" borderId="12" xfId="0" applyFont="1" applyBorder="1" applyAlignment="1" applyProtection="1">
      <alignment horizontal="center"/>
    </xf>
    <xf numFmtId="0" fontId="15" fillId="0" borderId="14" xfId="0" applyFont="1" applyBorder="1" applyAlignment="1" applyProtection="1">
      <alignment horizontal="center"/>
    </xf>
    <xf numFmtId="0" fontId="15" fillId="0" borderId="9" xfId="0" applyFont="1" applyBorder="1" applyAlignment="1" applyProtection="1">
      <alignment horizontal="center"/>
    </xf>
    <xf numFmtId="0" fontId="15" fillId="0" borderId="0" xfId="0" applyFont="1" applyBorder="1" applyAlignment="1" applyProtection="1">
      <alignment horizontal="center"/>
    </xf>
    <xf numFmtId="0" fontId="3" fillId="0" borderId="0" xfId="0" applyFont="1" applyBorder="1" applyAlignment="1">
      <alignment horizontal="center"/>
    </xf>
    <xf numFmtId="0" fontId="1" fillId="0" borderId="0" xfId="280"/>
    <xf numFmtId="0" fontId="1" fillId="0" borderId="0" xfId="280"/>
  </cellXfs>
  <cellStyles count="373">
    <cellStyle name="20% - Accent1" xfId="20" builtinId="30" customBuiltin="1"/>
    <cellStyle name="20% - Accent1 2" xfId="44"/>
    <cellStyle name="20% - Accent1 2 2" xfId="45"/>
    <cellStyle name="20% - Accent1 3" xfId="46"/>
    <cellStyle name="20% - Accent1 3 2" xfId="47"/>
    <cellStyle name="20% - Accent1 4" xfId="48"/>
    <cellStyle name="20% - Accent1 5" xfId="49"/>
    <cellStyle name="20% - Accent1 6" xfId="50"/>
    <cellStyle name="20% - Accent2" xfId="24" builtinId="34" customBuiltin="1"/>
    <cellStyle name="20% - Accent2 2" xfId="51"/>
    <cellStyle name="20% - Accent2 2 2" xfId="52"/>
    <cellStyle name="20% - Accent2 3" xfId="53"/>
    <cellStyle name="20% - Accent2 3 2" xfId="54"/>
    <cellStyle name="20% - Accent2 4" xfId="55"/>
    <cellStyle name="20% - Accent2 5" xfId="56"/>
    <cellStyle name="20% - Accent2 6" xfId="57"/>
    <cellStyle name="20% - Accent3" xfId="28" builtinId="38" customBuiltin="1"/>
    <cellStyle name="20% - Accent3 2" xfId="58"/>
    <cellStyle name="20% - Accent3 2 2" xfId="59"/>
    <cellStyle name="20% - Accent3 3" xfId="60"/>
    <cellStyle name="20% - Accent3 3 2" xfId="61"/>
    <cellStyle name="20% - Accent3 4" xfId="62"/>
    <cellStyle name="20% - Accent3 5" xfId="63"/>
    <cellStyle name="20% - Accent3 6" xfId="64"/>
    <cellStyle name="20% - Accent4" xfId="32" builtinId="42" customBuiltin="1"/>
    <cellStyle name="20% - Accent4 2" xfId="65"/>
    <cellStyle name="20% - Accent4 2 2" xfId="66"/>
    <cellStyle name="20% - Accent4 3" xfId="67"/>
    <cellStyle name="20% - Accent4 3 2" xfId="68"/>
    <cellStyle name="20% - Accent4 4" xfId="69"/>
    <cellStyle name="20% - Accent4 5" xfId="70"/>
    <cellStyle name="20% - Accent4 6" xfId="71"/>
    <cellStyle name="20% - Accent5" xfId="36" builtinId="46" customBuiltin="1"/>
    <cellStyle name="20% - Accent5 2" xfId="72"/>
    <cellStyle name="20% - Accent5 3" xfId="73"/>
    <cellStyle name="20% - Accent5 4" xfId="74"/>
    <cellStyle name="20% - Accent6" xfId="40" builtinId="50" customBuiltin="1"/>
    <cellStyle name="20% - Accent6 2" xfId="75"/>
    <cellStyle name="20% - Accent6 2 2" xfId="76"/>
    <cellStyle name="20% - Accent6 3" xfId="77"/>
    <cellStyle name="20% - Accent6 3 2" xfId="78"/>
    <cellStyle name="20% - Accent6 4" xfId="79"/>
    <cellStyle name="20% - Accent6 5" xfId="80"/>
    <cellStyle name="40% - Accent1" xfId="21" builtinId="31" customBuiltin="1"/>
    <cellStyle name="40% - Accent1 2" xfId="81"/>
    <cellStyle name="40% - Accent1 2 2" xfId="82"/>
    <cellStyle name="40% - Accent1 3" xfId="83"/>
    <cellStyle name="40% - Accent1 3 2" xfId="84"/>
    <cellStyle name="40% - Accent1 4" xfId="85"/>
    <cellStyle name="40% - Accent1 5" xfId="86"/>
    <cellStyle name="40% - Accent1 6" xfId="87"/>
    <cellStyle name="40% - Accent2" xfId="25" builtinId="35" customBuiltin="1"/>
    <cellStyle name="40% - Accent2 2" xfId="88"/>
    <cellStyle name="40% - Accent2 3" xfId="89"/>
    <cellStyle name="40% - Accent2 4" xfId="90"/>
    <cellStyle name="40% - Accent3" xfId="29" builtinId="39" customBuiltin="1"/>
    <cellStyle name="40% - Accent3 2" xfId="91"/>
    <cellStyle name="40% - Accent3 2 2" xfId="92"/>
    <cellStyle name="40% - Accent3 3" xfId="93"/>
    <cellStyle name="40% - Accent3 3 2" xfId="94"/>
    <cellStyle name="40% - Accent3 4" xfId="95"/>
    <cellStyle name="40% - Accent3 5" xfId="96"/>
    <cellStyle name="40% - Accent3 6" xfId="97"/>
    <cellStyle name="40% - Accent4" xfId="33" builtinId="43" customBuiltin="1"/>
    <cellStyle name="40% - Accent4 2" xfId="98"/>
    <cellStyle name="40% - Accent4 2 2" xfId="99"/>
    <cellStyle name="40% - Accent4 3" xfId="100"/>
    <cellStyle name="40% - Accent4 3 2" xfId="101"/>
    <cellStyle name="40% - Accent4 4" xfId="102"/>
    <cellStyle name="40% - Accent4 5" xfId="103"/>
    <cellStyle name="40% - Accent4 6" xfId="104"/>
    <cellStyle name="40% - Accent5" xfId="37" builtinId="47" customBuiltin="1"/>
    <cellStyle name="40% - Accent5 2" xfId="105"/>
    <cellStyle name="40% - Accent5 2 2" xfId="106"/>
    <cellStyle name="40% - Accent5 3" xfId="107"/>
    <cellStyle name="40% - Accent5 3 2" xfId="108"/>
    <cellStyle name="40% - Accent5 4" xfId="109"/>
    <cellStyle name="40% - Accent5 5" xfId="110"/>
    <cellStyle name="40% - Accent6" xfId="41" builtinId="51" customBuiltin="1"/>
    <cellStyle name="40% - Accent6 2" xfId="111"/>
    <cellStyle name="40% - Accent6 2 2" xfId="112"/>
    <cellStyle name="40% - Accent6 3" xfId="113"/>
    <cellStyle name="40% - Accent6 3 2" xfId="114"/>
    <cellStyle name="40% - Accent6 4" xfId="115"/>
    <cellStyle name="40% - Accent6 5" xfId="116"/>
    <cellStyle name="40% - Accent6 6" xfId="117"/>
    <cellStyle name="60% - Accent1" xfId="22" builtinId="32" customBuiltin="1"/>
    <cellStyle name="60% - Accent1 2" xfId="118"/>
    <cellStyle name="60% - Accent1 2 2" xfId="119"/>
    <cellStyle name="60% - Accent1 3" xfId="120"/>
    <cellStyle name="60% - Accent1 3 2" xfId="121"/>
    <cellStyle name="60% - Accent1 4" xfId="122"/>
    <cellStyle name="60% - Accent1 5" xfId="123"/>
    <cellStyle name="60% - Accent1 6" xfId="124"/>
    <cellStyle name="60% - Accent2" xfId="26" builtinId="36" customBuiltin="1"/>
    <cellStyle name="60% - Accent2 2" xfId="125"/>
    <cellStyle name="60% - Accent2 2 2" xfId="126"/>
    <cellStyle name="60% - Accent2 3" xfId="127"/>
    <cellStyle name="60% - Accent2 3 2" xfId="128"/>
    <cellStyle name="60% - Accent2 4" xfId="129"/>
    <cellStyle name="60% - Accent2 5" xfId="130"/>
    <cellStyle name="60% - Accent3" xfId="30" builtinId="40" customBuiltin="1"/>
    <cellStyle name="60% - Accent3 2" xfId="131"/>
    <cellStyle name="60% - Accent3 2 2" xfId="132"/>
    <cellStyle name="60% - Accent3 3" xfId="133"/>
    <cellStyle name="60% - Accent3 3 2" xfId="134"/>
    <cellStyle name="60% - Accent3 4" xfId="135"/>
    <cellStyle name="60% - Accent3 5" xfId="136"/>
    <cellStyle name="60% - Accent3 6" xfId="137"/>
    <cellStyle name="60% - Accent4" xfId="34" builtinId="44" customBuiltin="1"/>
    <cellStyle name="60% - Accent4 2" xfId="138"/>
    <cellStyle name="60% - Accent4 2 2" xfId="139"/>
    <cellStyle name="60% - Accent4 3" xfId="140"/>
    <cellStyle name="60% - Accent4 3 2" xfId="141"/>
    <cellStyle name="60% - Accent4 4" xfId="142"/>
    <cellStyle name="60% - Accent4 5" xfId="143"/>
    <cellStyle name="60% - Accent4 6" xfId="144"/>
    <cellStyle name="60% - Accent5" xfId="38" builtinId="48" customBuiltin="1"/>
    <cellStyle name="60% - Accent5 2" xfId="145"/>
    <cellStyle name="60% - Accent5 2 2" xfId="146"/>
    <cellStyle name="60% - Accent5 3" xfId="147"/>
    <cellStyle name="60% - Accent5 3 2" xfId="148"/>
    <cellStyle name="60% - Accent5 4" xfId="149"/>
    <cellStyle name="60% - Accent5 5" xfId="150"/>
    <cellStyle name="60% - Accent6" xfId="42" builtinId="52" customBuiltin="1"/>
    <cellStyle name="60% - Accent6 2" xfId="151"/>
    <cellStyle name="60% - Accent6 2 2" xfId="152"/>
    <cellStyle name="60% - Accent6 3" xfId="153"/>
    <cellStyle name="60% - Accent6 3 2" xfId="154"/>
    <cellStyle name="60% - Accent6 4" xfId="155"/>
    <cellStyle name="60% - Accent6 5" xfId="156"/>
    <cellStyle name="60% - Accent6 6" xfId="157"/>
    <cellStyle name="Accent1" xfId="19" builtinId="29" customBuiltin="1"/>
    <cellStyle name="Accent1 2" xfId="158"/>
    <cellStyle name="Accent1 2 2" xfId="159"/>
    <cellStyle name="Accent1 3" xfId="160"/>
    <cellStyle name="Accent1 3 2" xfId="161"/>
    <cellStyle name="Accent1 4" xfId="162"/>
    <cellStyle name="Accent1 5" xfId="163"/>
    <cellStyle name="Accent1 6" xfId="164"/>
    <cellStyle name="Accent2" xfId="23" builtinId="33" customBuiltin="1"/>
    <cellStyle name="Accent2 2" xfId="165"/>
    <cellStyle name="Accent2 2 2" xfId="166"/>
    <cellStyle name="Accent2 3" xfId="167"/>
    <cellStyle name="Accent2 3 2" xfId="168"/>
    <cellStyle name="Accent2 4" xfId="169"/>
    <cellStyle name="Accent2 5" xfId="170"/>
    <cellStyle name="Accent2 6" xfId="171"/>
    <cellStyle name="Accent3" xfId="27" builtinId="37" customBuiltin="1"/>
    <cellStyle name="Accent3 2" xfId="172"/>
    <cellStyle name="Accent3 2 2" xfId="173"/>
    <cellStyle name="Accent3 3" xfId="174"/>
    <cellStyle name="Accent3 3 2" xfId="175"/>
    <cellStyle name="Accent3 4" xfId="176"/>
    <cellStyle name="Accent3 5" xfId="177"/>
    <cellStyle name="Accent3 6" xfId="178"/>
    <cellStyle name="Accent4" xfId="31" builtinId="41" customBuiltin="1"/>
    <cellStyle name="Accent4 2" xfId="179"/>
    <cellStyle name="Accent4 2 2" xfId="180"/>
    <cellStyle name="Accent4 3" xfId="181"/>
    <cellStyle name="Accent4 3 2" xfId="182"/>
    <cellStyle name="Accent4 4" xfId="183"/>
    <cellStyle name="Accent4 5" xfId="184"/>
    <cellStyle name="Accent4 6" xfId="185"/>
    <cellStyle name="Accent5" xfId="35" builtinId="45" customBuiltin="1"/>
    <cellStyle name="Accent5 2" xfId="186"/>
    <cellStyle name="Accent5 3" xfId="187"/>
    <cellStyle name="Accent5 4" xfId="188"/>
    <cellStyle name="Accent6" xfId="39" builtinId="49" customBuiltin="1"/>
    <cellStyle name="Accent6 2" xfId="189"/>
    <cellStyle name="Accent6 2 2" xfId="190"/>
    <cellStyle name="Accent6 3" xfId="191"/>
    <cellStyle name="Accent6 3 2" xfId="192"/>
    <cellStyle name="Accent6 4" xfId="193"/>
    <cellStyle name="Accent6 5" xfId="194"/>
    <cellStyle name="Bad" xfId="9" builtinId="27" customBuiltin="1"/>
    <cellStyle name="Bad 2" xfId="195"/>
    <cellStyle name="Bad 2 2" xfId="196"/>
    <cellStyle name="Bad 3" xfId="197"/>
    <cellStyle name="Bad 3 2" xfId="198"/>
    <cellStyle name="Bad 4" xfId="199"/>
    <cellStyle name="Bad 5" xfId="200"/>
    <cellStyle name="Bad 6" xfId="201"/>
    <cellStyle name="Calculation" xfId="13" builtinId="22" customBuiltin="1"/>
    <cellStyle name="Calculation 2" xfId="202"/>
    <cellStyle name="Calculation 2 2" xfId="203"/>
    <cellStyle name="Calculation 3" xfId="204"/>
    <cellStyle name="Calculation 3 2" xfId="205"/>
    <cellStyle name="Calculation 4" xfId="206"/>
    <cellStyle name="Calculation 5" xfId="207"/>
    <cellStyle name="Calculation 6" xfId="208"/>
    <cellStyle name="Check Cell" xfId="15" builtinId="23" customBuiltin="1"/>
    <cellStyle name="Check Cell 2" xfId="209"/>
    <cellStyle name="Check Cell 3" xfId="210"/>
    <cellStyle name="Check Cell 4" xfId="211"/>
    <cellStyle name="Comma" xfId="1" builtinId="3"/>
    <cellStyle name="Comma 2" xfId="212"/>
    <cellStyle name="depth" xfId="213"/>
    <cellStyle name="Explanatory Text" xfId="17" builtinId="53" customBuiltin="1"/>
    <cellStyle name="Explanatory Text 2" xfId="214"/>
    <cellStyle name="Explanatory Text 3" xfId="215"/>
    <cellStyle name="Explanatory Text 4" xfId="216"/>
    <cellStyle name="Good" xfId="8" builtinId="26" customBuiltin="1"/>
    <cellStyle name="Good 2" xfId="217"/>
    <cellStyle name="Good 2 2" xfId="218"/>
    <cellStyle name="Good 3" xfId="219"/>
    <cellStyle name="Good 3 2" xfId="220"/>
    <cellStyle name="Good 4" xfId="221"/>
    <cellStyle name="Good 5" xfId="222"/>
    <cellStyle name="Heading 1" xfId="4" builtinId="16" customBuiltin="1"/>
    <cellStyle name="Heading 1 2" xfId="223"/>
    <cellStyle name="Heading 1 2 2" xfId="224"/>
    <cellStyle name="Heading 1 3" xfId="225"/>
    <cellStyle name="Heading 1 3 2" xfId="226"/>
    <cellStyle name="Heading 1 4" xfId="227"/>
    <cellStyle name="Heading 1 5" xfId="228"/>
    <cellStyle name="Heading 1 6" xfId="229"/>
    <cellStyle name="Heading 2" xfId="5" builtinId="17" customBuiltin="1"/>
    <cellStyle name="Heading 2 2" xfId="230"/>
    <cellStyle name="Heading 2 2 2" xfId="231"/>
    <cellStyle name="Heading 2 3" xfId="232"/>
    <cellStyle name="Heading 2 3 2" xfId="233"/>
    <cellStyle name="Heading 2 4" xfId="234"/>
    <cellStyle name="Heading 2 5" xfId="235"/>
    <cellStyle name="Heading 2 6" xfId="236"/>
    <cellStyle name="Heading 3" xfId="6" builtinId="18" customBuiltin="1"/>
    <cellStyle name="Heading 3 2" xfId="237"/>
    <cellStyle name="Heading 3 2 2" xfId="238"/>
    <cellStyle name="Heading 3 3" xfId="239"/>
    <cellStyle name="Heading 3 3 2" xfId="240"/>
    <cellStyle name="Heading 3 4" xfId="241"/>
    <cellStyle name="Heading 3 5" xfId="242"/>
    <cellStyle name="Heading 3 6" xfId="243"/>
    <cellStyle name="Heading 4" xfId="7" builtinId="19" customBuiltin="1"/>
    <cellStyle name="Heading 4 2" xfId="244"/>
    <cellStyle name="Heading 4 2 2" xfId="245"/>
    <cellStyle name="Heading 4 3" xfId="246"/>
    <cellStyle name="Heading 4 3 2" xfId="247"/>
    <cellStyle name="Heading 4 4" xfId="248"/>
    <cellStyle name="Heading 4 5" xfId="249"/>
    <cellStyle name="Heading 4 6" xfId="250"/>
    <cellStyle name="Hyperlink 2" xfId="251"/>
    <cellStyle name="Hyperlink 2 2" xfId="252"/>
    <cellStyle name="Hyperlink 3" xfId="253"/>
    <cellStyle name="Hyperlink 4" xfId="254"/>
    <cellStyle name="Hyperlink 5" xfId="255"/>
    <cellStyle name="Hyperlink 6" xfId="256"/>
    <cellStyle name="Hyperlink 7" xfId="257"/>
    <cellStyle name="Hyperlink 8" xfId="258"/>
    <cellStyle name="Input" xfId="11" builtinId="20" customBuiltin="1"/>
    <cellStyle name="Input 2" xfId="259"/>
    <cellStyle name="Input 2 2" xfId="260"/>
    <cellStyle name="Input 3" xfId="261"/>
    <cellStyle name="Input 3 2" xfId="262"/>
    <cellStyle name="Input 4" xfId="263"/>
    <cellStyle name="Input 5" xfId="264"/>
    <cellStyle name="Linked Cell" xfId="14" builtinId="24" customBuiltin="1"/>
    <cellStyle name="Linked Cell 2" xfId="265"/>
    <cellStyle name="Linked Cell 2 2" xfId="266"/>
    <cellStyle name="Linked Cell 3" xfId="267"/>
    <cellStyle name="Linked Cell 3 2" xfId="268"/>
    <cellStyle name="Linked Cell 4" xfId="269"/>
    <cellStyle name="Linked Cell 5" xfId="270"/>
    <cellStyle name="Neutral" xfId="10" builtinId="28" customBuiltin="1"/>
    <cellStyle name="Neutral 2" xfId="271"/>
    <cellStyle name="Neutral 2 2" xfId="272"/>
    <cellStyle name="Neutral 3" xfId="273"/>
    <cellStyle name="Neutral 3 2" xfId="274"/>
    <cellStyle name="Neutral 4" xfId="275"/>
    <cellStyle name="Neutral 5" xfId="276"/>
    <cellStyle name="Normal" xfId="0" builtinId="0"/>
    <cellStyle name="Normal 10" xfId="277"/>
    <cellStyle name="Normal 11" xfId="278"/>
    <cellStyle name="Normal 11 2" xfId="279"/>
    <cellStyle name="Normal 12" xfId="280"/>
    <cellStyle name="Normal 12 2" xfId="281"/>
    <cellStyle name="Normal 12 3" xfId="282"/>
    <cellStyle name="Normal 13" xfId="283"/>
    <cellStyle name="Normal 14" xfId="284"/>
    <cellStyle name="Normal 15" xfId="285"/>
    <cellStyle name="Normal 16" xfId="286"/>
    <cellStyle name="Normal 17" xfId="43"/>
    <cellStyle name="Normal 2" xfId="287"/>
    <cellStyle name="Normal 2 10 2 2 2 2" xfId="288"/>
    <cellStyle name="Normal 2 2" xfId="289"/>
    <cellStyle name="Normal 2 2 2" xfId="290"/>
    <cellStyle name="Normal 2 3" xfId="291"/>
    <cellStyle name="Normal 2 3 2" xfId="292"/>
    <cellStyle name="Normal 2 4" xfId="293"/>
    <cellStyle name="Normal 2 4 2" xfId="294"/>
    <cellStyle name="Normal 2 5" xfId="295"/>
    <cellStyle name="Normal 2_DataMappingView" xfId="296"/>
    <cellStyle name="Normal 3" xfId="297"/>
    <cellStyle name="Normal 3 2" xfId="298"/>
    <cellStyle name="Normal 3 2 2" xfId="299"/>
    <cellStyle name="Normal 3 2 2 2" xfId="300"/>
    <cellStyle name="Normal 3 2 3" xfId="301"/>
    <cellStyle name="Normal 3 2 3 2" xfId="302"/>
    <cellStyle name="Normal 3 2 4" xfId="303"/>
    <cellStyle name="Normal 3 2_DataMappingView" xfId="304"/>
    <cellStyle name="Normal 3 3" xfId="305"/>
    <cellStyle name="Normal 3 3 2" xfId="306"/>
    <cellStyle name="Normal 3 4" xfId="307"/>
    <cellStyle name="Normal 3 5" xfId="308"/>
    <cellStyle name="Normal 4" xfId="309"/>
    <cellStyle name="Normal 4 2" xfId="310"/>
    <cellStyle name="Normal 4 3" xfId="311"/>
    <cellStyle name="Normal 5" xfId="312"/>
    <cellStyle name="Normal 6" xfId="313"/>
    <cellStyle name="Normal 7" xfId="314"/>
    <cellStyle name="Normal 8" xfId="315"/>
    <cellStyle name="Normal 9" xfId="316"/>
    <cellStyle name="Note 10" xfId="317"/>
    <cellStyle name="Note 11" xfId="318"/>
    <cellStyle name="Note 2" xfId="319"/>
    <cellStyle name="Note 2 2" xfId="320"/>
    <cellStyle name="Note 2 3" xfId="321"/>
    <cellStyle name="Note 2 4" xfId="322"/>
    <cellStyle name="Note 3" xfId="323"/>
    <cellStyle name="Note 4" xfId="324"/>
    <cellStyle name="Note 5" xfId="325"/>
    <cellStyle name="Note 6" xfId="326"/>
    <cellStyle name="Note 6 2" xfId="327"/>
    <cellStyle name="Note 7" xfId="328"/>
    <cellStyle name="Note 8" xfId="329"/>
    <cellStyle name="Note 9" xfId="330"/>
    <cellStyle name="Output" xfId="12" builtinId="21" customBuiltin="1"/>
    <cellStyle name="Output 10" xfId="331"/>
    <cellStyle name="Output 2" xfId="332"/>
    <cellStyle name="Output 2 2" xfId="333"/>
    <cellStyle name="Output 3" xfId="334"/>
    <cellStyle name="Output 4" xfId="335"/>
    <cellStyle name="Output 5" xfId="336"/>
    <cellStyle name="Output 5 2" xfId="337"/>
    <cellStyle name="Output 6" xfId="338"/>
    <cellStyle name="Output 7" xfId="339"/>
    <cellStyle name="Output 8" xfId="340"/>
    <cellStyle name="Output 9" xfId="341"/>
    <cellStyle name="Percent" xfId="2" builtinId="5"/>
    <cellStyle name="Percent 2" xfId="342"/>
    <cellStyle name="Title" xfId="3" builtinId="15" customBuiltin="1"/>
    <cellStyle name="Title 2" xfId="343"/>
    <cellStyle name="Title 2 2" xfId="344"/>
    <cellStyle name="Title 3" xfId="345"/>
    <cellStyle name="Title 4" xfId="346"/>
    <cellStyle name="Title 5" xfId="347"/>
    <cellStyle name="Title 5 2" xfId="348"/>
    <cellStyle name="Title 6" xfId="349"/>
    <cellStyle name="Title 7" xfId="350"/>
    <cellStyle name="Title 8" xfId="351"/>
    <cellStyle name="Total" xfId="18" builtinId="25" customBuiltin="1"/>
    <cellStyle name="Total 10" xfId="352"/>
    <cellStyle name="Total 2" xfId="353"/>
    <cellStyle name="Total 2 2" xfId="354"/>
    <cellStyle name="Total 3" xfId="355"/>
    <cellStyle name="Total 4" xfId="356"/>
    <cellStyle name="Total 5" xfId="357"/>
    <cellStyle name="Total 5 2" xfId="358"/>
    <cellStyle name="Total 6" xfId="359"/>
    <cellStyle name="Total 7" xfId="360"/>
    <cellStyle name="Total 8" xfId="361"/>
    <cellStyle name="Total 9" xfId="362"/>
    <cellStyle name="Warning Text" xfId="16" builtinId="11" customBuiltin="1"/>
    <cellStyle name="Warning Text 2" xfId="363"/>
    <cellStyle name="Warning Text 2 2" xfId="364"/>
    <cellStyle name="Warning Text 3" xfId="365"/>
    <cellStyle name="Warning Text 4" xfId="366"/>
    <cellStyle name="Warning Text 5" xfId="367"/>
    <cellStyle name="Warning Text 5 2" xfId="368"/>
    <cellStyle name="Warning Text 6" xfId="369"/>
    <cellStyle name="Warning Text 7" xfId="370"/>
    <cellStyle name="Warning Text 8" xfId="371"/>
    <cellStyle name="Warning Text 9" xfId="37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worksheet" Target="worksheets/sheet2.xml"/><Relationship Id="rId18" Type="http://schemas.openxmlformats.org/officeDocument/2006/relationships/styles" Target="styles.xml"/><Relationship Id="rId3" Type="http://schemas.openxmlformats.org/officeDocument/2006/relationships/chartsheet" Target="chartsheets/sheet3.xml"/><Relationship Id="rId7" Type="http://schemas.openxmlformats.org/officeDocument/2006/relationships/chartsheet" Target="chartsheets/sheet7.xml"/><Relationship Id="rId12" Type="http://schemas.openxmlformats.org/officeDocument/2006/relationships/worksheet" Target="worksheets/sheet1.xml"/><Relationship Id="rId17" Type="http://schemas.openxmlformats.org/officeDocument/2006/relationships/theme" Target="theme/theme1.xml"/><Relationship Id="rId2" Type="http://schemas.openxmlformats.org/officeDocument/2006/relationships/chartsheet" Target="chartsheets/sheet2.xml"/><Relationship Id="rId16" Type="http://schemas.openxmlformats.org/officeDocument/2006/relationships/worksheet" Target="worksheets/sheet5.xml"/><Relationship Id="rId20"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chartsheet" Target="chartsheets/sheet11.xml"/><Relationship Id="rId5" Type="http://schemas.openxmlformats.org/officeDocument/2006/relationships/chartsheet" Target="chartsheets/sheet5.xml"/><Relationship Id="rId15" Type="http://schemas.openxmlformats.org/officeDocument/2006/relationships/worksheet" Target="worksheets/sheet4.xml"/><Relationship Id="rId10" Type="http://schemas.openxmlformats.org/officeDocument/2006/relationships/chartsheet" Target="chartsheets/sheet10.xml"/><Relationship Id="rId19" Type="http://schemas.openxmlformats.org/officeDocument/2006/relationships/sharedStrings" Target="sharedStrings.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014925373134359E-2"/>
          <c:y val="5.9612518628912078E-2"/>
          <c:w val="0.86247334754797444"/>
          <c:h val="0.82786072194522309"/>
        </c:manualLayout>
      </c:layout>
      <c:scatterChart>
        <c:scatterStyle val="smoothMarker"/>
        <c:varyColors val="0"/>
        <c:ser>
          <c:idx val="14"/>
          <c:order val="0"/>
          <c:tx>
            <c:strRef>
              <c:f>Ggrid!$G$7</c:f>
              <c:strCache>
                <c:ptCount val="1"/>
                <c:pt idx="0">
                  <c:v>1</c:v>
                </c:pt>
              </c:strCache>
            </c:strRef>
          </c:tx>
          <c:spPr>
            <a:ln w="3175">
              <a:solidFill>
                <a:srgbClr val="000000"/>
              </a:solidFill>
              <a:prstDash val="solid"/>
            </a:ln>
          </c:spPr>
          <c:marker>
            <c:symbol val="none"/>
          </c:marker>
          <c:xVal>
            <c:numRef>
              <c:f>Ggrid!$G$8:$G$14</c:f>
              <c:numCache>
                <c:formatCode>0.00</c:formatCode>
                <c:ptCount val="7"/>
                <c:pt idx="0">
                  <c:v>-11.668831455128837</c:v>
                </c:pt>
                <c:pt idx="1">
                  <c:v>-11.219680423247706</c:v>
                </c:pt>
                <c:pt idx="2">
                  <c:v>-10.81763964265839</c:v>
                </c:pt>
                <c:pt idx="3">
                  <c:v>-10.456071139046966</c:v>
                </c:pt>
                <c:pt idx="4">
                  <c:v>-10.129512030626977</c:v>
                </c:pt>
                <c:pt idx="5">
                  <c:v>-9.8334268095322379</c:v>
                </c:pt>
                <c:pt idx="6">
                  <c:v>-9.5640196023670168</c:v>
                </c:pt>
              </c:numCache>
            </c:numRef>
          </c:xVal>
          <c:yVal>
            <c:numRef>
              <c:f>Ggrid!$G$48:$G$54</c:f>
              <c:numCache>
                <c:formatCode>0.00</c:formatCode>
                <c:ptCount val="7"/>
                <c:pt idx="0">
                  <c:v>-3.6552311195961629</c:v>
                </c:pt>
                <c:pt idx="1">
                  <c:v>-3.4755225154504807</c:v>
                </c:pt>
                <c:pt idx="2">
                  <c:v>-3.3140370617162227</c:v>
                </c:pt>
                <c:pt idx="3">
                  <c:v>-3.168233113228895</c:v>
                </c:pt>
                <c:pt idx="4">
                  <c:v>-3.0360167511122413</c:v>
                </c:pt>
                <c:pt idx="5">
                  <c:v>-2.9156476722827254</c:v>
                </c:pt>
                <c:pt idx="6">
                  <c:v>-2.8056678219400686</c:v>
                </c:pt>
              </c:numCache>
            </c:numRef>
          </c:yVal>
          <c:smooth val="1"/>
        </c:ser>
        <c:ser>
          <c:idx val="12"/>
          <c:order val="1"/>
          <c:tx>
            <c:strRef>
              <c:f>Ggrid!$H$7</c:f>
              <c:strCache>
                <c:ptCount val="1"/>
                <c:pt idx="0">
                  <c:v>0.3</c:v>
                </c:pt>
              </c:strCache>
            </c:strRef>
          </c:tx>
          <c:spPr>
            <a:ln w="3175">
              <a:solidFill>
                <a:srgbClr val="000000"/>
              </a:solidFill>
              <a:prstDash val="solid"/>
            </a:ln>
          </c:spPr>
          <c:marker>
            <c:symbol val="none"/>
          </c:marker>
          <c:xVal>
            <c:numRef>
              <c:f>Ggrid!$H$8:$H$14</c:f>
              <c:numCache>
                <c:formatCode>0.00</c:formatCode>
                <c:ptCount val="7"/>
                <c:pt idx="0">
                  <c:v>-13.756621533584269</c:v>
                </c:pt>
                <c:pt idx="1">
                  <c:v>-13.303831372137275</c:v>
                </c:pt>
                <c:pt idx="2">
                  <c:v>-12.894511311435886</c:v>
                </c:pt>
                <c:pt idx="3">
                  <c:v>-12.51832143649778</c:v>
                </c:pt>
                <c:pt idx="4">
                  <c:v>-12.162359124865398</c:v>
                </c:pt>
                <c:pt idx="5">
                  <c:v>-11.807421289405006</c:v>
                </c:pt>
                <c:pt idx="6">
                  <c:v>-11.422048218010929</c:v>
                </c:pt>
              </c:numCache>
            </c:numRef>
          </c:xVal>
          <c:yVal>
            <c:numRef>
              <c:f>Ggrid!$H$48:$H$54</c:f>
              <c:numCache>
                <c:formatCode>0.00</c:formatCode>
                <c:ptCount val="7"/>
                <c:pt idx="0">
                  <c:v>-4.1700002546367649</c:v>
                </c:pt>
                <c:pt idx="1">
                  <c:v>-3.9842364928161369</c:v>
                </c:pt>
                <c:pt idx="2">
                  <c:v>-3.8123010479264097</c:v>
                </c:pt>
                <c:pt idx="3">
                  <c:v>-3.6487050888377497</c:v>
                </c:pt>
                <c:pt idx="4">
                  <c:v>-3.4868601436145688</c:v>
                </c:pt>
                <c:pt idx="5">
                  <c:v>-3.3188280644709027</c:v>
                </c:pt>
                <c:pt idx="6">
                  <c:v>-3.1359280409887087</c:v>
                </c:pt>
              </c:numCache>
            </c:numRef>
          </c:yVal>
          <c:smooth val="1"/>
        </c:ser>
        <c:ser>
          <c:idx val="3"/>
          <c:order val="2"/>
          <c:tx>
            <c:strRef>
              <c:f>Ggrid!$I$7</c:f>
              <c:strCache>
                <c:ptCount val="1"/>
                <c:pt idx="0">
                  <c:v>0.1</c:v>
                </c:pt>
              </c:strCache>
            </c:strRef>
          </c:tx>
          <c:spPr>
            <a:ln w="3175">
              <a:solidFill>
                <a:srgbClr val="000000"/>
              </a:solidFill>
              <a:prstDash val="solid"/>
            </a:ln>
          </c:spPr>
          <c:marker>
            <c:symbol val="none"/>
          </c:marker>
          <c:xVal>
            <c:numRef>
              <c:f>Ggrid!$I$8:$I$14</c:f>
              <c:numCache>
                <c:formatCode>0.00</c:formatCode>
                <c:ptCount val="7"/>
                <c:pt idx="0">
                  <c:v>-15.654558618274443</c:v>
                </c:pt>
                <c:pt idx="1">
                  <c:v>-15.191610511369088</c:v>
                </c:pt>
                <c:pt idx="2">
                  <c:v>-14.762333805387252</c:v>
                </c:pt>
                <c:pt idx="3">
                  <c:v>-14.347289465286359</c:v>
                </c:pt>
                <c:pt idx="4">
                  <c:v>-13.917247049515639</c:v>
                </c:pt>
                <c:pt idx="5">
                  <c:v>-13.426767756165228</c:v>
                </c:pt>
                <c:pt idx="6">
                  <c:v>-12.811499710293015</c:v>
                </c:pt>
              </c:numCache>
            </c:numRef>
          </c:xVal>
          <c:yVal>
            <c:numRef>
              <c:f>Ggrid!$I$48:$I$54</c:f>
              <c:numCache>
                <c:formatCode>0.00</c:formatCode>
                <c:ptCount val="7"/>
                <c:pt idx="0">
                  <c:v>-4.6247522901046354</c:v>
                </c:pt>
                <c:pt idx="1">
                  <c:v>-4.4232607669953197</c:v>
                </c:pt>
                <c:pt idx="2">
                  <c:v>-4.2259266855106299</c:v>
                </c:pt>
                <c:pt idx="3">
                  <c:v>-4.0234618832945372</c:v>
                </c:pt>
                <c:pt idx="4">
                  <c:v>-3.8066182865024878</c:v>
                </c:pt>
                <c:pt idx="5">
                  <c:v>-3.5685067849514809</c:v>
                </c:pt>
                <c:pt idx="6">
                  <c:v>-3.306944889373352</c:v>
                </c:pt>
              </c:numCache>
            </c:numRef>
          </c:yVal>
          <c:smooth val="1"/>
        </c:ser>
        <c:ser>
          <c:idx val="2"/>
          <c:order val="3"/>
          <c:tx>
            <c:strRef>
              <c:f>Ggrid!$J$7</c:f>
              <c:strCache>
                <c:ptCount val="1"/>
                <c:pt idx="0">
                  <c:v>0.01</c:v>
                </c:pt>
              </c:strCache>
            </c:strRef>
          </c:tx>
          <c:spPr>
            <a:ln w="3175">
              <a:solidFill>
                <a:srgbClr val="000000"/>
              </a:solidFill>
              <a:prstDash val="solid"/>
            </a:ln>
          </c:spPr>
          <c:marker>
            <c:symbol val="none"/>
          </c:marker>
          <c:xVal>
            <c:numRef>
              <c:f>Ggrid!$J$8:$J$14</c:f>
              <c:numCache>
                <c:formatCode>0.00</c:formatCode>
                <c:ptCount val="7"/>
                <c:pt idx="0">
                  <c:v>-19.523954611393165</c:v>
                </c:pt>
                <c:pt idx="1">
                  <c:v>-18.949521112055187</c:v>
                </c:pt>
                <c:pt idx="2">
                  <c:v>-18.325807474943758</c:v>
                </c:pt>
                <c:pt idx="3">
                  <c:v>-17.590585440081654</c:v>
                </c:pt>
                <c:pt idx="4">
                  <c:v>-16.678805384591165</c:v>
                </c:pt>
                <c:pt idx="5">
                  <c:v>-15.557726807233337</c:v>
                </c:pt>
                <c:pt idx="6">
                  <c:v>-14.25458143034415</c:v>
                </c:pt>
              </c:numCache>
            </c:numRef>
          </c:xVal>
          <c:yVal>
            <c:numRef>
              <c:f>Ggrid!$J$48:$J$54</c:f>
              <c:numCache>
                <c:formatCode>0.00</c:formatCode>
                <c:ptCount val="7"/>
                <c:pt idx="0">
                  <c:v>-5.4000274043013796</c:v>
                </c:pt>
                <c:pt idx="1">
                  <c:v>-5.094110080476808</c:v>
                </c:pt>
                <c:pt idx="2">
                  <c:v>-4.7731819665710562</c:v>
                </c:pt>
                <c:pt idx="3">
                  <c:v>-4.4397200107064458</c:v>
                </c:pt>
                <c:pt idx="4">
                  <c:v>-4.0987585238738315</c:v>
                </c:pt>
                <c:pt idx="5">
                  <c:v>-3.7553489343564137</c:v>
                </c:pt>
                <c:pt idx="6">
                  <c:v>-3.4132713375113477</c:v>
                </c:pt>
              </c:numCache>
            </c:numRef>
          </c:yVal>
          <c:smooth val="1"/>
        </c:ser>
        <c:ser>
          <c:idx val="1"/>
          <c:order val="4"/>
          <c:tx>
            <c:strRef>
              <c:f>Ggrid!$K$7</c:f>
              <c:strCache>
                <c:ptCount val="1"/>
                <c:pt idx="0">
                  <c:v>0.001</c:v>
                </c:pt>
              </c:strCache>
            </c:strRef>
          </c:tx>
          <c:spPr>
            <a:ln w="3175">
              <a:solidFill>
                <a:srgbClr val="000000"/>
              </a:solidFill>
              <a:prstDash val="solid"/>
            </a:ln>
          </c:spPr>
          <c:marker>
            <c:symbol val="none"/>
          </c:marker>
          <c:xVal>
            <c:numRef>
              <c:f>Ggrid!$K$8:$K$14</c:f>
              <c:numCache>
                <c:formatCode>0.00</c:formatCode>
                <c:ptCount val="7"/>
                <c:pt idx="0">
                  <c:v>-22.721274183617489</c:v>
                </c:pt>
                <c:pt idx="1">
                  <c:v>-21.694690660303575</c:v>
                </c:pt>
                <c:pt idx="2">
                  <c:v>-20.484028360465587</c:v>
                </c:pt>
                <c:pt idx="3">
                  <c:v>-19.103940387281305</c:v>
                </c:pt>
                <c:pt idx="4">
                  <c:v>-17.611976274375731</c:v>
                </c:pt>
                <c:pt idx="5">
                  <c:v>-16.06623845928295</c:v>
                </c:pt>
                <c:pt idx="6">
                  <c:v>-14.504386639947171</c:v>
                </c:pt>
              </c:numCache>
            </c:numRef>
          </c:xVal>
          <c:yVal>
            <c:numRef>
              <c:f>Ggrid!$K$48:$K$54</c:f>
              <c:numCache>
                <c:formatCode>0.00</c:formatCode>
                <c:ptCount val="7"/>
                <c:pt idx="0">
                  <c:v>-5.6976309918698185</c:v>
                </c:pt>
                <c:pt idx="1">
                  <c:v>-5.2938404094326916</c:v>
                </c:pt>
                <c:pt idx="2">
                  <c:v>-4.8996161231918283</c:v>
                </c:pt>
                <c:pt idx="3">
                  <c:v>-4.5158391659862911</c:v>
                </c:pt>
                <c:pt idx="4">
                  <c:v>-4.1425649830252382</c:v>
                </c:pt>
                <c:pt idx="5">
                  <c:v>-3.7793474331164503</c:v>
                </c:pt>
                <c:pt idx="6">
                  <c:v>-3.4254888578925908</c:v>
                </c:pt>
              </c:numCache>
            </c:numRef>
          </c:yVal>
          <c:smooth val="1"/>
        </c:ser>
        <c:ser>
          <c:idx val="0"/>
          <c:order val="5"/>
          <c:tx>
            <c:strRef>
              <c:f>Ggrid!$L$7</c:f>
              <c:strCache>
                <c:ptCount val="1"/>
                <c:pt idx="0">
                  <c:v>0</c:v>
                </c:pt>
              </c:strCache>
            </c:strRef>
          </c:tx>
          <c:spPr>
            <a:ln w="12700">
              <a:solidFill>
                <a:srgbClr val="000000"/>
              </a:solidFill>
              <a:prstDash val="solid"/>
            </a:ln>
          </c:spPr>
          <c:marker>
            <c:symbol val="none"/>
          </c:marker>
          <c:dLbls>
            <c:dLbl>
              <c:idx val="0"/>
              <c:layout>
                <c:manualLayout>
                  <c:x val="-0.23884145078880073"/>
                  <c:y val="6.3586686537506223E-2"/>
                </c:manualLayout>
              </c:layout>
              <c:tx>
                <c:strRef>
                  <c:f>Ggrid!$A$8</c:f>
                  <c:strCache>
                    <c:ptCount val="1"/>
                    <c:pt idx="0">
                      <c:v>200</c:v>
                    </c:pt>
                  </c:strCache>
                </c:strRef>
              </c:tx>
              <c:dLblPos val="r"/>
              <c:showLegendKey val="0"/>
              <c:showVal val="0"/>
              <c:showCatName val="0"/>
              <c:showSerName val="0"/>
              <c:showPercent val="0"/>
              <c:showBubbleSize val="0"/>
            </c:dLbl>
            <c:dLbl>
              <c:idx val="1"/>
              <c:layout>
                <c:manualLayout>
                  <c:x val="-0.19051167111573739"/>
                  <c:y val="3.5767511177347243E-2"/>
                </c:manualLayout>
              </c:layout>
              <c:tx>
                <c:strRef>
                  <c:f>Ggrid!$A$9</c:f>
                  <c:strCache>
                    <c:ptCount val="1"/>
                    <c:pt idx="0">
                      <c:v>225</c:v>
                    </c:pt>
                  </c:strCache>
                </c:strRef>
              </c:tx>
              <c:dLblPos val="r"/>
              <c:showLegendKey val="0"/>
              <c:showVal val="0"/>
              <c:showCatName val="0"/>
              <c:showSerName val="0"/>
              <c:showPercent val="0"/>
              <c:showBubbleSize val="0"/>
            </c:dLbl>
            <c:dLbl>
              <c:idx val="2"/>
              <c:layout>
                <c:manualLayout>
                  <c:x val="-0.15213214019889307"/>
                  <c:y val="2.1857923497267836E-2"/>
                </c:manualLayout>
              </c:layout>
              <c:tx>
                <c:strRef>
                  <c:f>Ggrid!$A$10</c:f>
                  <c:strCache>
                    <c:ptCount val="1"/>
                    <c:pt idx="0">
                      <c:v>250</c:v>
                    </c:pt>
                  </c:strCache>
                </c:strRef>
              </c:tx>
              <c:dLblPos val="r"/>
              <c:showLegendKey val="0"/>
              <c:showVal val="0"/>
              <c:showCatName val="0"/>
              <c:showSerName val="0"/>
              <c:showPercent val="0"/>
              <c:showBubbleSize val="0"/>
            </c:dLbl>
            <c:dLbl>
              <c:idx val="3"/>
              <c:layout>
                <c:manualLayout>
                  <c:x val="-0.11943857764048152"/>
                  <c:y val="7.9483358171882762E-3"/>
                </c:manualLayout>
              </c:layout>
              <c:tx>
                <c:strRef>
                  <c:f>Ggrid!$A$11</c:f>
                  <c:strCache>
                    <c:ptCount val="1"/>
                    <c:pt idx="0">
                      <c:v>275</c:v>
                    </c:pt>
                  </c:strCache>
                </c:strRef>
              </c:tx>
              <c:dLblPos val="r"/>
              <c:showLegendKey val="0"/>
              <c:showVal val="0"/>
              <c:showCatName val="0"/>
              <c:showSerName val="0"/>
              <c:showPercent val="0"/>
              <c:showBubbleSize val="0"/>
            </c:dLbl>
            <c:dLbl>
              <c:idx val="4"/>
              <c:layout>
                <c:manualLayout>
                  <c:x val="-9.2430647661579615E-2"/>
                  <c:y val="3.974167908594139E-3"/>
                </c:manualLayout>
              </c:layout>
              <c:tx>
                <c:strRef>
                  <c:f>Ggrid!$A$12</c:f>
                  <c:strCache>
                    <c:ptCount val="1"/>
                    <c:pt idx="0">
                      <c:v>300</c:v>
                    </c:pt>
                  </c:strCache>
                </c:strRef>
              </c:tx>
              <c:dLblPos val="r"/>
              <c:showLegendKey val="0"/>
              <c:showVal val="0"/>
              <c:showCatName val="0"/>
              <c:showSerName val="0"/>
              <c:showPercent val="0"/>
              <c:showBubbleSize val="0"/>
            </c:dLbl>
            <c:dLbl>
              <c:idx val="5"/>
              <c:layout>
                <c:manualLayout>
                  <c:x val="-6.9687221933079288E-2"/>
                  <c:y val="0"/>
                </c:manualLayout>
              </c:layout>
              <c:tx>
                <c:strRef>
                  <c:f>Ggrid!$A$13</c:f>
                  <c:strCache>
                    <c:ptCount val="1"/>
                    <c:pt idx="0">
                      <c:v>325</c:v>
                    </c:pt>
                  </c:strCache>
                </c:strRef>
              </c:tx>
              <c:dLblPos val="r"/>
              <c:showLegendKey val="0"/>
              <c:showVal val="0"/>
              <c:showCatName val="0"/>
              <c:showSerName val="0"/>
              <c:showPercent val="0"/>
              <c:showBubbleSize val="0"/>
            </c:dLbl>
            <c:dLbl>
              <c:idx val="6"/>
              <c:layout>
                <c:manualLayout>
                  <c:x val="-6.1158437284891641E-2"/>
                  <c:y val="3.974167908594139E-3"/>
                </c:manualLayout>
              </c:layout>
              <c:tx>
                <c:strRef>
                  <c:f>Ggrid!$A$14</c:f>
                  <c:strCache>
                    <c:ptCount val="1"/>
                    <c:pt idx="0">
                      <c:v>350</c:v>
                    </c:pt>
                  </c:strCache>
                </c:strRef>
              </c:tx>
              <c:dLblPos val="r"/>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Ggrid!$L$8:$L$14</c:f>
              <c:numCache>
                <c:formatCode>0.00</c:formatCode>
                <c:ptCount val="7"/>
                <c:pt idx="0">
                  <c:v>-24.621031455128836</c:v>
                </c:pt>
                <c:pt idx="1">
                  <c:v>-22.841630423247707</c:v>
                </c:pt>
                <c:pt idx="2">
                  <c:v>-21.109339642658391</c:v>
                </c:pt>
                <c:pt idx="3">
                  <c:v>-19.417521139046965</c:v>
                </c:pt>
                <c:pt idx="4">
                  <c:v>-17.760712030626976</c:v>
                </c:pt>
                <c:pt idx="5">
                  <c:v>-16.134376809532238</c:v>
                </c:pt>
                <c:pt idx="6">
                  <c:v>-14.534719602367019</c:v>
                </c:pt>
              </c:numCache>
            </c:numRef>
          </c:xVal>
          <c:yVal>
            <c:numRef>
              <c:f>Ggrid!$L$48:$L$54</c:f>
              <c:numCache>
                <c:formatCode>0.00</c:formatCode>
                <c:ptCount val="7"/>
                <c:pt idx="0">
                  <c:v>-5.7479311195961635</c:v>
                </c:pt>
                <c:pt idx="1">
                  <c:v>-5.3229725154504814</c:v>
                </c:pt>
                <c:pt idx="2">
                  <c:v>-4.9162370617162239</c:v>
                </c:pt>
                <c:pt idx="3">
                  <c:v>-4.5251831132288958</c:v>
                </c:pt>
                <c:pt idx="4">
                  <c:v>-4.1477167511122426</c:v>
                </c:pt>
                <c:pt idx="5">
                  <c:v>-3.7820976722827262</c:v>
                </c:pt>
                <c:pt idx="6">
                  <c:v>-3.4268678219400694</c:v>
                </c:pt>
              </c:numCache>
            </c:numRef>
          </c:yVal>
          <c:smooth val="1"/>
        </c:ser>
        <c:ser>
          <c:idx val="5"/>
          <c:order val="6"/>
          <c:tx>
            <c:strRef>
              <c:f>Ggrid!$A$8</c:f>
              <c:strCache>
                <c:ptCount val="1"/>
                <c:pt idx="0">
                  <c:v>200</c:v>
                </c:pt>
              </c:strCache>
            </c:strRef>
          </c:tx>
          <c:spPr>
            <a:ln w="3175">
              <a:solidFill>
                <a:srgbClr val="000000"/>
              </a:solidFill>
              <a:prstDash val="solid"/>
            </a:ln>
          </c:spPr>
          <c:marker>
            <c:symbol val="none"/>
          </c:marker>
          <c:dLbls>
            <c:dLbl>
              <c:idx val="0"/>
              <c:tx>
                <c:strRef>
                  <c:f>Ggrid!$G$7</c:f>
                  <c:strCache>
                    <c:ptCount val="1"/>
                    <c:pt idx="0">
                      <c:v>1</c:v>
                    </c:pt>
                  </c:strCache>
                </c:strRef>
              </c:tx>
              <c:dLblPos val="b"/>
              <c:showLegendKey val="0"/>
              <c:showVal val="0"/>
              <c:showCatName val="0"/>
              <c:showSerName val="0"/>
              <c:showPercent val="0"/>
              <c:showBubbleSize val="0"/>
            </c:dLbl>
            <c:dLbl>
              <c:idx val="1"/>
              <c:tx>
                <c:strRef>
                  <c:f>Ggrid!$H$7</c:f>
                  <c:strCache>
                    <c:ptCount val="1"/>
                    <c:pt idx="0">
                      <c:v>0.3</c:v>
                    </c:pt>
                  </c:strCache>
                </c:strRef>
              </c:tx>
              <c:dLblPos val="b"/>
              <c:showLegendKey val="0"/>
              <c:showVal val="0"/>
              <c:showCatName val="0"/>
              <c:showSerName val="0"/>
              <c:showPercent val="0"/>
              <c:showBubbleSize val="0"/>
            </c:dLbl>
            <c:dLbl>
              <c:idx val="2"/>
              <c:tx>
                <c:strRef>
                  <c:f>Ggrid!$I$7</c:f>
                  <c:strCache>
                    <c:ptCount val="1"/>
                    <c:pt idx="0">
                      <c:v>0.1</c:v>
                    </c:pt>
                  </c:strCache>
                </c:strRef>
              </c:tx>
              <c:dLblPos val="b"/>
              <c:showLegendKey val="0"/>
              <c:showVal val="0"/>
              <c:showCatName val="0"/>
              <c:showSerName val="0"/>
              <c:showPercent val="0"/>
              <c:showBubbleSize val="0"/>
            </c:dLbl>
            <c:dLbl>
              <c:idx val="3"/>
              <c:tx>
                <c:strRef>
                  <c:f>Ggrid!$J$7</c:f>
                  <c:strCache>
                    <c:ptCount val="1"/>
                    <c:pt idx="0">
                      <c:v>0.01</c:v>
                    </c:pt>
                  </c:strCache>
                </c:strRef>
              </c:tx>
              <c:dLblPos val="b"/>
              <c:showLegendKey val="0"/>
              <c:showVal val="0"/>
              <c:showCatName val="0"/>
              <c:showSerName val="0"/>
              <c:showPercent val="0"/>
              <c:showBubbleSize val="0"/>
            </c:dLbl>
            <c:dLbl>
              <c:idx val="4"/>
              <c:tx>
                <c:strRef>
                  <c:f>Ggrid!$K$7</c:f>
                  <c:strCache>
                    <c:ptCount val="1"/>
                    <c:pt idx="0">
                      <c:v>0.001</c:v>
                    </c:pt>
                  </c:strCache>
                </c:strRef>
              </c:tx>
              <c:dLblPos val="b"/>
              <c:showLegendKey val="0"/>
              <c:showVal val="0"/>
              <c:showCatName val="0"/>
              <c:showSerName val="0"/>
              <c:showPercent val="0"/>
              <c:showBubbleSize val="0"/>
            </c:dLbl>
            <c:dLbl>
              <c:idx val="5"/>
              <c:tx>
                <c:strRef>
                  <c:f>Ggrid!$L$7</c:f>
                  <c:strCache>
                    <c:ptCount val="1"/>
                    <c:pt idx="0">
                      <c:v>0</c:v>
                    </c:pt>
                  </c:strCache>
                </c:strRef>
              </c:tx>
              <c:dLblPos val="b"/>
              <c:showLegendKey val="0"/>
              <c:showVal val="0"/>
              <c:showCatName val="0"/>
              <c:showSerName val="0"/>
              <c:showPercent val="0"/>
              <c:showBubbleSize val="0"/>
            </c:dLbl>
            <c:dLbl>
              <c:idx val="6"/>
              <c:tx>
                <c:rich>
                  <a:bodyPr/>
                  <a:lstStyle/>
                  <a:p>
                    <a:r>
                      <a:rPr lang="en-NZ"/>
                      <a:t>-0.001</a:t>
                    </a:r>
                  </a:p>
                </c:rich>
              </c:tx>
              <c:dLblPos val="b"/>
              <c:showLegendKey val="0"/>
              <c:showVal val="0"/>
              <c:showCatName val="0"/>
              <c:showSerName val="0"/>
              <c:showPercent val="0"/>
              <c:showBubbleSize val="0"/>
            </c:dLbl>
            <c:dLbl>
              <c:idx val="7"/>
              <c:tx>
                <c:rich>
                  <a:bodyPr/>
                  <a:lstStyle/>
                  <a:p>
                    <a:r>
                      <a:rPr lang="en-NZ"/>
                      <a:t>-0.01</a:t>
                    </a:r>
                  </a:p>
                </c:rich>
              </c:tx>
              <c:dLblPos val="b"/>
              <c:showLegendKey val="0"/>
              <c:showVal val="0"/>
              <c:showCatName val="0"/>
              <c:showSerName val="0"/>
              <c:showPercent val="0"/>
              <c:showBubbleSize val="0"/>
            </c:dLbl>
            <c:spPr>
              <a:noFill/>
              <a:ln w="25400">
                <a:noFill/>
              </a:ln>
            </c:spPr>
            <c:txPr>
              <a:bodyPr rot="-5400000" vert="horz"/>
              <a:lstStyle/>
              <a:p>
                <a:pPr algn="ctr">
                  <a:defRPr sz="1200" b="0" i="0" u="none" strike="noStrike" baseline="0">
                    <a:solidFill>
                      <a:srgbClr val="00000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Ggrid!$G$8:$N$8</c:f>
              <c:numCache>
                <c:formatCode>0.00</c:formatCode>
                <c:ptCount val="8"/>
                <c:pt idx="0">
                  <c:v>-11.668831455128837</c:v>
                </c:pt>
                <c:pt idx="1">
                  <c:v>-13.756621533584269</c:v>
                </c:pt>
                <c:pt idx="2">
                  <c:v>-15.654558618274443</c:v>
                </c:pt>
                <c:pt idx="3">
                  <c:v>-19.523954611393165</c:v>
                </c:pt>
                <c:pt idx="4">
                  <c:v>-22.721274183617489</c:v>
                </c:pt>
                <c:pt idx="5">
                  <c:v>-24.621031455128836</c:v>
                </c:pt>
                <c:pt idx="6">
                  <c:v>-26.520788726640188</c:v>
                </c:pt>
                <c:pt idx="7">
                  <c:v>-29.718108298864507</c:v>
                </c:pt>
              </c:numCache>
            </c:numRef>
          </c:xVal>
          <c:yVal>
            <c:numRef>
              <c:f>Ggrid!$G$48:$N$48</c:f>
              <c:numCache>
                <c:formatCode>0.00</c:formatCode>
                <c:ptCount val="8"/>
                <c:pt idx="0">
                  <c:v>-3.6552311195961629</c:v>
                </c:pt>
                <c:pt idx="1">
                  <c:v>-4.1700002546367649</c:v>
                </c:pt>
                <c:pt idx="2">
                  <c:v>-4.6247522901046354</c:v>
                </c:pt>
                <c:pt idx="3">
                  <c:v>-5.4000274043013796</c:v>
                </c:pt>
                <c:pt idx="4">
                  <c:v>-5.6976309918698185</c:v>
                </c:pt>
                <c:pt idx="5">
                  <c:v>-5.7479311195961635</c:v>
                </c:pt>
                <c:pt idx="6">
                  <c:v>-5.7982312473225095</c:v>
                </c:pt>
                <c:pt idx="7">
                  <c:v>-6.0958348348909484</c:v>
                </c:pt>
              </c:numCache>
            </c:numRef>
          </c:yVal>
          <c:smooth val="1"/>
        </c:ser>
        <c:ser>
          <c:idx val="6"/>
          <c:order val="7"/>
          <c:tx>
            <c:strRef>
              <c:f>Ggrid!$A$9</c:f>
              <c:strCache>
                <c:ptCount val="1"/>
                <c:pt idx="0">
                  <c:v>225</c:v>
                </c:pt>
              </c:strCache>
            </c:strRef>
          </c:tx>
          <c:spPr>
            <a:ln w="3175">
              <a:solidFill>
                <a:srgbClr val="000000"/>
              </a:solidFill>
              <a:prstDash val="solid"/>
            </a:ln>
          </c:spPr>
          <c:marker>
            <c:symbol val="none"/>
          </c:marker>
          <c:xVal>
            <c:numRef>
              <c:f>Ggrid!$G$9:$N$9</c:f>
              <c:numCache>
                <c:formatCode>0.00</c:formatCode>
                <c:ptCount val="8"/>
                <c:pt idx="0">
                  <c:v>-11.219680423247706</c:v>
                </c:pt>
                <c:pt idx="1">
                  <c:v>-13.303831372137275</c:v>
                </c:pt>
                <c:pt idx="2">
                  <c:v>-15.191610511369088</c:v>
                </c:pt>
                <c:pt idx="3">
                  <c:v>-18.949521112055187</c:v>
                </c:pt>
                <c:pt idx="4">
                  <c:v>-21.694690660303575</c:v>
                </c:pt>
                <c:pt idx="5">
                  <c:v>-22.841630423247707</c:v>
                </c:pt>
                <c:pt idx="6">
                  <c:v>-23.98857018619184</c:v>
                </c:pt>
                <c:pt idx="7">
                  <c:v>-26.733739734440224</c:v>
                </c:pt>
              </c:numCache>
            </c:numRef>
          </c:xVal>
          <c:yVal>
            <c:numRef>
              <c:f>Ggrid!$G$49:$N$49</c:f>
              <c:numCache>
                <c:formatCode>0.00</c:formatCode>
                <c:ptCount val="8"/>
                <c:pt idx="0">
                  <c:v>-3.4755225154504807</c:v>
                </c:pt>
                <c:pt idx="1">
                  <c:v>-3.9842364928161369</c:v>
                </c:pt>
                <c:pt idx="2">
                  <c:v>-4.4232607669953197</c:v>
                </c:pt>
                <c:pt idx="3">
                  <c:v>-5.094110080476808</c:v>
                </c:pt>
                <c:pt idx="4">
                  <c:v>-5.2938404094326916</c:v>
                </c:pt>
                <c:pt idx="5">
                  <c:v>-5.3229725154504814</c:v>
                </c:pt>
                <c:pt idx="6">
                  <c:v>-5.3521046214682713</c:v>
                </c:pt>
                <c:pt idx="7">
                  <c:v>-5.5518349504241549</c:v>
                </c:pt>
              </c:numCache>
            </c:numRef>
          </c:yVal>
          <c:smooth val="1"/>
        </c:ser>
        <c:ser>
          <c:idx val="7"/>
          <c:order val="8"/>
          <c:tx>
            <c:strRef>
              <c:f>Ggrid!$A$10</c:f>
              <c:strCache>
                <c:ptCount val="1"/>
                <c:pt idx="0">
                  <c:v>250</c:v>
                </c:pt>
              </c:strCache>
            </c:strRef>
          </c:tx>
          <c:spPr>
            <a:ln w="3175">
              <a:solidFill>
                <a:srgbClr val="000000"/>
              </a:solidFill>
              <a:prstDash val="solid"/>
            </a:ln>
          </c:spPr>
          <c:marker>
            <c:symbol val="none"/>
          </c:marker>
          <c:xVal>
            <c:numRef>
              <c:f>Ggrid!$G$10:$N$10</c:f>
              <c:numCache>
                <c:formatCode>0.00</c:formatCode>
                <c:ptCount val="8"/>
                <c:pt idx="0">
                  <c:v>-10.81763964265839</c:v>
                </c:pt>
                <c:pt idx="1">
                  <c:v>-12.894511311435886</c:v>
                </c:pt>
                <c:pt idx="2">
                  <c:v>-14.762333805387252</c:v>
                </c:pt>
                <c:pt idx="3">
                  <c:v>-18.325807474943758</c:v>
                </c:pt>
                <c:pt idx="4">
                  <c:v>-20.484028360465587</c:v>
                </c:pt>
                <c:pt idx="5">
                  <c:v>-21.109339642658391</c:v>
                </c:pt>
                <c:pt idx="6">
                  <c:v>-21.734650924851191</c:v>
                </c:pt>
                <c:pt idx="7">
                  <c:v>-23.892871810373023</c:v>
                </c:pt>
              </c:numCache>
            </c:numRef>
          </c:xVal>
          <c:yVal>
            <c:numRef>
              <c:f>Ggrid!$G$50:$N$50</c:f>
              <c:numCache>
                <c:formatCode>0.00</c:formatCode>
                <c:ptCount val="8"/>
                <c:pt idx="0">
                  <c:v>-3.3140370617162227</c:v>
                </c:pt>
                <c:pt idx="1">
                  <c:v>-3.8123010479264097</c:v>
                </c:pt>
                <c:pt idx="2">
                  <c:v>-4.2259266855106299</c:v>
                </c:pt>
                <c:pt idx="3">
                  <c:v>-4.7731819665710562</c:v>
                </c:pt>
                <c:pt idx="4">
                  <c:v>-4.8996161231918283</c:v>
                </c:pt>
                <c:pt idx="5">
                  <c:v>-4.9162370617162239</c:v>
                </c:pt>
                <c:pt idx="6">
                  <c:v>-4.9328580002406186</c:v>
                </c:pt>
                <c:pt idx="7">
                  <c:v>-5.0592921568613907</c:v>
                </c:pt>
              </c:numCache>
            </c:numRef>
          </c:yVal>
          <c:smooth val="1"/>
        </c:ser>
        <c:ser>
          <c:idx val="8"/>
          <c:order val="9"/>
          <c:tx>
            <c:strRef>
              <c:f>Ggrid!$A$11</c:f>
              <c:strCache>
                <c:ptCount val="1"/>
                <c:pt idx="0">
                  <c:v>275</c:v>
                </c:pt>
              </c:strCache>
            </c:strRef>
          </c:tx>
          <c:spPr>
            <a:ln w="3175">
              <a:solidFill>
                <a:srgbClr val="000000"/>
              </a:solidFill>
              <a:prstDash val="solid"/>
            </a:ln>
          </c:spPr>
          <c:marker>
            <c:symbol val="none"/>
          </c:marker>
          <c:xVal>
            <c:numRef>
              <c:f>Ggrid!$G$11:$N$11</c:f>
              <c:numCache>
                <c:formatCode>0.00</c:formatCode>
                <c:ptCount val="8"/>
                <c:pt idx="0">
                  <c:v>-10.456071139046966</c:v>
                </c:pt>
                <c:pt idx="1">
                  <c:v>-12.51832143649778</c:v>
                </c:pt>
                <c:pt idx="2">
                  <c:v>-14.347289465286359</c:v>
                </c:pt>
                <c:pt idx="3">
                  <c:v>-17.590585440081654</c:v>
                </c:pt>
                <c:pt idx="4">
                  <c:v>-19.103940387281305</c:v>
                </c:pt>
                <c:pt idx="5">
                  <c:v>-19.417521139046965</c:v>
                </c:pt>
                <c:pt idx="6">
                  <c:v>-19.731101890812621</c:v>
                </c:pt>
                <c:pt idx="7">
                  <c:v>-21.244456838012276</c:v>
                </c:pt>
              </c:numCache>
            </c:numRef>
          </c:xVal>
          <c:yVal>
            <c:numRef>
              <c:f>Ggrid!$G$51:$N$51</c:f>
              <c:numCache>
                <c:formatCode>0.00</c:formatCode>
                <c:ptCount val="8"/>
                <c:pt idx="0">
                  <c:v>-3.168233113228895</c:v>
                </c:pt>
                <c:pt idx="1">
                  <c:v>-3.6487050888377497</c:v>
                </c:pt>
                <c:pt idx="2">
                  <c:v>-4.0234618832945372</c:v>
                </c:pt>
                <c:pt idx="3">
                  <c:v>-4.4397200107064458</c:v>
                </c:pt>
                <c:pt idx="4">
                  <c:v>-4.5158391659862911</c:v>
                </c:pt>
                <c:pt idx="5">
                  <c:v>-4.5251831132288958</c:v>
                </c:pt>
                <c:pt idx="6">
                  <c:v>-4.5345270604715004</c:v>
                </c:pt>
                <c:pt idx="7">
                  <c:v>-4.6106462157513457</c:v>
                </c:pt>
              </c:numCache>
            </c:numRef>
          </c:yVal>
          <c:smooth val="1"/>
        </c:ser>
        <c:ser>
          <c:idx val="9"/>
          <c:order val="10"/>
          <c:tx>
            <c:strRef>
              <c:f>Ggrid!$A$12</c:f>
              <c:strCache>
                <c:ptCount val="1"/>
                <c:pt idx="0">
                  <c:v>300</c:v>
                </c:pt>
              </c:strCache>
            </c:strRef>
          </c:tx>
          <c:spPr>
            <a:ln w="3175">
              <a:solidFill>
                <a:srgbClr val="000000"/>
              </a:solidFill>
              <a:prstDash val="solid"/>
            </a:ln>
          </c:spPr>
          <c:marker>
            <c:symbol val="none"/>
          </c:marker>
          <c:xVal>
            <c:numRef>
              <c:f>Ggrid!$G$12:$N$12</c:f>
              <c:numCache>
                <c:formatCode>0.00</c:formatCode>
                <c:ptCount val="8"/>
                <c:pt idx="0">
                  <c:v>-10.129512030626977</c:v>
                </c:pt>
                <c:pt idx="1">
                  <c:v>-12.162359124865398</c:v>
                </c:pt>
                <c:pt idx="2">
                  <c:v>-13.917247049515639</c:v>
                </c:pt>
                <c:pt idx="3">
                  <c:v>-16.678805384591165</c:v>
                </c:pt>
                <c:pt idx="4">
                  <c:v>-17.611976274375731</c:v>
                </c:pt>
                <c:pt idx="5">
                  <c:v>-17.760712030626976</c:v>
                </c:pt>
                <c:pt idx="6">
                  <c:v>-17.909447786878221</c:v>
                </c:pt>
                <c:pt idx="7">
                  <c:v>-18.842618676662788</c:v>
                </c:pt>
              </c:numCache>
            </c:numRef>
          </c:xVal>
          <c:yVal>
            <c:numRef>
              <c:f>Ggrid!$G$52:$N$52</c:f>
              <c:numCache>
                <c:formatCode>0.00</c:formatCode>
                <c:ptCount val="8"/>
                <c:pt idx="0">
                  <c:v>-3.0360167511122413</c:v>
                </c:pt>
                <c:pt idx="1">
                  <c:v>-3.4868601436145688</c:v>
                </c:pt>
                <c:pt idx="2">
                  <c:v>-3.8066182865024878</c:v>
                </c:pt>
                <c:pt idx="3">
                  <c:v>-4.0987585238738315</c:v>
                </c:pt>
                <c:pt idx="4">
                  <c:v>-4.1425649830252382</c:v>
                </c:pt>
                <c:pt idx="5">
                  <c:v>-4.1477167511122426</c:v>
                </c:pt>
                <c:pt idx="6">
                  <c:v>-4.152868519199246</c:v>
                </c:pt>
                <c:pt idx="7">
                  <c:v>-4.1966749783506536</c:v>
                </c:pt>
              </c:numCache>
            </c:numRef>
          </c:yVal>
          <c:smooth val="1"/>
        </c:ser>
        <c:ser>
          <c:idx val="10"/>
          <c:order val="11"/>
          <c:tx>
            <c:strRef>
              <c:f>Ggrid!$A$13</c:f>
              <c:strCache>
                <c:ptCount val="1"/>
                <c:pt idx="0">
                  <c:v>325</c:v>
                </c:pt>
              </c:strCache>
            </c:strRef>
          </c:tx>
          <c:spPr>
            <a:ln w="3175">
              <a:solidFill>
                <a:srgbClr val="000000"/>
              </a:solidFill>
              <a:prstDash val="solid"/>
            </a:ln>
          </c:spPr>
          <c:marker>
            <c:symbol val="none"/>
          </c:marker>
          <c:xVal>
            <c:numRef>
              <c:f>Ggrid!$G$13:$N$13</c:f>
              <c:numCache>
                <c:formatCode>0.00</c:formatCode>
                <c:ptCount val="8"/>
                <c:pt idx="0">
                  <c:v>-9.8334268095322379</c:v>
                </c:pt>
                <c:pt idx="1">
                  <c:v>-11.807421289405006</c:v>
                </c:pt>
                <c:pt idx="2">
                  <c:v>-13.426767756165228</c:v>
                </c:pt>
                <c:pt idx="3">
                  <c:v>-15.557726807233337</c:v>
                </c:pt>
                <c:pt idx="4">
                  <c:v>-16.06623845928295</c:v>
                </c:pt>
                <c:pt idx="5">
                  <c:v>-16.134376809532238</c:v>
                </c:pt>
                <c:pt idx="6">
                  <c:v>-16.202515159781527</c:v>
                </c:pt>
                <c:pt idx="7">
                  <c:v>-16.71102681183114</c:v>
                </c:pt>
              </c:numCache>
            </c:numRef>
          </c:xVal>
          <c:yVal>
            <c:numRef>
              <c:f>Ggrid!$G$53:$N$53</c:f>
              <c:numCache>
                <c:formatCode>0.00</c:formatCode>
                <c:ptCount val="8"/>
                <c:pt idx="0">
                  <c:v>-2.9156476722827254</c:v>
                </c:pt>
                <c:pt idx="1">
                  <c:v>-3.3188280644709027</c:v>
                </c:pt>
                <c:pt idx="2">
                  <c:v>-3.5685067849514809</c:v>
                </c:pt>
                <c:pt idx="3">
                  <c:v>-3.7553489343564137</c:v>
                </c:pt>
                <c:pt idx="4">
                  <c:v>-3.7793474331164503</c:v>
                </c:pt>
                <c:pt idx="5">
                  <c:v>-3.7820976722827262</c:v>
                </c:pt>
                <c:pt idx="6">
                  <c:v>-3.7848479114490021</c:v>
                </c:pt>
                <c:pt idx="7">
                  <c:v>-3.8088464102090387</c:v>
                </c:pt>
              </c:numCache>
            </c:numRef>
          </c:yVal>
          <c:smooth val="1"/>
        </c:ser>
        <c:ser>
          <c:idx val="11"/>
          <c:order val="12"/>
          <c:tx>
            <c:strRef>
              <c:f>Ggrid!$A$14</c:f>
              <c:strCache>
                <c:ptCount val="1"/>
                <c:pt idx="0">
                  <c:v>350</c:v>
                </c:pt>
              </c:strCache>
            </c:strRef>
          </c:tx>
          <c:spPr>
            <a:ln w="3175">
              <a:solidFill>
                <a:srgbClr val="000000"/>
              </a:solidFill>
              <a:prstDash val="solid"/>
            </a:ln>
          </c:spPr>
          <c:marker>
            <c:symbol val="none"/>
          </c:marker>
          <c:xVal>
            <c:numRef>
              <c:f>Ggrid!$G$14:$N$14</c:f>
              <c:numCache>
                <c:formatCode>0.00</c:formatCode>
                <c:ptCount val="8"/>
                <c:pt idx="0">
                  <c:v>-9.5640196023670168</c:v>
                </c:pt>
                <c:pt idx="1">
                  <c:v>-11.422048218010929</c:v>
                </c:pt>
                <c:pt idx="2">
                  <c:v>-12.811499710293015</c:v>
                </c:pt>
                <c:pt idx="3">
                  <c:v>-14.25458143034415</c:v>
                </c:pt>
                <c:pt idx="4">
                  <c:v>-14.504386639947171</c:v>
                </c:pt>
                <c:pt idx="5">
                  <c:v>-14.534719602367019</c:v>
                </c:pt>
                <c:pt idx="6">
                  <c:v>-14.565052564786868</c:v>
                </c:pt>
                <c:pt idx="7">
                  <c:v>-14.814857774389889</c:v>
                </c:pt>
              </c:numCache>
            </c:numRef>
          </c:xVal>
          <c:yVal>
            <c:numRef>
              <c:f>Ggrid!$G$54:$N$54</c:f>
              <c:numCache>
                <c:formatCode>0.00</c:formatCode>
                <c:ptCount val="8"/>
                <c:pt idx="0">
                  <c:v>-2.8056678219400686</c:v>
                </c:pt>
                <c:pt idx="1">
                  <c:v>-3.1359280409887087</c:v>
                </c:pt>
                <c:pt idx="2">
                  <c:v>-3.306944889373352</c:v>
                </c:pt>
                <c:pt idx="3">
                  <c:v>-3.4132713375113477</c:v>
                </c:pt>
                <c:pt idx="4">
                  <c:v>-3.4254888578925908</c:v>
                </c:pt>
                <c:pt idx="5">
                  <c:v>-3.4268678219400694</c:v>
                </c:pt>
                <c:pt idx="6">
                  <c:v>-3.4282467859875481</c:v>
                </c:pt>
                <c:pt idx="7">
                  <c:v>-3.4404643063687912</c:v>
                </c:pt>
              </c:numCache>
            </c:numRef>
          </c:yVal>
          <c:smooth val="1"/>
        </c:ser>
        <c:ser>
          <c:idx val="4"/>
          <c:order val="13"/>
          <c:tx>
            <c:v>data</c:v>
          </c:tx>
          <c:spPr>
            <a:ln w="28575">
              <a:noFill/>
            </a:ln>
          </c:spPr>
          <c:marker>
            <c:symbol val="diamond"/>
            <c:size val="7"/>
            <c:spPr>
              <a:solidFill>
                <a:srgbClr val="800080"/>
              </a:solidFill>
              <a:ln>
                <a:solidFill>
                  <a:srgbClr val="800080"/>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input!$BB$11:$BB$40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input!$BF$11:$BF$40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ser>
        <c:ser>
          <c:idx val="13"/>
          <c:order val="14"/>
          <c:tx>
            <c:v>F0.001</c:v>
          </c:tx>
          <c:spPr>
            <a:ln w="3175">
              <a:solidFill>
                <a:srgbClr val="000000"/>
              </a:solidFill>
            </a:ln>
          </c:spPr>
          <c:marker>
            <c:symbol val="none"/>
          </c:marker>
          <c:xVal>
            <c:numRef>
              <c:f>Ggrid!$M$8:$M$14</c:f>
              <c:numCache>
                <c:formatCode>0.00</c:formatCode>
                <c:ptCount val="7"/>
                <c:pt idx="0">
                  <c:v>-26.520788726640188</c:v>
                </c:pt>
                <c:pt idx="1">
                  <c:v>-23.98857018619184</c:v>
                </c:pt>
                <c:pt idx="2">
                  <c:v>-21.734650924851191</c:v>
                </c:pt>
                <c:pt idx="3">
                  <c:v>-19.731101890812621</c:v>
                </c:pt>
                <c:pt idx="4">
                  <c:v>-17.909447786878221</c:v>
                </c:pt>
                <c:pt idx="5">
                  <c:v>-16.202515159781527</c:v>
                </c:pt>
                <c:pt idx="6">
                  <c:v>-14.565052564786868</c:v>
                </c:pt>
              </c:numCache>
            </c:numRef>
          </c:xVal>
          <c:yVal>
            <c:numRef>
              <c:f>Ggrid!$M$48:$M$54</c:f>
              <c:numCache>
                <c:formatCode>0.00</c:formatCode>
                <c:ptCount val="7"/>
                <c:pt idx="0">
                  <c:v>-5.7982312473225095</c:v>
                </c:pt>
                <c:pt idx="1">
                  <c:v>-5.3521046214682713</c:v>
                </c:pt>
                <c:pt idx="2">
                  <c:v>-4.9328580002406186</c:v>
                </c:pt>
                <c:pt idx="3">
                  <c:v>-4.5345270604715004</c:v>
                </c:pt>
                <c:pt idx="4">
                  <c:v>-4.152868519199246</c:v>
                </c:pt>
                <c:pt idx="5">
                  <c:v>-3.7848479114490021</c:v>
                </c:pt>
                <c:pt idx="6">
                  <c:v>-3.4282467859875481</c:v>
                </c:pt>
              </c:numCache>
            </c:numRef>
          </c:yVal>
          <c:smooth val="1"/>
        </c:ser>
        <c:ser>
          <c:idx val="15"/>
          <c:order val="15"/>
          <c:tx>
            <c:v>F0.01</c:v>
          </c:tx>
          <c:spPr>
            <a:ln w="3175">
              <a:solidFill>
                <a:srgbClr val="000000"/>
              </a:solidFill>
            </a:ln>
          </c:spPr>
          <c:marker>
            <c:symbol val="none"/>
          </c:marker>
          <c:xVal>
            <c:numRef>
              <c:f>Ggrid!$N$8:$N$14</c:f>
              <c:numCache>
                <c:formatCode>0.00</c:formatCode>
                <c:ptCount val="7"/>
                <c:pt idx="0">
                  <c:v>-29.718108298864507</c:v>
                </c:pt>
                <c:pt idx="1">
                  <c:v>-26.733739734440224</c:v>
                </c:pt>
                <c:pt idx="2">
                  <c:v>-23.892871810373023</c:v>
                </c:pt>
                <c:pt idx="3">
                  <c:v>-21.244456838012276</c:v>
                </c:pt>
                <c:pt idx="4">
                  <c:v>-18.842618676662788</c:v>
                </c:pt>
                <c:pt idx="5">
                  <c:v>-16.71102681183114</c:v>
                </c:pt>
                <c:pt idx="6">
                  <c:v>-14.814857774389889</c:v>
                </c:pt>
              </c:numCache>
            </c:numRef>
          </c:xVal>
          <c:yVal>
            <c:numRef>
              <c:f>Ggrid!$N$48:$N$54</c:f>
              <c:numCache>
                <c:formatCode>0.00</c:formatCode>
                <c:ptCount val="7"/>
                <c:pt idx="0">
                  <c:v>-6.0958348348909484</c:v>
                </c:pt>
                <c:pt idx="1">
                  <c:v>-5.5518349504241549</c:v>
                </c:pt>
                <c:pt idx="2">
                  <c:v>-5.0592921568613907</c:v>
                </c:pt>
                <c:pt idx="3">
                  <c:v>-4.6106462157513457</c:v>
                </c:pt>
                <c:pt idx="4">
                  <c:v>-4.1966749783506536</c:v>
                </c:pt>
                <c:pt idx="5">
                  <c:v>-3.8088464102090387</c:v>
                </c:pt>
                <c:pt idx="6">
                  <c:v>-3.4404643063687912</c:v>
                </c:pt>
              </c:numCache>
            </c:numRef>
          </c:yVal>
          <c:smooth val="1"/>
        </c:ser>
        <c:dLbls>
          <c:showLegendKey val="0"/>
          <c:showVal val="0"/>
          <c:showCatName val="0"/>
          <c:showSerName val="0"/>
          <c:showPercent val="0"/>
          <c:showBubbleSize val="0"/>
        </c:dLbls>
        <c:axId val="119311744"/>
        <c:axId val="64124416"/>
      </c:scatterChart>
      <c:valAx>
        <c:axId val="119311744"/>
        <c:scaling>
          <c:orientation val="minMax"/>
          <c:max val="-8"/>
          <c:min val="-31"/>
        </c:scaling>
        <c:delete val="0"/>
        <c:axPos val="b"/>
        <c:title>
          <c:tx>
            <c:rich>
              <a:bodyPr/>
              <a:lstStyle/>
              <a:p>
                <a:pPr>
                  <a:defRPr sz="1200" b="1" i="0" u="none" strike="noStrike" baseline="0">
                    <a:solidFill>
                      <a:srgbClr val="000000"/>
                    </a:solidFill>
                    <a:latin typeface="Arial"/>
                    <a:ea typeface="Arial"/>
                    <a:cs typeface="Arial"/>
                  </a:defRPr>
                </a:pPr>
                <a:r>
                  <a:rPr lang="en-NZ"/>
                  <a:t>FT  log (rCO2) + 4 log (rH2) - log (rCH4)  (WG 1980)</a:t>
                </a:r>
              </a:p>
            </c:rich>
          </c:tx>
          <c:layout>
            <c:manualLayout>
              <c:xMode val="edge"/>
              <c:yMode val="edge"/>
              <c:x val="0.32515989501312337"/>
              <c:y val="0.9577420496856498"/>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4124416"/>
        <c:crossesAt val="-25"/>
        <c:crossBetween val="midCat"/>
        <c:majorUnit val="2"/>
        <c:minorUnit val="1"/>
      </c:valAx>
      <c:valAx>
        <c:axId val="64124416"/>
        <c:scaling>
          <c:orientation val="minMax"/>
          <c:max val="-2.5"/>
          <c:min val="-7"/>
        </c:scaling>
        <c:delete val="0"/>
        <c:axPos val="l"/>
        <c:title>
          <c:tx>
            <c:rich>
              <a:bodyPr/>
              <a:lstStyle/>
              <a:p>
                <a:pPr>
                  <a:defRPr sz="1200" b="1" i="0" u="none" strike="noStrike" baseline="0">
                    <a:solidFill>
                      <a:srgbClr val="000000"/>
                    </a:solidFill>
                    <a:latin typeface="Arial"/>
                    <a:ea typeface="Arial"/>
                    <a:cs typeface="Arial"/>
                  </a:defRPr>
                </a:pPr>
                <a:r>
                  <a:rPr lang="en-NZ"/>
                  <a:t>log (rH2S)  (WG 1997)</a:t>
                </a:r>
              </a:p>
            </c:rich>
          </c:tx>
          <c:layout>
            <c:manualLayout>
              <c:xMode val="edge"/>
              <c:yMode val="edge"/>
              <c:x val="2.025585301837271E-2"/>
              <c:y val="0.36363628964984046"/>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19311744"/>
        <c:crossesAt val="-35"/>
        <c:crossBetween val="midCat"/>
        <c:majorUnit val="0.5"/>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586619633710881E-3"/>
          <c:y val="5.5608126047140246E-3"/>
          <c:w val="0.99016763681238862"/>
          <c:h val="0.98279442544253592"/>
        </c:manualLayout>
      </c:layout>
      <c:scatterChart>
        <c:scatterStyle val="lineMarker"/>
        <c:varyColors val="0"/>
        <c:ser>
          <c:idx val="1"/>
          <c:order val="0"/>
          <c:tx>
            <c:v>A grid</c:v>
          </c:tx>
          <c:spPr>
            <a:ln w="3175">
              <a:solidFill>
                <a:srgbClr val="C0C0C0"/>
              </a:solidFill>
              <a:prstDash val="sysDash"/>
            </a:ln>
          </c:spPr>
          <c:marker>
            <c:symbol val="none"/>
          </c:marker>
          <c:dLbls>
            <c:dLbl>
              <c:idx val="0"/>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tx>
                <c:rich>
                  <a:bodyPr/>
                  <a:lstStyle/>
                  <a:p>
                    <a:r>
                      <a:rPr lang="en-NZ"/>
                      <a:t>20%</a:t>
                    </a:r>
                  </a:p>
                </c:rich>
              </c:tx>
              <c:dLblPos val="l"/>
              <c:showLegendKey val="0"/>
              <c:showVal val="0"/>
              <c:showCatName val="0"/>
              <c:showSerName val="0"/>
              <c:showPercent val="0"/>
              <c:showBubbleSize val="0"/>
            </c:dLbl>
            <c:dLbl>
              <c:idx val="4"/>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tx>
                <c:rich>
                  <a:bodyPr/>
                  <a:lstStyle/>
                  <a:p>
                    <a:r>
                      <a:rPr lang="en-NZ"/>
                      <a:t>40%</a:t>
                    </a:r>
                  </a:p>
                </c:rich>
              </c:tx>
              <c:dLblPos val="l"/>
              <c:showLegendKey val="0"/>
              <c:showVal val="0"/>
              <c:showCatName val="0"/>
              <c:showSerName val="0"/>
              <c:showPercent val="0"/>
              <c:showBubbleSize val="0"/>
            </c:dLbl>
            <c:dLbl>
              <c:idx val="8"/>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tx>
                <c:rich>
                  <a:bodyPr/>
                  <a:lstStyle/>
                  <a:p>
                    <a:r>
                      <a:rPr lang="en-NZ"/>
                      <a:t>60%</a:t>
                    </a:r>
                  </a:p>
                </c:rich>
              </c:tx>
              <c:dLblPos val="l"/>
              <c:showLegendKey val="0"/>
              <c:showVal val="0"/>
              <c:showCatName val="0"/>
              <c:showSerName val="0"/>
              <c:showPercent val="0"/>
              <c:showBubbleSize val="0"/>
            </c:dLbl>
            <c:dLbl>
              <c:idx val="12"/>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tx>
                <c:rich>
                  <a:bodyPr/>
                  <a:lstStyle/>
                  <a:p>
                    <a:r>
                      <a:rPr lang="en-NZ"/>
                      <a:t>80%</a:t>
                    </a:r>
                  </a:p>
                </c:rich>
              </c:tx>
              <c:dLblPos val="l"/>
              <c:showLegendKey val="0"/>
              <c:showVal val="0"/>
              <c:showCatName val="0"/>
              <c:showSerName val="0"/>
              <c:showPercent val="0"/>
              <c:showBubbleSize val="0"/>
            </c:dLbl>
            <c:dLbl>
              <c:idx val="16"/>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500" b="0" i="0" u="none" strike="noStrike" baseline="0">
                    <a:solidFill>
                      <a:srgbClr val="C0C0C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3175">
              <a:solidFill>
                <a:srgbClr val="C0C0C0"/>
              </a:solidFill>
              <a:prstDash val="sysDash"/>
            </a:ln>
          </c:spPr>
          <c:marker>
            <c:symbol val="none"/>
          </c:marker>
          <c:dLbls>
            <c:dLbl>
              <c:idx val="0"/>
              <c:layout>
                <c:manualLayout>
                  <c:x val="-2.1600030295880052E-2"/>
                  <c:y val="3.6533205626524394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4933392759867272E-2"/>
                  <c:y val="3.2289924155520212E-2"/>
                </c:manualLayout>
              </c:layout>
              <c:tx>
                <c:rich>
                  <a:bodyPr/>
                  <a:lstStyle/>
                  <a:p>
                    <a:r>
                      <a:rPr lang="en-NZ"/>
                      <a:t>80%</a:t>
                    </a:r>
                  </a:p>
                </c:rich>
              </c:tx>
              <c:dLblPos val="r"/>
              <c:showLegendKey val="0"/>
              <c:showVal val="0"/>
              <c:showCatName val="0"/>
              <c:showSerName val="0"/>
              <c:showPercent val="0"/>
              <c:showBubbleSize val="0"/>
            </c:dLbl>
            <c:dLbl>
              <c:idx val="4"/>
              <c:layout>
                <c:manualLayout>
                  <c:x val="-1.9387615393802751E-2"/>
                  <c:y val="3.6533205626524394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611099944360449E-2"/>
                  <c:y val="3.6533205626524394E-2"/>
                </c:manualLayout>
              </c:layout>
              <c:tx>
                <c:rich>
                  <a:bodyPr/>
                  <a:lstStyle/>
                  <a:p>
                    <a:r>
                      <a:rPr lang="en-NZ"/>
                      <a:t>60%</a:t>
                    </a:r>
                  </a:p>
                </c:rich>
              </c:tx>
              <c:dLblPos val="r"/>
              <c:showLegendKey val="0"/>
              <c:showVal val="0"/>
              <c:showCatName val="0"/>
              <c:showSerName val="0"/>
              <c:showPercent val="0"/>
              <c:showBubbleSize val="0"/>
            </c:dLbl>
            <c:dLbl>
              <c:idx val="8"/>
              <c:layout>
                <c:manualLayout>
                  <c:x val="-2.1614828668059142E-2"/>
                  <c:y val="3.6533205626524394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1.9398685042283113E-2"/>
                  <c:y val="3.6533205626524394E-2"/>
                </c:manualLayout>
              </c:layout>
              <c:tx>
                <c:rich>
                  <a:bodyPr/>
                  <a:lstStyle/>
                  <a:p>
                    <a:r>
                      <a:rPr lang="en-NZ"/>
                      <a:t>40%</a:t>
                    </a:r>
                  </a:p>
                </c:rich>
              </c:tx>
              <c:dLblPos val="r"/>
              <c:showLegendKey val="0"/>
              <c:showVal val="0"/>
              <c:showCatName val="0"/>
              <c:showSerName val="0"/>
              <c:showPercent val="0"/>
              <c:showBubbleSize val="0"/>
            </c:dLbl>
            <c:dLbl>
              <c:idx val="12"/>
              <c:layout>
                <c:manualLayout>
                  <c:x val="-1.9402413765981855E-2"/>
                  <c:y val="3.6533205626524394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7186386662821414E-2"/>
                  <c:y val="3.2289924155520212E-2"/>
                </c:manualLayout>
              </c:layout>
              <c:tx>
                <c:rich>
                  <a:bodyPr/>
                  <a:lstStyle/>
                  <a:p>
                    <a:r>
                      <a:rPr lang="en-NZ"/>
                      <a:t>20%</a:t>
                    </a:r>
                  </a:p>
                </c:rich>
              </c:tx>
              <c:dLblPos val="r"/>
              <c:showLegendKey val="0"/>
              <c:showVal val="0"/>
              <c:showCatName val="0"/>
              <c:showSerName val="0"/>
              <c:showPercent val="0"/>
              <c:showBubbleSize val="0"/>
            </c:dLbl>
            <c:dLbl>
              <c:idx val="16"/>
              <c:layout>
                <c:manualLayout>
                  <c:x val="-2.1629510517622606E-2"/>
                  <c:y val="3.2289924155520212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500" b="0" i="0" u="none" strike="noStrike" baseline="0">
                    <a:solidFill>
                      <a:srgbClr val="C0C0C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3175">
              <a:solidFill>
                <a:srgbClr val="C0C0C0"/>
              </a:solidFill>
              <a:prstDash val="sysDash"/>
            </a:ln>
          </c:spPr>
          <c:marker>
            <c:symbol val="none"/>
          </c:marker>
          <c:dLbls>
            <c:dLbl>
              <c:idx val="0"/>
              <c:delete val="1"/>
            </c:dLbl>
            <c:dLbl>
              <c:idx val="1"/>
              <c:layout>
                <c:manualLayout>
                  <c:x val="-9.9901829696371607E-3"/>
                  <c:y val="-3.0247951679307404E-2"/>
                </c:manualLayout>
              </c:layout>
              <c:tx>
                <c:rich>
                  <a:bodyPr/>
                  <a:lstStyle/>
                  <a:p>
                    <a:r>
                      <a:rPr lang="en-NZ"/>
                      <a:t>10%</a:t>
                    </a:r>
                  </a:p>
                </c:rich>
              </c:tx>
              <c:dLblPos val="r"/>
              <c:showLegendKey val="0"/>
              <c:showVal val="0"/>
              <c:showCatName val="0"/>
              <c:showSerName val="0"/>
              <c:showPercent val="0"/>
              <c:showBubbleSize val="0"/>
            </c:dLbl>
            <c:dLbl>
              <c:idx val="2"/>
              <c:layout>
                <c:manualLayout>
                  <c:x val="-1.1653776352317772E-2"/>
                  <c:y val="-2.9742767302602034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1097613908139417E-2"/>
                  <c:y val="-3.7724145867905096E-2"/>
                </c:manualLayout>
              </c:layout>
              <c:tx>
                <c:rich>
                  <a:bodyPr/>
                  <a:lstStyle/>
                  <a:p>
                    <a:r>
                      <a:rPr lang="en-NZ"/>
                      <a:t>30%</a:t>
                    </a:r>
                  </a:p>
                </c:rich>
              </c:tx>
              <c:dLblPos val="r"/>
              <c:showLegendKey val="0"/>
              <c:showVal val="0"/>
              <c:showCatName val="0"/>
              <c:showSerName val="0"/>
              <c:showPercent val="0"/>
              <c:showBubbleSize val="0"/>
            </c:dLbl>
            <c:dLbl>
              <c:idx val="6"/>
              <c:layout>
                <c:manualLayout>
                  <c:x val="-1.2761323813435614E-2"/>
                  <c:y val="-4.0047815805202565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6644673022975405E-2"/>
                  <c:y val="-4.37859128995014E-2"/>
                </c:manualLayout>
              </c:layout>
              <c:tx>
                <c:rich>
                  <a:bodyPr/>
                  <a:lstStyle/>
                  <a:p>
                    <a:r>
                      <a:rPr lang="en-NZ"/>
                      <a:t>50%</a:t>
                    </a:r>
                  </a:p>
                </c:rich>
              </c:tx>
              <c:dLblPos val="r"/>
              <c:showLegendKey val="0"/>
              <c:showVal val="0"/>
              <c:showCatName val="0"/>
              <c:showSerName val="0"/>
              <c:showPercent val="0"/>
              <c:showBubbleSize val="0"/>
            </c:dLbl>
            <c:dLbl>
              <c:idx val="10"/>
              <c:layout>
                <c:manualLayout>
                  <c:x val="-1.164899892507891E-2"/>
                  <c:y val="-4.4695304176086907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9.9830750900864983E-3"/>
                  <c:y val="-4.1361265485378655E-2"/>
                </c:manualLayout>
              </c:layout>
              <c:tx>
                <c:rich>
                  <a:bodyPr/>
                  <a:lstStyle/>
                  <a:p>
                    <a:r>
                      <a:rPr lang="en-NZ"/>
                      <a:t>70%</a:t>
                    </a:r>
                  </a:p>
                </c:rich>
              </c:tx>
              <c:dLblPos val="r"/>
              <c:showLegendKey val="0"/>
              <c:showVal val="0"/>
              <c:showCatName val="0"/>
              <c:showSerName val="0"/>
              <c:showPercent val="0"/>
              <c:showBubbleSize val="0"/>
            </c:dLbl>
            <c:dLbl>
              <c:idx val="14"/>
              <c:layout>
                <c:manualLayout>
                  <c:x val="-1.275654638619675E-2"/>
                  <c:y val="-4.2270508265674661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200383942018401E-2"/>
                  <c:y val="-4.742303251697496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500" b="0" i="0" u="none" strike="noStrike" baseline="0">
                    <a:solidFill>
                      <a:srgbClr val="C0C0C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0"/>
          <c:order val="3"/>
          <c:tx>
            <c:v>border</c:v>
          </c:tx>
          <c:spPr>
            <a:ln w="38100">
              <a:solidFill>
                <a:srgbClr val="000000"/>
              </a:solidFill>
              <a:prstDash val="solid"/>
            </a:ln>
          </c:spPr>
          <c:marker>
            <c:symbol val="none"/>
          </c:marker>
          <c:dLbls>
            <c:dLbl>
              <c:idx val="0"/>
              <c:delete val="1"/>
            </c:dLbl>
            <c:dLbl>
              <c:idx val="1"/>
              <c:tx>
                <c:strRef>
                  <c:f>input!$BR$10</c:f>
                  <c:strCache>
                    <c:ptCount val="1"/>
                    <c:pt idx="0">
                      <c:v>100 N2</c:v>
                    </c:pt>
                  </c:strCache>
                </c:strRef>
              </c:tx>
              <c:spPr>
                <a:noFill/>
                <a:ln w="25400">
                  <a:noFill/>
                </a:ln>
              </c:spPr>
              <c:txPr>
                <a:bodyPr/>
                <a:lstStyle/>
                <a:p>
                  <a:pPr>
                    <a:defRPr sz="1575"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input!$BT$10</c:f>
                  <c:strCache>
                    <c:ptCount val="1"/>
                    <c:pt idx="0">
                      <c:v>10000 Ar</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tx>
                <c:strRef>
                  <c:f>input!$BS$10</c:f>
                  <c:strCache>
                    <c:ptCount val="1"/>
                    <c:pt idx="0">
                      <c:v>CO2</c:v>
                    </c:pt>
                  </c:strCache>
                </c:strRef>
              </c:tx>
              <c:spPr>
                <a:noFill/>
                <a:ln w="25400">
                  <a:noFill/>
                </a:ln>
              </c:spPr>
              <c:txPr>
                <a:bodyPr/>
                <a:lstStyle/>
                <a:p>
                  <a:pPr>
                    <a:defRPr sz="1575"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4"/>
          <c:order val="4"/>
          <c:tx>
            <c:v>air asw</c:v>
          </c:tx>
          <c:spPr>
            <a:ln w="28575">
              <a:noFill/>
            </a:ln>
          </c:spPr>
          <c:marker>
            <c:symbol val="x"/>
            <c:size val="9"/>
            <c:spPr>
              <a:noFill/>
              <a:ln>
                <a:solidFill>
                  <a:srgbClr val="424242"/>
                </a:solidFill>
                <a:prstDash val="solid"/>
              </a:ln>
            </c:spPr>
          </c:marker>
          <c:dLbls>
            <c:dLbl>
              <c:idx val="0"/>
              <c:tx>
                <c:rich>
                  <a:bodyPr/>
                  <a:lstStyle/>
                  <a:p>
                    <a:pPr>
                      <a:defRPr sz="1200" b="1" i="0" u="none" strike="noStrike" baseline="0">
                        <a:solidFill>
                          <a:srgbClr val="424242"/>
                        </a:solidFill>
                        <a:latin typeface="Arial"/>
                        <a:ea typeface="Arial"/>
                        <a:cs typeface="Arial"/>
                      </a:defRPr>
                    </a:pPr>
                    <a:r>
                      <a:rPr lang="en-NZ"/>
                      <a:t>ASW (N2/Ar = 38)</a:t>
                    </a:r>
                  </a:p>
                </c:rich>
              </c:tx>
              <c:spPr>
                <a:noFill/>
                <a:ln w="25400">
                  <a:noFill/>
                </a:ln>
              </c:spPr>
              <c:showLegendKey val="0"/>
              <c:showVal val="0"/>
              <c:showCatName val="0"/>
              <c:showSerName val="0"/>
              <c:showPercent val="0"/>
              <c:showBubbleSize val="0"/>
            </c:dLbl>
            <c:dLbl>
              <c:idx val="1"/>
              <c:tx>
                <c:rich>
                  <a:bodyPr/>
                  <a:lstStyle/>
                  <a:p>
                    <a:pPr>
                      <a:defRPr sz="1200" b="1" i="0" u="none" strike="noStrike" baseline="0">
                        <a:solidFill>
                          <a:srgbClr val="424242"/>
                        </a:solidFill>
                        <a:latin typeface="Arial"/>
                        <a:ea typeface="Arial"/>
                        <a:cs typeface="Arial"/>
                      </a:defRPr>
                    </a:pPr>
                    <a:r>
                      <a:rPr lang="en-NZ"/>
                      <a:t>Air (N2/Ar = 84)</a:t>
                    </a:r>
                  </a:p>
                </c:rich>
              </c:tx>
              <c:spPr>
                <a:noFill/>
                <a:ln w="25400">
                  <a:noFill/>
                </a:ln>
              </c:spPr>
              <c:showLegendKey val="0"/>
              <c:showVal val="0"/>
              <c:showCatName val="0"/>
              <c:showSerName val="0"/>
              <c:showPercent val="0"/>
              <c:showBubbleSize val="0"/>
            </c:dLbl>
            <c:spPr>
              <a:noFill/>
              <a:ln w="25400">
                <a:noFill/>
              </a:ln>
            </c:spPr>
            <c:txPr>
              <a:bodyPr/>
              <a:lstStyle/>
              <a:p>
                <a:pPr>
                  <a:defRPr sz="1200" b="0" i="0" u="none" strike="noStrike" baseline="0">
                    <a:solidFill>
                      <a:srgbClr val="424242"/>
                    </a:solidFill>
                    <a:latin typeface="Arial"/>
                    <a:ea typeface="Arial"/>
                    <a:cs typeface="Arial"/>
                  </a:defRPr>
                </a:pPr>
                <a:endParaRPr lang="en-US"/>
              </a:p>
            </c:txPr>
            <c:showLegendKey val="0"/>
            <c:showVal val="1"/>
            <c:showCatName val="0"/>
            <c:showSerName val="0"/>
            <c:showPercent val="0"/>
            <c:showBubbleSize val="0"/>
            <c:showLeaderLines val="0"/>
          </c:dLbls>
          <c:xVal>
            <c:numRef>
              <c:f>Ref!$E$5:$E$6</c:f>
              <c:numCache>
                <c:formatCode>0.000</c:formatCode>
                <c:ptCount val="2"/>
                <c:pt idx="0">
                  <c:v>0.99573333333333336</c:v>
                </c:pt>
                <c:pt idx="1">
                  <c:v>0.89115000000000011</c:v>
                </c:pt>
              </c:numCache>
            </c:numRef>
          </c:xVal>
          <c:yVal>
            <c:numRef>
              <c:f>Ref!$F$5:$F$6</c:f>
              <c:numCache>
                <c:formatCode>0.000</c:formatCode>
                <c:ptCount val="2"/>
                <c:pt idx="0">
                  <c:v>0.27536231884057971</c:v>
                </c:pt>
                <c:pt idx="1">
                  <c:v>0.45652173913043476</c:v>
                </c:pt>
              </c:numCache>
            </c:numRef>
          </c:yVal>
          <c:smooth val="0"/>
        </c:ser>
        <c:ser>
          <c:idx val="5"/>
          <c:order val="5"/>
          <c:tx>
            <c:v>magmatic</c:v>
          </c:tx>
          <c:spPr>
            <a:ln w="38100">
              <a:solidFill>
                <a:srgbClr val="424242"/>
              </a:solidFill>
              <a:prstDash val="solid"/>
            </a:ln>
          </c:spPr>
          <c:marker>
            <c:symbol val="x"/>
            <c:size val="9"/>
            <c:spPr>
              <a:noFill/>
              <a:ln>
                <a:solidFill>
                  <a:srgbClr val="424242"/>
                </a:solidFill>
                <a:prstDash val="solid"/>
              </a:ln>
            </c:spPr>
          </c:marker>
          <c:dPt>
            <c:idx val="1"/>
            <c:marker>
              <c:symbol val="none"/>
            </c:marker>
            <c:bubble3D val="0"/>
          </c:dPt>
          <c:dLbls>
            <c:dLbl>
              <c:idx val="0"/>
              <c:layout>
                <c:manualLayout>
                  <c:x val="-1.86086617086217E-4"/>
                  <c:y val="-1.4040472663689317E-2"/>
                </c:manualLayout>
              </c:layout>
              <c:tx>
                <c:rich>
                  <a:bodyPr/>
                  <a:lstStyle/>
                  <a:p>
                    <a:pPr algn="l">
                      <a:defRPr sz="1200" b="1" i="0" u="none" strike="noStrike" baseline="0">
                        <a:solidFill>
                          <a:srgbClr val="424242"/>
                        </a:solidFill>
                        <a:latin typeface="Arial"/>
                        <a:ea typeface="Arial"/>
                        <a:cs typeface="Arial"/>
                      </a:defRPr>
                    </a:pPr>
                    <a:r>
                      <a:rPr lang="en-NZ"/>
                      <a:t>Magmatic 
(N2/Ar = 800)</a:t>
                    </a:r>
                  </a:p>
                </c:rich>
              </c:tx>
              <c:spPr>
                <a:noFill/>
                <a:ln w="25400">
                  <a:noFill/>
                </a:ln>
              </c:spPr>
              <c:dLblPos val="r"/>
              <c:showLegendKey val="0"/>
              <c:showVal val="0"/>
              <c:showCatName val="0"/>
              <c:showSerName val="0"/>
              <c:showPercent val="0"/>
              <c:showBubbleSize val="0"/>
            </c:dLbl>
            <c:dLbl>
              <c:idx val="1"/>
              <c:delete val="1"/>
            </c:dLbl>
            <c:spPr>
              <a:noFill/>
              <a:ln w="25400">
                <a:noFill/>
              </a:ln>
            </c:spPr>
            <c:txPr>
              <a:bodyPr/>
              <a:lstStyle/>
              <a:p>
                <a:pPr>
                  <a:defRPr sz="1200" b="0" i="0" u="none" strike="noStrike" baseline="0">
                    <a:solidFill>
                      <a:srgbClr val="424242"/>
                    </a:solidFill>
                    <a:latin typeface="Arial"/>
                    <a:ea typeface="Arial"/>
                    <a:cs typeface="Arial"/>
                  </a:defRPr>
                </a:pPr>
                <a:endParaRPr lang="en-US"/>
              </a:p>
            </c:txPr>
            <c:showLegendKey val="0"/>
            <c:showVal val="1"/>
            <c:showCatName val="0"/>
            <c:showSerName val="0"/>
            <c:showPercent val="0"/>
            <c:showBubbleSize val="0"/>
            <c:showLeaderLines val="0"/>
          </c:dLbls>
          <c:xVal>
            <c:numRef>
              <c:f>Ref!$E$7:$E$8</c:f>
              <c:numCache>
                <c:formatCode>0.000</c:formatCode>
                <c:ptCount val="2"/>
                <c:pt idx="0">
                  <c:v>0.64154444444444436</c:v>
                </c:pt>
                <c:pt idx="1">
                  <c:v>0</c:v>
                </c:pt>
              </c:numCache>
            </c:numRef>
          </c:xVal>
          <c:yVal>
            <c:numRef>
              <c:f>Ref!$F$7:$F$8</c:f>
              <c:numCache>
                <c:formatCode>0.000</c:formatCode>
                <c:ptCount val="2"/>
                <c:pt idx="0">
                  <c:v>0.88888888888888884</c:v>
                </c:pt>
                <c:pt idx="1">
                  <c:v>0</c:v>
                </c:pt>
              </c:numCache>
            </c:numRef>
          </c:yVal>
          <c:smooth val="0"/>
        </c:ser>
        <c:ser>
          <c:idx val="6"/>
          <c:order val="6"/>
          <c:tx>
            <c:v>Gas Analysis</c:v>
          </c:tx>
          <c:spPr>
            <a:ln w="28575">
              <a:noFill/>
            </a:ln>
          </c:spPr>
          <c:marker>
            <c:symbol val="diamond"/>
            <c:size val="7"/>
            <c:spPr>
              <a:solidFill>
                <a:srgbClr val="800080"/>
              </a:solidFill>
              <a:ln>
                <a:solidFill>
                  <a:srgbClr val="800080"/>
                </a:solidFill>
                <a:prstDash val="solid"/>
              </a:ln>
            </c:spPr>
          </c:marker>
          <c:dLbls>
            <c:dLbl>
              <c:idx val="0"/>
              <c:tx>
                <c:strRef>
                  <c:f>input!$E$11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input!$BU$11:$BU$40</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input!$BV$11:$BV$40</c:f>
              <c:numCache>
                <c:formatCode>0.000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0"/>
        </c:ser>
        <c:ser>
          <c:idx val="7"/>
          <c:order val="7"/>
          <c:tx>
            <c:v>CO2/N2</c:v>
          </c:tx>
          <c:spPr>
            <a:ln w="25400">
              <a:solidFill>
                <a:srgbClr val="424242"/>
              </a:solidFill>
              <a:prstDash val="solid"/>
            </a:ln>
          </c:spPr>
          <c:marker>
            <c:symbol val="none"/>
          </c:marker>
          <c:dLbls>
            <c:dLbl>
              <c:idx val="1"/>
              <c:tx>
                <c:rich>
                  <a:bodyPr/>
                  <a:lstStyle/>
                  <a:p>
                    <a:pPr>
                      <a:defRPr sz="1200" b="1" i="0" u="none" strike="noStrike" baseline="0">
                        <a:solidFill>
                          <a:srgbClr val="424242"/>
                        </a:solidFill>
                        <a:latin typeface="Arial"/>
                        <a:ea typeface="Arial"/>
                        <a:cs typeface="Arial"/>
                      </a:defRPr>
                    </a:pPr>
                    <a:r>
                      <a:rPr lang="en-NZ"/>
                      <a:t>CO2/N2 = 200
(White Island)</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Ref!$E$9:$E$10</c:f>
              <c:numCache>
                <c:formatCode>0.000</c:formatCode>
                <c:ptCount val="2"/>
                <c:pt idx="0">
                  <c:v>1.1547000000000001</c:v>
                </c:pt>
                <c:pt idx="1">
                  <c:v>0.19246666666666667</c:v>
                </c:pt>
              </c:numCache>
            </c:numRef>
          </c:xVal>
          <c:yVal>
            <c:numRef>
              <c:f>Ref!$F$9:$F$10</c:f>
              <c:numCache>
                <c:formatCode>0.000</c:formatCode>
                <c:ptCount val="2"/>
                <c:pt idx="0">
                  <c:v>0</c:v>
                </c:pt>
                <c:pt idx="1">
                  <c:v>0.33333333333333331</c:v>
                </c:pt>
              </c:numCache>
            </c:numRef>
          </c:yVal>
          <c:smooth val="0"/>
        </c:ser>
        <c:dLbls>
          <c:showLegendKey val="0"/>
          <c:showVal val="0"/>
          <c:showCatName val="0"/>
          <c:showSerName val="0"/>
          <c:showPercent val="0"/>
          <c:showBubbleSize val="0"/>
        </c:dLbls>
        <c:axId val="103358848"/>
        <c:axId val="103360384"/>
      </c:scatterChart>
      <c:valAx>
        <c:axId val="103358848"/>
        <c:scaling>
          <c:orientation val="minMax"/>
          <c:max val="1.6"/>
          <c:min val="-0.4"/>
        </c:scaling>
        <c:delete val="1"/>
        <c:axPos val="b"/>
        <c:numFmt formatCode="General" sourceLinked="1"/>
        <c:majorTickMark val="out"/>
        <c:minorTickMark val="none"/>
        <c:tickLblPos val="none"/>
        <c:crossAx val="103360384"/>
        <c:crosses val="autoZero"/>
        <c:crossBetween val="midCat"/>
      </c:valAx>
      <c:valAx>
        <c:axId val="103360384"/>
        <c:scaling>
          <c:orientation val="minMax"/>
          <c:max val="1.2"/>
          <c:min val="-0.2"/>
        </c:scaling>
        <c:delete val="1"/>
        <c:axPos val="l"/>
        <c:numFmt formatCode="_(* #,##0.00_);_(* \(#,##0.00\);_(* &quot;-&quot;??_);_(@_)" sourceLinked="1"/>
        <c:majorTickMark val="out"/>
        <c:minorTickMark val="none"/>
        <c:tickLblPos val="none"/>
        <c:crossAx val="103358848"/>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6715675063438649E-2"/>
          <c:y val="2.1216407355021217E-2"/>
          <c:w val="0.96935167336448114"/>
          <c:h val="0.96322489391796318"/>
        </c:manualLayout>
      </c:layout>
      <c:scatterChart>
        <c:scatterStyle val="lineMarker"/>
        <c:varyColors val="0"/>
        <c:ser>
          <c:idx val="1"/>
          <c:order val="0"/>
          <c:tx>
            <c:v>A grid</c:v>
          </c:tx>
          <c:spPr>
            <a:ln w="3175">
              <a:solidFill>
                <a:srgbClr val="C0C0C0"/>
              </a:solidFill>
              <a:prstDash val="sysDash"/>
            </a:ln>
          </c:spPr>
          <c:marker>
            <c:symbol val="none"/>
          </c:marker>
          <c:dLbls>
            <c:dLbl>
              <c:idx val="0"/>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tx>
                <c:rich>
                  <a:bodyPr/>
                  <a:lstStyle/>
                  <a:p>
                    <a:r>
                      <a:rPr lang="en-NZ"/>
                      <a:t>20%</a:t>
                    </a:r>
                  </a:p>
                </c:rich>
              </c:tx>
              <c:dLblPos val="l"/>
              <c:showLegendKey val="0"/>
              <c:showVal val="0"/>
              <c:showCatName val="0"/>
              <c:showSerName val="0"/>
              <c:showPercent val="0"/>
              <c:showBubbleSize val="0"/>
            </c:dLbl>
            <c:dLbl>
              <c:idx val="4"/>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tx>
                <c:rich>
                  <a:bodyPr/>
                  <a:lstStyle/>
                  <a:p>
                    <a:r>
                      <a:rPr lang="en-NZ"/>
                      <a:t>40%</a:t>
                    </a:r>
                  </a:p>
                </c:rich>
              </c:tx>
              <c:dLblPos val="l"/>
              <c:showLegendKey val="0"/>
              <c:showVal val="0"/>
              <c:showCatName val="0"/>
              <c:showSerName val="0"/>
              <c:showPercent val="0"/>
              <c:showBubbleSize val="0"/>
            </c:dLbl>
            <c:dLbl>
              <c:idx val="8"/>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tx>
                <c:rich>
                  <a:bodyPr/>
                  <a:lstStyle/>
                  <a:p>
                    <a:r>
                      <a:rPr lang="en-NZ"/>
                      <a:t>60%</a:t>
                    </a:r>
                  </a:p>
                </c:rich>
              </c:tx>
              <c:dLblPos val="l"/>
              <c:showLegendKey val="0"/>
              <c:showVal val="0"/>
              <c:showCatName val="0"/>
              <c:showSerName val="0"/>
              <c:showPercent val="0"/>
              <c:showBubbleSize val="0"/>
            </c:dLbl>
            <c:dLbl>
              <c:idx val="12"/>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tx>
                <c:rich>
                  <a:bodyPr/>
                  <a:lstStyle/>
                  <a:p>
                    <a:r>
                      <a:rPr lang="en-NZ"/>
                      <a:t>80%</a:t>
                    </a:r>
                  </a:p>
                </c:rich>
              </c:tx>
              <c:dLblPos val="l"/>
              <c:showLegendKey val="0"/>
              <c:showVal val="0"/>
              <c:showCatName val="0"/>
              <c:showSerName val="0"/>
              <c:showPercent val="0"/>
              <c:showBubbleSize val="0"/>
            </c:dLbl>
            <c:dLbl>
              <c:idx val="16"/>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500" b="0" i="0" u="none" strike="noStrike" baseline="0">
                    <a:solidFill>
                      <a:srgbClr val="C0C0C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3175">
              <a:solidFill>
                <a:srgbClr val="C0C0C0"/>
              </a:solidFill>
              <a:prstDash val="sysDash"/>
            </a:ln>
          </c:spPr>
          <c:marker>
            <c:symbol val="none"/>
          </c:marker>
          <c:dLbls>
            <c:dLbl>
              <c:idx val="0"/>
              <c:layout>
                <c:manualLayout>
                  <c:x val="-2.0162490787430699E-2"/>
                  <c:y val="3.6533205626524394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3861850786964608E-2"/>
                  <c:y val="3.2289924155520212E-2"/>
                </c:manualLayout>
              </c:layout>
              <c:tx>
                <c:rich>
                  <a:bodyPr/>
                  <a:lstStyle/>
                  <a:p>
                    <a:r>
                      <a:rPr lang="en-NZ"/>
                      <a:t>80%</a:t>
                    </a:r>
                  </a:p>
                </c:rich>
              </c:tx>
              <c:dLblPos val="r"/>
              <c:showLegendKey val="0"/>
              <c:showVal val="0"/>
              <c:showCatName val="0"/>
              <c:showSerName val="0"/>
              <c:showPercent val="0"/>
              <c:showBubbleSize val="0"/>
            </c:dLbl>
            <c:dLbl>
              <c:idx val="4"/>
              <c:layout>
                <c:manualLayout>
                  <c:x val="-1.9791948869876282E-2"/>
                  <c:y val="3.6533205626524394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0161675129121637E-2"/>
                  <c:y val="3.6533205626524394E-2"/>
                </c:manualLayout>
              </c:layout>
              <c:tx>
                <c:rich>
                  <a:bodyPr/>
                  <a:lstStyle/>
                  <a:p>
                    <a:r>
                      <a:rPr lang="en-NZ"/>
                      <a:t>60%</a:t>
                    </a:r>
                  </a:p>
                </c:rich>
              </c:tx>
              <c:dLblPos val="r"/>
              <c:showLegendKey val="0"/>
              <c:showVal val="0"/>
              <c:showCatName val="0"/>
              <c:showSerName val="0"/>
              <c:showPercent val="0"/>
              <c:showBubbleSize val="0"/>
            </c:dLbl>
            <c:dLbl>
              <c:idx val="8"/>
              <c:layout>
                <c:manualLayout>
                  <c:x val="-2.0531284865751401E-2"/>
                  <c:y val="3.6533205626524394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1.9791133211567221E-2"/>
                  <c:y val="3.6533205626524394E-2"/>
                </c:manualLayout>
              </c:layout>
              <c:tx>
                <c:rich>
                  <a:bodyPr/>
                  <a:lstStyle/>
                  <a:p>
                    <a:r>
                      <a:rPr lang="en-NZ"/>
                      <a:t>40%</a:t>
                    </a:r>
                  </a:p>
                </c:rich>
              </c:tx>
              <c:dLblPos val="r"/>
              <c:showLegendKey val="0"/>
              <c:showVal val="0"/>
              <c:showCatName val="0"/>
              <c:showSerName val="0"/>
              <c:showPercent val="0"/>
              <c:showBubbleSize val="0"/>
            </c:dLbl>
            <c:dLbl>
              <c:idx val="12"/>
              <c:layout>
                <c:manualLayout>
                  <c:x val="-1.9050865034767453E-2"/>
                  <c:y val="3.6533205626524394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6090957553724188E-2"/>
                  <c:y val="3.2289924155520212E-2"/>
                </c:manualLayout>
              </c:layout>
              <c:tx>
                <c:rich>
                  <a:bodyPr/>
                  <a:lstStyle/>
                  <a:p>
                    <a:r>
                      <a:rPr lang="en-NZ"/>
                      <a:t>20%</a:t>
                    </a:r>
                  </a:p>
                </c:rich>
              </c:tx>
              <c:dLblPos val="r"/>
              <c:showLegendKey val="0"/>
              <c:showVal val="0"/>
              <c:showCatName val="0"/>
              <c:showSerName val="0"/>
              <c:showPercent val="0"/>
              <c:showBubbleSize val="0"/>
            </c:dLbl>
            <c:dLbl>
              <c:idx val="16"/>
              <c:layout>
                <c:manualLayout>
                  <c:x val="-2.0900078944072097E-2"/>
                  <c:y val="3.2289924155520212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500" b="0" i="0" u="none" strike="noStrike" baseline="0">
                    <a:solidFill>
                      <a:srgbClr val="C0C0C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3175">
              <a:solidFill>
                <a:srgbClr val="C0C0C0"/>
              </a:solidFill>
              <a:prstDash val="sysDash"/>
            </a:ln>
          </c:spPr>
          <c:marker>
            <c:symbol val="none"/>
          </c:marker>
          <c:dLbls>
            <c:dLbl>
              <c:idx val="0"/>
              <c:delete val="1"/>
            </c:dLbl>
            <c:dLbl>
              <c:idx val="1"/>
              <c:layout>
                <c:manualLayout>
                  <c:x val="-9.6434116656616102E-3"/>
                  <c:y val="-3.0247951679307404E-2"/>
                </c:manualLayout>
              </c:layout>
              <c:tx>
                <c:rich>
                  <a:bodyPr/>
                  <a:lstStyle/>
                  <a:p>
                    <a:r>
                      <a:rPr lang="en-NZ"/>
                      <a:t>10%</a:t>
                    </a:r>
                  </a:p>
                </c:rich>
              </c:tx>
              <c:dLblPos val="r"/>
              <c:showLegendKey val="0"/>
              <c:showVal val="0"/>
              <c:showCatName val="0"/>
              <c:showSerName val="0"/>
              <c:showPercent val="0"/>
              <c:showBubbleSize val="0"/>
            </c:dLbl>
            <c:dLbl>
              <c:idx val="2"/>
              <c:layout>
                <c:manualLayout>
                  <c:x val="-1.0935297904632088E-2"/>
                  <c:y val="-2.9742767302602034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1117189707557342E-2"/>
                  <c:y val="-3.7724145867905096E-2"/>
                </c:manualLayout>
              </c:layout>
              <c:tx>
                <c:rich>
                  <a:bodyPr/>
                  <a:lstStyle/>
                  <a:p>
                    <a:r>
                      <a:rPr lang="en-NZ"/>
                      <a:t>30%</a:t>
                    </a:r>
                  </a:p>
                </c:rich>
              </c:tx>
              <c:dLblPos val="r"/>
              <c:showLegendKey val="0"/>
              <c:showVal val="0"/>
              <c:showCatName val="0"/>
              <c:showSerName val="0"/>
              <c:showPercent val="0"/>
              <c:showBubbleSize val="0"/>
            </c:dLbl>
            <c:dLbl>
              <c:idx val="6"/>
              <c:layout>
                <c:manualLayout>
                  <c:x val="-1.2409075946527818E-2"/>
                  <c:y val="-4.0047815805202565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5920601489741674E-2"/>
                  <c:y val="-4.37859128995014E-2"/>
                </c:manualLayout>
              </c:layout>
              <c:tx>
                <c:rich>
                  <a:bodyPr/>
                  <a:lstStyle/>
                  <a:p>
                    <a:r>
                      <a:rPr lang="en-NZ"/>
                      <a:t>50%</a:t>
                    </a:r>
                  </a:p>
                </c:rich>
              </c:tx>
              <c:dLblPos val="r"/>
              <c:showLegendKey val="0"/>
              <c:showVal val="0"/>
              <c:showCatName val="0"/>
              <c:showSerName val="0"/>
              <c:showPercent val="0"/>
              <c:showBubbleSize val="0"/>
            </c:dLbl>
            <c:dLbl>
              <c:idx val="10"/>
              <c:layout>
                <c:manualLayout>
                  <c:x val="-1.1662981638948891E-2"/>
                  <c:y val="-4.4695304176086907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9.6252341376306515E-3"/>
                  <c:y val="-4.1361265485378655E-2"/>
                </c:manualLayout>
              </c:layout>
              <c:tx>
                <c:rich>
                  <a:bodyPr/>
                  <a:lstStyle/>
                  <a:p>
                    <a:r>
                      <a:rPr lang="en-NZ"/>
                      <a:t>70%</a:t>
                    </a:r>
                  </a:p>
                </c:rich>
              </c:tx>
              <c:dLblPos val="r"/>
              <c:showLegendKey val="0"/>
              <c:showVal val="0"/>
              <c:showCatName val="0"/>
              <c:showSerName val="0"/>
              <c:showPercent val="0"/>
              <c:showBubbleSize val="0"/>
            </c:dLbl>
            <c:dLbl>
              <c:idx val="14"/>
              <c:layout>
                <c:manualLayout>
                  <c:x val="-1.2026881767415084E-2"/>
                  <c:y val="-4.2270508265674661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208890092955914E-2"/>
                  <c:y val="-4.742303251697496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500" b="0" i="0" u="none" strike="noStrike" baseline="0">
                    <a:solidFill>
                      <a:srgbClr val="C0C0C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0"/>
          <c:order val="3"/>
          <c:tx>
            <c:v>border</c:v>
          </c:tx>
          <c:spPr>
            <a:ln w="38100">
              <a:solidFill>
                <a:srgbClr val="000000"/>
              </a:solidFill>
              <a:prstDash val="solid"/>
            </a:ln>
          </c:spPr>
          <c:marker>
            <c:symbol val="none"/>
          </c:marker>
          <c:dLbls>
            <c:dLbl>
              <c:idx val="0"/>
              <c:delete val="1"/>
            </c:dLbl>
            <c:dLbl>
              <c:idx val="1"/>
              <c:tx>
                <c:strRef>
                  <c:f>input!$BW$10</c:f>
                  <c:strCache>
                    <c:ptCount val="1"/>
                    <c:pt idx="0">
                      <c:v>N2</c:v>
                    </c:pt>
                  </c:strCache>
                </c:strRef>
              </c:tx>
              <c:spPr>
                <a:noFill/>
                <a:ln w="25400">
                  <a:noFill/>
                </a:ln>
              </c:spPr>
              <c:txPr>
                <a:bodyPr/>
                <a:lstStyle/>
                <a:p>
                  <a:pPr>
                    <a:defRPr sz="1575"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input!$BY$10</c:f>
                  <c:strCache>
                    <c:ptCount val="1"/>
                    <c:pt idx="0">
                      <c:v>100 Ar</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tx>
                <c:strRef>
                  <c:f>input!$BX$10</c:f>
                  <c:strCache>
                    <c:ptCount val="1"/>
                    <c:pt idx="0">
                      <c:v>1000 He</c:v>
                    </c:pt>
                  </c:strCache>
                </c:strRef>
              </c:tx>
              <c:spPr>
                <a:noFill/>
                <a:ln w="25400">
                  <a:noFill/>
                </a:ln>
              </c:spPr>
              <c:txPr>
                <a:bodyPr/>
                <a:lstStyle/>
                <a:p>
                  <a:pPr algn="l">
                    <a:defRPr sz="1575"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4"/>
          <c:order val="4"/>
          <c:tx>
            <c:v>air asw</c:v>
          </c:tx>
          <c:spPr>
            <a:ln w="28575">
              <a:noFill/>
            </a:ln>
          </c:spPr>
          <c:marker>
            <c:symbol val="square"/>
            <c:size val="7"/>
            <c:spPr>
              <a:solidFill>
                <a:srgbClr val="424242"/>
              </a:solidFill>
              <a:ln>
                <a:solidFill>
                  <a:srgbClr val="424242"/>
                </a:solidFill>
                <a:prstDash val="solid"/>
              </a:ln>
            </c:spPr>
          </c:marker>
          <c:dLbls>
            <c:dLbl>
              <c:idx val="0"/>
              <c:tx>
                <c:rich>
                  <a:bodyPr/>
                  <a:lstStyle/>
                  <a:p>
                    <a:pPr>
                      <a:defRPr sz="1100" b="1" i="0" u="none" strike="noStrike" baseline="0">
                        <a:solidFill>
                          <a:srgbClr val="424242"/>
                        </a:solidFill>
                        <a:latin typeface="Arial"/>
                        <a:ea typeface="Arial"/>
                        <a:cs typeface="Arial"/>
                      </a:defRPr>
                    </a:pPr>
                    <a:r>
                      <a:rPr lang="en-NZ"/>
                      <a:t>ASW (N2/Ar = 38)</a:t>
                    </a:r>
                  </a:p>
                </c:rich>
              </c:tx>
              <c:spPr>
                <a:noFill/>
                <a:ln w="25400">
                  <a:noFill/>
                </a:ln>
              </c:spPr>
              <c:dLblPos val="r"/>
              <c:showLegendKey val="0"/>
              <c:showVal val="0"/>
              <c:showCatName val="0"/>
              <c:showSerName val="0"/>
              <c:showPercent val="0"/>
              <c:showBubbleSize val="0"/>
            </c:dLbl>
            <c:dLbl>
              <c:idx val="1"/>
              <c:tx>
                <c:rich>
                  <a:bodyPr/>
                  <a:lstStyle/>
                  <a:p>
                    <a:pPr>
                      <a:defRPr sz="1100" b="1" i="0" u="none" strike="noStrike" baseline="0">
                        <a:solidFill>
                          <a:srgbClr val="424242"/>
                        </a:solidFill>
                        <a:latin typeface="Arial"/>
                        <a:ea typeface="Arial"/>
                        <a:cs typeface="Arial"/>
                      </a:defRPr>
                    </a:pPr>
                    <a:r>
                      <a:rPr lang="en-NZ"/>
                      <a:t>Air (N2/Ar = 84)</a:t>
                    </a:r>
                  </a:p>
                </c:rich>
              </c:tx>
              <c:spPr>
                <a:noFill/>
                <a:ln w="25400">
                  <a:noFill/>
                </a:ln>
              </c:spPr>
              <c:dLblPos val="r"/>
              <c:showLegendKey val="0"/>
              <c:showVal val="0"/>
              <c:showCatName val="0"/>
              <c:showSerName val="0"/>
              <c:showPercent val="0"/>
              <c:showBubbleSize val="0"/>
            </c:dLbl>
            <c:spPr>
              <a:noFill/>
              <a:ln w="25400">
                <a:noFill/>
              </a:ln>
            </c:spPr>
            <c:txPr>
              <a:bodyPr/>
              <a:lstStyle/>
              <a:p>
                <a:pPr>
                  <a:defRPr sz="1100" b="0" i="0" u="none" strike="noStrike" baseline="0">
                    <a:solidFill>
                      <a:srgbClr val="424242"/>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Ref!$K$5:$K$6</c:f>
              <c:numCache>
                <c:formatCode>0.000</c:formatCode>
                <c:ptCount val="2"/>
                <c:pt idx="0">
                  <c:v>0.99573333333333336</c:v>
                </c:pt>
                <c:pt idx="1">
                  <c:v>0.89115000000000011</c:v>
                </c:pt>
              </c:numCache>
            </c:numRef>
          </c:xVal>
          <c:yVal>
            <c:numRef>
              <c:f>Ref!$L$5:$L$6</c:f>
              <c:numCache>
                <c:formatCode>0.000</c:formatCode>
                <c:ptCount val="2"/>
                <c:pt idx="0">
                  <c:v>0.27536231884057971</c:v>
                </c:pt>
                <c:pt idx="1">
                  <c:v>0.45652173913043476</c:v>
                </c:pt>
              </c:numCache>
            </c:numRef>
          </c:yVal>
          <c:smooth val="0"/>
        </c:ser>
        <c:ser>
          <c:idx val="5"/>
          <c:order val="5"/>
          <c:tx>
            <c:v>crustal magmatic meteoric</c:v>
          </c:tx>
          <c:spPr>
            <a:ln w="38100">
              <a:solidFill>
                <a:srgbClr val="424242"/>
              </a:solidFill>
              <a:prstDash val="lgDash"/>
            </a:ln>
          </c:spPr>
          <c:marker>
            <c:symbol val="square"/>
            <c:size val="7"/>
            <c:spPr>
              <a:solidFill>
                <a:srgbClr val="424242"/>
              </a:solidFill>
              <a:ln>
                <a:solidFill>
                  <a:srgbClr val="424242"/>
                </a:solidFill>
                <a:prstDash val="solid"/>
              </a:ln>
            </c:spPr>
          </c:marker>
          <c:dLbls>
            <c:dLbl>
              <c:idx val="0"/>
              <c:layout>
                <c:manualLayout>
                  <c:x val="-2.1272718268706983E-2"/>
                  <c:y val="2.7853449011942841E-2"/>
                </c:manualLayout>
              </c:layout>
              <c:tx>
                <c:rich>
                  <a:bodyPr/>
                  <a:lstStyle/>
                  <a:p>
                    <a:pPr>
                      <a:defRPr sz="1200" b="1" i="0" u="none" strike="noStrike" baseline="0">
                        <a:solidFill>
                          <a:srgbClr val="424242"/>
                        </a:solidFill>
                        <a:latin typeface="Arial"/>
                        <a:ea typeface="Arial"/>
                        <a:cs typeface="Arial"/>
                      </a:defRPr>
                    </a:pPr>
                    <a:r>
                      <a:rPr lang="en-NZ"/>
                      <a:t>Crustal
</a:t>
                    </a:r>
                  </a:p>
                </c:rich>
              </c:tx>
              <c:spPr>
                <a:noFill/>
                <a:ln w="25400">
                  <a:noFill/>
                </a:ln>
              </c:spPr>
              <c:dLblPos val="r"/>
              <c:showLegendKey val="0"/>
              <c:showVal val="0"/>
              <c:showCatName val="0"/>
              <c:showSerName val="0"/>
              <c:showPercent val="0"/>
              <c:showBubbleSize val="0"/>
            </c:dLbl>
            <c:dLbl>
              <c:idx val="1"/>
              <c:layout>
                <c:manualLayout>
                  <c:x val="-5.422076957361463E-2"/>
                  <c:y val="-2.8809171130836381E-2"/>
                </c:manualLayout>
              </c:layout>
              <c:tx>
                <c:rich>
                  <a:bodyPr/>
                  <a:lstStyle/>
                  <a:p>
                    <a:pPr>
                      <a:defRPr sz="1200" b="1" i="0" u="none" strike="noStrike" baseline="0">
                        <a:solidFill>
                          <a:srgbClr val="424242"/>
                        </a:solidFill>
                        <a:latin typeface="Arial"/>
                        <a:ea typeface="Arial"/>
                        <a:cs typeface="Arial"/>
                      </a:defRPr>
                    </a:pPr>
                    <a:r>
                      <a:rPr lang="en-NZ"/>
                      <a:t>Magmatic</a:t>
                    </a:r>
                  </a:p>
                </c:rich>
              </c:tx>
              <c:spPr>
                <a:noFill/>
                <a:ln w="25400">
                  <a:noFill/>
                </a:ln>
              </c:spPr>
              <c:dLblPos val="r"/>
              <c:showLegendKey val="0"/>
              <c:showVal val="0"/>
              <c:showCatName val="0"/>
              <c:showSerName val="0"/>
              <c:showPercent val="0"/>
              <c:showBubbleSize val="0"/>
            </c:dLbl>
            <c:dLbl>
              <c:idx val="2"/>
              <c:layout>
                <c:manualLayout>
                  <c:x val="-7.5957131329726896E-2"/>
                  <c:y val="5.4648564968982904E-2"/>
                </c:manualLayout>
              </c:layout>
              <c:tx>
                <c:rich>
                  <a:bodyPr/>
                  <a:lstStyle/>
                  <a:p>
                    <a:pPr>
                      <a:defRPr sz="1200" b="1" i="0" u="none" strike="noStrike" baseline="0">
                        <a:solidFill>
                          <a:srgbClr val="424242"/>
                        </a:solidFill>
                        <a:latin typeface="Arial"/>
                        <a:ea typeface="Arial"/>
                        <a:cs typeface="Arial"/>
                      </a:defRPr>
                    </a:pPr>
                    <a:r>
                      <a:rPr lang="en-NZ"/>
                      <a:t>Meteoric    .
     </a:t>
                    </a:r>
                  </a:p>
                </c:rich>
              </c:tx>
              <c:spPr>
                <a:noFill/>
                <a:ln w="25400">
                  <a:noFill/>
                </a:ln>
              </c:spPr>
              <c:dLblPos val="r"/>
              <c:showLegendKey val="0"/>
              <c:showVal val="0"/>
              <c:showCatName val="0"/>
              <c:showSerName val="0"/>
              <c:showPercent val="0"/>
              <c:showBubbleSize val="0"/>
            </c:dLbl>
            <c:dLbl>
              <c:idx val="3"/>
              <c:delete val="1"/>
            </c:dLbl>
            <c:dLbl>
              <c:idx val="4"/>
              <c:delete val="1"/>
            </c:dLbl>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Ref!$K$7:$K$10</c:f>
              <c:numCache>
                <c:formatCode>0.000</c:formatCode>
                <c:ptCount val="4"/>
                <c:pt idx="0">
                  <c:v>0</c:v>
                </c:pt>
                <c:pt idx="1">
                  <c:v>0.57739000000000007</c:v>
                </c:pt>
                <c:pt idx="2">
                  <c:v>0.99573333333333336</c:v>
                </c:pt>
                <c:pt idx="3">
                  <c:v>0</c:v>
                </c:pt>
              </c:numCache>
            </c:numRef>
          </c:xVal>
          <c:yVal>
            <c:numRef>
              <c:f>Ref!$L$7:$L$10</c:f>
              <c:numCache>
                <c:formatCode>0.000</c:formatCode>
                <c:ptCount val="4"/>
                <c:pt idx="0">
                  <c:v>0</c:v>
                </c:pt>
                <c:pt idx="1">
                  <c:v>0.8</c:v>
                </c:pt>
                <c:pt idx="2">
                  <c:v>0.27536231884057971</c:v>
                </c:pt>
                <c:pt idx="3">
                  <c:v>0</c:v>
                </c:pt>
              </c:numCache>
            </c:numRef>
          </c:yVal>
          <c:smooth val="0"/>
        </c:ser>
        <c:ser>
          <c:idx val="6"/>
          <c:order val="6"/>
          <c:tx>
            <c:v>data</c:v>
          </c:tx>
          <c:spPr>
            <a:ln w="28575">
              <a:noFill/>
            </a:ln>
          </c:spPr>
          <c:marker>
            <c:symbol val="diamond"/>
            <c:size val="7"/>
            <c:spPr>
              <a:solidFill>
                <a:srgbClr val="800080"/>
              </a:solidFill>
              <a:ln>
                <a:solidFill>
                  <a:srgbClr val="800080"/>
                </a:solidFill>
                <a:prstDash val="solid"/>
              </a:ln>
            </c:spPr>
          </c:marker>
          <c:dLbls>
            <c:dLbl>
              <c:idx val="0"/>
              <c:tx>
                <c:strRef>
                  <c:f>input!$T$11</c:f>
                  <c:strCache>
                    <c:ptCount val="1"/>
                  </c:strCache>
                </c:strRef>
              </c:tx>
              <c:dLblPos val="r"/>
              <c:showLegendKey val="0"/>
              <c:showVal val="0"/>
              <c:showCatName val="0"/>
              <c:showSerName val="0"/>
              <c:showPercent val="0"/>
              <c:showBubbleSize val="0"/>
            </c:dLbl>
            <c:dLbl>
              <c:idx val="1"/>
              <c:tx>
                <c:strRef>
                  <c:f>input!$T$12</c:f>
                  <c:strCache>
                    <c:ptCount val="1"/>
                  </c:strCache>
                </c:strRef>
              </c:tx>
              <c:dLblPos val="r"/>
              <c:showLegendKey val="0"/>
              <c:showVal val="0"/>
              <c:showCatName val="0"/>
              <c:showSerName val="0"/>
              <c:showPercent val="0"/>
              <c:showBubbleSize val="0"/>
            </c:dLbl>
            <c:dLbl>
              <c:idx val="2"/>
              <c:tx>
                <c:strRef>
                  <c:f>input!$T$13</c:f>
                  <c:strCache>
                    <c:ptCount val="1"/>
                  </c:strCache>
                </c:strRef>
              </c:tx>
              <c:dLblPos val="r"/>
              <c:showLegendKey val="0"/>
              <c:showVal val="0"/>
              <c:showCatName val="0"/>
              <c:showSerName val="0"/>
              <c:showPercent val="0"/>
              <c:showBubbleSize val="0"/>
            </c:dLbl>
            <c:dLbl>
              <c:idx val="3"/>
              <c:tx>
                <c:strRef>
                  <c:f>input!$T$14</c:f>
                  <c:strCache>
                    <c:ptCount val="1"/>
                  </c:strCache>
                </c:strRef>
              </c:tx>
              <c:dLblPos val="r"/>
              <c:showLegendKey val="0"/>
              <c:showVal val="0"/>
              <c:showCatName val="0"/>
              <c:showSerName val="0"/>
              <c:showPercent val="0"/>
              <c:showBubbleSize val="0"/>
            </c:dLbl>
            <c:dLbl>
              <c:idx val="4"/>
              <c:tx>
                <c:strRef>
                  <c:f>input!$T$15</c:f>
                  <c:strCache>
                    <c:ptCount val="1"/>
                  </c:strCache>
                </c:strRef>
              </c:tx>
              <c:dLblPos val="r"/>
              <c:showLegendKey val="0"/>
              <c:showVal val="0"/>
              <c:showCatName val="0"/>
              <c:showSerName val="0"/>
              <c:showPercent val="0"/>
              <c:showBubbleSize val="0"/>
            </c:dLbl>
            <c:dLbl>
              <c:idx val="5"/>
              <c:tx>
                <c:strRef>
                  <c:f>input!$T$16</c:f>
                  <c:strCache>
                    <c:ptCount val="1"/>
                  </c:strCache>
                </c:strRef>
              </c:tx>
              <c:dLblPos val="r"/>
              <c:showLegendKey val="0"/>
              <c:showVal val="0"/>
              <c:showCatName val="0"/>
              <c:showSerName val="0"/>
              <c:showPercent val="0"/>
              <c:showBubbleSize val="0"/>
            </c:dLbl>
            <c:dLbl>
              <c:idx val="6"/>
              <c:tx>
                <c:strRef>
                  <c:f>input!$T$17</c:f>
                  <c:strCache>
                    <c:ptCount val="1"/>
                  </c:strCache>
                </c:strRef>
              </c:tx>
              <c:dLblPos val="r"/>
              <c:showLegendKey val="0"/>
              <c:showVal val="0"/>
              <c:showCatName val="0"/>
              <c:showSerName val="0"/>
              <c:showPercent val="0"/>
              <c:showBubbleSize val="0"/>
            </c:dLbl>
            <c:dLbl>
              <c:idx val="7"/>
              <c:tx>
                <c:strRef>
                  <c:f>input!$T$18</c:f>
                  <c:strCache>
                    <c:ptCount val="1"/>
                  </c:strCache>
                </c:strRef>
              </c:tx>
              <c:dLblPos val="r"/>
              <c:showLegendKey val="0"/>
              <c:showVal val="0"/>
              <c:showCatName val="0"/>
              <c:showSerName val="0"/>
              <c:showPercent val="0"/>
              <c:showBubbleSize val="0"/>
            </c:dLbl>
            <c:dLbl>
              <c:idx val="8"/>
              <c:tx>
                <c:strRef>
                  <c:f>input!$T$19</c:f>
                  <c:strCache>
                    <c:ptCount val="1"/>
                  </c:strCache>
                </c:strRef>
              </c:tx>
              <c:dLblPos val="r"/>
              <c:showLegendKey val="0"/>
              <c:showVal val="0"/>
              <c:showCatName val="0"/>
              <c:showSerName val="0"/>
              <c:showPercent val="0"/>
              <c:showBubbleSize val="0"/>
            </c:dLbl>
            <c:dLbl>
              <c:idx val="9"/>
              <c:tx>
                <c:strRef>
                  <c:f>input!$T$20</c:f>
                  <c:strCache>
                    <c:ptCount val="1"/>
                  </c:strCache>
                </c:strRef>
              </c:tx>
              <c:dLblPos val="r"/>
              <c:showLegendKey val="0"/>
              <c:showVal val="0"/>
              <c:showCatName val="0"/>
              <c:showSerName val="0"/>
              <c:showPercent val="0"/>
              <c:showBubbleSize val="0"/>
            </c:dLbl>
            <c:dLbl>
              <c:idx val="10"/>
              <c:tx>
                <c:strRef>
                  <c:f>input!$T$21</c:f>
                  <c:strCache>
                    <c:ptCount val="1"/>
                  </c:strCache>
                </c:strRef>
              </c:tx>
              <c:dLblPos val="r"/>
              <c:showLegendKey val="0"/>
              <c:showVal val="0"/>
              <c:showCatName val="0"/>
              <c:showSerName val="0"/>
              <c:showPercent val="0"/>
              <c:showBubbleSize val="0"/>
            </c:dLbl>
            <c:dLbl>
              <c:idx val="11"/>
              <c:tx>
                <c:strRef>
                  <c:f>input!$T$22</c:f>
                  <c:strCache>
                    <c:ptCount val="1"/>
                  </c:strCache>
                </c:strRef>
              </c:tx>
              <c:dLblPos val="r"/>
              <c:showLegendKey val="0"/>
              <c:showVal val="0"/>
              <c:showCatName val="0"/>
              <c:showSerName val="0"/>
              <c:showPercent val="0"/>
              <c:showBubbleSize val="0"/>
            </c:dLbl>
            <c:dLbl>
              <c:idx val="12"/>
              <c:tx>
                <c:strRef>
                  <c:f>input!$T$23</c:f>
                  <c:strCache>
                    <c:ptCount val="1"/>
                  </c:strCache>
                </c:strRef>
              </c:tx>
              <c:dLblPos val="r"/>
              <c:showLegendKey val="0"/>
              <c:showVal val="0"/>
              <c:showCatName val="0"/>
              <c:showSerName val="0"/>
              <c:showPercent val="0"/>
              <c:showBubbleSize val="0"/>
            </c:dLbl>
            <c:dLbl>
              <c:idx val="13"/>
              <c:tx>
                <c:strRef>
                  <c:f>input!$T$24</c:f>
                  <c:strCache>
                    <c:ptCount val="1"/>
                  </c:strCache>
                </c:strRef>
              </c:tx>
              <c:dLblPos val="r"/>
              <c:showLegendKey val="0"/>
              <c:showVal val="0"/>
              <c:showCatName val="0"/>
              <c:showSerName val="0"/>
              <c:showPercent val="0"/>
              <c:showBubbleSize val="0"/>
            </c:dLbl>
            <c:dLbl>
              <c:idx val="14"/>
              <c:tx>
                <c:strRef>
                  <c:f>input!$T$25</c:f>
                  <c:strCache>
                    <c:ptCount val="1"/>
                  </c:strCache>
                </c:strRef>
              </c:tx>
              <c:dLblPos val="r"/>
              <c:showLegendKey val="0"/>
              <c:showVal val="0"/>
              <c:showCatName val="0"/>
              <c:showSerName val="0"/>
              <c:showPercent val="0"/>
              <c:showBubbleSize val="0"/>
            </c:dLbl>
            <c:dLbl>
              <c:idx val="15"/>
              <c:tx>
                <c:strRef>
                  <c:f>input!$T$26</c:f>
                  <c:strCache>
                    <c:ptCount val="1"/>
                  </c:strCache>
                </c:strRef>
              </c:tx>
              <c:dLblPos val="r"/>
              <c:showLegendKey val="0"/>
              <c:showVal val="0"/>
              <c:showCatName val="0"/>
              <c:showSerName val="0"/>
              <c:showPercent val="0"/>
              <c:showBubbleSize val="0"/>
            </c:dLbl>
            <c:dLbl>
              <c:idx val="16"/>
              <c:tx>
                <c:strRef>
                  <c:f>input!$T$27</c:f>
                  <c:strCache>
                    <c:ptCount val="1"/>
                  </c:strCache>
                </c:strRef>
              </c:tx>
              <c:dLblPos val="r"/>
              <c:showLegendKey val="0"/>
              <c:showVal val="0"/>
              <c:showCatName val="0"/>
              <c:showSerName val="0"/>
              <c:showPercent val="0"/>
              <c:showBubbleSize val="0"/>
            </c:dLbl>
            <c:dLbl>
              <c:idx val="17"/>
              <c:tx>
                <c:strRef>
                  <c:f>input!$T$28</c:f>
                  <c:strCache>
                    <c:ptCount val="1"/>
                  </c:strCache>
                </c:strRef>
              </c:tx>
              <c:dLblPos val="r"/>
              <c:showLegendKey val="0"/>
              <c:showVal val="0"/>
              <c:showCatName val="0"/>
              <c:showSerName val="0"/>
              <c:showPercent val="0"/>
              <c:showBubbleSize val="0"/>
            </c:dLbl>
            <c:dLbl>
              <c:idx val="18"/>
              <c:tx>
                <c:strRef>
                  <c:f>input!$T$29</c:f>
                  <c:strCache>
                    <c:ptCount val="1"/>
                  </c:strCache>
                </c:strRef>
              </c:tx>
              <c:dLblPos val="r"/>
              <c:showLegendKey val="0"/>
              <c:showVal val="0"/>
              <c:showCatName val="0"/>
              <c:showSerName val="0"/>
              <c:showPercent val="0"/>
              <c:showBubbleSize val="0"/>
            </c:dLbl>
            <c:dLbl>
              <c:idx val="19"/>
              <c:tx>
                <c:strRef>
                  <c:f>input!$T$30</c:f>
                  <c:strCache>
                    <c:ptCount val="1"/>
                  </c:strCache>
                </c:strRef>
              </c:tx>
              <c:dLblPos val="r"/>
              <c:showLegendKey val="0"/>
              <c:showVal val="0"/>
              <c:showCatName val="0"/>
              <c:showSerName val="0"/>
              <c:showPercent val="0"/>
              <c:showBubbleSize val="0"/>
            </c:dLbl>
            <c:dLbl>
              <c:idx val="20"/>
              <c:tx>
                <c:strRef>
                  <c:f>input!$T$31</c:f>
                  <c:strCache>
                    <c:ptCount val="1"/>
                  </c:strCache>
                </c:strRef>
              </c:tx>
              <c:dLblPos val="r"/>
              <c:showLegendKey val="0"/>
              <c:showVal val="0"/>
              <c:showCatName val="0"/>
              <c:showSerName val="0"/>
              <c:showPercent val="0"/>
              <c:showBubbleSize val="0"/>
            </c:dLbl>
            <c:dLbl>
              <c:idx val="21"/>
              <c:tx>
                <c:strRef>
                  <c:f>input!$T$32</c:f>
                  <c:strCache>
                    <c:ptCount val="1"/>
                  </c:strCache>
                </c:strRef>
              </c:tx>
              <c:dLblPos val="r"/>
              <c:showLegendKey val="0"/>
              <c:showVal val="0"/>
              <c:showCatName val="0"/>
              <c:showSerName val="0"/>
              <c:showPercent val="0"/>
              <c:showBubbleSize val="0"/>
            </c:dLbl>
            <c:dLbl>
              <c:idx val="22"/>
              <c:tx>
                <c:strRef>
                  <c:f>input!$T$33</c:f>
                  <c:strCache>
                    <c:ptCount val="1"/>
                  </c:strCache>
                </c:strRef>
              </c:tx>
              <c:dLblPos val="r"/>
              <c:showLegendKey val="0"/>
              <c:showVal val="0"/>
              <c:showCatName val="0"/>
              <c:showSerName val="0"/>
              <c:showPercent val="0"/>
              <c:showBubbleSize val="0"/>
            </c:dLbl>
            <c:dLbl>
              <c:idx val="23"/>
              <c:tx>
                <c:strRef>
                  <c:f>input!$T$34</c:f>
                  <c:strCache>
                    <c:ptCount val="1"/>
                  </c:strCache>
                </c:strRef>
              </c:tx>
              <c:dLblPos val="r"/>
              <c:showLegendKey val="0"/>
              <c:showVal val="0"/>
              <c:showCatName val="0"/>
              <c:showSerName val="0"/>
              <c:showPercent val="0"/>
              <c:showBubbleSize val="0"/>
            </c:dLbl>
            <c:dLbl>
              <c:idx val="24"/>
              <c:tx>
                <c:strRef>
                  <c:f>input!$T$35</c:f>
                  <c:strCache>
                    <c:ptCount val="1"/>
                  </c:strCache>
                </c:strRef>
              </c:tx>
              <c:dLblPos val="r"/>
              <c:showLegendKey val="0"/>
              <c:showVal val="0"/>
              <c:showCatName val="0"/>
              <c:showSerName val="0"/>
              <c:showPercent val="0"/>
              <c:showBubbleSize val="0"/>
            </c:dLbl>
            <c:dLbl>
              <c:idx val="25"/>
              <c:tx>
                <c:strRef>
                  <c:f>input!$T$36</c:f>
                  <c:strCache>
                    <c:ptCount val="1"/>
                  </c:strCache>
                </c:strRef>
              </c:tx>
              <c:dLblPos val="r"/>
              <c:showLegendKey val="0"/>
              <c:showVal val="0"/>
              <c:showCatName val="0"/>
              <c:showSerName val="0"/>
              <c:showPercent val="0"/>
              <c:showBubbleSize val="0"/>
            </c:dLbl>
            <c:dLbl>
              <c:idx val="26"/>
              <c:tx>
                <c:strRef>
                  <c:f>input!$T$37</c:f>
                  <c:strCache>
                    <c:ptCount val="1"/>
                  </c:strCache>
                </c:strRef>
              </c:tx>
              <c:dLblPos val="r"/>
              <c:showLegendKey val="0"/>
              <c:showVal val="0"/>
              <c:showCatName val="0"/>
              <c:showSerName val="0"/>
              <c:showPercent val="0"/>
              <c:showBubbleSize val="0"/>
            </c:dLbl>
            <c:dLbl>
              <c:idx val="27"/>
              <c:tx>
                <c:strRef>
                  <c:f>input!$T$38</c:f>
                  <c:strCache>
                    <c:ptCount val="1"/>
                  </c:strCache>
                </c:strRef>
              </c:tx>
              <c:dLblPos val="r"/>
              <c:showLegendKey val="0"/>
              <c:showVal val="0"/>
              <c:showCatName val="0"/>
              <c:showSerName val="0"/>
              <c:showPercent val="0"/>
              <c:showBubbleSize val="0"/>
            </c:dLbl>
            <c:dLbl>
              <c:idx val="28"/>
              <c:tx>
                <c:strRef>
                  <c:f>input!$T$39</c:f>
                  <c:strCache>
                    <c:ptCount val="1"/>
                  </c:strCache>
                </c:strRef>
              </c:tx>
              <c:dLblPos val="r"/>
              <c:showLegendKey val="0"/>
              <c:showVal val="0"/>
              <c:showCatName val="0"/>
              <c:showSerName val="0"/>
              <c:showPercent val="0"/>
              <c:showBubbleSize val="0"/>
            </c:dLbl>
            <c:dLbl>
              <c:idx val="29"/>
              <c:tx>
                <c:strRef>
                  <c:f>input!$T$40</c:f>
                  <c:strCache>
                    <c:ptCount val="1"/>
                  </c:strCache>
                </c:strRef>
              </c:tx>
              <c:dLblPos val="r"/>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input!$BZ$11:$BZ$40</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input!$CA$11:$CA$40</c:f>
              <c:numCache>
                <c:formatCode>0.000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0"/>
        </c:ser>
        <c:dLbls>
          <c:showLegendKey val="0"/>
          <c:showVal val="0"/>
          <c:showCatName val="0"/>
          <c:showSerName val="0"/>
          <c:showPercent val="0"/>
          <c:showBubbleSize val="0"/>
        </c:dLbls>
        <c:axId val="106770816"/>
        <c:axId val="106772352"/>
      </c:scatterChart>
      <c:valAx>
        <c:axId val="106770816"/>
        <c:scaling>
          <c:orientation val="minMax"/>
          <c:max val="1.6"/>
          <c:min val="-0.4"/>
        </c:scaling>
        <c:delete val="1"/>
        <c:axPos val="b"/>
        <c:numFmt formatCode="General" sourceLinked="1"/>
        <c:majorTickMark val="out"/>
        <c:minorTickMark val="none"/>
        <c:tickLblPos val="none"/>
        <c:crossAx val="106772352"/>
        <c:crosses val="autoZero"/>
        <c:crossBetween val="midCat"/>
      </c:valAx>
      <c:valAx>
        <c:axId val="106772352"/>
        <c:scaling>
          <c:orientation val="minMax"/>
          <c:max val="1.2"/>
          <c:min val="-0.2"/>
        </c:scaling>
        <c:delete val="1"/>
        <c:axPos val="l"/>
        <c:numFmt formatCode="_(* #,##0.00_);_(* \(#,##0.00\);_(* &quot;-&quot;??_);_(@_)" sourceLinked="1"/>
        <c:majorTickMark val="out"/>
        <c:minorTickMark val="none"/>
        <c:tickLblPos val="none"/>
        <c:crossAx val="106770816"/>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77092534091958E-2"/>
          <c:y val="4.5770234036616009E-2"/>
          <c:w val="0.88989611328524054"/>
          <c:h val="0.85000044485964676"/>
        </c:manualLayout>
      </c:layout>
      <c:scatterChart>
        <c:scatterStyle val="smoothMarker"/>
        <c:varyColors val="0"/>
        <c:ser>
          <c:idx val="4"/>
          <c:order val="0"/>
          <c:tx>
            <c:strRef>
              <c:f>Ggrid!$G$7</c:f>
              <c:strCache>
                <c:ptCount val="1"/>
                <c:pt idx="0">
                  <c:v>1</c:v>
                </c:pt>
              </c:strCache>
            </c:strRef>
          </c:tx>
          <c:spPr>
            <a:ln w="3175">
              <a:solidFill>
                <a:srgbClr val="000000"/>
              </a:solidFill>
              <a:prstDash val="solid"/>
            </a:ln>
          </c:spPr>
          <c:marker>
            <c:symbol val="none"/>
          </c:marker>
          <c:xVal>
            <c:numRef>
              <c:f>Ggrid!$G$8:$G$14</c:f>
              <c:numCache>
                <c:formatCode>0.00</c:formatCode>
                <c:ptCount val="7"/>
                <c:pt idx="0">
                  <c:v>-11.668831455128837</c:v>
                </c:pt>
                <c:pt idx="1">
                  <c:v>-11.219680423247706</c:v>
                </c:pt>
                <c:pt idx="2">
                  <c:v>-10.81763964265839</c:v>
                </c:pt>
                <c:pt idx="3">
                  <c:v>-10.456071139046966</c:v>
                </c:pt>
                <c:pt idx="4">
                  <c:v>-10.129512030626977</c:v>
                </c:pt>
                <c:pt idx="5">
                  <c:v>-9.8334268095322379</c:v>
                </c:pt>
                <c:pt idx="6">
                  <c:v>-9.5640196023670168</c:v>
                </c:pt>
              </c:numCache>
            </c:numRef>
          </c:xVal>
          <c:yVal>
            <c:numRef>
              <c:f>Ggrid!$G$68:$G$74</c:f>
              <c:numCache>
                <c:formatCode>0.00</c:formatCode>
                <c:ptCount val="7"/>
                <c:pt idx="0">
                  <c:v>-1.6893131491944722</c:v>
                </c:pt>
                <c:pt idx="1">
                  <c:v>-1.5130743226793983</c:v>
                </c:pt>
                <c:pt idx="2">
                  <c:v>-1.3145739642018839</c:v>
                </c:pt>
                <c:pt idx="3">
                  <c:v>-1.0968112154186778</c:v>
                </c:pt>
                <c:pt idx="4">
                  <c:v>-0.8622659657719276</c:v>
                </c:pt>
                <c:pt idx="5">
                  <c:v>-0.61300686960714001</c:v>
                </c:pt>
                <c:pt idx="6">
                  <c:v>-0.3507734399175968</c:v>
                </c:pt>
              </c:numCache>
            </c:numRef>
          </c:yVal>
          <c:smooth val="1"/>
        </c:ser>
        <c:ser>
          <c:idx val="12"/>
          <c:order val="1"/>
          <c:tx>
            <c:strRef>
              <c:f>Ggrid!$H$7</c:f>
              <c:strCache>
                <c:ptCount val="1"/>
                <c:pt idx="0">
                  <c:v>0.3</c:v>
                </c:pt>
              </c:strCache>
            </c:strRef>
          </c:tx>
          <c:spPr>
            <a:ln w="3175">
              <a:solidFill>
                <a:srgbClr val="000000"/>
              </a:solidFill>
              <a:prstDash val="solid"/>
            </a:ln>
          </c:spPr>
          <c:marker>
            <c:symbol val="none"/>
          </c:marker>
          <c:xVal>
            <c:numRef>
              <c:f>Ggrid!$H$8:$H$14</c:f>
              <c:numCache>
                <c:formatCode>0.00</c:formatCode>
                <c:ptCount val="7"/>
                <c:pt idx="0">
                  <c:v>-13.756621533584269</c:v>
                </c:pt>
                <c:pt idx="1">
                  <c:v>-13.303831372137275</c:v>
                </c:pt>
                <c:pt idx="2">
                  <c:v>-12.894511311435886</c:v>
                </c:pt>
                <c:pt idx="3">
                  <c:v>-12.51832143649778</c:v>
                </c:pt>
                <c:pt idx="4">
                  <c:v>-12.162359124865398</c:v>
                </c:pt>
                <c:pt idx="5">
                  <c:v>-11.807421289405006</c:v>
                </c:pt>
                <c:pt idx="6">
                  <c:v>-11.422048218010929</c:v>
                </c:pt>
              </c:numCache>
            </c:numRef>
          </c:xVal>
          <c:yVal>
            <c:numRef>
              <c:f>Ggrid!$H$68:$H$74</c:f>
              <c:numCache>
                <c:formatCode>0.00</c:formatCode>
                <c:ptCount val="7"/>
                <c:pt idx="0">
                  <c:v>-2.2095058242095269</c:v>
                </c:pt>
                <c:pt idx="1">
                  <c:v>-2.0309302519698562</c:v>
                </c:pt>
                <c:pt idx="2">
                  <c:v>-1.8280821100682292</c:v>
                </c:pt>
                <c:pt idx="3">
                  <c:v>-1.602282780081955</c:v>
                </c:pt>
                <c:pt idx="4">
                  <c:v>-1.353058444019327</c:v>
                </c:pt>
                <c:pt idx="5">
                  <c:v>-1.0775458436355443</c:v>
                </c:pt>
                <c:pt idx="6">
                  <c:v>-0.76999442393879947</c:v>
                </c:pt>
              </c:numCache>
            </c:numRef>
          </c:yVal>
          <c:smooth val="1"/>
        </c:ser>
        <c:ser>
          <c:idx val="3"/>
          <c:order val="2"/>
          <c:tx>
            <c:strRef>
              <c:f>Ggrid!$I$7</c:f>
              <c:strCache>
                <c:ptCount val="1"/>
                <c:pt idx="0">
                  <c:v>0.1</c:v>
                </c:pt>
              </c:strCache>
            </c:strRef>
          </c:tx>
          <c:spPr>
            <a:ln w="3175">
              <a:solidFill>
                <a:srgbClr val="000000"/>
              </a:solidFill>
              <a:prstDash val="solid"/>
            </a:ln>
          </c:spPr>
          <c:marker>
            <c:symbol val="none"/>
          </c:marker>
          <c:xVal>
            <c:numRef>
              <c:f>Ggrid!$I$8:$I$14</c:f>
              <c:numCache>
                <c:formatCode>0.00</c:formatCode>
                <c:ptCount val="7"/>
                <c:pt idx="0">
                  <c:v>-15.654558618274443</c:v>
                </c:pt>
                <c:pt idx="1">
                  <c:v>-15.191610511369088</c:v>
                </c:pt>
                <c:pt idx="2">
                  <c:v>-14.762333805387252</c:v>
                </c:pt>
                <c:pt idx="3">
                  <c:v>-14.347289465286359</c:v>
                </c:pt>
                <c:pt idx="4">
                  <c:v>-13.917247049515639</c:v>
                </c:pt>
                <c:pt idx="5">
                  <c:v>-13.426767756165228</c:v>
                </c:pt>
                <c:pt idx="6">
                  <c:v>-12.811499710293015</c:v>
                </c:pt>
              </c:numCache>
            </c:numRef>
          </c:xVal>
          <c:yVal>
            <c:numRef>
              <c:f>Ggrid!$I$68:$I$74</c:f>
              <c:numCache>
                <c:formatCode>0.00</c:formatCode>
                <c:ptCount val="7"/>
                <c:pt idx="0">
                  <c:v>-2.6790428860899231</c:v>
                </c:pt>
                <c:pt idx="1">
                  <c:v>-2.4940126449621944</c:v>
                </c:pt>
                <c:pt idx="2">
                  <c:v>-2.2794932520890261</c:v>
                </c:pt>
                <c:pt idx="3">
                  <c:v>-2.0332000852747174</c:v>
                </c:pt>
                <c:pt idx="4">
                  <c:v>-1.7497406954252717</c:v>
                </c:pt>
                <c:pt idx="5">
                  <c:v>-1.4214015324662435</c:v>
                </c:pt>
                <c:pt idx="6">
                  <c:v>-1.0411895755365945</c:v>
                </c:pt>
              </c:numCache>
            </c:numRef>
          </c:yVal>
          <c:smooth val="1"/>
        </c:ser>
        <c:ser>
          <c:idx val="2"/>
          <c:order val="3"/>
          <c:tx>
            <c:strRef>
              <c:f>Ggrid!$J$7</c:f>
              <c:strCache>
                <c:ptCount val="1"/>
                <c:pt idx="0">
                  <c:v>0.01</c:v>
                </c:pt>
              </c:strCache>
            </c:strRef>
          </c:tx>
          <c:spPr>
            <a:ln w="3175">
              <a:solidFill>
                <a:srgbClr val="000000"/>
              </a:solidFill>
              <a:prstDash val="solid"/>
            </a:ln>
          </c:spPr>
          <c:marker>
            <c:symbol val="none"/>
          </c:marker>
          <c:xVal>
            <c:numRef>
              <c:f>Ggrid!$J$8:$J$14</c:f>
              <c:numCache>
                <c:formatCode>0.00</c:formatCode>
                <c:ptCount val="7"/>
                <c:pt idx="0">
                  <c:v>-19.523954611393165</c:v>
                </c:pt>
                <c:pt idx="1">
                  <c:v>-18.949521112055187</c:v>
                </c:pt>
                <c:pt idx="2">
                  <c:v>-18.325807474943758</c:v>
                </c:pt>
                <c:pt idx="3">
                  <c:v>-17.590585440081654</c:v>
                </c:pt>
                <c:pt idx="4">
                  <c:v>-16.678805384591165</c:v>
                </c:pt>
                <c:pt idx="5">
                  <c:v>-15.557726807233337</c:v>
                </c:pt>
                <c:pt idx="6">
                  <c:v>-14.25458143034415</c:v>
                </c:pt>
              </c:numCache>
            </c:numRef>
          </c:xVal>
          <c:yVal>
            <c:numRef>
              <c:f>Ggrid!$J$68:$J$74</c:f>
              <c:numCache>
                <c:formatCode>0.00</c:formatCode>
                <c:ptCount val="7"/>
                <c:pt idx="0">
                  <c:v>-3.5878307575863841</c:v>
                </c:pt>
                <c:pt idx="1">
                  <c:v>-3.3388532220000613</c:v>
                </c:pt>
                <c:pt idx="2">
                  <c:v>-3.0300502574094015</c:v>
                </c:pt>
                <c:pt idx="3">
                  <c:v>-2.6598312276109439</c:v>
                </c:pt>
                <c:pt idx="4">
                  <c:v>-2.2335314736123033</c:v>
                </c:pt>
                <c:pt idx="5">
                  <c:v>-1.7617439161686577</c:v>
                </c:pt>
                <c:pt idx="6">
                  <c:v>-1.2560365872844166</c:v>
                </c:pt>
              </c:numCache>
            </c:numRef>
          </c:yVal>
          <c:smooth val="1"/>
        </c:ser>
        <c:ser>
          <c:idx val="1"/>
          <c:order val="4"/>
          <c:tx>
            <c:strRef>
              <c:f>Ggrid!$K$7</c:f>
              <c:strCache>
                <c:ptCount val="1"/>
                <c:pt idx="0">
                  <c:v>0.001</c:v>
                </c:pt>
              </c:strCache>
            </c:strRef>
          </c:tx>
          <c:spPr>
            <a:ln w="3175">
              <a:solidFill>
                <a:srgbClr val="000000"/>
              </a:solidFill>
              <a:prstDash val="solid"/>
            </a:ln>
          </c:spPr>
          <c:marker>
            <c:symbol val="none"/>
          </c:marker>
          <c:xVal>
            <c:numRef>
              <c:f>Ggrid!$K$8:$K$14</c:f>
              <c:numCache>
                <c:formatCode>0.00</c:formatCode>
                <c:ptCount val="7"/>
                <c:pt idx="0">
                  <c:v>-22.721274183617489</c:v>
                </c:pt>
                <c:pt idx="1">
                  <c:v>-21.694690660303575</c:v>
                </c:pt>
                <c:pt idx="2">
                  <c:v>-20.484028360465587</c:v>
                </c:pt>
                <c:pt idx="3">
                  <c:v>-19.103940387281305</c:v>
                </c:pt>
                <c:pt idx="4">
                  <c:v>-17.611976274375731</c:v>
                </c:pt>
                <c:pt idx="5">
                  <c:v>-16.06623845928295</c:v>
                </c:pt>
                <c:pt idx="6">
                  <c:v>-14.504386639947171</c:v>
                </c:pt>
              </c:numCache>
            </c:numRef>
          </c:xVal>
          <c:yVal>
            <c:numRef>
              <c:f>Ggrid!$K$68:$K$74</c:f>
              <c:numCache>
                <c:formatCode>0.00</c:formatCode>
                <c:ptCount val="7"/>
                <c:pt idx="0">
                  <c:v>-4.1262797788365422</c:v>
                </c:pt>
                <c:pt idx="1">
                  <c:v>-3.7363430374076092</c:v>
                </c:pt>
                <c:pt idx="2">
                  <c:v>-3.300126941601544</c:v>
                </c:pt>
                <c:pt idx="3">
                  <c:v>-2.8294243384604476</c:v>
                </c:pt>
                <c:pt idx="4">
                  <c:v>-2.3329692030271847</c:v>
                </c:pt>
                <c:pt idx="5">
                  <c:v>-1.8167427230102839</c:v>
                </c:pt>
                <c:pt idx="6">
                  <c:v>-1.2847612928722101</c:v>
                </c:pt>
              </c:numCache>
            </c:numRef>
          </c:yVal>
          <c:smooth val="1"/>
        </c:ser>
        <c:ser>
          <c:idx val="0"/>
          <c:order val="5"/>
          <c:tx>
            <c:strRef>
              <c:f>Ggrid!$L$7</c:f>
              <c:strCache>
                <c:ptCount val="1"/>
                <c:pt idx="0">
                  <c:v>0</c:v>
                </c:pt>
              </c:strCache>
            </c:strRef>
          </c:tx>
          <c:spPr>
            <a:ln w="12700">
              <a:solidFill>
                <a:srgbClr val="000000"/>
              </a:solidFill>
              <a:prstDash val="solid"/>
            </a:ln>
          </c:spPr>
          <c:marker>
            <c:symbol val="none"/>
          </c:marker>
          <c:dLbls>
            <c:dLbl>
              <c:idx val="0"/>
              <c:layout>
                <c:manualLayout>
                  <c:x val="-0.2416843790048632"/>
                  <c:y val="9.1405861897665211E-2"/>
                </c:manualLayout>
              </c:layout>
              <c:tx>
                <c:strRef>
                  <c:f>Ggrid!$A$8</c:f>
                  <c:strCache>
                    <c:ptCount val="1"/>
                    <c:pt idx="0">
                      <c:v>200</c:v>
                    </c:pt>
                  </c:strCache>
                </c:strRef>
              </c:tx>
              <c:dLblPos val="r"/>
              <c:showLegendKey val="0"/>
              <c:showVal val="0"/>
              <c:showCatName val="0"/>
              <c:showSerName val="0"/>
              <c:showPercent val="0"/>
              <c:showBubbleSize val="0"/>
            </c:dLbl>
            <c:dLbl>
              <c:idx val="1"/>
              <c:layout>
                <c:manualLayout>
                  <c:x val="-0.19619752754786249"/>
                  <c:y val="5.9612518628912009E-2"/>
                </c:manualLayout>
              </c:layout>
              <c:tx>
                <c:strRef>
                  <c:f>Ggrid!$A$9</c:f>
                  <c:strCache>
                    <c:ptCount val="1"/>
                    <c:pt idx="0">
                      <c:v>225</c:v>
                    </c:pt>
                  </c:strCache>
                </c:strRef>
              </c:tx>
              <c:dLblPos val="r"/>
              <c:showLegendKey val="0"/>
              <c:showVal val="0"/>
              <c:showCatName val="0"/>
              <c:showSerName val="0"/>
              <c:showPercent val="0"/>
              <c:showBubbleSize val="0"/>
            </c:dLbl>
            <c:dLbl>
              <c:idx val="2"/>
              <c:layout>
                <c:manualLayout>
                  <c:x val="-0.15452108905548487"/>
                  <c:y val="3.9674200971411708E-2"/>
                </c:manualLayout>
              </c:layout>
              <c:tx>
                <c:strRef>
                  <c:f>Ggrid!$A$10</c:f>
                  <c:strCache>
                    <c:ptCount val="1"/>
                    <c:pt idx="0">
                      <c:v>250</c:v>
                    </c:pt>
                  </c:strCache>
                </c:strRef>
              </c:tx>
              <c:dLblPos val="r"/>
              <c:showLegendKey val="0"/>
              <c:showVal val="0"/>
              <c:showCatName val="0"/>
              <c:showSerName val="0"/>
              <c:showPercent val="0"/>
              <c:showBubbleSize val="0"/>
            </c:dLbl>
            <c:dLbl>
              <c:idx val="3"/>
              <c:layout>
                <c:manualLayout>
                  <c:x val="-0.11801700160614255"/>
                  <c:y val="2.3845007451564839E-2"/>
                </c:manualLayout>
              </c:layout>
              <c:tx>
                <c:strRef>
                  <c:f>Ggrid!$A$11</c:f>
                  <c:strCache>
                    <c:ptCount val="1"/>
                    <c:pt idx="0">
                      <c:v>275</c:v>
                    </c:pt>
                  </c:strCache>
                </c:strRef>
              </c:tx>
              <c:dLblPos val="r"/>
              <c:showLegendKey val="0"/>
              <c:showVal val="0"/>
              <c:showCatName val="0"/>
              <c:showSerName val="0"/>
              <c:showPercent val="0"/>
              <c:showBubbleSize val="0"/>
            </c:dLbl>
            <c:dLbl>
              <c:idx val="4"/>
              <c:layout>
                <c:manualLayout>
                  <c:x val="-8.3901863013392031E-2"/>
                  <c:y val="1.192250372578242E-2"/>
                </c:manualLayout>
              </c:layout>
              <c:tx>
                <c:strRef>
                  <c:f>Ggrid!$A$12</c:f>
                  <c:strCache>
                    <c:ptCount val="1"/>
                    <c:pt idx="0">
                      <c:v>300</c:v>
                    </c:pt>
                  </c:strCache>
                </c:strRef>
              </c:tx>
              <c:dLblPos val="r"/>
              <c:showLegendKey val="0"/>
              <c:showVal val="0"/>
              <c:showCatName val="0"/>
              <c:showSerName val="0"/>
              <c:showPercent val="0"/>
              <c:showBubbleSize val="0"/>
            </c:dLbl>
            <c:dLbl>
              <c:idx val="5"/>
              <c:layout>
                <c:manualLayout>
                  <c:x val="-6.8265757825047998E-2"/>
                  <c:y val="3.974167908594139E-3"/>
                </c:manualLayout>
              </c:layout>
              <c:tx>
                <c:strRef>
                  <c:f>Ggrid!$A$13</c:f>
                  <c:strCache>
                    <c:ptCount val="1"/>
                    <c:pt idx="0">
                      <c:v>325</c:v>
                    </c:pt>
                  </c:strCache>
                </c:strRef>
              </c:tx>
              <c:dLblPos val="r"/>
              <c:showLegendKey val="0"/>
              <c:showVal val="0"/>
              <c:showCatName val="0"/>
              <c:showSerName val="0"/>
              <c:showPercent val="0"/>
              <c:showBubbleSize val="0"/>
            </c:dLbl>
            <c:dLbl>
              <c:idx val="6"/>
              <c:layout>
                <c:manualLayout>
                  <c:x val="-6.1158437284891641E-2"/>
                  <c:y val="3.974167908594139E-3"/>
                </c:manualLayout>
              </c:layout>
              <c:tx>
                <c:strRef>
                  <c:f>Ggrid!$A$14</c:f>
                  <c:strCache>
                    <c:ptCount val="1"/>
                    <c:pt idx="0">
                      <c:v>350</c:v>
                    </c:pt>
                  </c:strCache>
                </c:strRef>
              </c:tx>
              <c:dLblPos val="r"/>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Ggrid!$L$8:$L$14</c:f>
              <c:numCache>
                <c:formatCode>0.00</c:formatCode>
                <c:ptCount val="7"/>
                <c:pt idx="0">
                  <c:v>-24.621031455128836</c:v>
                </c:pt>
                <c:pt idx="1">
                  <c:v>-22.841630423247707</c:v>
                </c:pt>
                <c:pt idx="2">
                  <c:v>-21.109339642658391</c:v>
                </c:pt>
                <c:pt idx="3">
                  <c:v>-19.417521139046965</c:v>
                </c:pt>
                <c:pt idx="4">
                  <c:v>-17.760712030626976</c:v>
                </c:pt>
                <c:pt idx="5">
                  <c:v>-16.134376809532238</c:v>
                </c:pt>
                <c:pt idx="6">
                  <c:v>-14.534719602367019</c:v>
                </c:pt>
              </c:numCache>
            </c:numRef>
          </c:xVal>
          <c:yVal>
            <c:numRef>
              <c:f>Ggrid!$L$68:$L$74</c:f>
              <c:numCache>
                <c:formatCode>0.00</c:formatCode>
                <c:ptCount val="7"/>
                <c:pt idx="0">
                  <c:v>-4.2646131491944725</c:v>
                </c:pt>
                <c:pt idx="1">
                  <c:v>-3.8153743226793986</c:v>
                </c:pt>
                <c:pt idx="2">
                  <c:v>-3.3438739642018835</c:v>
                </c:pt>
                <c:pt idx="3">
                  <c:v>-2.8531112154186777</c:v>
                </c:pt>
                <c:pt idx="4">
                  <c:v>-2.3455659657719279</c:v>
                </c:pt>
                <c:pt idx="5">
                  <c:v>-1.8233068696071399</c:v>
                </c:pt>
                <c:pt idx="6">
                  <c:v>-1.2880734399175968</c:v>
                </c:pt>
              </c:numCache>
            </c:numRef>
          </c:yVal>
          <c:smooth val="1"/>
        </c:ser>
        <c:ser>
          <c:idx val="5"/>
          <c:order val="6"/>
          <c:tx>
            <c:strRef>
              <c:f>Ggrid!$A$8</c:f>
              <c:strCache>
                <c:ptCount val="1"/>
                <c:pt idx="0">
                  <c:v>200</c:v>
                </c:pt>
              </c:strCache>
            </c:strRef>
          </c:tx>
          <c:spPr>
            <a:ln w="3175">
              <a:solidFill>
                <a:srgbClr val="000000"/>
              </a:solidFill>
              <a:prstDash val="solid"/>
            </a:ln>
          </c:spPr>
          <c:marker>
            <c:symbol val="none"/>
          </c:marker>
          <c:dLbls>
            <c:dLbl>
              <c:idx val="0"/>
              <c:tx>
                <c:strRef>
                  <c:f>Ggrid!$G$7</c:f>
                  <c:strCache>
                    <c:ptCount val="1"/>
                    <c:pt idx="0">
                      <c:v>1</c:v>
                    </c:pt>
                  </c:strCache>
                </c:strRef>
              </c:tx>
              <c:dLblPos val="b"/>
              <c:showLegendKey val="0"/>
              <c:showVal val="0"/>
              <c:showCatName val="0"/>
              <c:showSerName val="0"/>
              <c:showPercent val="0"/>
              <c:showBubbleSize val="0"/>
            </c:dLbl>
            <c:dLbl>
              <c:idx val="1"/>
              <c:tx>
                <c:strRef>
                  <c:f>Ggrid!$H$7</c:f>
                  <c:strCache>
                    <c:ptCount val="1"/>
                    <c:pt idx="0">
                      <c:v>0.3</c:v>
                    </c:pt>
                  </c:strCache>
                </c:strRef>
              </c:tx>
              <c:dLblPos val="b"/>
              <c:showLegendKey val="0"/>
              <c:showVal val="0"/>
              <c:showCatName val="0"/>
              <c:showSerName val="0"/>
              <c:showPercent val="0"/>
              <c:showBubbleSize val="0"/>
            </c:dLbl>
            <c:dLbl>
              <c:idx val="2"/>
              <c:tx>
                <c:strRef>
                  <c:f>Ggrid!$I$7</c:f>
                  <c:strCache>
                    <c:ptCount val="1"/>
                    <c:pt idx="0">
                      <c:v>0.1</c:v>
                    </c:pt>
                  </c:strCache>
                </c:strRef>
              </c:tx>
              <c:dLblPos val="b"/>
              <c:showLegendKey val="0"/>
              <c:showVal val="0"/>
              <c:showCatName val="0"/>
              <c:showSerName val="0"/>
              <c:showPercent val="0"/>
              <c:showBubbleSize val="0"/>
            </c:dLbl>
            <c:dLbl>
              <c:idx val="3"/>
              <c:tx>
                <c:strRef>
                  <c:f>Ggrid!$J$7</c:f>
                  <c:strCache>
                    <c:ptCount val="1"/>
                    <c:pt idx="0">
                      <c:v>0.01</c:v>
                    </c:pt>
                  </c:strCache>
                </c:strRef>
              </c:tx>
              <c:dLblPos val="b"/>
              <c:showLegendKey val="0"/>
              <c:showVal val="0"/>
              <c:showCatName val="0"/>
              <c:showSerName val="0"/>
              <c:showPercent val="0"/>
              <c:showBubbleSize val="0"/>
            </c:dLbl>
            <c:dLbl>
              <c:idx val="4"/>
              <c:tx>
                <c:strRef>
                  <c:f>Ggrid!$K$7</c:f>
                  <c:strCache>
                    <c:ptCount val="1"/>
                    <c:pt idx="0">
                      <c:v>0.001</c:v>
                    </c:pt>
                  </c:strCache>
                </c:strRef>
              </c:tx>
              <c:dLblPos val="b"/>
              <c:showLegendKey val="0"/>
              <c:showVal val="0"/>
              <c:showCatName val="0"/>
              <c:showSerName val="0"/>
              <c:showPercent val="0"/>
              <c:showBubbleSize val="0"/>
            </c:dLbl>
            <c:dLbl>
              <c:idx val="5"/>
              <c:tx>
                <c:strRef>
                  <c:f>Ggrid!$L$7</c:f>
                  <c:strCache>
                    <c:ptCount val="1"/>
                    <c:pt idx="0">
                      <c:v>0</c:v>
                    </c:pt>
                  </c:strCache>
                </c:strRef>
              </c:tx>
              <c:dLblPos val="b"/>
              <c:showLegendKey val="0"/>
              <c:showVal val="0"/>
              <c:showCatName val="0"/>
              <c:showSerName val="0"/>
              <c:showPercent val="0"/>
              <c:showBubbleSize val="0"/>
            </c:dLbl>
            <c:dLbl>
              <c:idx val="6"/>
              <c:tx>
                <c:rich>
                  <a:bodyPr/>
                  <a:lstStyle/>
                  <a:p>
                    <a:r>
                      <a:rPr lang="en-NZ"/>
                      <a:t>-0.001</a:t>
                    </a:r>
                  </a:p>
                </c:rich>
              </c:tx>
              <c:dLblPos val="b"/>
              <c:showLegendKey val="0"/>
              <c:showVal val="0"/>
              <c:showCatName val="0"/>
              <c:showSerName val="0"/>
              <c:showPercent val="0"/>
              <c:showBubbleSize val="0"/>
            </c:dLbl>
            <c:dLbl>
              <c:idx val="7"/>
              <c:tx>
                <c:rich>
                  <a:bodyPr/>
                  <a:lstStyle/>
                  <a:p>
                    <a:r>
                      <a:rPr lang="en-NZ"/>
                      <a:t>-0.01</a:t>
                    </a:r>
                  </a:p>
                </c:rich>
              </c:tx>
              <c:dLblPos val="b"/>
              <c:showLegendKey val="0"/>
              <c:showVal val="0"/>
              <c:showCatName val="0"/>
              <c:showSerName val="0"/>
              <c:showPercent val="0"/>
              <c:showBubbleSize val="0"/>
            </c:dLbl>
            <c:spPr>
              <a:noFill/>
              <a:ln w="25400">
                <a:noFill/>
              </a:ln>
            </c:spPr>
            <c:txPr>
              <a:bodyPr rot="-5400000" vert="horz"/>
              <a:lstStyle/>
              <a:p>
                <a:pPr algn="ctr">
                  <a:defRPr sz="1200" b="0" i="0" u="none" strike="noStrike" baseline="0">
                    <a:solidFill>
                      <a:srgbClr val="00000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Ggrid!$G$8:$N$8</c:f>
              <c:numCache>
                <c:formatCode>0.00</c:formatCode>
                <c:ptCount val="8"/>
                <c:pt idx="0">
                  <c:v>-11.668831455128837</c:v>
                </c:pt>
                <c:pt idx="1">
                  <c:v>-13.756621533584269</c:v>
                </c:pt>
                <c:pt idx="2">
                  <c:v>-15.654558618274443</c:v>
                </c:pt>
                <c:pt idx="3">
                  <c:v>-19.523954611393165</c:v>
                </c:pt>
                <c:pt idx="4">
                  <c:v>-22.721274183617489</c:v>
                </c:pt>
                <c:pt idx="5">
                  <c:v>-24.621031455128836</c:v>
                </c:pt>
                <c:pt idx="6">
                  <c:v>-26.520788726640188</c:v>
                </c:pt>
                <c:pt idx="7">
                  <c:v>-29.718108298864507</c:v>
                </c:pt>
              </c:numCache>
            </c:numRef>
          </c:xVal>
          <c:yVal>
            <c:numRef>
              <c:f>Ggrid!$G$68:$N$68</c:f>
              <c:numCache>
                <c:formatCode>0.00</c:formatCode>
                <c:ptCount val="8"/>
                <c:pt idx="0">
                  <c:v>-1.6893131491944722</c:v>
                </c:pt>
                <c:pt idx="1">
                  <c:v>-2.2095058242095269</c:v>
                </c:pt>
                <c:pt idx="2">
                  <c:v>-2.6790428860899231</c:v>
                </c:pt>
                <c:pt idx="3">
                  <c:v>-3.5878307575863841</c:v>
                </c:pt>
                <c:pt idx="4">
                  <c:v>-4.1262797788365422</c:v>
                </c:pt>
                <c:pt idx="5">
                  <c:v>-4.2646131491944725</c:v>
                </c:pt>
                <c:pt idx="6">
                  <c:v>-4.4029465195524029</c:v>
                </c:pt>
                <c:pt idx="7">
                  <c:v>-4.9413955408025609</c:v>
                </c:pt>
              </c:numCache>
            </c:numRef>
          </c:yVal>
          <c:smooth val="1"/>
        </c:ser>
        <c:ser>
          <c:idx val="6"/>
          <c:order val="7"/>
          <c:tx>
            <c:strRef>
              <c:f>Ggrid!$A$9</c:f>
              <c:strCache>
                <c:ptCount val="1"/>
                <c:pt idx="0">
                  <c:v>225</c:v>
                </c:pt>
              </c:strCache>
            </c:strRef>
          </c:tx>
          <c:spPr>
            <a:ln w="3175">
              <a:solidFill>
                <a:srgbClr val="000000"/>
              </a:solidFill>
              <a:prstDash val="solid"/>
            </a:ln>
          </c:spPr>
          <c:marker>
            <c:symbol val="none"/>
          </c:marker>
          <c:xVal>
            <c:numRef>
              <c:f>Ggrid!$G$9:$N$9</c:f>
              <c:numCache>
                <c:formatCode>0.00</c:formatCode>
                <c:ptCount val="8"/>
                <c:pt idx="0">
                  <c:v>-11.219680423247706</c:v>
                </c:pt>
                <c:pt idx="1">
                  <c:v>-13.303831372137275</c:v>
                </c:pt>
                <c:pt idx="2">
                  <c:v>-15.191610511369088</c:v>
                </c:pt>
                <c:pt idx="3">
                  <c:v>-18.949521112055187</c:v>
                </c:pt>
                <c:pt idx="4">
                  <c:v>-21.694690660303575</c:v>
                </c:pt>
                <c:pt idx="5">
                  <c:v>-22.841630423247707</c:v>
                </c:pt>
                <c:pt idx="6">
                  <c:v>-23.98857018619184</c:v>
                </c:pt>
                <c:pt idx="7">
                  <c:v>-26.733739734440224</c:v>
                </c:pt>
              </c:numCache>
            </c:numRef>
          </c:xVal>
          <c:yVal>
            <c:numRef>
              <c:f>Ggrid!$G$69:$N$69</c:f>
              <c:numCache>
                <c:formatCode>0.00</c:formatCode>
                <c:ptCount val="8"/>
                <c:pt idx="0">
                  <c:v>-1.5130743226793983</c:v>
                </c:pt>
                <c:pt idx="1">
                  <c:v>-2.0309302519698562</c:v>
                </c:pt>
                <c:pt idx="2">
                  <c:v>-2.4940126449621944</c:v>
                </c:pt>
                <c:pt idx="3">
                  <c:v>-3.3388532220000613</c:v>
                </c:pt>
                <c:pt idx="4">
                  <c:v>-3.7363430374076092</c:v>
                </c:pt>
                <c:pt idx="5">
                  <c:v>-3.8153743226793986</c:v>
                </c:pt>
                <c:pt idx="6">
                  <c:v>-3.8944056079511875</c:v>
                </c:pt>
                <c:pt idx="7">
                  <c:v>-4.2918954233587359</c:v>
                </c:pt>
              </c:numCache>
            </c:numRef>
          </c:yVal>
          <c:smooth val="1"/>
        </c:ser>
        <c:ser>
          <c:idx val="7"/>
          <c:order val="8"/>
          <c:tx>
            <c:strRef>
              <c:f>Ggrid!$A$10</c:f>
              <c:strCache>
                <c:ptCount val="1"/>
                <c:pt idx="0">
                  <c:v>250</c:v>
                </c:pt>
              </c:strCache>
            </c:strRef>
          </c:tx>
          <c:spPr>
            <a:ln w="3175">
              <a:solidFill>
                <a:srgbClr val="000000"/>
              </a:solidFill>
              <a:prstDash val="solid"/>
            </a:ln>
          </c:spPr>
          <c:marker>
            <c:symbol val="none"/>
          </c:marker>
          <c:xVal>
            <c:numRef>
              <c:f>Ggrid!$G$10:$N$10</c:f>
              <c:numCache>
                <c:formatCode>0.00</c:formatCode>
                <c:ptCount val="8"/>
                <c:pt idx="0">
                  <c:v>-10.81763964265839</c:v>
                </c:pt>
                <c:pt idx="1">
                  <c:v>-12.894511311435886</c:v>
                </c:pt>
                <c:pt idx="2">
                  <c:v>-14.762333805387252</c:v>
                </c:pt>
                <c:pt idx="3">
                  <c:v>-18.325807474943758</c:v>
                </c:pt>
                <c:pt idx="4">
                  <c:v>-20.484028360465587</c:v>
                </c:pt>
                <c:pt idx="5">
                  <c:v>-21.109339642658391</c:v>
                </c:pt>
                <c:pt idx="6">
                  <c:v>-21.734650924851191</c:v>
                </c:pt>
                <c:pt idx="7">
                  <c:v>-23.892871810373023</c:v>
                </c:pt>
              </c:numCache>
            </c:numRef>
          </c:xVal>
          <c:yVal>
            <c:numRef>
              <c:f>Ggrid!$G$70:$N$70</c:f>
              <c:numCache>
                <c:formatCode>0.00</c:formatCode>
                <c:ptCount val="8"/>
                <c:pt idx="0">
                  <c:v>-1.3145739642018839</c:v>
                </c:pt>
                <c:pt idx="1">
                  <c:v>-1.8280821100682292</c:v>
                </c:pt>
                <c:pt idx="2">
                  <c:v>-2.2794932520890261</c:v>
                </c:pt>
                <c:pt idx="3">
                  <c:v>-3.0300502574094015</c:v>
                </c:pt>
                <c:pt idx="4">
                  <c:v>-3.300126941601544</c:v>
                </c:pt>
                <c:pt idx="5">
                  <c:v>-3.3438739642018835</c:v>
                </c:pt>
                <c:pt idx="6">
                  <c:v>-3.3876209868022231</c:v>
                </c:pt>
                <c:pt idx="7">
                  <c:v>-3.6576976709943656</c:v>
                </c:pt>
              </c:numCache>
            </c:numRef>
          </c:yVal>
          <c:smooth val="1"/>
        </c:ser>
        <c:ser>
          <c:idx val="8"/>
          <c:order val="9"/>
          <c:tx>
            <c:strRef>
              <c:f>Ggrid!$A$11</c:f>
              <c:strCache>
                <c:ptCount val="1"/>
                <c:pt idx="0">
                  <c:v>275</c:v>
                </c:pt>
              </c:strCache>
            </c:strRef>
          </c:tx>
          <c:spPr>
            <a:ln w="3175">
              <a:solidFill>
                <a:srgbClr val="000000"/>
              </a:solidFill>
              <a:prstDash val="solid"/>
            </a:ln>
          </c:spPr>
          <c:marker>
            <c:symbol val="none"/>
          </c:marker>
          <c:xVal>
            <c:numRef>
              <c:f>Ggrid!$G$11:$N$11</c:f>
              <c:numCache>
                <c:formatCode>0.00</c:formatCode>
                <c:ptCount val="8"/>
                <c:pt idx="0">
                  <c:v>-10.456071139046966</c:v>
                </c:pt>
                <c:pt idx="1">
                  <c:v>-12.51832143649778</c:v>
                </c:pt>
                <c:pt idx="2">
                  <c:v>-14.347289465286359</c:v>
                </c:pt>
                <c:pt idx="3">
                  <c:v>-17.590585440081654</c:v>
                </c:pt>
                <c:pt idx="4">
                  <c:v>-19.103940387281305</c:v>
                </c:pt>
                <c:pt idx="5">
                  <c:v>-19.417521139046965</c:v>
                </c:pt>
                <c:pt idx="6">
                  <c:v>-19.731101890812621</c:v>
                </c:pt>
                <c:pt idx="7">
                  <c:v>-21.244456838012276</c:v>
                </c:pt>
              </c:numCache>
            </c:numRef>
          </c:xVal>
          <c:yVal>
            <c:numRef>
              <c:f>Ggrid!$G$71:$N$71</c:f>
              <c:numCache>
                <c:formatCode>0.00</c:formatCode>
                <c:ptCount val="8"/>
                <c:pt idx="0">
                  <c:v>-1.0968112154186778</c:v>
                </c:pt>
                <c:pt idx="1">
                  <c:v>-1.602282780081955</c:v>
                </c:pt>
                <c:pt idx="2">
                  <c:v>-2.0332000852747174</c:v>
                </c:pt>
                <c:pt idx="3">
                  <c:v>-2.6598312276109439</c:v>
                </c:pt>
                <c:pt idx="4">
                  <c:v>-2.8294243384604476</c:v>
                </c:pt>
                <c:pt idx="5">
                  <c:v>-2.8531112154186777</c:v>
                </c:pt>
                <c:pt idx="6">
                  <c:v>-2.8767980923769079</c:v>
                </c:pt>
                <c:pt idx="7">
                  <c:v>-3.0463912032264115</c:v>
                </c:pt>
              </c:numCache>
            </c:numRef>
          </c:yVal>
          <c:smooth val="1"/>
        </c:ser>
        <c:ser>
          <c:idx val="9"/>
          <c:order val="10"/>
          <c:tx>
            <c:strRef>
              <c:f>Ggrid!$A$12</c:f>
              <c:strCache>
                <c:ptCount val="1"/>
                <c:pt idx="0">
                  <c:v>300</c:v>
                </c:pt>
              </c:strCache>
            </c:strRef>
          </c:tx>
          <c:spPr>
            <a:ln w="3175">
              <a:solidFill>
                <a:srgbClr val="000000"/>
              </a:solidFill>
              <a:prstDash val="solid"/>
            </a:ln>
          </c:spPr>
          <c:marker>
            <c:symbol val="none"/>
          </c:marker>
          <c:xVal>
            <c:numRef>
              <c:f>Ggrid!$G$12:$N$12</c:f>
              <c:numCache>
                <c:formatCode>0.00</c:formatCode>
                <c:ptCount val="8"/>
                <c:pt idx="0">
                  <c:v>-10.129512030626977</c:v>
                </c:pt>
                <c:pt idx="1">
                  <c:v>-12.162359124865398</c:v>
                </c:pt>
                <c:pt idx="2">
                  <c:v>-13.917247049515639</c:v>
                </c:pt>
                <c:pt idx="3">
                  <c:v>-16.678805384591165</c:v>
                </c:pt>
                <c:pt idx="4">
                  <c:v>-17.611976274375731</c:v>
                </c:pt>
                <c:pt idx="5">
                  <c:v>-17.760712030626976</c:v>
                </c:pt>
                <c:pt idx="6">
                  <c:v>-17.909447786878221</c:v>
                </c:pt>
                <c:pt idx="7">
                  <c:v>-18.842618676662788</c:v>
                </c:pt>
              </c:numCache>
            </c:numRef>
          </c:xVal>
          <c:yVal>
            <c:numRef>
              <c:f>Ggrid!$G$72:$N$72</c:f>
              <c:numCache>
                <c:formatCode>0.00</c:formatCode>
                <c:ptCount val="8"/>
                <c:pt idx="0">
                  <c:v>-0.8622659657719276</c:v>
                </c:pt>
                <c:pt idx="1">
                  <c:v>-1.353058444019327</c:v>
                </c:pt>
                <c:pt idx="2">
                  <c:v>-1.7497406954252717</c:v>
                </c:pt>
                <c:pt idx="3">
                  <c:v>-2.2335314736123033</c:v>
                </c:pt>
                <c:pt idx="4">
                  <c:v>-2.3329692030271847</c:v>
                </c:pt>
                <c:pt idx="5">
                  <c:v>-2.3455659657719279</c:v>
                </c:pt>
                <c:pt idx="6">
                  <c:v>-2.3581627285166711</c:v>
                </c:pt>
                <c:pt idx="7">
                  <c:v>-2.457600457931552</c:v>
                </c:pt>
              </c:numCache>
            </c:numRef>
          </c:yVal>
          <c:smooth val="1"/>
        </c:ser>
        <c:ser>
          <c:idx val="10"/>
          <c:order val="11"/>
          <c:tx>
            <c:strRef>
              <c:f>Ggrid!$A$13</c:f>
              <c:strCache>
                <c:ptCount val="1"/>
                <c:pt idx="0">
                  <c:v>325</c:v>
                </c:pt>
              </c:strCache>
            </c:strRef>
          </c:tx>
          <c:spPr>
            <a:ln w="3175">
              <a:solidFill>
                <a:srgbClr val="000000"/>
              </a:solidFill>
              <a:prstDash val="solid"/>
            </a:ln>
          </c:spPr>
          <c:marker>
            <c:symbol val="none"/>
          </c:marker>
          <c:xVal>
            <c:numRef>
              <c:f>Ggrid!$G$13:$N$13</c:f>
              <c:numCache>
                <c:formatCode>0.00</c:formatCode>
                <c:ptCount val="8"/>
                <c:pt idx="0">
                  <c:v>-9.8334268095322379</c:v>
                </c:pt>
                <c:pt idx="1">
                  <c:v>-11.807421289405006</c:v>
                </c:pt>
                <c:pt idx="2">
                  <c:v>-13.426767756165228</c:v>
                </c:pt>
                <c:pt idx="3">
                  <c:v>-15.557726807233337</c:v>
                </c:pt>
                <c:pt idx="4">
                  <c:v>-16.06623845928295</c:v>
                </c:pt>
                <c:pt idx="5">
                  <c:v>-16.134376809532238</c:v>
                </c:pt>
                <c:pt idx="6">
                  <c:v>-16.202515159781527</c:v>
                </c:pt>
                <c:pt idx="7">
                  <c:v>-16.71102681183114</c:v>
                </c:pt>
              </c:numCache>
            </c:numRef>
          </c:xVal>
          <c:yVal>
            <c:numRef>
              <c:f>Ggrid!$G$73:$N$73</c:f>
              <c:numCache>
                <c:formatCode>0.00</c:formatCode>
                <c:ptCount val="8"/>
                <c:pt idx="0">
                  <c:v>-0.61300686960714001</c:v>
                </c:pt>
                <c:pt idx="1">
                  <c:v>-1.0775458436355443</c:v>
                </c:pt>
                <c:pt idx="2">
                  <c:v>-1.4214015324662435</c:v>
                </c:pt>
                <c:pt idx="3">
                  <c:v>-1.7617439161686577</c:v>
                </c:pt>
                <c:pt idx="4">
                  <c:v>-1.8167427230102839</c:v>
                </c:pt>
                <c:pt idx="5">
                  <c:v>-1.8233068696071399</c:v>
                </c:pt>
                <c:pt idx="6">
                  <c:v>-1.8298710162039959</c:v>
                </c:pt>
                <c:pt idx="7">
                  <c:v>-1.884869823045622</c:v>
                </c:pt>
              </c:numCache>
            </c:numRef>
          </c:yVal>
          <c:smooth val="1"/>
        </c:ser>
        <c:ser>
          <c:idx val="11"/>
          <c:order val="12"/>
          <c:tx>
            <c:strRef>
              <c:f>Ggrid!$A$14</c:f>
              <c:strCache>
                <c:ptCount val="1"/>
                <c:pt idx="0">
                  <c:v>350</c:v>
                </c:pt>
              </c:strCache>
            </c:strRef>
          </c:tx>
          <c:spPr>
            <a:ln w="3175">
              <a:solidFill>
                <a:srgbClr val="000000"/>
              </a:solidFill>
              <a:prstDash val="solid"/>
            </a:ln>
          </c:spPr>
          <c:marker>
            <c:symbol val="none"/>
          </c:marker>
          <c:xVal>
            <c:numRef>
              <c:f>Ggrid!$G$14:$N$14</c:f>
              <c:numCache>
                <c:formatCode>0.00</c:formatCode>
                <c:ptCount val="8"/>
                <c:pt idx="0">
                  <c:v>-9.5640196023670168</c:v>
                </c:pt>
                <c:pt idx="1">
                  <c:v>-11.422048218010929</c:v>
                </c:pt>
                <c:pt idx="2">
                  <c:v>-12.811499710293015</c:v>
                </c:pt>
                <c:pt idx="3">
                  <c:v>-14.25458143034415</c:v>
                </c:pt>
                <c:pt idx="4">
                  <c:v>-14.504386639947171</c:v>
                </c:pt>
                <c:pt idx="5">
                  <c:v>-14.534719602367019</c:v>
                </c:pt>
                <c:pt idx="6">
                  <c:v>-14.565052564786868</c:v>
                </c:pt>
                <c:pt idx="7">
                  <c:v>-14.814857774389889</c:v>
                </c:pt>
              </c:numCache>
            </c:numRef>
          </c:xVal>
          <c:yVal>
            <c:numRef>
              <c:f>Ggrid!$G$74:$N$74</c:f>
              <c:numCache>
                <c:formatCode>0.00</c:formatCode>
                <c:ptCount val="8"/>
                <c:pt idx="0">
                  <c:v>-0.3507734399175968</c:v>
                </c:pt>
                <c:pt idx="1">
                  <c:v>-0.76999442393879947</c:v>
                </c:pt>
                <c:pt idx="2">
                  <c:v>-1.0411895755365945</c:v>
                </c:pt>
                <c:pt idx="3">
                  <c:v>-1.2560365872844166</c:v>
                </c:pt>
                <c:pt idx="4">
                  <c:v>-1.2847612928722101</c:v>
                </c:pt>
                <c:pt idx="5">
                  <c:v>-1.2880734399175968</c:v>
                </c:pt>
                <c:pt idx="6">
                  <c:v>-1.2913855869629836</c:v>
                </c:pt>
                <c:pt idx="7">
                  <c:v>-1.3201102925507771</c:v>
                </c:pt>
              </c:numCache>
            </c:numRef>
          </c:yVal>
          <c:smooth val="1"/>
        </c:ser>
        <c:ser>
          <c:idx val="13"/>
          <c:order val="13"/>
          <c:tx>
            <c:v>data</c:v>
          </c:tx>
          <c:spPr>
            <a:ln w="28575">
              <a:noFill/>
            </a:ln>
          </c:spPr>
          <c:marker>
            <c:symbol val="diamond"/>
            <c:size val="7"/>
            <c:spPr>
              <a:solidFill>
                <a:srgbClr val="CC9CCC"/>
              </a:solidFill>
              <a:ln>
                <a:solidFill>
                  <a:srgbClr val="CC9CCC"/>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input!$BB$11:$BB$40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input!$BE$11:$BE$40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ser>
        <c:ser>
          <c:idx val="14"/>
          <c:order val="14"/>
          <c:tx>
            <c:v>F0.001</c:v>
          </c:tx>
          <c:spPr>
            <a:ln w="3175">
              <a:solidFill>
                <a:srgbClr val="000000"/>
              </a:solidFill>
            </a:ln>
          </c:spPr>
          <c:marker>
            <c:symbol val="none"/>
          </c:marker>
          <c:xVal>
            <c:numRef>
              <c:f>Ggrid!$M$8:$M$14</c:f>
              <c:numCache>
                <c:formatCode>0.00</c:formatCode>
                <c:ptCount val="7"/>
                <c:pt idx="0">
                  <c:v>-26.520788726640188</c:v>
                </c:pt>
                <c:pt idx="1">
                  <c:v>-23.98857018619184</c:v>
                </c:pt>
                <c:pt idx="2">
                  <c:v>-21.734650924851191</c:v>
                </c:pt>
                <c:pt idx="3">
                  <c:v>-19.731101890812621</c:v>
                </c:pt>
                <c:pt idx="4">
                  <c:v>-17.909447786878221</c:v>
                </c:pt>
                <c:pt idx="5">
                  <c:v>-16.202515159781527</c:v>
                </c:pt>
                <c:pt idx="6">
                  <c:v>-14.565052564786868</c:v>
                </c:pt>
              </c:numCache>
            </c:numRef>
          </c:xVal>
          <c:yVal>
            <c:numRef>
              <c:f>Ggrid!$M$68:$M$74</c:f>
              <c:numCache>
                <c:formatCode>0.00</c:formatCode>
                <c:ptCount val="7"/>
                <c:pt idx="0">
                  <c:v>-4.4029465195524029</c:v>
                </c:pt>
                <c:pt idx="1">
                  <c:v>-3.8944056079511875</c:v>
                </c:pt>
                <c:pt idx="2">
                  <c:v>-3.3876209868022231</c:v>
                </c:pt>
                <c:pt idx="3">
                  <c:v>-2.8767980923769079</c:v>
                </c:pt>
                <c:pt idx="4">
                  <c:v>-2.3581627285166711</c:v>
                </c:pt>
                <c:pt idx="5">
                  <c:v>-1.8298710162039959</c:v>
                </c:pt>
                <c:pt idx="6">
                  <c:v>-1.2913855869629836</c:v>
                </c:pt>
              </c:numCache>
            </c:numRef>
          </c:yVal>
          <c:smooth val="1"/>
        </c:ser>
        <c:ser>
          <c:idx val="15"/>
          <c:order val="15"/>
          <c:tx>
            <c:v>F0.01</c:v>
          </c:tx>
          <c:spPr>
            <a:ln w="3175">
              <a:solidFill>
                <a:srgbClr val="000000"/>
              </a:solidFill>
            </a:ln>
          </c:spPr>
          <c:marker>
            <c:symbol val="none"/>
          </c:marker>
          <c:xVal>
            <c:numRef>
              <c:f>Ggrid!$N$8:$N$14</c:f>
              <c:numCache>
                <c:formatCode>0.00</c:formatCode>
                <c:ptCount val="7"/>
                <c:pt idx="0">
                  <c:v>-29.718108298864507</c:v>
                </c:pt>
                <c:pt idx="1">
                  <c:v>-26.733739734440224</c:v>
                </c:pt>
                <c:pt idx="2">
                  <c:v>-23.892871810373023</c:v>
                </c:pt>
                <c:pt idx="3">
                  <c:v>-21.244456838012276</c:v>
                </c:pt>
                <c:pt idx="4">
                  <c:v>-18.842618676662788</c:v>
                </c:pt>
                <c:pt idx="5">
                  <c:v>-16.71102681183114</c:v>
                </c:pt>
                <c:pt idx="6">
                  <c:v>-14.814857774389889</c:v>
                </c:pt>
              </c:numCache>
            </c:numRef>
          </c:xVal>
          <c:yVal>
            <c:numRef>
              <c:f>Ggrid!$N$68:$N$74</c:f>
              <c:numCache>
                <c:formatCode>0.00</c:formatCode>
                <c:ptCount val="7"/>
                <c:pt idx="0">
                  <c:v>-4.9413955408025609</c:v>
                </c:pt>
                <c:pt idx="1">
                  <c:v>-4.2918954233587359</c:v>
                </c:pt>
                <c:pt idx="2">
                  <c:v>-3.6576976709943656</c:v>
                </c:pt>
                <c:pt idx="3">
                  <c:v>-3.0463912032264115</c:v>
                </c:pt>
                <c:pt idx="4">
                  <c:v>-2.457600457931552</c:v>
                </c:pt>
                <c:pt idx="5">
                  <c:v>-1.884869823045622</c:v>
                </c:pt>
                <c:pt idx="6">
                  <c:v>-1.3201102925507771</c:v>
                </c:pt>
              </c:numCache>
            </c:numRef>
          </c:yVal>
          <c:smooth val="1"/>
        </c:ser>
        <c:dLbls>
          <c:showLegendKey val="0"/>
          <c:showVal val="0"/>
          <c:showCatName val="0"/>
          <c:showSerName val="0"/>
          <c:showPercent val="0"/>
          <c:showBubbleSize val="0"/>
        </c:dLbls>
        <c:axId val="65657856"/>
        <c:axId val="65733760"/>
      </c:scatterChart>
      <c:valAx>
        <c:axId val="65657856"/>
        <c:scaling>
          <c:orientation val="minMax"/>
          <c:max val="-8"/>
          <c:min val="-31"/>
        </c:scaling>
        <c:delete val="0"/>
        <c:axPos val="b"/>
        <c:title>
          <c:tx>
            <c:rich>
              <a:bodyPr/>
              <a:lstStyle/>
              <a:p>
                <a:pPr>
                  <a:defRPr sz="1200" b="1" i="0" u="none" strike="noStrike" baseline="0">
                    <a:solidFill>
                      <a:srgbClr val="000000"/>
                    </a:solidFill>
                    <a:latin typeface="Arial"/>
                    <a:ea typeface="Arial"/>
                    <a:cs typeface="Arial"/>
                  </a:defRPr>
                </a:pPr>
                <a:r>
                  <a:rPr lang="en-NZ"/>
                  <a:t>FT  log (rCO2) + 4 log (rH2) - log (rCH4)  (WG 1980)</a:t>
                </a:r>
              </a:p>
            </c:rich>
          </c:tx>
          <c:layout>
            <c:manualLayout>
              <c:xMode val="edge"/>
              <c:yMode val="edge"/>
              <c:x val="0.31556498551453532"/>
              <c:y val="0.95380027419530966"/>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733760"/>
        <c:crossesAt val="-25"/>
        <c:crossBetween val="midCat"/>
        <c:majorUnit val="2"/>
        <c:minorUnit val="1"/>
      </c:valAx>
      <c:valAx>
        <c:axId val="65733760"/>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NZ"/>
                  <a:t>log (rCO2)  (WG 1997)</a:t>
                </a:r>
              </a:p>
            </c:rich>
          </c:tx>
          <c:layout>
            <c:manualLayout>
              <c:xMode val="edge"/>
              <c:yMode val="edge"/>
              <c:x val="2.0255866220315284E-2"/>
              <c:y val="0.3427719609008813"/>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657856"/>
        <c:crossesAt val="-35"/>
        <c:crossBetween val="midCat"/>
        <c:majorUnit val="1"/>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171997157071793E-2"/>
          <c:y val="4.1231992051664175E-2"/>
          <c:w val="0.86353944562899798"/>
          <c:h val="0.85692995529061111"/>
        </c:manualLayout>
      </c:layout>
      <c:scatterChart>
        <c:scatterStyle val="smoothMarker"/>
        <c:varyColors val="0"/>
        <c:ser>
          <c:idx val="4"/>
          <c:order val="0"/>
          <c:tx>
            <c:strRef>
              <c:f>Ggrid!$G$7</c:f>
              <c:strCache>
                <c:ptCount val="1"/>
                <c:pt idx="0">
                  <c:v>1</c:v>
                </c:pt>
              </c:strCache>
            </c:strRef>
          </c:tx>
          <c:spPr>
            <a:ln w="3175">
              <a:solidFill>
                <a:srgbClr val="424242"/>
              </a:solidFill>
              <a:prstDash val="solid"/>
            </a:ln>
          </c:spPr>
          <c:marker>
            <c:symbol val="none"/>
          </c:marker>
          <c:dLbls>
            <c:dLbl>
              <c:idx val="0"/>
              <c:tx>
                <c:strRef>
                  <c:f>Ggrid!$A$8</c:f>
                  <c:strCache>
                    <c:ptCount val="1"/>
                    <c:pt idx="0">
                      <c:v>200</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1"/>
              <c:tx>
                <c:strRef>
                  <c:f>Ggrid!$A$9</c:f>
                  <c:strCache>
                    <c:ptCount val="1"/>
                    <c:pt idx="0">
                      <c:v>225</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2"/>
              <c:tx>
                <c:strRef>
                  <c:f>Ggrid!$A$10</c:f>
                  <c:strCache>
                    <c:ptCount val="1"/>
                    <c:pt idx="0">
                      <c:v>250</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3"/>
              <c:tx>
                <c:strRef>
                  <c:f>Ggrid!$A$11</c:f>
                  <c:strCache>
                    <c:ptCount val="1"/>
                    <c:pt idx="0">
                      <c:v>275</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4"/>
              <c:tx>
                <c:strRef>
                  <c:f>Ggrid!$A$12</c:f>
                  <c:strCache>
                    <c:ptCount val="1"/>
                    <c:pt idx="0">
                      <c:v>300</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5"/>
              <c:tx>
                <c:strRef>
                  <c:f>Ggrid!$A$13</c:f>
                  <c:strCache>
                    <c:ptCount val="1"/>
                    <c:pt idx="0">
                      <c:v>325</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6"/>
              <c:tx>
                <c:strRef>
                  <c:f>Ggrid!$A$14</c:f>
                  <c:strCache>
                    <c:ptCount val="1"/>
                    <c:pt idx="0">
                      <c:v>350</c:v>
                    </c:pt>
                  </c:strCache>
                </c:strRef>
              </c:tx>
              <c:spPr>
                <a:noFill/>
                <a:ln w="25400">
                  <a:noFill/>
                </a:ln>
              </c:spPr>
              <c:txPr>
                <a:bodyPr rot="-900000" vert="horz"/>
                <a:lstStyle/>
                <a:p>
                  <a:pPr algn="ctr">
                    <a:defRPr sz="120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showLegendKey val="0"/>
            <c:showVal val="0"/>
            <c:showCatName val="0"/>
            <c:showSerName val="0"/>
            <c:showPercent val="0"/>
            <c:showBubbleSize val="0"/>
          </c:dLbls>
          <c:xVal>
            <c:numRef>
              <c:f>Ggrid!$G$8:$G$14</c:f>
              <c:numCache>
                <c:formatCode>0.00</c:formatCode>
                <c:ptCount val="7"/>
                <c:pt idx="0">
                  <c:v>-11.668831455128837</c:v>
                </c:pt>
                <c:pt idx="1">
                  <c:v>-11.219680423247706</c:v>
                </c:pt>
                <c:pt idx="2">
                  <c:v>-10.81763964265839</c:v>
                </c:pt>
                <c:pt idx="3">
                  <c:v>-10.456071139046966</c:v>
                </c:pt>
                <c:pt idx="4">
                  <c:v>-10.129512030626977</c:v>
                </c:pt>
                <c:pt idx="5">
                  <c:v>-9.8334268095322379</c:v>
                </c:pt>
                <c:pt idx="6">
                  <c:v>-9.5640196023670168</c:v>
                </c:pt>
              </c:numCache>
            </c:numRef>
          </c:xVal>
          <c:yVal>
            <c:numRef>
              <c:f>Ggrid!$G$108:$G$114</c:f>
              <c:numCache>
                <c:formatCode>0.00</c:formatCode>
                <c:ptCount val="7"/>
                <c:pt idx="0">
                  <c:v>-8.2691725986003597</c:v>
                </c:pt>
                <c:pt idx="1">
                  <c:v>-7.6804024606198382</c:v>
                </c:pt>
                <c:pt idx="2">
                  <c:v>-7.150005289780438</c:v>
                </c:pt>
                <c:pt idx="3">
                  <c:v>-6.6698968833920969</c:v>
                </c:pt>
                <c:pt idx="4">
                  <c:v>-6.2334122107759669</c:v>
                </c:pt>
                <c:pt idx="5">
                  <c:v>-5.8350077191473906</c:v>
                </c:pt>
                <c:pt idx="6">
                  <c:v>-5.4700354833664937</c:v>
                </c:pt>
              </c:numCache>
            </c:numRef>
          </c:yVal>
          <c:smooth val="1"/>
        </c:ser>
        <c:ser>
          <c:idx val="12"/>
          <c:order val="1"/>
          <c:tx>
            <c:strRef>
              <c:f>Ggrid!$H$7</c:f>
              <c:strCache>
                <c:ptCount val="1"/>
                <c:pt idx="0">
                  <c:v>0.3</c:v>
                </c:pt>
              </c:strCache>
            </c:strRef>
          </c:tx>
          <c:spPr>
            <a:ln w="3175">
              <a:solidFill>
                <a:srgbClr val="424242"/>
              </a:solidFill>
              <a:prstDash val="solid"/>
            </a:ln>
          </c:spPr>
          <c:marker>
            <c:symbol val="none"/>
          </c:marker>
          <c:xVal>
            <c:numRef>
              <c:f>Ggrid!$H$8:$H$14</c:f>
              <c:numCache>
                <c:formatCode>0.00</c:formatCode>
                <c:ptCount val="7"/>
                <c:pt idx="0">
                  <c:v>-13.756621533584269</c:v>
                </c:pt>
                <c:pt idx="1">
                  <c:v>-13.303831372137275</c:v>
                </c:pt>
                <c:pt idx="2">
                  <c:v>-12.894511311435886</c:v>
                </c:pt>
                <c:pt idx="3">
                  <c:v>-12.51832143649778</c:v>
                </c:pt>
                <c:pt idx="4">
                  <c:v>-12.162359124865398</c:v>
                </c:pt>
                <c:pt idx="5">
                  <c:v>-11.807421289405006</c:v>
                </c:pt>
                <c:pt idx="6">
                  <c:v>-11.422048218010929</c:v>
                </c:pt>
              </c:numCache>
            </c:numRef>
          </c:xVal>
          <c:yVal>
            <c:numRef>
              <c:f>Ggrid!$H$108:$H$114</c:f>
              <c:numCache>
                <c:formatCode>0.00</c:formatCode>
                <c:ptCount val="7"/>
                <c:pt idx="0">
                  <c:v>-9.2909843208647462</c:v>
                </c:pt>
                <c:pt idx="1">
                  <c:v>-8.6845242293486393</c:v>
                </c:pt>
                <c:pt idx="2">
                  <c:v>-8.1238415913068849</c:v>
                </c:pt>
                <c:pt idx="3">
                  <c:v>-7.5927349602771441</c:v>
                </c:pt>
                <c:pt idx="4">
                  <c:v>-7.0726501201435656</c:v>
                </c:pt>
                <c:pt idx="5">
                  <c:v>-6.5428812118733406</c:v>
                </c:pt>
                <c:pt idx="6">
                  <c:v>-5.9841388444095305</c:v>
                </c:pt>
              </c:numCache>
            </c:numRef>
          </c:yVal>
          <c:smooth val="1"/>
        </c:ser>
        <c:ser>
          <c:idx val="3"/>
          <c:order val="2"/>
          <c:tx>
            <c:strRef>
              <c:f>Ggrid!$I$7</c:f>
              <c:strCache>
                <c:ptCount val="1"/>
                <c:pt idx="0">
                  <c:v>0.1</c:v>
                </c:pt>
              </c:strCache>
            </c:strRef>
          </c:tx>
          <c:spPr>
            <a:ln w="3175">
              <a:solidFill>
                <a:srgbClr val="424242"/>
              </a:solidFill>
              <a:prstDash val="solid"/>
            </a:ln>
          </c:spPr>
          <c:marker>
            <c:symbol val="none"/>
          </c:marker>
          <c:xVal>
            <c:numRef>
              <c:f>Ggrid!$I$8:$I$14</c:f>
              <c:numCache>
                <c:formatCode>0.00</c:formatCode>
                <c:ptCount val="7"/>
                <c:pt idx="0">
                  <c:v>-15.654558618274443</c:v>
                </c:pt>
                <c:pt idx="1">
                  <c:v>-15.191610511369088</c:v>
                </c:pt>
                <c:pt idx="2">
                  <c:v>-14.762333805387252</c:v>
                </c:pt>
                <c:pt idx="3">
                  <c:v>-14.347289465286359</c:v>
                </c:pt>
                <c:pt idx="4">
                  <c:v>-13.917247049515639</c:v>
                </c:pt>
                <c:pt idx="5">
                  <c:v>-13.426767756165228</c:v>
                </c:pt>
                <c:pt idx="6">
                  <c:v>-12.811499710293015</c:v>
                </c:pt>
              </c:numCache>
            </c:numRef>
          </c:xVal>
          <c:yVal>
            <c:numRef>
              <c:f>Ggrid!$I$108:$I$114</c:f>
              <c:numCache>
                <c:formatCode>0.00</c:formatCode>
                <c:ptCount val="7"/>
                <c:pt idx="0">
                  <c:v>-10.179211778526568</c:v>
                </c:pt>
                <c:pt idx="1">
                  <c:v>-9.5269195766119559</c:v>
                </c:pt>
                <c:pt idx="2">
                  <c:v>-8.8930453243562031</c:v>
                </c:pt>
                <c:pt idx="3">
                  <c:v>-8.2519427441603916</c:v>
                </c:pt>
                <c:pt idx="4">
                  <c:v>-7.5810818235878328</c:v>
                </c:pt>
                <c:pt idx="5">
                  <c:v>-6.8702473760025988</c:v>
                </c:pt>
                <c:pt idx="6">
                  <c:v>-6.1300991623043233</c:v>
                </c:pt>
              </c:numCache>
            </c:numRef>
          </c:yVal>
          <c:smooth val="1"/>
        </c:ser>
        <c:ser>
          <c:idx val="2"/>
          <c:order val="3"/>
          <c:tx>
            <c:strRef>
              <c:f>Ggrid!$J$7</c:f>
              <c:strCache>
                <c:ptCount val="1"/>
                <c:pt idx="0">
                  <c:v>0.01</c:v>
                </c:pt>
              </c:strCache>
            </c:strRef>
          </c:tx>
          <c:spPr>
            <a:ln w="3175">
              <a:solidFill>
                <a:srgbClr val="424242"/>
              </a:solidFill>
              <a:prstDash val="solid"/>
            </a:ln>
          </c:spPr>
          <c:marker>
            <c:symbol val="none"/>
          </c:marker>
          <c:xVal>
            <c:numRef>
              <c:f>Ggrid!$J$8:$J$14</c:f>
              <c:numCache>
                <c:formatCode>0.00</c:formatCode>
                <c:ptCount val="7"/>
                <c:pt idx="0">
                  <c:v>-19.523954611393165</c:v>
                </c:pt>
                <c:pt idx="1">
                  <c:v>-18.949521112055187</c:v>
                </c:pt>
                <c:pt idx="2">
                  <c:v>-18.325807474943758</c:v>
                </c:pt>
                <c:pt idx="3">
                  <c:v>-17.590585440081654</c:v>
                </c:pt>
                <c:pt idx="4">
                  <c:v>-16.678805384591165</c:v>
                </c:pt>
                <c:pt idx="5">
                  <c:v>-15.557726807233337</c:v>
                </c:pt>
                <c:pt idx="6">
                  <c:v>-14.25458143034415</c:v>
                </c:pt>
              </c:numCache>
            </c:numRef>
          </c:xVal>
          <c:yVal>
            <c:numRef>
              <c:f>Ggrid!$J$108:$J$114</c:f>
              <c:numCache>
                <c:formatCode>0.00</c:formatCode>
                <c:ptCount val="7"/>
                <c:pt idx="0">
                  <c:v>-11.519524418254221</c:v>
                </c:pt>
                <c:pt idx="1">
                  <c:v>-10.571179400703237</c:v>
                </c:pt>
                <c:pt idx="2">
                  <c:v>-9.6023637047048762</c:v>
                </c:pt>
                <c:pt idx="3">
                  <c:v>-8.6373381308911661</c:v>
                </c:pt>
                <c:pt idx="4">
                  <c:v>-7.7109962896666335</c:v>
                </c:pt>
                <c:pt idx="5">
                  <c:v>-6.8487754027660257</c:v>
                </c:pt>
                <c:pt idx="6">
                  <c:v>-6.0534571386584899</c:v>
                </c:pt>
              </c:numCache>
            </c:numRef>
          </c:yVal>
          <c:smooth val="1"/>
        </c:ser>
        <c:ser>
          <c:idx val="1"/>
          <c:order val="4"/>
          <c:tx>
            <c:strRef>
              <c:f>Ggrid!$K$7</c:f>
              <c:strCache>
                <c:ptCount val="1"/>
                <c:pt idx="0">
                  <c:v>0.001</c:v>
                </c:pt>
              </c:strCache>
            </c:strRef>
          </c:tx>
          <c:spPr>
            <a:ln w="3175">
              <a:solidFill>
                <a:srgbClr val="424242"/>
              </a:solidFill>
              <a:prstDash val="solid"/>
            </a:ln>
          </c:spPr>
          <c:marker>
            <c:symbol val="none"/>
          </c:marker>
          <c:xVal>
            <c:numRef>
              <c:f>Ggrid!$K$8:$K$14</c:f>
              <c:numCache>
                <c:formatCode>0.00</c:formatCode>
                <c:ptCount val="7"/>
                <c:pt idx="0">
                  <c:v>-22.721274183617489</c:v>
                </c:pt>
                <c:pt idx="1">
                  <c:v>-21.694690660303575</c:v>
                </c:pt>
                <c:pt idx="2">
                  <c:v>-20.484028360465587</c:v>
                </c:pt>
                <c:pt idx="3">
                  <c:v>-19.103940387281305</c:v>
                </c:pt>
                <c:pt idx="4">
                  <c:v>-17.611976274375731</c:v>
                </c:pt>
                <c:pt idx="5">
                  <c:v>-16.06623845928295</c:v>
                </c:pt>
                <c:pt idx="6">
                  <c:v>-14.504386639947171</c:v>
                </c:pt>
              </c:numCache>
            </c:numRef>
          </c:xVal>
          <c:yVal>
            <c:numRef>
              <c:f>Ggrid!$K$108:$K$114</c:f>
              <c:numCache>
                <c:formatCode>0.00</c:formatCode>
                <c:ptCount val="7"/>
                <c:pt idx="0">
                  <c:v>-11.535559365057225</c:v>
                </c:pt>
                <c:pt idx="1">
                  <c:v>-10.401883611470403</c:v>
                </c:pt>
                <c:pt idx="2">
                  <c:v>-9.3691482603564111</c:v>
                </c:pt>
                <c:pt idx="3">
                  <c:v>-8.4337865459167496</c:v>
                </c:pt>
                <c:pt idx="4">
                  <c:v>-7.5765466443973697</c:v>
                </c:pt>
                <c:pt idx="5">
                  <c:v>-6.7769298903588426</c:v>
                </c:pt>
                <c:pt idx="6">
                  <c:v>-6.0202082294293469</c:v>
                </c:pt>
              </c:numCache>
            </c:numRef>
          </c:yVal>
          <c:smooth val="1"/>
        </c:ser>
        <c:ser>
          <c:idx val="0"/>
          <c:order val="5"/>
          <c:tx>
            <c:strRef>
              <c:f>Ggrid!$L$7</c:f>
              <c:strCache>
                <c:ptCount val="1"/>
                <c:pt idx="0">
                  <c:v>0</c:v>
                </c:pt>
              </c:strCache>
            </c:strRef>
          </c:tx>
          <c:spPr>
            <a:ln w="12700">
              <a:solidFill>
                <a:srgbClr val="424242"/>
              </a:solidFill>
              <a:prstDash val="solid"/>
            </a:ln>
          </c:spPr>
          <c:marker>
            <c:symbol val="none"/>
          </c:marker>
          <c:xVal>
            <c:numRef>
              <c:f>Ggrid!$L$8:$L$14</c:f>
              <c:numCache>
                <c:formatCode>0.00</c:formatCode>
                <c:ptCount val="7"/>
                <c:pt idx="0">
                  <c:v>-24.621031455128836</c:v>
                </c:pt>
                <c:pt idx="1">
                  <c:v>-22.841630423247707</c:v>
                </c:pt>
                <c:pt idx="2">
                  <c:v>-21.109339642658391</c:v>
                </c:pt>
                <c:pt idx="3">
                  <c:v>-19.417521139046965</c:v>
                </c:pt>
                <c:pt idx="4">
                  <c:v>-17.760712030626976</c:v>
                </c:pt>
                <c:pt idx="5">
                  <c:v>-16.134376809532238</c:v>
                </c:pt>
                <c:pt idx="6">
                  <c:v>-14.534719602367019</c:v>
                </c:pt>
              </c:numCache>
            </c:numRef>
          </c:xVal>
          <c:yVal>
            <c:numRef>
              <c:f>Ggrid!$L$108:$L$114</c:f>
              <c:numCache>
                <c:formatCode>0.00</c:formatCode>
                <c:ptCount val="7"/>
                <c:pt idx="0">
                  <c:v>-11.124972598600364</c:v>
                </c:pt>
                <c:pt idx="1">
                  <c:v>-10.151202460619841</c:v>
                </c:pt>
                <c:pt idx="2">
                  <c:v>-9.2358052897804406</c:v>
                </c:pt>
                <c:pt idx="3">
                  <c:v>-8.3706968833920996</c:v>
                </c:pt>
                <c:pt idx="4">
                  <c:v>-7.5492122107759707</c:v>
                </c:pt>
                <c:pt idx="5">
                  <c:v>-6.7658077191473938</c:v>
                </c:pt>
                <c:pt idx="6">
                  <c:v>-6.0158354833664962</c:v>
                </c:pt>
              </c:numCache>
            </c:numRef>
          </c:yVal>
          <c:smooth val="1"/>
        </c:ser>
        <c:ser>
          <c:idx val="5"/>
          <c:order val="6"/>
          <c:tx>
            <c:strRef>
              <c:f>Ggrid!$A$8</c:f>
              <c:strCache>
                <c:ptCount val="1"/>
                <c:pt idx="0">
                  <c:v>200</c:v>
                </c:pt>
              </c:strCache>
            </c:strRef>
          </c:tx>
          <c:spPr>
            <a:ln w="3175">
              <a:solidFill>
                <a:srgbClr val="424242"/>
              </a:solidFill>
              <a:prstDash val="solid"/>
            </a:ln>
          </c:spPr>
          <c:marker>
            <c:symbol val="none"/>
          </c:marker>
          <c:dLbls>
            <c:dLbl>
              <c:idx val="0"/>
              <c:tx>
                <c:strRef>
                  <c:f>Ggrid!$G$7</c:f>
                  <c:strCache>
                    <c:ptCount val="1"/>
                    <c:pt idx="0">
                      <c:v>1</c:v>
                    </c:pt>
                  </c:strCache>
                </c:strRef>
              </c:tx>
              <c:dLblPos val="b"/>
              <c:showLegendKey val="0"/>
              <c:showVal val="0"/>
              <c:showCatName val="0"/>
              <c:showSerName val="0"/>
              <c:showPercent val="0"/>
              <c:showBubbleSize val="0"/>
            </c:dLbl>
            <c:dLbl>
              <c:idx val="1"/>
              <c:tx>
                <c:strRef>
                  <c:f>Ggrid!$H$7</c:f>
                  <c:strCache>
                    <c:ptCount val="1"/>
                    <c:pt idx="0">
                      <c:v>0.3</c:v>
                    </c:pt>
                  </c:strCache>
                </c:strRef>
              </c:tx>
              <c:dLblPos val="b"/>
              <c:showLegendKey val="0"/>
              <c:showVal val="0"/>
              <c:showCatName val="0"/>
              <c:showSerName val="0"/>
              <c:showPercent val="0"/>
              <c:showBubbleSize val="0"/>
            </c:dLbl>
            <c:dLbl>
              <c:idx val="2"/>
              <c:tx>
                <c:strRef>
                  <c:f>Ggrid!$I$7</c:f>
                  <c:strCache>
                    <c:ptCount val="1"/>
                    <c:pt idx="0">
                      <c:v>0.1</c:v>
                    </c:pt>
                  </c:strCache>
                </c:strRef>
              </c:tx>
              <c:dLblPos val="b"/>
              <c:showLegendKey val="0"/>
              <c:showVal val="0"/>
              <c:showCatName val="0"/>
              <c:showSerName val="0"/>
              <c:showPercent val="0"/>
              <c:showBubbleSize val="0"/>
            </c:dLbl>
            <c:dLbl>
              <c:idx val="3"/>
              <c:tx>
                <c:strRef>
                  <c:f>Ggrid!$J$7</c:f>
                  <c:strCache>
                    <c:ptCount val="1"/>
                    <c:pt idx="0">
                      <c:v>0.01</c:v>
                    </c:pt>
                  </c:strCache>
                </c:strRef>
              </c:tx>
              <c:dLblPos val="b"/>
              <c:showLegendKey val="0"/>
              <c:showVal val="0"/>
              <c:showCatName val="0"/>
              <c:showSerName val="0"/>
              <c:showPercent val="0"/>
              <c:showBubbleSize val="0"/>
            </c:dLbl>
            <c:dLbl>
              <c:idx val="4"/>
              <c:tx>
                <c:strRef>
                  <c:f>Ggrid!$K$7</c:f>
                  <c:strCache>
                    <c:ptCount val="1"/>
                    <c:pt idx="0">
                      <c:v>0.001</c:v>
                    </c:pt>
                  </c:strCache>
                </c:strRef>
              </c:tx>
              <c:dLblPos val="b"/>
              <c:showLegendKey val="0"/>
              <c:showVal val="0"/>
              <c:showCatName val="0"/>
              <c:showSerName val="0"/>
              <c:showPercent val="0"/>
              <c:showBubbleSize val="0"/>
            </c:dLbl>
            <c:dLbl>
              <c:idx val="5"/>
              <c:tx>
                <c:strRef>
                  <c:f>Ggrid!$L$7</c:f>
                  <c:strCache>
                    <c:ptCount val="1"/>
                    <c:pt idx="0">
                      <c:v>0</c:v>
                    </c:pt>
                  </c:strCache>
                </c:strRef>
              </c:tx>
              <c:dLblPos val="b"/>
              <c:showLegendKey val="0"/>
              <c:showVal val="0"/>
              <c:showCatName val="0"/>
              <c:showSerName val="0"/>
              <c:showPercent val="0"/>
              <c:showBubbleSize val="0"/>
            </c:dLbl>
            <c:dLbl>
              <c:idx val="6"/>
              <c:tx>
                <c:rich>
                  <a:bodyPr/>
                  <a:lstStyle/>
                  <a:p>
                    <a:r>
                      <a:rPr lang="en-NZ"/>
                      <a:t>-0.001</a:t>
                    </a:r>
                  </a:p>
                </c:rich>
              </c:tx>
              <c:dLblPos val="b"/>
              <c:showLegendKey val="0"/>
              <c:showVal val="0"/>
              <c:showCatName val="0"/>
              <c:showSerName val="0"/>
              <c:showPercent val="0"/>
              <c:showBubbleSize val="0"/>
            </c:dLbl>
            <c:dLbl>
              <c:idx val="7"/>
              <c:layout>
                <c:manualLayout>
                  <c:x val="-3.259797749161953E-2"/>
                  <c:y val="3.335124838158271E-2"/>
                </c:manualLayout>
              </c:layout>
              <c:tx>
                <c:rich>
                  <a:bodyPr/>
                  <a:lstStyle/>
                  <a:p>
                    <a:r>
                      <a:rPr lang="en-NZ"/>
                      <a:t>-0.01</a:t>
                    </a:r>
                  </a:p>
                </c:rich>
              </c:tx>
              <c:dLblPos val="r"/>
              <c:showLegendKey val="0"/>
              <c:showVal val="0"/>
              <c:showCatName val="0"/>
              <c:showSerName val="0"/>
              <c:showPercent val="0"/>
              <c:showBubbleSize val="0"/>
            </c:dLbl>
            <c:spPr>
              <a:noFill/>
              <a:ln w="25400">
                <a:noFill/>
              </a:ln>
            </c:spPr>
            <c:txPr>
              <a:bodyPr rot="-4500000" vert="horz"/>
              <a:lstStyle/>
              <a:p>
                <a:pPr algn="ctr">
                  <a:defRPr sz="1200" b="0" i="0" u="none" strike="noStrike" baseline="0">
                    <a:solidFill>
                      <a:srgbClr val="424242"/>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Ggrid!$G$8:$N$8</c:f>
              <c:numCache>
                <c:formatCode>0.00</c:formatCode>
                <c:ptCount val="8"/>
                <c:pt idx="0">
                  <c:v>-11.668831455128837</c:v>
                </c:pt>
                <c:pt idx="1">
                  <c:v>-13.756621533584269</c:v>
                </c:pt>
                <c:pt idx="2">
                  <c:v>-15.654558618274443</c:v>
                </c:pt>
                <c:pt idx="3">
                  <c:v>-19.523954611393165</c:v>
                </c:pt>
                <c:pt idx="4">
                  <c:v>-22.721274183617489</c:v>
                </c:pt>
                <c:pt idx="5">
                  <c:v>-24.621031455128836</c:v>
                </c:pt>
                <c:pt idx="6">
                  <c:v>-26.520788726640188</c:v>
                </c:pt>
                <c:pt idx="7">
                  <c:v>-29.718108298864507</c:v>
                </c:pt>
              </c:numCache>
            </c:numRef>
          </c:xVal>
          <c:yVal>
            <c:numRef>
              <c:f>Ggrid!$G$108:$N$108</c:f>
              <c:numCache>
                <c:formatCode>0.00</c:formatCode>
                <c:ptCount val="8"/>
                <c:pt idx="0">
                  <c:v>-8.2691725986003597</c:v>
                </c:pt>
                <c:pt idx="1">
                  <c:v>-9.2909843208647462</c:v>
                </c:pt>
                <c:pt idx="2">
                  <c:v>-10.179211778526568</c:v>
                </c:pt>
                <c:pt idx="3">
                  <c:v>-11.519524418254221</c:v>
                </c:pt>
                <c:pt idx="4">
                  <c:v>-11.535559365057225</c:v>
                </c:pt>
                <c:pt idx="5">
                  <c:v>-11.124972598600364</c:v>
                </c:pt>
                <c:pt idx="6">
                  <c:v>-10.714385832143503</c:v>
                </c:pt>
                <c:pt idx="7">
                  <c:v>-10.730420778946504</c:v>
                </c:pt>
              </c:numCache>
            </c:numRef>
          </c:yVal>
          <c:smooth val="1"/>
        </c:ser>
        <c:ser>
          <c:idx val="6"/>
          <c:order val="7"/>
          <c:tx>
            <c:strRef>
              <c:f>Ggrid!$A$9</c:f>
              <c:strCache>
                <c:ptCount val="1"/>
                <c:pt idx="0">
                  <c:v>225</c:v>
                </c:pt>
              </c:strCache>
            </c:strRef>
          </c:tx>
          <c:spPr>
            <a:ln w="3175">
              <a:solidFill>
                <a:srgbClr val="424242"/>
              </a:solidFill>
              <a:prstDash val="solid"/>
            </a:ln>
          </c:spPr>
          <c:marker>
            <c:symbol val="none"/>
          </c:marker>
          <c:xVal>
            <c:numRef>
              <c:f>Ggrid!$G$9:$N$9</c:f>
              <c:numCache>
                <c:formatCode>0.00</c:formatCode>
                <c:ptCount val="8"/>
                <c:pt idx="0">
                  <c:v>-11.219680423247706</c:v>
                </c:pt>
                <c:pt idx="1">
                  <c:v>-13.303831372137275</c:v>
                </c:pt>
                <c:pt idx="2">
                  <c:v>-15.191610511369088</c:v>
                </c:pt>
                <c:pt idx="3">
                  <c:v>-18.949521112055187</c:v>
                </c:pt>
                <c:pt idx="4">
                  <c:v>-21.694690660303575</c:v>
                </c:pt>
                <c:pt idx="5">
                  <c:v>-22.841630423247707</c:v>
                </c:pt>
                <c:pt idx="6">
                  <c:v>-23.98857018619184</c:v>
                </c:pt>
                <c:pt idx="7">
                  <c:v>-26.733739734440224</c:v>
                </c:pt>
              </c:numCache>
            </c:numRef>
          </c:xVal>
          <c:yVal>
            <c:numRef>
              <c:f>Ggrid!$G$109:$N$109</c:f>
              <c:numCache>
                <c:formatCode>0.00</c:formatCode>
                <c:ptCount val="8"/>
                <c:pt idx="0">
                  <c:v>-7.6804024606198382</c:v>
                </c:pt>
                <c:pt idx="1">
                  <c:v>-8.6845242293486393</c:v>
                </c:pt>
                <c:pt idx="2">
                  <c:v>-9.5269195766119559</c:v>
                </c:pt>
                <c:pt idx="3">
                  <c:v>-10.571179400703237</c:v>
                </c:pt>
                <c:pt idx="4">
                  <c:v>-10.401883611470403</c:v>
                </c:pt>
                <c:pt idx="5">
                  <c:v>-10.151202460619841</c:v>
                </c:pt>
                <c:pt idx="6">
                  <c:v>-9.9005213097692781</c:v>
                </c:pt>
                <c:pt idx="7">
                  <c:v>-9.7312255205364462</c:v>
                </c:pt>
              </c:numCache>
            </c:numRef>
          </c:yVal>
          <c:smooth val="1"/>
        </c:ser>
        <c:ser>
          <c:idx val="7"/>
          <c:order val="8"/>
          <c:tx>
            <c:strRef>
              <c:f>Ggrid!$A$10</c:f>
              <c:strCache>
                <c:ptCount val="1"/>
                <c:pt idx="0">
                  <c:v>250</c:v>
                </c:pt>
              </c:strCache>
            </c:strRef>
          </c:tx>
          <c:spPr>
            <a:ln w="3175">
              <a:solidFill>
                <a:srgbClr val="424242"/>
              </a:solidFill>
              <a:prstDash val="solid"/>
            </a:ln>
          </c:spPr>
          <c:marker>
            <c:symbol val="none"/>
          </c:marker>
          <c:xVal>
            <c:numRef>
              <c:f>Ggrid!$G$10:$N$10</c:f>
              <c:numCache>
                <c:formatCode>0.00</c:formatCode>
                <c:ptCount val="8"/>
                <c:pt idx="0">
                  <c:v>-10.81763964265839</c:v>
                </c:pt>
                <c:pt idx="1">
                  <c:v>-12.894511311435886</c:v>
                </c:pt>
                <c:pt idx="2">
                  <c:v>-14.762333805387252</c:v>
                </c:pt>
                <c:pt idx="3">
                  <c:v>-18.325807474943758</c:v>
                </c:pt>
                <c:pt idx="4">
                  <c:v>-20.484028360465587</c:v>
                </c:pt>
                <c:pt idx="5">
                  <c:v>-21.109339642658391</c:v>
                </c:pt>
                <c:pt idx="6">
                  <c:v>-21.734650924851191</c:v>
                </c:pt>
                <c:pt idx="7">
                  <c:v>-23.892871810373023</c:v>
                </c:pt>
              </c:numCache>
            </c:numRef>
          </c:xVal>
          <c:yVal>
            <c:numRef>
              <c:f>Ggrid!$G$110:$N$110</c:f>
              <c:numCache>
                <c:formatCode>0.00</c:formatCode>
                <c:ptCount val="8"/>
                <c:pt idx="0">
                  <c:v>-7.150005289780438</c:v>
                </c:pt>
                <c:pt idx="1">
                  <c:v>-8.1238415913068849</c:v>
                </c:pt>
                <c:pt idx="2">
                  <c:v>-8.8930453243562031</c:v>
                </c:pt>
                <c:pt idx="3">
                  <c:v>-9.6023637047048762</c:v>
                </c:pt>
                <c:pt idx="4">
                  <c:v>-9.3691482603564111</c:v>
                </c:pt>
                <c:pt idx="5">
                  <c:v>-9.2358052897804406</c:v>
                </c:pt>
                <c:pt idx="6">
                  <c:v>-9.10246231920447</c:v>
                </c:pt>
                <c:pt idx="7">
                  <c:v>-8.8692468748560049</c:v>
                </c:pt>
              </c:numCache>
            </c:numRef>
          </c:yVal>
          <c:smooth val="1"/>
        </c:ser>
        <c:ser>
          <c:idx val="8"/>
          <c:order val="9"/>
          <c:tx>
            <c:strRef>
              <c:f>Ggrid!$A$11</c:f>
              <c:strCache>
                <c:ptCount val="1"/>
                <c:pt idx="0">
                  <c:v>275</c:v>
                </c:pt>
              </c:strCache>
            </c:strRef>
          </c:tx>
          <c:spPr>
            <a:ln w="3175">
              <a:solidFill>
                <a:srgbClr val="424242"/>
              </a:solidFill>
              <a:prstDash val="solid"/>
            </a:ln>
          </c:spPr>
          <c:marker>
            <c:symbol val="none"/>
          </c:marker>
          <c:xVal>
            <c:numRef>
              <c:f>Ggrid!$G$11:$N$11</c:f>
              <c:numCache>
                <c:formatCode>0.00</c:formatCode>
                <c:ptCount val="8"/>
                <c:pt idx="0">
                  <c:v>-10.456071139046966</c:v>
                </c:pt>
                <c:pt idx="1">
                  <c:v>-12.51832143649778</c:v>
                </c:pt>
                <c:pt idx="2">
                  <c:v>-14.347289465286359</c:v>
                </c:pt>
                <c:pt idx="3">
                  <c:v>-17.590585440081654</c:v>
                </c:pt>
                <c:pt idx="4">
                  <c:v>-19.103940387281305</c:v>
                </c:pt>
                <c:pt idx="5">
                  <c:v>-19.417521139046965</c:v>
                </c:pt>
                <c:pt idx="6">
                  <c:v>-19.731101890812621</c:v>
                </c:pt>
                <c:pt idx="7">
                  <c:v>-21.244456838012276</c:v>
                </c:pt>
              </c:numCache>
            </c:numRef>
          </c:xVal>
          <c:yVal>
            <c:numRef>
              <c:f>Ggrid!$G$111:$N$111</c:f>
              <c:numCache>
                <c:formatCode>0.00</c:formatCode>
                <c:ptCount val="8"/>
                <c:pt idx="0">
                  <c:v>-6.6698968833920969</c:v>
                </c:pt>
                <c:pt idx="1">
                  <c:v>-7.5927349602771441</c:v>
                </c:pt>
                <c:pt idx="2">
                  <c:v>-8.2519427441603916</c:v>
                </c:pt>
                <c:pt idx="3">
                  <c:v>-8.6373381308911661</c:v>
                </c:pt>
                <c:pt idx="4">
                  <c:v>-8.4337865459167496</c:v>
                </c:pt>
                <c:pt idx="5">
                  <c:v>-8.3706968833920996</c:v>
                </c:pt>
                <c:pt idx="6">
                  <c:v>-8.3076072208674514</c:v>
                </c:pt>
                <c:pt idx="7">
                  <c:v>-8.1040556358930331</c:v>
                </c:pt>
              </c:numCache>
            </c:numRef>
          </c:yVal>
          <c:smooth val="1"/>
        </c:ser>
        <c:ser>
          <c:idx val="9"/>
          <c:order val="10"/>
          <c:tx>
            <c:strRef>
              <c:f>Ggrid!$A$12</c:f>
              <c:strCache>
                <c:ptCount val="1"/>
                <c:pt idx="0">
                  <c:v>300</c:v>
                </c:pt>
              </c:strCache>
            </c:strRef>
          </c:tx>
          <c:spPr>
            <a:ln w="3175">
              <a:solidFill>
                <a:srgbClr val="424242"/>
              </a:solidFill>
              <a:prstDash val="solid"/>
            </a:ln>
          </c:spPr>
          <c:marker>
            <c:symbol val="none"/>
          </c:marker>
          <c:xVal>
            <c:numRef>
              <c:f>Ggrid!$G$12:$N$12</c:f>
              <c:numCache>
                <c:formatCode>0.00</c:formatCode>
                <c:ptCount val="8"/>
                <c:pt idx="0">
                  <c:v>-10.129512030626977</c:v>
                </c:pt>
                <c:pt idx="1">
                  <c:v>-12.162359124865398</c:v>
                </c:pt>
                <c:pt idx="2">
                  <c:v>-13.917247049515639</c:v>
                </c:pt>
                <c:pt idx="3">
                  <c:v>-16.678805384591165</c:v>
                </c:pt>
                <c:pt idx="4">
                  <c:v>-17.611976274375731</c:v>
                </c:pt>
                <c:pt idx="5">
                  <c:v>-17.760712030626976</c:v>
                </c:pt>
                <c:pt idx="6">
                  <c:v>-17.909447786878221</c:v>
                </c:pt>
                <c:pt idx="7">
                  <c:v>-18.842618676662788</c:v>
                </c:pt>
              </c:numCache>
            </c:numRef>
          </c:xVal>
          <c:yVal>
            <c:numRef>
              <c:f>Ggrid!$G$112:$N$112</c:f>
              <c:numCache>
                <c:formatCode>0.00</c:formatCode>
                <c:ptCount val="8"/>
                <c:pt idx="0">
                  <c:v>-6.2334122107759669</c:v>
                </c:pt>
                <c:pt idx="1">
                  <c:v>-7.0726501201435656</c:v>
                </c:pt>
                <c:pt idx="2">
                  <c:v>-7.5810818235878328</c:v>
                </c:pt>
                <c:pt idx="3">
                  <c:v>-7.7109962896666335</c:v>
                </c:pt>
                <c:pt idx="4">
                  <c:v>-7.5765466443973697</c:v>
                </c:pt>
                <c:pt idx="5">
                  <c:v>-7.5492122107759707</c:v>
                </c:pt>
                <c:pt idx="6">
                  <c:v>-7.5218777771545708</c:v>
                </c:pt>
                <c:pt idx="7">
                  <c:v>-7.387428131885307</c:v>
                </c:pt>
              </c:numCache>
            </c:numRef>
          </c:yVal>
          <c:smooth val="1"/>
        </c:ser>
        <c:ser>
          <c:idx val="10"/>
          <c:order val="11"/>
          <c:tx>
            <c:strRef>
              <c:f>Ggrid!$A$13</c:f>
              <c:strCache>
                <c:ptCount val="1"/>
                <c:pt idx="0">
                  <c:v>325</c:v>
                </c:pt>
              </c:strCache>
            </c:strRef>
          </c:tx>
          <c:spPr>
            <a:ln w="3175">
              <a:solidFill>
                <a:srgbClr val="424242"/>
              </a:solidFill>
              <a:prstDash val="solid"/>
            </a:ln>
          </c:spPr>
          <c:marker>
            <c:symbol val="none"/>
          </c:marker>
          <c:xVal>
            <c:numRef>
              <c:f>Ggrid!$G$13:$N$13</c:f>
              <c:numCache>
                <c:formatCode>0.00</c:formatCode>
                <c:ptCount val="8"/>
                <c:pt idx="0">
                  <c:v>-9.8334268095322379</c:v>
                </c:pt>
                <c:pt idx="1">
                  <c:v>-11.807421289405006</c:v>
                </c:pt>
                <c:pt idx="2">
                  <c:v>-13.426767756165228</c:v>
                </c:pt>
                <c:pt idx="3">
                  <c:v>-15.557726807233337</c:v>
                </c:pt>
                <c:pt idx="4">
                  <c:v>-16.06623845928295</c:v>
                </c:pt>
                <c:pt idx="5">
                  <c:v>-16.134376809532238</c:v>
                </c:pt>
                <c:pt idx="6">
                  <c:v>-16.202515159781527</c:v>
                </c:pt>
                <c:pt idx="7">
                  <c:v>-16.71102681183114</c:v>
                </c:pt>
              </c:numCache>
            </c:numRef>
          </c:xVal>
          <c:yVal>
            <c:numRef>
              <c:f>Ggrid!$G$113:$N$113</c:f>
              <c:numCache>
                <c:formatCode>0.00</c:formatCode>
                <c:ptCount val="8"/>
                <c:pt idx="0">
                  <c:v>-5.8350077191473906</c:v>
                </c:pt>
                <c:pt idx="1">
                  <c:v>-6.5428812118733406</c:v>
                </c:pt>
                <c:pt idx="2">
                  <c:v>-6.8702473760025988</c:v>
                </c:pt>
                <c:pt idx="3">
                  <c:v>-6.8487754027660257</c:v>
                </c:pt>
                <c:pt idx="4">
                  <c:v>-6.7769298903588426</c:v>
                </c:pt>
                <c:pt idx="5">
                  <c:v>-6.7658077191473938</c:v>
                </c:pt>
                <c:pt idx="6">
                  <c:v>-6.7546855479359449</c:v>
                </c:pt>
                <c:pt idx="7">
                  <c:v>-6.6828400355287609</c:v>
                </c:pt>
              </c:numCache>
            </c:numRef>
          </c:yVal>
          <c:smooth val="1"/>
        </c:ser>
        <c:ser>
          <c:idx val="11"/>
          <c:order val="12"/>
          <c:tx>
            <c:strRef>
              <c:f>Ggrid!$A$14</c:f>
              <c:strCache>
                <c:ptCount val="1"/>
                <c:pt idx="0">
                  <c:v>350</c:v>
                </c:pt>
              </c:strCache>
            </c:strRef>
          </c:tx>
          <c:spPr>
            <a:ln w="3175">
              <a:solidFill>
                <a:srgbClr val="424242"/>
              </a:solidFill>
              <a:prstDash val="solid"/>
            </a:ln>
          </c:spPr>
          <c:marker>
            <c:symbol val="none"/>
          </c:marker>
          <c:xVal>
            <c:numRef>
              <c:f>Ggrid!$G$14:$N$14</c:f>
              <c:numCache>
                <c:formatCode>0.00</c:formatCode>
                <c:ptCount val="8"/>
                <c:pt idx="0">
                  <c:v>-9.5640196023670168</c:v>
                </c:pt>
                <c:pt idx="1">
                  <c:v>-11.422048218010929</c:v>
                </c:pt>
                <c:pt idx="2">
                  <c:v>-12.811499710293015</c:v>
                </c:pt>
                <c:pt idx="3">
                  <c:v>-14.25458143034415</c:v>
                </c:pt>
                <c:pt idx="4">
                  <c:v>-14.504386639947171</c:v>
                </c:pt>
                <c:pt idx="5">
                  <c:v>-14.534719602367019</c:v>
                </c:pt>
                <c:pt idx="6">
                  <c:v>-14.565052564786868</c:v>
                </c:pt>
                <c:pt idx="7">
                  <c:v>-14.814857774389889</c:v>
                </c:pt>
              </c:numCache>
            </c:numRef>
          </c:xVal>
          <c:yVal>
            <c:numRef>
              <c:f>Ggrid!$G$114:$N$114</c:f>
              <c:numCache>
                <c:formatCode>0.00</c:formatCode>
                <c:ptCount val="8"/>
                <c:pt idx="0">
                  <c:v>-5.4700354833664937</c:v>
                </c:pt>
                <c:pt idx="1">
                  <c:v>-5.9841388444095305</c:v>
                </c:pt>
                <c:pt idx="2">
                  <c:v>-6.1300991623043233</c:v>
                </c:pt>
                <c:pt idx="3">
                  <c:v>-6.0534571386584899</c:v>
                </c:pt>
                <c:pt idx="4">
                  <c:v>-6.0202082294293469</c:v>
                </c:pt>
                <c:pt idx="5">
                  <c:v>-6.0158354833664962</c:v>
                </c:pt>
                <c:pt idx="6">
                  <c:v>-6.0114627373036456</c:v>
                </c:pt>
                <c:pt idx="7">
                  <c:v>-5.9782138280745025</c:v>
                </c:pt>
              </c:numCache>
            </c:numRef>
          </c:yVal>
          <c:smooth val="1"/>
        </c:ser>
        <c:ser>
          <c:idx val="14"/>
          <c:order val="13"/>
          <c:tx>
            <c:v>F0.001</c:v>
          </c:tx>
          <c:spPr>
            <a:ln w="3175">
              <a:solidFill>
                <a:srgbClr val="000000"/>
              </a:solidFill>
            </a:ln>
          </c:spPr>
          <c:marker>
            <c:symbol val="none"/>
          </c:marker>
          <c:xVal>
            <c:numRef>
              <c:f>Ggrid!$M$8:$M$14</c:f>
              <c:numCache>
                <c:formatCode>0.00</c:formatCode>
                <c:ptCount val="7"/>
                <c:pt idx="0">
                  <c:v>-26.520788726640188</c:v>
                </c:pt>
                <c:pt idx="1">
                  <c:v>-23.98857018619184</c:v>
                </c:pt>
                <c:pt idx="2">
                  <c:v>-21.734650924851191</c:v>
                </c:pt>
                <c:pt idx="3">
                  <c:v>-19.731101890812621</c:v>
                </c:pt>
                <c:pt idx="4">
                  <c:v>-17.909447786878221</c:v>
                </c:pt>
                <c:pt idx="5">
                  <c:v>-16.202515159781527</c:v>
                </c:pt>
                <c:pt idx="6">
                  <c:v>-14.565052564786868</c:v>
                </c:pt>
              </c:numCache>
            </c:numRef>
          </c:xVal>
          <c:yVal>
            <c:numRef>
              <c:f>Ggrid!$M$108:$M$114</c:f>
              <c:numCache>
                <c:formatCode>0.00</c:formatCode>
                <c:ptCount val="7"/>
                <c:pt idx="0">
                  <c:v>-10.714385832143503</c:v>
                </c:pt>
                <c:pt idx="1">
                  <c:v>-9.9005213097692781</c:v>
                </c:pt>
                <c:pt idx="2">
                  <c:v>-9.10246231920447</c:v>
                </c:pt>
                <c:pt idx="3">
                  <c:v>-8.3076072208674514</c:v>
                </c:pt>
                <c:pt idx="4">
                  <c:v>-7.5218777771545708</c:v>
                </c:pt>
                <c:pt idx="5">
                  <c:v>-6.7546855479359449</c:v>
                </c:pt>
                <c:pt idx="6">
                  <c:v>-6.0114627373036456</c:v>
                </c:pt>
              </c:numCache>
            </c:numRef>
          </c:yVal>
          <c:smooth val="1"/>
        </c:ser>
        <c:ser>
          <c:idx val="15"/>
          <c:order val="14"/>
          <c:tx>
            <c:v>F0.01</c:v>
          </c:tx>
          <c:spPr>
            <a:ln w="3175">
              <a:solidFill>
                <a:srgbClr val="000000"/>
              </a:solidFill>
            </a:ln>
          </c:spPr>
          <c:marker>
            <c:symbol val="none"/>
          </c:marker>
          <c:xVal>
            <c:numRef>
              <c:f>Ggrid!$N$8:$N$14</c:f>
              <c:numCache>
                <c:formatCode>0.00</c:formatCode>
                <c:ptCount val="7"/>
                <c:pt idx="0">
                  <c:v>-29.718108298864507</c:v>
                </c:pt>
                <c:pt idx="1">
                  <c:v>-26.733739734440224</c:v>
                </c:pt>
                <c:pt idx="2">
                  <c:v>-23.892871810373023</c:v>
                </c:pt>
                <c:pt idx="3">
                  <c:v>-21.244456838012276</c:v>
                </c:pt>
                <c:pt idx="4">
                  <c:v>-18.842618676662788</c:v>
                </c:pt>
                <c:pt idx="5">
                  <c:v>-16.71102681183114</c:v>
                </c:pt>
                <c:pt idx="6">
                  <c:v>-14.814857774389889</c:v>
                </c:pt>
              </c:numCache>
            </c:numRef>
          </c:xVal>
          <c:yVal>
            <c:numRef>
              <c:f>Ggrid!$N$108:$N$114</c:f>
              <c:numCache>
                <c:formatCode>0.00</c:formatCode>
                <c:ptCount val="7"/>
                <c:pt idx="0">
                  <c:v>-10.730420778946504</c:v>
                </c:pt>
                <c:pt idx="1">
                  <c:v>-9.7312255205364462</c:v>
                </c:pt>
                <c:pt idx="2">
                  <c:v>-8.8692468748560049</c:v>
                </c:pt>
                <c:pt idx="3">
                  <c:v>-8.1040556358930331</c:v>
                </c:pt>
                <c:pt idx="4">
                  <c:v>-7.387428131885307</c:v>
                </c:pt>
                <c:pt idx="5">
                  <c:v>-6.6828400355287609</c:v>
                </c:pt>
                <c:pt idx="6">
                  <c:v>-5.9782138280745025</c:v>
                </c:pt>
              </c:numCache>
            </c:numRef>
          </c:yVal>
          <c:smooth val="1"/>
        </c:ser>
        <c:ser>
          <c:idx val="13"/>
          <c:order val="15"/>
          <c:tx>
            <c:v>data</c:v>
          </c:tx>
          <c:spPr>
            <a:ln w="28575">
              <a:noFill/>
            </a:ln>
          </c:spPr>
          <c:marker>
            <c:symbol val="diamond"/>
            <c:size val="7"/>
            <c:spPr>
              <a:solidFill>
                <a:srgbClr val="CC9CCC"/>
              </a:solidFill>
              <a:ln>
                <a:solidFill>
                  <a:srgbClr val="CC9CCC"/>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input!$BB$11:$BB$40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input!$BC$11:$BC$40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ser>
        <c:dLbls>
          <c:showLegendKey val="0"/>
          <c:showVal val="0"/>
          <c:showCatName val="0"/>
          <c:showSerName val="0"/>
          <c:showPercent val="0"/>
          <c:showBubbleSize val="0"/>
        </c:dLbls>
        <c:axId val="80488320"/>
        <c:axId val="80510976"/>
      </c:scatterChart>
      <c:valAx>
        <c:axId val="80488320"/>
        <c:scaling>
          <c:orientation val="minMax"/>
          <c:max val="-8"/>
          <c:min val="-31"/>
        </c:scaling>
        <c:delete val="0"/>
        <c:axPos val="b"/>
        <c:title>
          <c:tx>
            <c:rich>
              <a:bodyPr/>
              <a:lstStyle/>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FT  log (r</a:t>
                </a:r>
                <a:r>
                  <a:rPr lang="en-NZ" sz="1200" b="1" i="0" u="none" strike="noStrike" baseline="-25000">
                    <a:solidFill>
                      <a:srgbClr val="000000"/>
                    </a:solidFill>
                    <a:latin typeface="Arial"/>
                    <a:cs typeface="Arial"/>
                  </a:rPr>
                  <a:t>CO2</a:t>
                </a:r>
                <a:r>
                  <a:rPr lang="en-NZ" sz="1200" b="1" i="0" u="none" strike="noStrike" baseline="0">
                    <a:solidFill>
                      <a:srgbClr val="000000"/>
                    </a:solidFill>
                    <a:latin typeface="Arial"/>
                    <a:cs typeface="Arial"/>
                  </a:rPr>
                  <a:t>) + 4 log (r</a:t>
                </a:r>
                <a:r>
                  <a:rPr lang="en-NZ" sz="1200" b="1" i="0" u="none" strike="noStrike" baseline="-25000">
                    <a:solidFill>
                      <a:srgbClr val="000000"/>
                    </a:solidFill>
                    <a:latin typeface="Arial"/>
                    <a:cs typeface="Arial"/>
                  </a:rPr>
                  <a:t>H2</a:t>
                </a:r>
                <a:r>
                  <a:rPr lang="en-NZ" sz="1200" b="1" i="0" u="none" strike="noStrike" baseline="0">
                    <a:solidFill>
                      <a:srgbClr val="000000"/>
                    </a:solidFill>
                    <a:latin typeface="Arial"/>
                    <a:cs typeface="Arial"/>
                  </a:rPr>
                  <a:t>) - log (r</a:t>
                </a:r>
                <a:r>
                  <a:rPr lang="en-NZ" sz="1200" b="1" i="0" u="none" strike="noStrike" baseline="-25000">
                    <a:solidFill>
                      <a:srgbClr val="000000"/>
                    </a:solidFill>
                    <a:latin typeface="Arial"/>
                    <a:cs typeface="Arial"/>
                  </a:rPr>
                  <a:t>CH4</a:t>
                </a:r>
                <a:r>
                  <a:rPr lang="en-NZ" sz="1200" b="1" i="0" u="none" strike="noStrike" baseline="0">
                    <a:solidFill>
                      <a:srgbClr val="000000"/>
                    </a:solidFill>
                    <a:latin typeface="Arial"/>
                    <a:cs typeface="Arial"/>
                  </a:rPr>
                  <a:t>)  (WG 1980)</a:t>
                </a:r>
              </a:p>
            </c:rich>
          </c:tx>
          <c:layout>
            <c:manualLayout>
              <c:xMode val="edge"/>
              <c:yMode val="edge"/>
              <c:x val="0.33795307086614185"/>
              <c:y val="0.9508197145618742"/>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80510976"/>
        <c:crossesAt val="-25"/>
        <c:crossBetween val="midCat"/>
        <c:majorUnit val="4"/>
        <c:minorUnit val="1"/>
      </c:valAx>
      <c:valAx>
        <c:axId val="80510976"/>
        <c:scaling>
          <c:orientation val="minMax"/>
          <c:max val="-4"/>
          <c:min val="-13"/>
        </c:scaling>
        <c:delete val="0"/>
        <c:axPos val="l"/>
        <c:title>
          <c:tx>
            <c:rich>
              <a:bodyPr/>
              <a:lstStyle/>
              <a:p>
                <a:pPr>
                  <a:defRPr sz="1000" b="0" i="0" u="none" strike="noStrike" baseline="0">
                    <a:solidFill>
                      <a:srgbClr val="000000"/>
                    </a:solidFill>
                    <a:latin typeface="Arial"/>
                    <a:ea typeface="Arial"/>
                    <a:cs typeface="Arial"/>
                  </a:defRPr>
                </a:pPr>
                <a:r>
                  <a:rPr lang="en-NZ" sz="1200" b="1" i="0" u="none" strike="noStrike" baseline="0">
                    <a:solidFill>
                      <a:srgbClr val="000000"/>
                    </a:solidFill>
                    <a:latin typeface="Arial"/>
                    <a:cs typeface="Arial"/>
                  </a:rPr>
                  <a:t>HSH  3log (r</a:t>
                </a:r>
                <a:r>
                  <a:rPr lang="en-NZ" sz="1200" b="1" i="0" u="none" strike="noStrike" baseline="-25000">
                    <a:solidFill>
                      <a:srgbClr val="000000"/>
                    </a:solidFill>
                    <a:latin typeface="Arial"/>
                    <a:cs typeface="Arial"/>
                  </a:rPr>
                  <a:t>H2S</a:t>
                </a:r>
                <a:r>
                  <a:rPr lang="en-NZ" sz="1200" b="1" i="0" u="none" strike="noStrike" baseline="0">
                    <a:solidFill>
                      <a:srgbClr val="000000"/>
                    </a:solidFill>
                    <a:latin typeface="Arial"/>
                    <a:cs typeface="Arial"/>
                  </a:rPr>
                  <a:t>) - log(r</a:t>
                </a:r>
                <a:r>
                  <a:rPr lang="en-NZ" sz="1200" b="1" i="0" u="none" strike="noStrike" baseline="-25000">
                    <a:solidFill>
                      <a:srgbClr val="000000"/>
                    </a:solidFill>
                    <a:latin typeface="Arial"/>
                    <a:cs typeface="Arial"/>
                  </a:rPr>
                  <a:t>H2</a:t>
                </a:r>
                <a:r>
                  <a:rPr lang="en-NZ" sz="1200" b="1" i="0" u="none" strike="noStrike" baseline="0">
                    <a:solidFill>
                      <a:srgbClr val="000000"/>
                    </a:solidFill>
                    <a:latin typeface="Arial"/>
                    <a:cs typeface="Arial"/>
                  </a:rPr>
                  <a:t>)  (WG 1980)</a:t>
                </a:r>
              </a:p>
            </c:rich>
          </c:tx>
          <c:layout>
            <c:manualLayout>
              <c:xMode val="edge"/>
              <c:yMode val="edge"/>
              <c:x val="1.5991496062992126E-2"/>
              <c:y val="0.2682563523935471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80488320"/>
        <c:crossesAt val="-35"/>
        <c:crossBetween val="midCat"/>
        <c:majorUnit val="1"/>
        <c:minorUnit val="1"/>
      </c:valAx>
      <c:spPr>
        <a:noFill/>
        <a:ln w="12700">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2874432677763"/>
          <c:y val="4.3376318874560373E-2"/>
          <c:w val="0.85930408472012099"/>
          <c:h val="0.88628370457209849"/>
        </c:manualLayout>
      </c:layout>
      <c:scatterChart>
        <c:scatterStyle val="smoothMarker"/>
        <c:varyColors val="0"/>
        <c:ser>
          <c:idx val="0"/>
          <c:order val="0"/>
          <c:tx>
            <c:v>vapor</c:v>
          </c:tx>
          <c:spPr>
            <a:ln w="12700">
              <a:solidFill>
                <a:srgbClr val="424242"/>
              </a:solidFill>
              <a:prstDash val="solid"/>
            </a:ln>
          </c:spPr>
          <c:marker>
            <c:symbol val="none"/>
          </c:marker>
          <c:xVal>
            <c:numRef>
              <c:f>Ggrid!$J$128:$J$133</c:f>
              <c:numCache>
                <c:formatCode>0.00</c:formatCode>
                <c:ptCount val="6"/>
                <c:pt idx="0">
                  <c:v>-6.3418096514745308</c:v>
                </c:pt>
                <c:pt idx="1">
                  <c:v>-5.6294208037825051</c:v>
                </c:pt>
                <c:pt idx="2">
                  <c:v>-5.0676427061310783</c:v>
                </c:pt>
                <c:pt idx="3">
                  <c:v>-4.6132791586998092</c:v>
                </c:pt>
                <c:pt idx="4">
                  <c:v>-4.2382111692844671</c:v>
                </c:pt>
                <c:pt idx="5">
                  <c:v>-3.9233467094703047</c:v>
                </c:pt>
              </c:numCache>
            </c:numRef>
          </c:xVal>
          <c:yVal>
            <c:numRef>
              <c:f>Ggrid!$J$148:$J$153</c:f>
              <c:numCache>
                <c:formatCode>0.00</c:formatCode>
                <c:ptCount val="6"/>
                <c:pt idx="0">
                  <c:v>2.8250804289544238</c:v>
                </c:pt>
                <c:pt idx="1">
                  <c:v>1.1832269503546105</c:v>
                </c:pt>
                <c:pt idx="2">
                  <c:v>-0.11151162790697633</c:v>
                </c:pt>
                <c:pt idx="3">
                  <c:v>-1.1586902485659643</c:v>
                </c:pt>
                <c:pt idx="4">
                  <c:v>-2.0231151832460732</c:v>
                </c:pt>
                <c:pt idx="5">
                  <c:v>-2.7487881219903691</c:v>
                </c:pt>
              </c:numCache>
            </c:numRef>
          </c:yVal>
          <c:smooth val="1"/>
        </c:ser>
        <c:ser>
          <c:idx val="1"/>
          <c:order val="1"/>
          <c:tx>
            <c:v>liquid</c:v>
          </c:tx>
          <c:spPr>
            <a:ln w="12700">
              <a:solidFill>
                <a:srgbClr val="424242"/>
              </a:solidFill>
              <a:prstDash val="solid"/>
            </a:ln>
          </c:spPr>
          <c:marker>
            <c:symbol val="none"/>
          </c:marker>
          <c:dLbls>
            <c:dLbl>
              <c:idx val="0"/>
              <c:tx>
                <c:strRef>
                  <c:f>Ggrid!$A$128</c:f>
                  <c:strCache>
                    <c:ptCount val="1"/>
                    <c:pt idx="0">
                      <c:v>100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1"/>
              <c:tx>
                <c:strRef>
                  <c:f>Ggrid!$A$129</c:f>
                  <c:strCache>
                    <c:ptCount val="1"/>
                    <c:pt idx="0">
                      <c:v>150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2"/>
              <c:tx>
                <c:strRef>
                  <c:f>Ggrid!$A$130</c:f>
                  <c:strCache>
                    <c:ptCount val="1"/>
                    <c:pt idx="0">
                      <c:v>200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3"/>
              <c:tx>
                <c:strRef>
                  <c:f>Ggrid!$A$131</c:f>
                  <c:strCache>
                    <c:ptCount val="1"/>
                    <c:pt idx="0">
                      <c:v>250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4"/>
              <c:tx>
                <c:strRef>
                  <c:f>Ggrid!$A$132</c:f>
                  <c:strCache>
                    <c:ptCount val="1"/>
                    <c:pt idx="0">
                      <c:v>300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dLbl>
              <c:idx val="5"/>
              <c:tx>
                <c:strRef>
                  <c:f>Ggrid!$A$133</c:f>
                  <c:strCache>
                    <c:ptCount val="1"/>
                    <c:pt idx="0">
                      <c:v>350</c:v>
                    </c:pt>
                  </c:strCache>
                </c:strRef>
              </c:tx>
              <c:spPr>
                <a:noFill/>
                <a:ln w="25400">
                  <a:noFill/>
                </a:ln>
              </c:spPr>
              <c:txPr>
                <a:bodyPr rot="-1800000" vert="horz"/>
                <a:lstStyle/>
                <a:p>
                  <a:pPr algn="ctr">
                    <a:defRPr sz="1150" b="0" i="0" u="none" strike="noStrike" baseline="0">
                      <a:solidFill>
                        <a:srgbClr val="424242"/>
                      </a:solidFill>
                      <a:latin typeface="Arial"/>
                      <a:ea typeface="Arial"/>
                      <a:cs typeface="Arial"/>
                    </a:defRPr>
                  </a:pPr>
                  <a:endParaRPr lang="en-US"/>
                </a:p>
              </c:txPr>
              <c:dLblPos val="r"/>
              <c:showLegendKey val="0"/>
              <c:showVal val="0"/>
              <c:showCatName val="0"/>
              <c:showSerName val="0"/>
              <c:showPercent val="0"/>
              <c:showBubbleSize val="0"/>
            </c:dLbl>
            <c:showLegendKey val="0"/>
            <c:showVal val="0"/>
            <c:showCatName val="0"/>
            <c:showSerName val="0"/>
            <c:showPercent val="0"/>
            <c:showBubbleSize val="0"/>
          </c:dLbls>
          <c:xVal>
            <c:numRef>
              <c:f>Ggrid!$K$128:$K$133</c:f>
              <c:numCache>
                <c:formatCode>0.00</c:formatCode>
                <c:ptCount val="6"/>
                <c:pt idx="0">
                  <c:v>-7.6038096514745313</c:v>
                </c:pt>
                <c:pt idx="1">
                  <c:v>-6.7434208037825059</c:v>
                </c:pt>
                <c:pt idx="2">
                  <c:v>-6.0336427061310793</c:v>
                </c:pt>
                <c:pt idx="3">
                  <c:v>-5.4312791586998097</c:v>
                </c:pt>
                <c:pt idx="4">
                  <c:v>-4.9082111692844679</c:v>
                </c:pt>
                <c:pt idx="5">
                  <c:v>-4.4453467094703054</c:v>
                </c:pt>
              </c:numCache>
            </c:numRef>
          </c:xVal>
          <c:yVal>
            <c:numRef>
              <c:f>Ggrid!$K$148:$K$153</c:f>
              <c:numCache>
                <c:formatCode>0.00</c:formatCode>
                <c:ptCount val="6"/>
                <c:pt idx="0">
                  <c:v>1.797080428954424</c:v>
                </c:pt>
                <c:pt idx="1">
                  <c:v>0.30072695035460995</c:v>
                </c:pt>
                <c:pt idx="2">
                  <c:v>-0.84851162790697621</c:v>
                </c:pt>
                <c:pt idx="3">
                  <c:v>-1.7501902485659642</c:v>
                </c:pt>
                <c:pt idx="4">
                  <c:v>-2.4691151832460729</c:v>
                </c:pt>
                <c:pt idx="5">
                  <c:v>-3.0492881219903682</c:v>
                </c:pt>
              </c:numCache>
            </c:numRef>
          </c:yVal>
          <c:smooth val="1"/>
        </c:ser>
        <c:ser>
          <c:idx val="2"/>
          <c:order val="2"/>
          <c:tx>
            <c:v>100</c:v>
          </c:tx>
          <c:spPr>
            <a:ln w="12700">
              <a:solidFill>
                <a:srgbClr val="424242"/>
              </a:solidFill>
              <a:prstDash val="solid"/>
            </a:ln>
          </c:spPr>
          <c:marker>
            <c:symbol val="none"/>
          </c:marker>
          <c:dLbls>
            <c:dLbl>
              <c:idx val="0"/>
              <c:delete val="1"/>
            </c:dLbl>
            <c:dLbl>
              <c:idx val="1"/>
              <c:delete val="1"/>
            </c:dLbl>
            <c:dLbl>
              <c:idx val="2"/>
              <c:layout>
                <c:manualLayout>
                  <c:x val="-3.8797211959879431E-2"/>
                  <c:y val="6.5642471546951839E-2"/>
                </c:manualLayout>
              </c:layout>
              <c:tx>
                <c:rich>
                  <a:bodyPr/>
                  <a:lstStyle/>
                  <a:p>
                    <a:r>
                      <a:rPr lang="en-NZ"/>
                      <a:t>Equilibrated Vapor </a:t>
                    </a:r>
                  </a:p>
                </c:rich>
              </c:tx>
              <c:dLblPos val="r"/>
              <c:showLegendKey val="0"/>
              <c:showVal val="0"/>
              <c:showCatName val="0"/>
              <c:showSerName val="0"/>
              <c:showPercent val="0"/>
              <c:showBubbleSize val="0"/>
            </c:dLbl>
            <c:dLbl>
              <c:idx val="3"/>
              <c:layout>
                <c:manualLayout>
                  <c:x val="-4.6823511660134778E-2"/>
                  <c:y val="7.1907271848932183E-2"/>
                </c:manualLayout>
              </c:layout>
              <c:tx>
                <c:rich>
                  <a:bodyPr rot="3660000" vert="horz"/>
                  <a:lstStyle/>
                  <a:p>
                    <a:pPr algn="l">
                      <a:defRPr sz="1150" b="1" i="1" u="none" strike="noStrike" baseline="0">
                        <a:solidFill>
                          <a:srgbClr val="424242"/>
                        </a:solidFill>
                        <a:latin typeface="Arial"/>
                        <a:ea typeface="Arial"/>
                        <a:cs typeface="Arial"/>
                      </a:defRPr>
                    </a:pPr>
                    <a:r>
                      <a:rPr lang="en-NZ"/>
                      <a:t>Equilibrated Liquid 
              </a:t>
                    </a:r>
                  </a:p>
                </c:rich>
              </c:tx>
              <c:spPr>
                <a:noFill/>
                <a:ln w="25400">
                  <a:noFill/>
                </a:ln>
              </c:spPr>
              <c:dLblPos val="r"/>
              <c:showLegendKey val="0"/>
              <c:showVal val="0"/>
              <c:showCatName val="0"/>
              <c:showSerName val="0"/>
              <c:showPercent val="0"/>
              <c:showBubbleSize val="0"/>
            </c:dLbl>
            <c:dLbl>
              <c:idx val="4"/>
              <c:delete val="1"/>
            </c:dLbl>
            <c:dLbl>
              <c:idx val="5"/>
              <c:delete val="1"/>
            </c:dLbl>
            <c:dLbl>
              <c:idx val="6"/>
              <c:delete val="1"/>
            </c:dLbl>
            <c:dLbl>
              <c:idx val="7"/>
              <c:delete val="1"/>
            </c:dLbl>
            <c:dLbl>
              <c:idx val="8"/>
              <c:delete val="1"/>
            </c:dLbl>
            <c:spPr>
              <a:noFill/>
              <a:ln w="25400">
                <a:noFill/>
              </a:ln>
            </c:spPr>
            <c:txPr>
              <a:bodyPr rot="3780000" vert="horz"/>
              <a:lstStyle/>
              <a:p>
                <a:pPr algn="l">
                  <a:defRPr sz="1150" b="1" i="1" u="none" strike="noStrike" baseline="0">
                    <a:solidFill>
                      <a:srgbClr val="424242"/>
                    </a:solidFill>
                    <a:latin typeface="Arial"/>
                    <a:ea typeface="Arial"/>
                    <a:cs typeface="Arial"/>
                  </a:defRPr>
                </a:pPr>
                <a:endParaRPr lang="en-US"/>
              </a:p>
            </c:txPr>
            <c:dLblPos val="ctr"/>
            <c:showLegendKey val="0"/>
            <c:showVal val="1"/>
            <c:showCatName val="0"/>
            <c:showSerName val="0"/>
            <c:showPercent val="0"/>
            <c:showBubbleSize val="0"/>
            <c:showLeaderLines val="0"/>
          </c:dLbls>
          <c:xVal>
            <c:numRef>
              <c:f>Ggrid!$H$128:$P$128</c:f>
              <c:numCache>
                <c:formatCode>0.00</c:formatCode>
                <c:ptCount val="9"/>
                <c:pt idx="0">
                  <c:v>-4.3418096514745308</c:v>
                </c:pt>
                <c:pt idx="1">
                  <c:v>-5.3418096514745308</c:v>
                </c:pt>
                <c:pt idx="2">
                  <c:v>-6.3418096514745308</c:v>
                </c:pt>
                <c:pt idx="3">
                  <c:v>-7.6038096514745313</c:v>
                </c:pt>
                <c:pt idx="4">
                  <c:v>-8.6038096514745313</c:v>
                </c:pt>
                <c:pt idx="5">
                  <c:v>-9.6038096514745313</c:v>
                </c:pt>
                <c:pt idx="6">
                  <c:v>-10.603809651474531</c:v>
                </c:pt>
                <c:pt idx="7">
                  <c:v>-12.603809651474531</c:v>
                </c:pt>
                <c:pt idx="8">
                  <c:v>-13.603809651474531</c:v>
                </c:pt>
              </c:numCache>
            </c:numRef>
          </c:xVal>
          <c:yVal>
            <c:numRef>
              <c:f>Ggrid!$H$148:$P$148</c:f>
              <c:numCache>
                <c:formatCode>0.00</c:formatCode>
                <c:ptCount val="9"/>
                <c:pt idx="0">
                  <c:v>10.825080428954424</c:v>
                </c:pt>
                <c:pt idx="1">
                  <c:v>6.8250804289544238</c:v>
                </c:pt>
                <c:pt idx="2">
                  <c:v>2.8250804289544238</c:v>
                </c:pt>
                <c:pt idx="3">
                  <c:v>1.797080428954424</c:v>
                </c:pt>
                <c:pt idx="4">
                  <c:v>-2.2029195710455758</c:v>
                </c:pt>
                <c:pt idx="5">
                  <c:v>-6.202919571045574</c:v>
                </c:pt>
                <c:pt idx="6">
                  <c:v>-10.202919571045575</c:v>
                </c:pt>
                <c:pt idx="7">
                  <c:v>-18.202919571045573</c:v>
                </c:pt>
                <c:pt idx="8">
                  <c:v>-22.20291957104558</c:v>
                </c:pt>
              </c:numCache>
            </c:numRef>
          </c:yVal>
          <c:smooth val="0"/>
        </c:ser>
        <c:ser>
          <c:idx val="3"/>
          <c:order val="3"/>
          <c:tx>
            <c:v>150</c:v>
          </c:tx>
          <c:spPr>
            <a:ln w="12700">
              <a:solidFill>
                <a:srgbClr val="424242"/>
              </a:solidFill>
              <a:prstDash val="solid"/>
            </a:ln>
          </c:spPr>
          <c:marker>
            <c:symbol val="none"/>
          </c:marker>
          <c:xVal>
            <c:numRef>
              <c:f>Ggrid!$G$129:$P$129</c:f>
              <c:numCache>
                <c:formatCode>0.00</c:formatCode>
                <c:ptCount val="10"/>
                <c:pt idx="0">
                  <c:v>-2.6294208037825055</c:v>
                </c:pt>
                <c:pt idx="1">
                  <c:v>-3.6294208037825055</c:v>
                </c:pt>
                <c:pt idx="2">
                  <c:v>-4.6294208037825051</c:v>
                </c:pt>
                <c:pt idx="3">
                  <c:v>-5.6294208037825051</c:v>
                </c:pt>
                <c:pt idx="4">
                  <c:v>-6.7434208037825059</c:v>
                </c:pt>
                <c:pt idx="5">
                  <c:v>-7.7434208037825059</c:v>
                </c:pt>
                <c:pt idx="6">
                  <c:v>-8.7434208037825059</c:v>
                </c:pt>
                <c:pt idx="7">
                  <c:v>-9.7434208037825059</c:v>
                </c:pt>
                <c:pt idx="8">
                  <c:v>-11.743420803782506</c:v>
                </c:pt>
                <c:pt idx="9">
                  <c:v>-12.743420803782508</c:v>
                </c:pt>
              </c:numCache>
            </c:numRef>
          </c:xVal>
          <c:yVal>
            <c:numRef>
              <c:f>Ggrid!$G$149:$P$149</c:f>
              <c:numCache>
                <c:formatCode>0.00</c:formatCode>
                <c:ptCount val="10"/>
                <c:pt idx="0">
                  <c:v>13.18322695035461</c:v>
                </c:pt>
                <c:pt idx="1">
                  <c:v>9.1832269503546105</c:v>
                </c:pt>
                <c:pt idx="2">
                  <c:v>5.1832269503546105</c:v>
                </c:pt>
                <c:pt idx="3">
                  <c:v>1.1832269503546105</c:v>
                </c:pt>
                <c:pt idx="4">
                  <c:v>0.30072695035460995</c:v>
                </c:pt>
                <c:pt idx="5">
                  <c:v>-3.6992730496453898</c:v>
                </c:pt>
                <c:pt idx="6">
                  <c:v>-7.6992730496453881</c:v>
                </c:pt>
                <c:pt idx="7">
                  <c:v>-11.699273049645388</c:v>
                </c:pt>
                <c:pt idx="8">
                  <c:v>-19.699273049645388</c:v>
                </c:pt>
                <c:pt idx="9">
                  <c:v>-23.699273049645395</c:v>
                </c:pt>
              </c:numCache>
            </c:numRef>
          </c:yVal>
          <c:smooth val="0"/>
        </c:ser>
        <c:ser>
          <c:idx val="5"/>
          <c:order val="4"/>
          <c:tx>
            <c:v>200</c:v>
          </c:tx>
          <c:spPr>
            <a:ln w="12700">
              <a:solidFill>
                <a:srgbClr val="424242"/>
              </a:solidFill>
              <a:prstDash val="solid"/>
            </a:ln>
          </c:spPr>
          <c:marker>
            <c:symbol val="none"/>
          </c:marker>
          <c:xVal>
            <c:numRef>
              <c:f>Ggrid!$G$130:$P$130</c:f>
              <c:numCache>
                <c:formatCode>0.00</c:formatCode>
                <c:ptCount val="10"/>
                <c:pt idx="0">
                  <c:v>-2.0676427061310778</c:v>
                </c:pt>
                <c:pt idx="1">
                  <c:v>-3.0676427061310778</c:v>
                </c:pt>
                <c:pt idx="2">
                  <c:v>-4.0676427061310783</c:v>
                </c:pt>
                <c:pt idx="3">
                  <c:v>-5.0676427061310783</c:v>
                </c:pt>
                <c:pt idx="4">
                  <c:v>-6.0336427061310793</c:v>
                </c:pt>
                <c:pt idx="5">
                  <c:v>-7.0336427061310793</c:v>
                </c:pt>
                <c:pt idx="6">
                  <c:v>-8.0336427061310793</c:v>
                </c:pt>
                <c:pt idx="7">
                  <c:v>-9.0336427061310793</c:v>
                </c:pt>
                <c:pt idx="8">
                  <c:v>-11.033642706131079</c:v>
                </c:pt>
                <c:pt idx="9">
                  <c:v>-12.033642706131079</c:v>
                </c:pt>
              </c:numCache>
            </c:numRef>
          </c:xVal>
          <c:yVal>
            <c:numRef>
              <c:f>Ggrid!$G$150:$P$150</c:f>
              <c:numCache>
                <c:formatCode>0.00</c:formatCode>
                <c:ptCount val="10"/>
                <c:pt idx="0">
                  <c:v>11.888488372093024</c:v>
                </c:pt>
                <c:pt idx="1">
                  <c:v>7.8884883720930237</c:v>
                </c:pt>
                <c:pt idx="2">
                  <c:v>3.8884883720930237</c:v>
                </c:pt>
                <c:pt idx="3">
                  <c:v>-0.11151162790697633</c:v>
                </c:pt>
                <c:pt idx="4">
                  <c:v>-0.84851162790697621</c:v>
                </c:pt>
                <c:pt idx="5">
                  <c:v>-4.8485116279069764</c:v>
                </c:pt>
                <c:pt idx="6">
                  <c:v>-8.8485116279069747</c:v>
                </c:pt>
                <c:pt idx="7">
                  <c:v>-12.848511627906975</c:v>
                </c:pt>
                <c:pt idx="8">
                  <c:v>-20.848511627906973</c:v>
                </c:pt>
                <c:pt idx="9">
                  <c:v>-24.84851162790698</c:v>
                </c:pt>
              </c:numCache>
            </c:numRef>
          </c:yVal>
          <c:smooth val="0"/>
        </c:ser>
        <c:ser>
          <c:idx val="4"/>
          <c:order val="5"/>
          <c:tx>
            <c:v>250</c:v>
          </c:tx>
          <c:spPr>
            <a:ln w="12700">
              <a:solidFill>
                <a:srgbClr val="424242"/>
              </a:solidFill>
              <a:prstDash val="solid"/>
            </a:ln>
          </c:spPr>
          <c:marker>
            <c:symbol val="none"/>
          </c:marker>
          <c:xVal>
            <c:numRef>
              <c:f>Ggrid!$F$131:$P$131</c:f>
              <c:numCache>
                <c:formatCode>0.00</c:formatCode>
                <c:ptCount val="11"/>
                <c:pt idx="0">
                  <c:v>-0.61327915869980876</c:v>
                </c:pt>
                <c:pt idx="1">
                  <c:v>-1.6132791586998088</c:v>
                </c:pt>
                <c:pt idx="2">
                  <c:v>-2.6132791586998088</c:v>
                </c:pt>
                <c:pt idx="3">
                  <c:v>-3.6132791586998088</c:v>
                </c:pt>
                <c:pt idx="4">
                  <c:v>-4.6132791586998092</c:v>
                </c:pt>
                <c:pt idx="5">
                  <c:v>-5.4312791586998097</c:v>
                </c:pt>
                <c:pt idx="6">
                  <c:v>-6.4312791586998097</c:v>
                </c:pt>
                <c:pt idx="7">
                  <c:v>-7.4312791586998097</c:v>
                </c:pt>
                <c:pt idx="8">
                  <c:v>-8.4312791586998106</c:v>
                </c:pt>
                <c:pt idx="9">
                  <c:v>-10.431279158699809</c:v>
                </c:pt>
                <c:pt idx="10">
                  <c:v>-11.431279158699812</c:v>
                </c:pt>
              </c:numCache>
            </c:numRef>
          </c:xVal>
          <c:yVal>
            <c:numRef>
              <c:f>Ggrid!$F$151:$P$151</c:f>
              <c:numCache>
                <c:formatCode>0.00</c:formatCode>
                <c:ptCount val="11"/>
                <c:pt idx="0">
                  <c:v>14.841309751434036</c:v>
                </c:pt>
                <c:pt idx="1">
                  <c:v>10.841309751434036</c:v>
                </c:pt>
                <c:pt idx="2">
                  <c:v>6.8413097514340357</c:v>
                </c:pt>
                <c:pt idx="3">
                  <c:v>2.8413097514340357</c:v>
                </c:pt>
                <c:pt idx="4">
                  <c:v>-1.1586902485659643</c:v>
                </c:pt>
                <c:pt idx="5">
                  <c:v>-1.7501902485659642</c:v>
                </c:pt>
                <c:pt idx="6">
                  <c:v>-5.7501902485659642</c:v>
                </c:pt>
                <c:pt idx="7">
                  <c:v>-9.7501902485659624</c:v>
                </c:pt>
                <c:pt idx="8">
                  <c:v>-13.750190248565962</c:v>
                </c:pt>
                <c:pt idx="9">
                  <c:v>-21.750190248565961</c:v>
                </c:pt>
                <c:pt idx="10">
                  <c:v>-25.750190248565968</c:v>
                </c:pt>
              </c:numCache>
            </c:numRef>
          </c:yVal>
          <c:smooth val="0"/>
        </c:ser>
        <c:ser>
          <c:idx val="6"/>
          <c:order val="6"/>
          <c:tx>
            <c:v>300</c:v>
          </c:tx>
          <c:spPr>
            <a:ln w="12700">
              <a:solidFill>
                <a:srgbClr val="424242"/>
              </a:solidFill>
              <a:prstDash val="solid"/>
            </a:ln>
          </c:spPr>
          <c:marker>
            <c:symbol val="none"/>
          </c:marker>
          <c:xVal>
            <c:numRef>
              <c:f>Ggrid!$G$132:$P$132</c:f>
              <c:numCache>
                <c:formatCode>0.00</c:formatCode>
                <c:ptCount val="10"/>
                <c:pt idx="0">
                  <c:v>-1.2382111692844675</c:v>
                </c:pt>
                <c:pt idx="1">
                  <c:v>-2.2382111692844675</c:v>
                </c:pt>
                <c:pt idx="2">
                  <c:v>-3.2382111692844675</c:v>
                </c:pt>
                <c:pt idx="3">
                  <c:v>-4.2382111692844671</c:v>
                </c:pt>
                <c:pt idx="4">
                  <c:v>-4.9082111692844679</c:v>
                </c:pt>
                <c:pt idx="5">
                  <c:v>-5.9082111692844679</c:v>
                </c:pt>
                <c:pt idx="6">
                  <c:v>-6.9082111692844679</c:v>
                </c:pt>
                <c:pt idx="7">
                  <c:v>-7.9082111692844679</c:v>
                </c:pt>
                <c:pt idx="8">
                  <c:v>-9.9082111692844688</c:v>
                </c:pt>
                <c:pt idx="9">
                  <c:v>-10.908211169284471</c:v>
                </c:pt>
              </c:numCache>
            </c:numRef>
          </c:xVal>
          <c:yVal>
            <c:numRef>
              <c:f>Ggrid!$G$152:$P$152</c:f>
              <c:numCache>
                <c:formatCode>0.00</c:formatCode>
                <c:ptCount val="10"/>
                <c:pt idx="0">
                  <c:v>9.9768848167539268</c:v>
                </c:pt>
                <c:pt idx="1">
                  <c:v>5.9768848167539268</c:v>
                </c:pt>
                <c:pt idx="2">
                  <c:v>1.9768848167539268</c:v>
                </c:pt>
                <c:pt idx="3">
                  <c:v>-2.0231151832460732</c:v>
                </c:pt>
                <c:pt idx="4">
                  <c:v>-2.4691151832460729</c:v>
                </c:pt>
                <c:pt idx="5">
                  <c:v>-6.4691151832460729</c:v>
                </c:pt>
                <c:pt idx="6">
                  <c:v>-10.469115183246071</c:v>
                </c:pt>
                <c:pt idx="7">
                  <c:v>-14.469115183246071</c:v>
                </c:pt>
                <c:pt idx="8">
                  <c:v>-22.469115183246071</c:v>
                </c:pt>
                <c:pt idx="9">
                  <c:v>-26.469115183246078</c:v>
                </c:pt>
              </c:numCache>
            </c:numRef>
          </c:yVal>
          <c:smooth val="0"/>
        </c:ser>
        <c:ser>
          <c:idx val="7"/>
          <c:order val="7"/>
          <c:tx>
            <c:v>350</c:v>
          </c:tx>
          <c:spPr>
            <a:ln w="12700">
              <a:solidFill>
                <a:srgbClr val="424242"/>
              </a:solidFill>
              <a:prstDash val="solid"/>
            </a:ln>
          </c:spPr>
          <c:marker>
            <c:symbol val="none"/>
          </c:marker>
          <c:xVal>
            <c:numRef>
              <c:f>Ggrid!$G$133:$P$133</c:f>
              <c:numCache>
                <c:formatCode>0.00</c:formatCode>
                <c:ptCount val="10"/>
                <c:pt idx="0">
                  <c:v>-0.92334670947030473</c:v>
                </c:pt>
                <c:pt idx="1">
                  <c:v>-1.9233467094703047</c:v>
                </c:pt>
                <c:pt idx="2">
                  <c:v>-2.9233467094703047</c:v>
                </c:pt>
                <c:pt idx="3">
                  <c:v>-3.9233467094703047</c:v>
                </c:pt>
                <c:pt idx="4">
                  <c:v>-4.4453467094703054</c:v>
                </c:pt>
                <c:pt idx="5">
                  <c:v>-5.4453467094703063</c:v>
                </c:pt>
                <c:pt idx="6">
                  <c:v>-6.4453467094703063</c:v>
                </c:pt>
                <c:pt idx="7">
                  <c:v>-7.4453467094703063</c:v>
                </c:pt>
                <c:pt idx="8">
                  <c:v>-9.4453467094703054</c:v>
                </c:pt>
                <c:pt idx="9">
                  <c:v>-10.445346709470305</c:v>
                </c:pt>
              </c:numCache>
            </c:numRef>
          </c:xVal>
          <c:yVal>
            <c:numRef>
              <c:f>Ggrid!$G$153:$P$153</c:f>
              <c:numCache>
                <c:formatCode>0.00</c:formatCode>
                <c:ptCount val="10"/>
                <c:pt idx="0">
                  <c:v>9.2512118780096309</c:v>
                </c:pt>
                <c:pt idx="1">
                  <c:v>5.2512118780096309</c:v>
                </c:pt>
                <c:pt idx="2">
                  <c:v>1.2512118780096309</c:v>
                </c:pt>
                <c:pt idx="3">
                  <c:v>-2.7487881219903691</c:v>
                </c:pt>
                <c:pt idx="4">
                  <c:v>-3.0492881219903682</c:v>
                </c:pt>
                <c:pt idx="5">
                  <c:v>-7.0492881219903687</c:v>
                </c:pt>
                <c:pt idx="6">
                  <c:v>-11.049288121990367</c:v>
                </c:pt>
                <c:pt idx="7">
                  <c:v>-15.049288121990367</c:v>
                </c:pt>
                <c:pt idx="8">
                  <c:v>-23.049288121990365</c:v>
                </c:pt>
                <c:pt idx="9">
                  <c:v>-27.049288121990372</c:v>
                </c:pt>
              </c:numCache>
            </c:numRef>
          </c:yVal>
          <c:smooth val="0"/>
        </c:ser>
        <c:ser>
          <c:idx val="15"/>
          <c:order val="8"/>
          <c:tx>
            <c:v>data</c:v>
          </c:tx>
          <c:spPr>
            <a:ln w="28575">
              <a:noFill/>
            </a:ln>
          </c:spPr>
          <c:marker>
            <c:symbol val="diamond"/>
            <c:size val="7"/>
            <c:spPr>
              <a:solidFill>
                <a:srgbClr val="FF0000"/>
              </a:solidFill>
              <a:ln>
                <a:solidFill>
                  <a:srgbClr val="FF0000"/>
                </a:solidFill>
                <a:prstDash val="solid"/>
              </a:ln>
            </c:spPr>
          </c:marker>
          <c:dLbls>
            <c:dLbl>
              <c:idx val="0"/>
              <c:tx>
                <c:strRef>
                  <c:f>input!$AN$11</c:f>
                  <c:strCache>
                    <c:ptCount val="1"/>
                  </c:strCache>
                </c:strRef>
              </c:tx>
              <c:dLblPos val="t"/>
              <c:showLegendKey val="0"/>
              <c:showVal val="0"/>
              <c:showCatName val="0"/>
              <c:showSerName val="0"/>
              <c:showPercent val="0"/>
              <c:showBubbleSize val="0"/>
            </c:dLbl>
            <c:dLbl>
              <c:idx val="1"/>
              <c:tx>
                <c:strRef>
                  <c:f>input!$AN$12</c:f>
                  <c:strCache>
                    <c:ptCount val="1"/>
                  </c:strCache>
                </c:strRef>
              </c:tx>
              <c:dLblPos val="t"/>
              <c:showLegendKey val="0"/>
              <c:showVal val="0"/>
              <c:showCatName val="0"/>
              <c:showSerName val="0"/>
              <c:showPercent val="0"/>
              <c:showBubbleSize val="0"/>
            </c:dLbl>
            <c:dLbl>
              <c:idx val="2"/>
              <c:tx>
                <c:strRef>
                  <c:f>input!$AN$13</c:f>
                  <c:strCache>
                    <c:ptCount val="1"/>
                  </c:strCache>
                </c:strRef>
              </c:tx>
              <c:dLblPos val="t"/>
              <c:showLegendKey val="0"/>
              <c:showVal val="0"/>
              <c:showCatName val="0"/>
              <c:showSerName val="0"/>
              <c:showPercent val="0"/>
              <c:showBubbleSize val="0"/>
            </c:dLbl>
            <c:dLbl>
              <c:idx val="3"/>
              <c:tx>
                <c:strRef>
                  <c:f>input!$AN$14</c:f>
                  <c:strCache>
                    <c:ptCount val="1"/>
                  </c:strCache>
                </c:strRef>
              </c:tx>
              <c:dLblPos val="t"/>
              <c:showLegendKey val="0"/>
              <c:showVal val="0"/>
              <c:showCatName val="0"/>
              <c:showSerName val="0"/>
              <c:showPercent val="0"/>
              <c:showBubbleSize val="0"/>
            </c:dLbl>
            <c:dLbl>
              <c:idx val="4"/>
              <c:tx>
                <c:strRef>
                  <c:f>input!$AN$15</c:f>
                  <c:strCache>
                    <c:ptCount val="1"/>
                  </c:strCache>
                </c:strRef>
              </c:tx>
              <c:dLblPos val="t"/>
              <c:showLegendKey val="0"/>
              <c:showVal val="0"/>
              <c:showCatName val="0"/>
              <c:showSerName val="0"/>
              <c:showPercent val="0"/>
              <c:showBubbleSize val="0"/>
            </c:dLbl>
            <c:dLbl>
              <c:idx val="5"/>
              <c:tx>
                <c:strRef>
                  <c:f>input!$AN$16</c:f>
                  <c:strCache>
                    <c:ptCount val="1"/>
                  </c:strCache>
                </c:strRef>
              </c:tx>
              <c:dLblPos val="t"/>
              <c:showLegendKey val="0"/>
              <c:showVal val="0"/>
              <c:showCatName val="0"/>
              <c:showSerName val="0"/>
              <c:showPercent val="0"/>
              <c:showBubbleSize val="0"/>
            </c:dLbl>
            <c:dLbl>
              <c:idx val="6"/>
              <c:tx>
                <c:strRef>
                  <c:f>input!$AN$17</c:f>
                  <c:strCache>
                    <c:ptCount val="1"/>
                  </c:strCache>
                </c:strRef>
              </c:tx>
              <c:dLblPos val="t"/>
              <c:showLegendKey val="0"/>
              <c:showVal val="0"/>
              <c:showCatName val="0"/>
              <c:showSerName val="0"/>
              <c:showPercent val="0"/>
              <c:showBubbleSize val="0"/>
            </c:dLbl>
            <c:dLbl>
              <c:idx val="7"/>
              <c:tx>
                <c:strRef>
                  <c:f>input!$AN$18</c:f>
                  <c:strCache>
                    <c:ptCount val="1"/>
                  </c:strCache>
                </c:strRef>
              </c:tx>
              <c:dLblPos val="t"/>
              <c:showLegendKey val="0"/>
              <c:showVal val="0"/>
              <c:showCatName val="0"/>
              <c:showSerName val="0"/>
              <c:showPercent val="0"/>
              <c:showBubbleSize val="0"/>
            </c:dLbl>
            <c:dLbl>
              <c:idx val="8"/>
              <c:tx>
                <c:strRef>
                  <c:f>input!$AN$19</c:f>
                  <c:strCache>
                    <c:ptCount val="1"/>
                  </c:strCache>
                </c:strRef>
              </c:tx>
              <c:dLblPos val="t"/>
              <c:showLegendKey val="0"/>
              <c:showVal val="0"/>
              <c:showCatName val="0"/>
              <c:showSerName val="0"/>
              <c:showPercent val="0"/>
              <c:showBubbleSize val="0"/>
            </c:dLbl>
            <c:dLbl>
              <c:idx val="9"/>
              <c:tx>
                <c:strRef>
                  <c:f>input!$AN$20</c:f>
                  <c:strCache>
                    <c:ptCount val="1"/>
                  </c:strCache>
                </c:strRef>
              </c:tx>
              <c:dLblPos val="t"/>
              <c:showLegendKey val="0"/>
              <c:showVal val="0"/>
              <c:showCatName val="0"/>
              <c:showSerName val="0"/>
              <c:showPercent val="0"/>
              <c:showBubbleSize val="0"/>
            </c:dLbl>
            <c:dLbl>
              <c:idx val="10"/>
              <c:tx>
                <c:strRef>
                  <c:f>input!$AN$21</c:f>
                  <c:strCache>
                    <c:ptCount val="1"/>
                  </c:strCache>
                </c:strRef>
              </c:tx>
              <c:dLblPos val="t"/>
              <c:showLegendKey val="0"/>
              <c:showVal val="0"/>
              <c:showCatName val="0"/>
              <c:showSerName val="0"/>
              <c:showPercent val="0"/>
              <c:showBubbleSize val="0"/>
            </c:dLbl>
            <c:dLbl>
              <c:idx val="11"/>
              <c:tx>
                <c:strRef>
                  <c:f>input!$AN$22</c:f>
                  <c:strCache>
                    <c:ptCount val="1"/>
                  </c:strCache>
                </c:strRef>
              </c:tx>
              <c:dLblPos val="t"/>
              <c:showLegendKey val="0"/>
              <c:showVal val="0"/>
              <c:showCatName val="0"/>
              <c:showSerName val="0"/>
              <c:showPercent val="0"/>
              <c:showBubbleSize val="0"/>
            </c:dLbl>
            <c:dLbl>
              <c:idx val="12"/>
              <c:tx>
                <c:strRef>
                  <c:f>input!$AN$23</c:f>
                  <c:strCache>
                    <c:ptCount val="1"/>
                  </c:strCache>
                </c:strRef>
              </c:tx>
              <c:dLblPos val="t"/>
              <c:showLegendKey val="0"/>
              <c:showVal val="0"/>
              <c:showCatName val="0"/>
              <c:showSerName val="0"/>
              <c:showPercent val="0"/>
              <c:showBubbleSize val="0"/>
            </c:dLbl>
            <c:dLbl>
              <c:idx val="13"/>
              <c:tx>
                <c:strRef>
                  <c:f>input!$AN$24</c:f>
                  <c:strCache>
                    <c:ptCount val="1"/>
                  </c:strCache>
                </c:strRef>
              </c:tx>
              <c:dLblPos val="t"/>
              <c:showLegendKey val="0"/>
              <c:showVal val="0"/>
              <c:showCatName val="0"/>
              <c:showSerName val="0"/>
              <c:showPercent val="0"/>
              <c:showBubbleSize val="0"/>
            </c:dLbl>
            <c:dLbl>
              <c:idx val="14"/>
              <c:tx>
                <c:strRef>
                  <c:f>input!$AN$25</c:f>
                  <c:strCache>
                    <c:ptCount val="1"/>
                  </c:strCache>
                </c:strRef>
              </c:tx>
              <c:dLblPos val="t"/>
              <c:showLegendKey val="0"/>
              <c:showVal val="0"/>
              <c:showCatName val="0"/>
              <c:showSerName val="0"/>
              <c:showPercent val="0"/>
              <c:showBubbleSize val="0"/>
            </c:dLbl>
            <c:dLbl>
              <c:idx val="15"/>
              <c:tx>
                <c:strRef>
                  <c:f>input!$AN$26</c:f>
                  <c:strCache>
                    <c:ptCount val="1"/>
                  </c:strCache>
                </c:strRef>
              </c:tx>
              <c:dLblPos val="t"/>
              <c:showLegendKey val="0"/>
              <c:showVal val="0"/>
              <c:showCatName val="0"/>
              <c:showSerName val="0"/>
              <c:showPercent val="0"/>
              <c:showBubbleSize val="0"/>
            </c:dLbl>
            <c:dLbl>
              <c:idx val="16"/>
              <c:tx>
                <c:strRef>
                  <c:f>input!$AN$27</c:f>
                  <c:strCache>
                    <c:ptCount val="1"/>
                  </c:strCache>
                </c:strRef>
              </c:tx>
              <c:dLblPos val="t"/>
              <c:showLegendKey val="0"/>
              <c:showVal val="0"/>
              <c:showCatName val="0"/>
              <c:showSerName val="0"/>
              <c:showPercent val="0"/>
              <c:showBubbleSize val="0"/>
            </c:dLbl>
            <c:dLbl>
              <c:idx val="17"/>
              <c:tx>
                <c:strRef>
                  <c:f>input!$AN$28</c:f>
                  <c:strCache>
                    <c:ptCount val="1"/>
                  </c:strCache>
                </c:strRef>
              </c:tx>
              <c:dLblPos val="t"/>
              <c:showLegendKey val="0"/>
              <c:showVal val="0"/>
              <c:showCatName val="0"/>
              <c:showSerName val="0"/>
              <c:showPercent val="0"/>
              <c:showBubbleSize val="0"/>
            </c:dLbl>
            <c:dLbl>
              <c:idx val="18"/>
              <c:tx>
                <c:strRef>
                  <c:f>input!$AN$29</c:f>
                  <c:strCache>
                    <c:ptCount val="1"/>
                  </c:strCache>
                </c:strRef>
              </c:tx>
              <c:dLblPos val="t"/>
              <c:showLegendKey val="0"/>
              <c:showVal val="0"/>
              <c:showCatName val="0"/>
              <c:showSerName val="0"/>
              <c:showPercent val="0"/>
              <c:showBubbleSize val="0"/>
            </c:dLbl>
            <c:dLbl>
              <c:idx val="19"/>
              <c:tx>
                <c:strRef>
                  <c:f>input!$AN$30</c:f>
                  <c:strCache>
                    <c:ptCount val="1"/>
                  </c:strCache>
                </c:strRef>
              </c:tx>
              <c:dLblPos val="t"/>
              <c:showLegendKey val="0"/>
              <c:showVal val="0"/>
              <c:showCatName val="0"/>
              <c:showSerName val="0"/>
              <c:showPercent val="0"/>
              <c:showBubbleSize val="0"/>
            </c:dLbl>
            <c:dLbl>
              <c:idx val="20"/>
              <c:tx>
                <c:strRef>
                  <c:f>input!$AN$31</c:f>
                  <c:strCache>
                    <c:ptCount val="1"/>
                  </c:strCache>
                </c:strRef>
              </c:tx>
              <c:dLblPos val="t"/>
              <c:showLegendKey val="0"/>
              <c:showVal val="0"/>
              <c:showCatName val="0"/>
              <c:showSerName val="0"/>
              <c:showPercent val="0"/>
              <c:showBubbleSize val="0"/>
            </c:dLbl>
            <c:dLbl>
              <c:idx val="21"/>
              <c:tx>
                <c:strRef>
                  <c:f>input!$AN$32</c:f>
                  <c:strCache>
                    <c:ptCount val="1"/>
                  </c:strCache>
                </c:strRef>
              </c:tx>
              <c:dLblPos val="t"/>
              <c:showLegendKey val="0"/>
              <c:showVal val="0"/>
              <c:showCatName val="0"/>
              <c:showSerName val="0"/>
              <c:showPercent val="0"/>
              <c:showBubbleSize val="0"/>
            </c:dLbl>
            <c:dLbl>
              <c:idx val="22"/>
              <c:tx>
                <c:strRef>
                  <c:f>input!$AN$33</c:f>
                  <c:strCache>
                    <c:ptCount val="1"/>
                  </c:strCache>
                </c:strRef>
              </c:tx>
              <c:dLblPos val="t"/>
              <c:showLegendKey val="0"/>
              <c:showVal val="0"/>
              <c:showCatName val="0"/>
              <c:showSerName val="0"/>
              <c:showPercent val="0"/>
              <c:showBubbleSize val="0"/>
            </c:dLbl>
            <c:dLbl>
              <c:idx val="23"/>
              <c:tx>
                <c:strRef>
                  <c:f>input!$AN$34</c:f>
                  <c:strCache>
                    <c:ptCount val="1"/>
                  </c:strCache>
                </c:strRef>
              </c:tx>
              <c:dLblPos val="t"/>
              <c:showLegendKey val="0"/>
              <c:showVal val="0"/>
              <c:showCatName val="0"/>
              <c:showSerName val="0"/>
              <c:showPercent val="0"/>
              <c:showBubbleSize val="0"/>
            </c:dLbl>
            <c:dLbl>
              <c:idx val="24"/>
              <c:tx>
                <c:strRef>
                  <c:f>input!$AN$35</c:f>
                  <c:strCache>
                    <c:ptCount val="1"/>
                  </c:strCache>
                </c:strRef>
              </c:tx>
              <c:dLblPos val="t"/>
              <c:showLegendKey val="0"/>
              <c:showVal val="0"/>
              <c:showCatName val="0"/>
              <c:showSerName val="0"/>
              <c:showPercent val="0"/>
              <c:showBubbleSize val="0"/>
            </c:dLbl>
            <c:dLbl>
              <c:idx val="25"/>
              <c:tx>
                <c:strRef>
                  <c:f>input!$AN$36</c:f>
                  <c:strCache>
                    <c:ptCount val="1"/>
                  </c:strCache>
                </c:strRef>
              </c:tx>
              <c:dLblPos val="t"/>
              <c:showLegendKey val="0"/>
              <c:showVal val="0"/>
              <c:showCatName val="0"/>
              <c:showSerName val="0"/>
              <c:showPercent val="0"/>
              <c:showBubbleSize val="0"/>
            </c:dLbl>
            <c:dLbl>
              <c:idx val="26"/>
              <c:tx>
                <c:strRef>
                  <c:f>input!$AN$37</c:f>
                  <c:strCache>
                    <c:ptCount val="1"/>
                  </c:strCache>
                </c:strRef>
              </c:tx>
              <c:dLblPos val="t"/>
              <c:showLegendKey val="0"/>
              <c:showVal val="0"/>
              <c:showCatName val="0"/>
              <c:showSerName val="0"/>
              <c:showPercent val="0"/>
              <c:showBubbleSize val="0"/>
            </c:dLbl>
            <c:dLbl>
              <c:idx val="27"/>
              <c:tx>
                <c:strRef>
                  <c:f>input!$AN$38</c:f>
                  <c:strCache>
                    <c:ptCount val="1"/>
                  </c:strCache>
                </c:strRef>
              </c:tx>
              <c:dLblPos val="t"/>
              <c:showLegendKey val="0"/>
              <c:showVal val="0"/>
              <c:showCatName val="0"/>
              <c:showSerName val="0"/>
              <c:showPercent val="0"/>
              <c:showBubbleSize val="0"/>
            </c:dLbl>
            <c:dLbl>
              <c:idx val="28"/>
              <c:tx>
                <c:strRef>
                  <c:f>input!$AN$39</c:f>
                  <c:strCache>
                    <c:ptCount val="1"/>
                  </c:strCache>
                </c:strRef>
              </c:tx>
              <c:dLblPos val="t"/>
              <c:showLegendKey val="0"/>
              <c:showVal val="0"/>
              <c:showCatName val="0"/>
              <c:showSerName val="0"/>
              <c:showPercent val="0"/>
              <c:showBubbleSize val="0"/>
            </c:dLbl>
            <c:dLbl>
              <c:idx val="29"/>
              <c:tx>
                <c:strRef>
                  <c:f>input!$AN$40</c:f>
                  <c:strCache>
                    <c:ptCount val="1"/>
                  </c:strCache>
                </c:strRef>
              </c:tx>
              <c:dLblPos val="t"/>
              <c:showLegendKey val="0"/>
              <c:showVal val="0"/>
              <c:showCatName val="0"/>
              <c:showSerName val="0"/>
              <c:showPercent val="0"/>
              <c:showBubbleSize val="0"/>
            </c:dLbl>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input!$BI$11:$BI$40</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input!$BJ$11:$BJ$40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ser>
        <c:dLbls>
          <c:showLegendKey val="0"/>
          <c:showVal val="0"/>
          <c:showCatName val="0"/>
          <c:showSerName val="0"/>
          <c:showPercent val="0"/>
          <c:showBubbleSize val="0"/>
        </c:dLbls>
        <c:axId val="81738368"/>
        <c:axId val="81752832"/>
      </c:scatterChart>
      <c:valAx>
        <c:axId val="81738368"/>
        <c:scaling>
          <c:orientation val="minMax"/>
          <c:max val="-3"/>
          <c:min val="-10"/>
        </c:scaling>
        <c:delete val="0"/>
        <c:axPos val="b"/>
        <c:title>
          <c:tx>
            <c:rich>
              <a:bodyPr/>
              <a:lstStyle/>
              <a:p>
                <a:pPr>
                  <a:defRPr sz="800" b="0" i="0" u="none" strike="noStrike" baseline="0">
                    <a:solidFill>
                      <a:srgbClr val="000000"/>
                    </a:solidFill>
                    <a:latin typeface="Arial"/>
                    <a:ea typeface="Arial"/>
                    <a:cs typeface="Arial"/>
                  </a:defRPr>
                </a:pPr>
                <a:r>
                  <a:rPr lang="en-NZ" sz="1150" b="1" i="0" u="none" strike="noStrike" baseline="0">
                    <a:solidFill>
                      <a:srgbClr val="000000"/>
                    </a:solidFill>
                    <a:latin typeface="Arial"/>
                    <a:cs typeface="Arial"/>
                  </a:rPr>
                  <a:t>log(CO/CO</a:t>
                </a:r>
                <a:r>
                  <a:rPr lang="en-NZ" sz="1150" b="1" i="0" u="none" strike="noStrike" baseline="-25000">
                    <a:solidFill>
                      <a:srgbClr val="000000"/>
                    </a:solidFill>
                    <a:latin typeface="Arial"/>
                    <a:cs typeface="Arial"/>
                  </a:rPr>
                  <a:t>2</a:t>
                </a:r>
                <a:r>
                  <a:rPr lang="en-NZ" sz="1150" b="1" i="0" u="none" strike="noStrike" baseline="0">
                    <a:solidFill>
                      <a:srgbClr val="000000"/>
                    </a:solidFill>
                    <a:latin typeface="Arial"/>
                    <a:cs typeface="Arial"/>
                  </a:rPr>
                  <a:t>)</a:t>
                </a:r>
              </a:p>
            </c:rich>
          </c:tx>
          <c:layout>
            <c:manualLayout>
              <c:xMode val="edge"/>
              <c:yMode val="edge"/>
              <c:x val="0.48108917664912737"/>
              <c:y val="0.964829969397930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81752832"/>
        <c:crossesAt val="-6"/>
        <c:crossBetween val="midCat"/>
        <c:majorUnit val="1"/>
      </c:valAx>
      <c:valAx>
        <c:axId val="81752832"/>
        <c:scaling>
          <c:orientation val="minMax"/>
          <c:max val="4"/>
          <c:min val="-6"/>
        </c:scaling>
        <c:delete val="0"/>
        <c:axPos val="l"/>
        <c:title>
          <c:tx>
            <c:rich>
              <a:bodyPr/>
              <a:lstStyle/>
              <a:p>
                <a:pPr>
                  <a:defRPr sz="800" b="0" i="0" u="none" strike="noStrike" baseline="0">
                    <a:solidFill>
                      <a:srgbClr val="000000"/>
                    </a:solidFill>
                    <a:latin typeface="Arial"/>
                    <a:ea typeface="Arial"/>
                    <a:cs typeface="Arial"/>
                  </a:defRPr>
                </a:pPr>
                <a:r>
                  <a:rPr lang="en-NZ" sz="1150" b="1" i="0" u="none" strike="noStrike" baseline="0">
                    <a:solidFill>
                      <a:srgbClr val="000000"/>
                    </a:solidFill>
                    <a:latin typeface="Arial"/>
                    <a:cs typeface="Arial"/>
                  </a:rPr>
                  <a:t>log(CH</a:t>
                </a:r>
                <a:r>
                  <a:rPr lang="en-NZ" sz="1150" b="1" i="0" u="none" strike="noStrike" baseline="-25000">
                    <a:solidFill>
                      <a:srgbClr val="000000"/>
                    </a:solidFill>
                    <a:latin typeface="Arial"/>
                    <a:cs typeface="Arial"/>
                  </a:rPr>
                  <a:t>4</a:t>
                </a:r>
                <a:r>
                  <a:rPr lang="en-NZ" sz="1150" b="1" i="0" u="none" strike="noStrike" baseline="0">
                    <a:solidFill>
                      <a:srgbClr val="000000"/>
                    </a:solidFill>
                    <a:latin typeface="Arial"/>
                    <a:cs typeface="Arial"/>
                  </a:rPr>
                  <a:t>/CO</a:t>
                </a:r>
                <a:r>
                  <a:rPr lang="en-NZ" sz="1150" b="1" i="0" u="none" strike="noStrike" baseline="-25000">
                    <a:solidFill>
                      <a:srgbClr val="000000"/>
                    </a:solidFill>
                    <a:latin typeface="Arial"/>
                    <a:cs typeface="Arial"/>
                  </a:rPr>
                  <a:t>2</a:t>
                </a:r>
                <a:r>
                  <a:rPr lang="en-NZ" sz="1150" b="1" i="0" u="none" strike="noStrike" baseline="0">
                    <a:solidFill>
                      <a:srgbClr val="000000"/>
                    </a:solidFill>
                    <a:latin typeface="Arial"/>
                    <a:cs typeface="Arial"/>
                  </a:rPr>
                  <a:t>)</a:t>
                </a:r>
              </a:p>
            </c:rich>
          </c:tx>
          <c:layout>
            <c:manualLayout>
              <c:xMode val="edge"/>
              <c:yMode val="edge"/>
              <c:x val="3.4795769012285781E-2"/>
              <c:y val="0.4302461919334319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81738368"/>
        <c:crossesAt val="-10"/>
        <c:crossBetween val="midCat"/>
        <c:majorUnit val="1"/>
      </c:valAx>
      <c:spPr>
        <a:noFill/>
        <a:ln w="12700">
          <a:solidFill>
            <a:srgbClr val="000000"/>
          </a:solidFill>
          <a:prstDash val="solid"/>
        </a:ln>
      </c:spPr>
    </c:plotArea>
    <c:plotVisOnly val="0"/>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308360832489319E-2"/>
          <c:y val="6.6166550609745231E-2"/>
          <c:w val="0.89234184239733649"/>
          <c:h val="0.81402936378466551"/>
        </c:manualLayout>
      </c:layout>
      <c:scatterChart>
        <c:scatterStyle val="smoothMarker"/>
        <c:varyColors val="0"/>
        <c:ser>
          <c:idx val="0"/>
          <c:order val="0"/>
          <c:tx>
            <c:v>-2.8 vap</c:v>
          </c:tx>
          <c:spPr>
            <a:ln w="12700">
              <a:solidFill>
                <a:srgbClr val="424242"/>
              </a:solidFill>
              <a:prstDash val="solid"/>
            </a:ln>
          </c:spPr>
          <c:marker>
            <c:symbol val="none"/>
          </c:marker>
          <c:xVal>
            <c:numRef>
              <c:f>Ggrid!$U$187:$U$197</c:f>
              <c:numCache>
                <c:formatCode>0.00</c:formatCode>
                <c:ptCount val="11"/>
                <c:pt idx="0">
                  <c:v>2.8250804289544238</c:v>
                </c:pt>
                <c:pt idx="1">
                  <c:v>1.9525879396984926</c:v>
                </c:pt>
                <c:pt idx="2">
                  <c:v>1.1832269503546105</c:v>
                </c:pt>
                <c:pt idx="3">
                  <c:v>0.49973214285714285</c:v>
                </c:pt>
                <c:pt idx="4">
                  <c:v>-0.11151162790697633</c:v>
                </c:pt>
                <c:pt idx="5">
                  <c:v>-0.66138554216867362</c:v>
                </c:pt>
                <c:pt idx="6">
                  <c:v>-1.1586902485659643</c:v>
                </c:pt>
                <c:pt idx="7">
                  <c:v>-1.6106204379562037</c:v>
                </c:pt>
                <c:pt idx="8">
                  <c:v>-2.0231151832460732</c:v>
                </c:pt>
                <c:pt idx="9">
                  <c:v>-2.401120401337792</c:v>
                </c:pt>
                <c:pt idx="10">
                  <c:v>-2.7487881219903691</c:v>
                </c:pt>
              </c:numCache>
            </c:numRef>
          </c:xVal>
          <c:yVal>
            <c:numRef>
              <c:f>Ggrid!$K$187:$K$197</c:f>
              <c:numCache>
                <c:formatCode>0.00</c:formatCode>
                <c:ptCount val="11"/>
                <c:pt idx="0">
                  <c:v>3.7199999999999998</c:v>
                </c:pt>
                <c:pt idx="1">
                  <c:v>3.7199999999999998</c:v>
                </c:pt>
                <c:pt idx="2">
                  <c:v>3.7199999999999998</c:v>
                </c:pt>
                <c:pt idx="3">
                  <c:v>3.7199999999999998</c:v>
                </c:pt>
                <c:pt idx="4">
                  <c:v>3.7199999999999998</c:v>
                </c:pt>
                <c:pt idx="5">
                  <c:v>3.7199999999999998</c:v>
                </c:pt>
                <c:pt idx="6">
                  <c:v>3.7199999999999998</c:v>
                </c:pt>
                <c:pt idx="7">
                  <c:v>3.7199999999999998</c:v>
                </c:pt>
                <c:pt idx="8">
                  <c:v>3.7199999999999998</c:v>
                </c:pt>
                <c:pt idx="9">
                  <c:v>3.7199999999999998</c:v>
                </c:pt>
                <c:pt idx="10">
                  <c:v>3.7199999999999998</c:v>
                </c:pt>
              </c:numCache>
            </c:numRef>
          </c:yVal>
          <c:smooth val="0"/>
        </c:ser>
        <c:ser>
          <c:idx val="1"/>
          <c:order val="1"/>
          <c:tx>
            <c:v>-2.8 liq</c:v>
          </c:tx>
          <c:spPr>
            <a:ln w="12700">
              <a:solidFill>
                <a:srgbClr val="424242"/>
              </a:solidFill>
              <a:prstDash val="solid"/>
            </a:ln>
          </c:spPr>
          <c:marker>
            <c:symbol val="none"/>
          </c:marker>
          <c:dLbls>
            <c:dLbl>
              <c:idx val="0"/>
              <c:tx>
                <c:strRef>
                  <c:f>Ggrid!$A$187</c:f>
                  <c:strCache>
                    <c:ptCount val="1"/>
                    <c:pt idx="0">
                      <c:v>100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
              <c:tx>
                <c:strRef>
                  <c:f>Ggrid!$A$188</c:f>
                  <c:strCache>
                    <c:ptCount val="1"/>
                    <c:pt idx="0">
                      <c:v>125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2"/>
              <c:tx>
                <c:strRef>
                  <c:f>Ggrid!$A$189</c:f>
                  <c:strCache>
                    <c:ptCount val="1"/>
                    <c:pt idx="0">
                      <c:v>150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3"/>
              <c:tx>
                <c:strRef>
                  <c:f>Ggrid!$A$190</c:f>
                  <c:strCache>
                    <c:ptCount val="1"/>
                    <c:pt idx="0">
                      <c:v>175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4"/>
              <c:tx>
                <c:strRef>
                  <c:f>Ggrid!$A$191</c:f>
                  <c:strCache>
                    <c:ptCount val="1"/>
                    <c:pt idx="0">
                      <c:v>200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5"/>
              <c:tx>
                <c:strRef>
                  <c:f>Ggrid!$A$192</c:f>
                  <c:strCache>
                    <c:ptCount val="1"/>
                    <c:pt idx="0">
                      <c:v>225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6"/>
              <c:tx>
                <c:strRef>
                  <c:f>Ggrid!$A$193</c:f>
                  <c:strCache>
                    <c:ptCount val="1"/>
                    <c:pt idx="0">
                      <c:v>250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7"/>
              <c:tx>
                <c:strRef>
                  <c:f>Ggrid!$A$194</c:f>
                  <c:strCache>
                    <c:ptCount val="1"/>
                    <c:pt idx="0">
                      <c:v>275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8"/>
              <c:tx>
                <c:strRef>
                  <c:f>Ggrid!$A$195</c:f>
                  <c:strCache>
                    <c:ptCount val="1"/>
                    <c:pt idx="0">
                      <c:v>300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9"/>
              <c:tx>
                <c:strRef>
                  <c:f>Ggrid!$A$196</c:f>
                  <c:strCache>
                    <c:ptCount val="1"/>
                    <c:pt idx="0">
                      <c:v>325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0"/>
              <c:tx>
                <c:strRef>
                  <c:f>Ggrid!$A$197</c:f>
                  <c:strCache>
                    <c:ptCount val="1"/>
                    <c:pt idx="0">
                      <c:v>350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showLegendKey val="0"/>
            <c:showVal val="0"/>
            <c:showCatName val="0"/>
            <c:showSerName val="0"/>
            <c:showPercent val="0"/>
            <c:showBubbleSize val="0"/>
          </c:dLbls>
          <c:xVal>
            <c:numRef>
              <c:f>Ggrid!$V$187:$V$197</c:f>
              <c:numCache>
                <c:formatCode>0.00</c:formatCode>
                <c:ptCount val="11"/>
                <c:pt idx="0">
                  <c:v>1.797080428954424</c:v>
                </c:pt>
                <c:pt idx="1">
                  <c:v>0.99733793969849227</c:v>
                </c:pt>
                <c:pt idx="2">
                  <c:v>0.30072695035460995</c:v>
                </c:pt>
                <c:pt idx="3">
                  <c:v>-0.31001785714285679</c:v>
                </c:pt>
                <c:pt idx="4">
                  <c:v>-0.84851162790697621</c:v>
                </c:pt>
                <c:pt idx="5">
                  <c:v>-1.3256355421686732</c:v>
                </c:pt>
                <c:pt idx="6">
                  <c:v>-1.7501902485659642</c:v>
                </c:pt>
                <c:pt idx="7">
                  <c:v>-2.1293704379562031</c:v>
                </c:pt>
                <c:pt idx="8">
                  <c:v>-2.4691151832460729</c:v>
                </c:pt>
                <c:pt idx="9">
                  <c:v>-2.7743704013377921</c:v>
                </c:pt>
                <c:pt idx="10">
                  <c:v>-3.0492881219903682</c:v>
                </c:pt>
              </c:numCache>
            </c:numRef>
          </c:xVal>
          <c:yVal>
            <c:numRef>
              <c:f>Ggrid!$L$187:$L$197</c:f>
              <c:numCache>
                <c:formatCode>0.00</c:formatCode>
                <c:ptCount val="11"/>
                <c:pt idx="0">
                  <c:v>-1.1079999999999997</c:v>
                </c:pt>
                <c:pt idx="1">
                  <c:v>-0.75800000000000001</c:v>
                </c:pt>
                <c:pt idx="2">
                  <c:v>-0.40800000000000036</c:v>
                </c:pt>
                <c:pt idx="3">
                  <c:v>-5.7999999999999829E-2</c:v>
                </c:pt>
                <c:pt idx="4">
                  <c:v>0.29199999999999982</c:v>
                </c:pt>
                <c:pt idx="5">
                  <c:v>0.64200000000000035</c:v>
                </c:pt>
                <c:pt idx="6">
                  <c:v>0.99199999999999999</c:v>
                </c:pt>
                <c:pt idx="7">
                  <c:v>1.3420000000000005</c:v>
                </c:pt>
                <c:pt idx="8">
                  <c:v>1.6920000000000002</c:v>
                </c:pt>
                <c:pt idx="9">
                  <c:v>2.0419999999999998</c:v>
                </c:pt>
                <c:pt idx="10">
                  <c:v>2.3919999999999995</c:v>
                </c:pt>
              </c:numCache>
            </c:numRef>
          </c:yVal>
          <c:smooth val="0"/>
        </c:ser>
        <c:ser>
          <c:idx val="10"/>
          <c:order val="2"/>
          <c:tx>
            <c:v>100</c:v>
          </c:tx>
          <c:spPr>
            <a:ln w="12700">
              <a:solidFill>
                <a:srgbClr val="424242"/>
              </a:solidFill>
              <a:prstDash val="solid"/>
            </a:ln>
          </c:spPr>
          <c:marker>
            <c:symbol val="none"/>
          </c:marker>
          <c:xVal>
            <c:numRef>
              <c:f>Ggrid!$U$187:$V$187</c:f>
              <c:numCache>
                <c:formatCode>0.00</c:formatCode>
                <c:ptCount val="2"/>
                <c:pt idx="0">
                  <c:v>2.8250804289544238</c:v>
                </c:pt>
                <c:pt idx="1">
                  <c:v>1.797080428954424</c:v>
                </c:pt>
              </c:numCache>
            </c:numRef>
          </c:xVal>
          <c:yVal>
            <c:numRef>
              <c:f>Ggrid!$K$187:$L$187</c:f>
              <c:numCache>
                <c:formatCode>0.00</c:formatCode>
                <c:ptCount val="2"/>
                <c:pt idx="0">
                  <c:v>3.7199999999999998</c:v>
                </c:pt>
                <c:pt idx="1">
                  <c:v>-1.1079999999999997</c:v>
                </c:pt>
              </c:numCache>
            </c:numRef>
          </c:yVal>
          <c:smooth val="0"/>
        </c:ser>
        <c:ser>
          <c:idx val="11"/>
          <c:order val="3"/>
          <c:tx>
            <c:v>125</c:v>
          </c:tx>
          <c:spPr>
            <a:ln w="12700">
              <a:solidFill>
                <a:srgbClr val="424242"/>
              </a:solidFill>
              <a:prstDash val="solid"/>
            </a:ln>
          </c:spPr>
          <c:marker>
            <c:symbol val="none"/>
          </c:marker>
          <c:xVal>
            <c:numRef>
              <c:f>Ggrid!$U$188:$V$188</c:f>
              <c:numCache>
                <c:formatCode>0.00</c:formatCode>
                <c:ptCount val="2"/>
                <c:pt idx="0">
                  <c:v>1.9525879396984926</c:v>
                </c:pt>
                <c:pt idx="1">
                  <c:v>0.99733793969849227</c:v>
                </c:pt>
              </c:numCache>
            </c:numRef>
          </c:xVal>
          <c:yVal>
            <c:numRef>
              <c:f>Ggrid!$K$188:$L$188</c:f>
              <c:numCache>
                <c:formatCode>0.00</c:formatCode>
                <c:ptCount val="2"/>
                <c:pt idx="0">
                  <c:v>3.7199999999999998</c:v>
                </c:pt>
                <c:pt idx="1">
                  <c:v>-0.75800000000000001</c:v>
                </c:pt>
              </c:numCache>
            </c:numRef>
          </c:yVal>
          <c:smooth val="0"/>
        </c:ser>
        <c:ser>
          <c:idx val="12"/>
          <c:order val="4"/>
          <c:tx>
            <c:v>150</c:v>
          </c:tx>
          <c:spPr>
            <a:ln w="12700">
              <a:solidFill>
                <a:srgbClr val="424242"/>
              </a:solidFill>
              <a:prstDash val="solid"/>
            </a:ln>
          </c:spPr>
          <c:marker>
            <c:symbol val="none"/>
          </c:marker>
          <c:xVal>
            <c:numRef>
              <c:f>Ggrid!$U$189:$V$189</c:f>
              <c:numCache>
                <c:formatCode>0.00</c:formatCode>
                <c:ptCount val="2"/>
                <c:pt idx="0">
                  <c:v>1.1832269503546105</c:v>
                </c:pt>
                <c:pt idx="1">
                  <c:v>0.30072695035460995</c:v>
                </c:pt>
              </c:numCache>
            </c:numRef>
          </c:xVal>
          <c:yVal>
            <c:numRef>
              <c:f>Ggrid!$K$189:$L$189</c:f>
              <c:numCache>
                <c:formatCode>0.00</c:formatCode>
                <c:ptCount val="2"/>
                <c:pt idx="0">
                  <c:v>3.7199999999999998</c:v>
                </c:pt>
                <c:pt idx="1">
                  <c:v>-0.40800000000000036</c:v>
                </c:pt>
              </c:numCache>
            </c:numRef>
          </c:yVal>
          <c:smooth val="0"/>
        </c:ser>
        <c:ser>
          <c:idx val="14"/>
          <c:order val="5"/>
          <c:tx>
            <c:v>175</c:v>
          </c:tx>
          <c:spPr>
            <a:ln w="12700">
              <a:solidFill>
                <a:srgbClr val="424242"/>
              </a:solidFill>
              <a:prstDash val="solid"/>
            </a:ln>
          </c:spPr>
          <c:marker>
            <c:symbol val="none"/>
          </c:marker>
          <c:xVal>
            <c:numRef>
              <c:f>Ggrid!$U$190:$V$190</c:f>
              <c:numCache>
                <c:formatCode>0.00</c:formatCode>
                <c:ptCount val="2"/>
                <c:pt idx="0">
                  <c:v>0.49973214285714285</c:v>
                </c:pt>
                <c:pt idx="1">
                  <c:v>-0.31001785714285679</c:v>
                </c:pt>
              </c:numCache>
            </c:numRef>
          </c:xVal>
          <c:yVal>
            <c:numRef>
              <c:f>Ggrid!$K$190:$L$190</c:f>
              <c:numCache>
                <c:formatCode>0.00</c:formatCode>
                <c:ptCount val="2"/>
                <c:pt idx="0">
                  <c:v>3.7199999999999998</c:v>
                </c:pt>
                <c:pt idx="1">
                  <c:v>-5.7999999999999829E-2</c:v>
                </c:pt>
              </c:numCache>
            </c:numRef>
          </c:yVal>
          <c:smooth val="0"/>
        </c:ser>
        <c:ser>
          <c:idx val="15"/>
          <c:order val="6"/>
          <c:tx>
            <c:v>200</c:v>
          </c:tx>
          <c:spPr>
            <a:ln w="12700">
              <a:solidFill>
                <a:srgbClr val="424242"/>
              </a:solidFill>
              <a:prstDash val="solid"/>
            </a:ln>
          </c:spPr>
          <c:marker>
            <c:symbol val="none"/>
          </c:marker>
          <c:xVal>
            <c:numRef>
              <c:f>Ggrid!$U$191:$V$191</c:f>
              <c:numCache>
                <c:formatCode>0.00</c:formatCode>
                <c:ptCount val="2"/>
                <c:pt idx="0">
                  <c:v>-0.11151162790697633</c:v>
                </c:pt>
                <c:pt idx="1">
                  <c:v>-0.84851162790697621</c:v>
                </c:pt>
              </c:numCache>
            </c:numRef>
          </c:xVal>
          <c:yVal>
            <c:numRef>
              <c:f>Ggrid!$K$191:$L$191</c:f>
              <c:numCache>
                <c:formatCode>0.00</c:formatCode>
                <c:ptCount val="2"/>
                <c:pt idx="0">
                  <c:v>3.7199999999999998</c:v>
                </c:pt>
                <c:pt idx="1">
                  <c:v>0.29199999999999982</c:v>
                </c:pt>
              </c:numCache>
            </c:numRef>
          </c:yVal>
          <c:smooth val="0"/>
        </c:ser>
        <c:ser>
          <c:idx val="16"/>
          <c:order val="7"/>
          <c:tx>
            <c:v>225</c:v>
          </c:tx>
          <c:spPr>
            <a:ln w="12700">
              <a:solidFill>
                <a:srgbClr val="424242"/>
              </a:solidFill>
              <a:prstDash val="solid"/>
            </a:ln>
          </c:spPr>
          <c:marker>
            <c:symbol val="none"/>
          </c:marker>
          <c:xVal>
            <c:numRef>
              <c:f>Ggrid!$U$192:$V$192</c:f>
              <c:numCache>
                <c:formatCode>0.00</c:formatCode>
                <c:ptCount val="2"/>
                <c:pt idx="0">
                  <c:v>-0.66138554216867362</c:v>
                </c:pt>
                <c:pt idx="1">
                  <c:v>-1.3256355421686732</c:v>
                </c:pt>
              </c:numCache>
            </c:numRef>
          </c:xVal>
          <c:yVal>
            <c:numRef>
              <c:f>Ggrid!$K$192:$L$192</c:f>
              <c:numCache>
                <c:formatCode>0.00</c:formatCode>
                <c:ptCount val="2"/>
                <c:pt idx="0">
                  <c:v>3.7199999999999998</c:v>
                </c:pt>
                <c:pt idx="1">
                  <c:v>0.64200000000000035</c:v>
                </c:pt>
              </c:numCache>
            </c:numRef>
          </c:yVal>
          <c:smooth val="0"/>
        </c:ser>
        <c:ser>
          <c:idx val="2"/>
          <c:order val="8"/>
          <c:tx>
            <c:v>250</c:v>
          </c:tx>
          <c:spPr>
            <a:ln w="12700">
              <a:solidFill>
                <a:srgbClr val="424242"/>
              </a:solidFill>
              <a:prstDash val="solid"/>
            </a:ln>
          </c:spPr>
          <c:marker>
            <c:symbol val="none"/>
          </c:marker>
          <c:xVal>
            <c:numRef>
              <c:f>Ggrid!$U$193:$V$193</c:f>
              <c:numCache>
                <c:formatCode>0.00</c:formatCode>
                <c:ptCount val="2"/>
                <c:pt idx="0">
                  <c:v>-1.1586902485659643</c:v>
                </c:pt>
                <c:pt idx="1">
                  <c:v>-1.7501902485659642</c:v>
                </c:pt>
              </c:numCache>
            </c:numRef>
          </c:xVal>
          <c:yVal>
            <c:numRef>
              <c:f>Ggrid!$K$193:$L$193</c:f>
              <c:numCache>
                <c:formatCode>0.00</c:formatCode>
                <c:ptCount val="2"/>
                <c:pt idx="0">
                  <c:v>3.7199999999999998</c:v>
                </c:pt>
                <c:pt idx="1">
                  <c:v>0.99199999999999999</c:v>
                </c:pt>
              </c:numCache>
            </c:numRef>
          </c:yVal>
          <c:smooth val="0"/>
        </c:ser>
        <c:ser>
          <c:idx val="3"/>
          <c:order val="9"/>
          <c:tx>
            <c:v>275</c:v>
          </c:tx>
          <c:spPr>
            <a:ln w="12700">
              <a:solidFill>
                <a:srgbClr val="424242"/>
              </a:solidFill>
              <a:prstDash val="solid"/>
            </a:ln>
          </c:spPr>
          <c:marker>
            <c:symbol val="none"/>
          </c:marker>
          <c:xVal>
            <c:numRef>
              <c:f>Ggrid!$U$194:$V$194</c:f>
              <c:numCache>
                <c:formatCode>0.00</c:formatCode>
                <c:ptCount val="2"/>
                <c:pt idx="0">
                  <c:v>-1.6106204379562037</c:v>
                </c:pt>
                <c:pt idx="1">
                  <c:v>-2.1293704379562031</c:v>
                </c:pt>
              </c:numCache>
            </c:numRef>
          </c:xVal>
          <c:yVal>
            <c:numRef>
              <c:f>Ggrid!$K$194:$L$194</c:f>
              <c:numCache>
                <c:formatCode>0.00</c:formatCode>
                <c:ptCount val="2"/>
                <c:pt idx="0">
                  <c:v>3.7199999999999998</c:v>
                </c:pt>
                <c:pt idx="1">
                  <c:v>1.3420000000000005</c:v>
                </c:pt>
              </c:numCache>
            </c:numRef>
          </c:yVal>
          <c:smooth val="0"/>
        </c:ser>
        <c:ser>
          <c:idx val="4"/>
          <c:order val="10"/>
          <c:tx>
            <c:v>300</c:v>
          </c:tx>
          <c:spPr>
            <a:ln w="12700">
              <a:solidFill>
                <a:srgbClr val="424242"/>
              </a:solidFill>
              <a:prstDash val="solid"/>
            </a:ln>
          </c:spPr>
          <c:marker>
            <c:symbol val="none"/>
          </c:marker>
          <c:xVal>
            <c:numRef>
              <c:f>Ggrid!$U$195:$V$195</c:f>
              <c:numCache>
                <c:formatCode>0.00</c:formatCode>
                <c:ptCount val="2"/>
                <c:pt idx="0">
                  <c:v>-2.0231151832460732</c:v>
                </c:pt>
                <c:pt idx="1">
                  <c:v>-2.4691151832460729</c:v>
                </c:pt>
              </c:numCache>
            </c:numRef>
          </c:xVal>
          <c:yVal>
            <c:numRef>
              <c:f>Ggrid!$K$195:$L$195</c:f>
              <c:numCache>
                <c:formatCode>0.00</c:formatCode>
                <c:ptCount val="2"/>
                <c:pt idx="0">
                  <c:v>3.7199999999999998</c:v>
                </c:pt>
                <c:pt idx="1">
                  <c:v>1.6920000000000002</c:v>
                </c:pt>
              </c:numCache>
            </c:numRef>
          </c:yVal>
          <c:smooth val="1"/>
        </c:ser>
        <c:ser>
          <c:idx val="5"/>
          <c:order val="11"/>
          <c:tx>
            <c:strRef>
              <c:f>Ggrid!$A$196</c:f>
              <c:strCache>
                <c:ptCount val="1"/>
                <c:pt idx="0">
                  <c:v>325</c:v>
                </c:pt>
              </c:strCache>
            </c:strRef>
          </c:tx>
          <c:spPr>
            <a:ln w="12700">
              <a:solidFill>
                <a:srgbClr val="424242"/>
              </a:solidFill>
              <a:prstDash val="solid"/>
            </a:ln>
          </c:spPr>
          <c:marker>
            <c:symbol val="none"/>
          </c:marker>
          <c:xVal>
            <c:numRef>
              <c:f>Ggrid!$U$196:$V$196</c:f>
              <c:numCache>
                <c:formatCode>0.00</c:formatCode>
                <c:ptCount val="2"/>
                <c:pt idx="0">
                  <c:v>-2.401120401337792</c:v>
                </c:pt>
                <c:pt idx="1">
                  <c:v>-2.7743704013377921</c:v>
                </c:pt>
              </c:numCache>
            </c:numRef>
          </c:xVal>
          <c:yVal>
            <c:numRef>
              <c:f>Ggrid!$K$196:$L$196</c:f>
              <c:numCache>
                <c:formatCode>0.00</c:formatCode>
                <c:ptCount val="2"/>
                <c:pt idx="0">
                  <c:v>3.7199999999999998</c:v>
                </c:pt>
                <c:pt idx="1">
                  <c:v>2.0419999999999998</c:v>
                </c:pt>
              </c:numCache>
            </c:numRef>
          </c:yVal>
          <c:smooth val="0"/>
        </c:ser>
        <c:ser>
          <c:idx val="6"/>
          <c:order val="12"/>
          <c:tx>
            <c:strRef>
              <c:f>Ggrid!$A$197</c:f>
              <c:strCache>
                <c:ptCount val="1"/>
                <c:pt idx="0">
                  <c:v>350</c:v>
                </c:pt>
              </c:strCache>
            </c:strRef>
          </c:tx>
          <c:spPr>
            <a:ln w="12700">
              <a:solidFill>
                <a:srgbClr val="424242"/>
              </a:solidFill>
              <a:prstDash val="solid"/>
            </a:ln>
          </c:spPr>
          <c:marker>
            <c:symbol val="none"/>
          </c:marker>
          <c:dLbls>
            <c:dLbl>
              <c:idx val="0"/>
              <c:layout>
                <c:manualLayout>
                  <c:x val="-1.3831258644536404E-3"/>
                  <c:y val="-3.6281179138321983E-2"/>
                </c:manualLayout>
              </c:layout>
              <c:tx>
                <c:rich>
                  <a:bodyPr/>
                  <a:lstStyle/>
                  <a:p>
                    <a:pPr>
                      <a:defRPr sz="1200" b="0" i="0" u="none" strike="noStrike" baseline="0">
                        <a:solidFill>
                          <a:srgbClr val="000000"/>
                        </a:solidFill>
                        <a:latin typeface="Arial"/>
                        <a:ea typeface="Arial"/>
                        <a:cs typeface="Arial"/>
                      </a:defRPr>
                    </a:pPr>
                    <a:r>
                      <a:rPr lang="en-NZ"/>
                      <a:t>equilibrated vapor</a:t>
                    </a:r>
                  </a:p>
                </c:rich>
              </c:tx>
              <c:spPr>
                <a:noFill/>
                <a:ln w="25400">
                  <a:noFill/>
                </a:ln>
              </c:spPr>
              <c:showLegendKey val="0"/>
              <c:showVal val="0"/>
              <c:showCatName val="0"/>
              <c:showSerName val="0"/>
              <c:showPercent val="0"/>
              <c:showBubbleSize val="0"/>
            </c:dLbl>
            <c:dLbl>
              <c:idx val="1"/>
              <c:layout>
                <c:manualLayout>
                  <c:x val="0.43430152143845097"/>
                  <c:y val="0.34240362811791381"/>
                </c:manualLayout>
              </c:layout>
              <c:tx>
                <c:rich>
                  <a:bodyPr rot="1140000"/>
                  <a:lstStyle/>
                  <a:p>
                    <a:pPr>
                      <a:defRPr sz="1200" b="0" i="0" u="none" strike="noStrike" baseline="0">
                        <a:solidFill>
                          <a:srgbClr val="000000"/>
                        </a:solidFill>
                        <a:latin typeface="Arial"/>
                        <a:ea typeface="Arial"/>
                        <a:cs typeface="Arial"/>
                      </a:defRPr>
                    </a:pPr>
                    <a:r>
                      <a:rPr lang="en-NZ"/>
                      <a:t>equilibrated liquid</a:t>
                    </a:r>
                  </a:p>
                </c:rich>
              </c:tx>
              <c:spPr>
                <a:noFill/>
                <a:ln w="25400">
                  <a:noFill/>
                </a:ln>
              </c:spPr>
              <c:showLegendKey val="0"/>
              <c:showVal val="0"/>
              <c:showCatName val="0"/>
              <c:showSerName val="0"/>
              <c:showPercent val="0"/>
              <c:showBubbleSize val="0"/>
            </c:dLbl>
            <c:showLegendKey val="0"/>
            <c:showVal val="0"/>
            <c:showCatName val="0"/>
            <c:showSerName val="0"/>
            <c:showPercent val="0"/>
            <c:showBubbleSize val="0"/>
          </c:dLbls>
          <c:xVal>
            <c:numRef>
              <c:f>Ggrid!$U$197:$V$197</c:f>
              <c:numCache>
                <c:formatCode>0.00</c:formatCode>
                <c:ptCount val="2"/>
                <c:pt idx="0">
                  <c:v>-2.7487881219903691</c:v>
                </c:pt>
                <c:pt idx="1">
                  <c:v>-3.0492881219903682</c:v>
                </c:pt>
              </c:numCache>
            </c:numRef>
          </c:xVal>
          <c:yVal>
            <c:numRef>
              <c:f>Ggrid!$K$197:$L$197</c:f>
              <c:numCache>
                <c:formatCode>0.00</c:formatCode>
                <c:ptCount val="2"/>
                <c:pt idx="0">
                  <c:v>3.7199999999999998</c:v>
                </c:pt>
                <c:pt idx="1">
                  <c:v>2.3919999999999995</c:v>
                </c:pt>
              </c:numCache>
            </c:numRef>
          </c:yVal>
          <c:smooth val="1"/>
        </c:ser>
        <c:ser>
          <c:idx val="7"/>
          <c:order val="13"/>
          <c:tx>
            <c:v>data</c:v>
          </c:tx>
          <c:spPr>
            <a:ln w="28575">
              <a:noFill/>
            </a:ln>
          </c:spPr>
          <c:marker>
            <c:symbol val="diamond"/>
            <c:size val="10"/>
            <c:spPr>
              <a:noFill/>
              <a:ln>
                <a:solidFill>
                  <a:srgbClr val="0000FF"/>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input!$BJ$11:$BJ$40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input!$BH$11:$BH$40</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1"/>
        </c:ser>
        <c:dLbls>
          <c:showLegendKey val="0"/>
          <c:showVal val="0"/>
          <c:showCatName val="0"/>
          <c:showSerName val="0"/>
          <c:showPercent val="0"/>
          <c:showBubbleSize val="0"/>
        </c:dLbls>
        <c:axId val="83585664"/>
        <c:axId val="85205760"/>
      </c:scatterChart>
      <c:valAx>
        <c:axId val="83585664"/>
        <c:scaling>
          <c:orientation val="minMax"/>
          <c:max val="4"/>
          <c:min val="-4"/>
        </c:scaling>
        <c:delete val="0"/>
        <c:axPos val="b"/>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log(CH</a:t>
                </a:r>
                <a:r>
                  <a:rPr lang="en-NZ" sz="1400" b="1" i="0" u="none" strike="noStrike" baseline="-25000">
                    <a:solidFill>
                      <a:srgbClr val="000000"/>
                    </a:solidFill>
                    <a:latin typeface="Arial"/>
                    <a:cs typeface="Arial"/>
                  </a:rPr>
                  <a:t>4</a:t>
                </a:r>
                <a:r>
                  <a:rPr lang="en-NZ" sz="1400" b="1" i="0" u="none" strike="noStrike" baseline="0">
                    <a:solidFill>
                      <a:srgbClr val="000000"/>
                    </a:solidFill>
                    <a:latin typeface="Arial"/>
                    <a:cs typeface="Arial"/>
                  </a:rPr>
                  <a:t>/CO</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t>
                </a:r>
              </a:p>
            </c:rich>
          </c:tx>
          <c:layout>
            <c:manualLayout>
              <c:xMode val="edge"/>
              <c:yMode val="edge"/>
              <c:x val="0.46392894871543555"/>
              <c:y val="0.929853232631635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85205760"/>
        <c:crossesAt val="-4"/>
        <c:crossBetween val="midCat"/>
        <c:majorUnit val="1"/>
      </c:valAx>
      <c:valAx>
        <c:axId val="85205760"/>
        <c:scaling>
          <c:orientation val="minMax"/>
          <c:max val="5"/>
          <c:min val="-2"/>
        </c:scaling>
        <c:delete val="0"/>
        <c:axPos val="l"/>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log(H</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/Ar)</a:t>
                </a:r>
              </a:p>
            </c:rich>
          </c:tx>
          <c:layout>
            <c:manualLayout>
              <c:xMode val="edge"/>
              <c:yMode val="edge"/>
              <c:x val="4.4395073022511231E-3"/>
              <c:y val="0.3882545039012981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83585664"/>
        <c:crossesAt val="-4"/>
        <c:crossBetween val="midCat"/>
      </c:valAx>
      <c:spPr>
        <a:noFill/>
        <a:ln w="12700">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691453940066615E-2"/>
          <c:y val="5.7096247960848334E-2"/>
          <c:w val="0.89234184239733649"/>
          <c:h val="0.81402936378466551"/>
        </c:manualLayout>
      </c:layout>
      <c:scatterChart>
        <c:scatterStyle val="smoothMarker"/>
        <c:varyColors val="0"/>
        <c:ser>
          <c:idx val="0"/>
          <c:order val="0"/>
          <c:tx>
            <c:v>-2.8 vap</c:v>
          </c:tx>
          <c:spPr>
            <a:ln w="12700">
              <a:solidFill>
                <a:srgbClr val="424242"/>
              </a:solidFill>
              <a:prstDash val="solid"/>
            </a:ln>
          </c:spPr>
          <c:marker>
            <c:symbol val="none"/>
          </c:marker>
          <c:xVal>
            <c:numRef>
              <c:f>Ggrid!$E$187:$E$197</c:f>
              <c:numCache>
                <c:formatCode>0.00</c:formatCode>
                <c:ptCount val="11"/>
                <c:pt idx="0">
                  <c:v>4.397016621983914</c:v>
                </c:pt>
                <c:pt idx="1">
                  <c:v>4.4721286432160801</c:v>
                </c:pt>
                <c:pt idx="2">
                  <c:v>4.5880075650118197</c:v>
                </c:pt>
                <c:pt idx="3">
                  <c:v>4.7378285714285706</c:v>
                </c:pt>
                <c:pt idx="4">
                  <c:v>4.9162097251585619</c:v>
                </c:pt>
                <c:pt idx="5">
                  <c:v>5.1188497991967852</c:v>
                </c:pt>
                <c:pt idx="6">
                  <c:v>5.3422699808795393</c:v>
                </c:pt>
                <c:pt idx="7">
                  <c:v>5.5836262773722609</c:v>
                </c:pt>
                <c:pt idx="8">
                  <c:v>5.8405710296684124</c:v>
                </c:pt>
                <c:pt idx="9">
                  <c:v>6.1111491638795989</c:v>
                </c:pt>
                <c:pt idx="10">
                  <c:v>6.3937194221508822</c:v>
                </c:pt>
              </c:numCache>
            </c:numRef>
          </c:xVal>
          <c:yVal>
            <c:numRef>
              <c:f>Ggrid!$K$187:$K$197</c:f>
              <c:numCache>
                <c:formatCode>0.00</c:formatCode>
                <c:ptCount val="11"/>
                <c:pt idx="0">
                  <c:v>3.7199999999999998</c:v>
                </c:pt>
                <c:pt idx="1">
                  <c:v>3.7199999999999998</c:v>
                </c:pt>
                <c:pt idx="2">
                  <c:v>3.7199999999999998</c:v>
                </c:pt>
                <c:pt idx="3">
                  <c:v>3.7199999999999998</c:v>
                </c:pt>
                <c:pt idx="4">
                  <c:v>3.7199999999999998</c:v>
                </c:pt>
                <c:pt idx="5">
                  <c:v>3.7199999999999998</c:v>
                </c:pt>
                <c:pt idx="6">
                  <c:v>3.7199999999999998</c:v>
                </c:pt>
                <c:pt idx="7">
                  <c:v>3.7199999999999998</c:v>
                </c:pt>
                <c:pt idx="8">
                  <c:v>3.7199999999999998</c:v>
                </c:pt>
                <c:pt idx="9">
                  <c:v>3.7199999999999998</c:v>
                </c:pt>
                <c:pt idx="10">
                  <c:v>3.7199999999999998</c:v>
                </c:pt>
              </c:numCache>
            </c:numRef>
          </c:yVal>
          <c:smooth val="0"/>
        </c:ser>
        <c:ser>
          <c:idx val="1"/>
          <c:order val="1"/>
          <c:tx>
            <c:v>-2.8 liq</c:v>
          </c:tx>
          <c:spPr>
            <a:ln w="12700">
              <a:solidFill>
                <a:srgbClr val="424242"/>
              </a:solidFill>
              <a:prstDash val="solid"/>
            </a:ln>
          </c:spPr>
          <c:marker>
            <c:symbol val="none"/>
          </c:marker>
          <c:dLbls>
            <c:dLbl>
              <c:idx val="0"/>
              <c:tx>
                <c:strRef>
                  <c:f>Ggrid!$A$187</c:f>
                  <c:strCache>
                    <c:ptCount val="1"/>
                    <c:pt idx="0">
                      <c:v>100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
              <c:tx>
                <c:strRef>
                  <c:f>Ggrid!$A$188</c:f>
                  <c:strCache>
                    <c:ptCount val="1"/>
                    <c:pt idx="0">
                      <c:v>125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2"/>
              <c:tx>
                <c:strRef>
                  <c:f>Ggrid!$A$189</c:f>
                  <c:strCache>
                    <c:ptCount val="1"/>
                    <c:pt idx="0">
                      <c:v>150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3"/>
              <c:tx>
                <c:strRef>
                  <c:f>Ggrid!$A$190</c:f>
                  <c:strCache>
                    <c:ptCount val="1"/>
                    <c:pt idx="0">
                      <c:v>175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4"/>
              <c:tx>
                <c:strRef>
                  <c:f>Ggrid!$A$191</c:f>
                  <c:strCache>
                    <c:ptCount val="1"/>
                    <c:pt idx="0">
                      <c:v>200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5"/>
              <c:tx>
                <c:strRef>
                  <c:f>Ggrid!$A$192</c:f>
                  <c:strCache>
                    <c:ptCount val="1"/>
                    <c:pt idx="0">
                      <c:v>225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6"/>
              <c:tx>
                <c:strRef>
                  <c:f>Ggrid!$A$193</c:f>
                  <c:strCache>
                    <c:ptCount val="1"/>
                    <c:pt idx="0">
                      <c:v>250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7"/>
              <c:tx>
                <c:strRef>
                  <c:f>Ggrid!$A$194</c:f>
                  <c:strCache>
                    <c:ptCount val="1"/>
                    <c:pt idx="0">
                      <c:v>275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8"/>
              <c:tx>
                <c:strRef>
                  <c:f>Ggrid!$A$195</c:f>
                  <c:strCache>
                    <c:ptCount val="1"/>
                    <c:pt idx="0">
                      <c:v>300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9"/>
              <c:tx>
                <c:strRef>
                  <c:f>Ggrid!$A$196</c:f>
                  <c:strCache>
                    <c:ptCount val="1"/>
                    <c:pt idx="0">
                      <c:v>325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0"/>
              <c:tx>
                <c:strRef>
                  <c:f>Ggrid!$A$197</c:f>
                  <c:strCache>
                    <c:ptCount val="1"/>
                    <c:pt idx="0">
                      <c:v>350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showLegendKey val="0"/>
            <c:showVal val="0"/>
            <c:showCatName val="0"/>
            <c:showSerName val="0"/>
            <c:showPercent val="0"/>
            <c:showBubbleSize val="0"/>
          </c:dLbls>
          <c:xVal>
            <c:numRef>
              <c:f>Ggrid!$F$187:$F$197</c:f>
              <c:numCache>
                <c:formatCode>0.00</c:formatCode>
                <c:ptCount val="11"/>
                <c:pt idx="0">
                  <c:v>0.7227166219839134</c:v>
                </c:pt>
                <c:pt idx="1">
                  <c:v>1.0703286432160803</c:v>
                </c:pt>
                <c:pt idx="2">
                  <c:v>1.4587075650118209</c:v>
                </c:pt>
                <c:pt idx="3">
                  <c:v>1.8810285714285708</c:v>
                </c:pt>
                <c:pt idx="4">
                  <c:v>2.331909725158563</c:v>
                </c:pt>
                <c:pt idx="5">
                  <c:v>2.8070497991967862</c:v>
                </c:pt>
                <c:pt idx="6">
                  <c:v>3.3029699808795412</c:v>
                </c:pt>
                <c:pt idx="7">
                  <c:v>3.8168262773722619</c:v>
                </c:pt>
                <c:pt idx="8">
                  <c:v>4.3462710296684115</c:v>
                </c:pt>
                <c:pt idx="9">
                  <c:v>4.8893491638795972</c:v>
                </c:pt>
                <c:pt idx="10">
                  <c:v>5.4444194221508813</c:v>
                </c:pt>
              </c:numCache>
            </c:numRef>
          </c:xVal>
          <c:yVal>
            <c:numRef>
              <c:f>Ggrid!$L$187:$L$197</c:f>
              <c:numCache>
                <c:formatCode>0.00</c:formatCode>
                <c:ptCount val="11"/>
                <c:pt idx="0">
                  <c:v>-1.1079999999999997</c:v>
                </c:pt>
                <c:pt idx="1">
                  <c:v>-0.75800000000000001</c:v>
                </c:pt>
                <c:pt idx="2">
                  <c:v>-0.40800000000000036</c:v>
                </c:pt>
                <c:pt idx="3">
                  <c:v>-5.7999999999999829E-2</c:v>
                </c:pt>
                <c:pt idx="4">
                  <c:v>0.29199999999999982</c:v>
                </c:pt>
                <c:pt idx="5">
                  <c:v>0.64200000000000035</c:v>
                </c:pt>
                <c:pt idx="6">
                  <c:v>0.99199999999999999</c:v>
                </c:pt>
                <c:pt idx="7">
                  <c:v>1.3420000000000005</c:v>
                </c:pt>
                <c:pt idx="8">
                  <c:v>1.6920000000000002</c:v>
                </c:pt>
                <c:pt idx="9">
                  <c:v>2.0419999999999998</c:v>
                </c:pt>
                <c:pt idx="10">
                  <c:v>2.3919999999999995</c:v>
                </c:pt>
              </c:numCache>
            </c:numRef>
          </c:yVal>
          <c:smooth val="0"/>
        </c:ser>
        <c:ser>
          <c:idx val="10"/>
          <c:order val="2"/>
          <c:tx>
            <c:v>100</c:v>
          </c:tx>
          <c:spPr>
            <a:ln w="12700">
              <a:solidFill>
                <a:srgbClr val="424242"/>
              </a:solidFill>
              <a:prstDash val="solid"/>
            </a:ln>
          </c:spPr>
          <c:marker>
            <c:symbol val="none"/>
          </c:marker>
          <c:xVal>
            <c:numRef>
              <c:f>Ggrid!$E$187:$F$187</c:f>
              <c:numCache>
                <c:formatCode>0.00</c:formatCode>
                <c:ptCount val="2"/>
                <c:pt idx="0">
                  <c:v>4.397016621983914</c:v>
                </c:pt>
                <c:pt idx="1">
                  <c:v>0.7227166219839134</c:v>
                </c:pt>
              </c:numCache>
            </c:numRef>
          </c:xVal>
          <c:yVal>
            <c:numRef>
              <c:f>Ggrid!$K$187:$L$187</c:f>
              <c:numCache>
                <c:formatCode>0.00</c:formatCode>
                <c:ptCount val="2"/>
                <c:pt idx="0">
                  <c:v>3.7199999999999998</c:v>
                </c:pt>
                <c:pt idx="1">
                  <c:v>-1.1079999999999997</c:v>
                </c:pt>
              </c:numCache>
            </c:numRef>
          </c:yVal>
          <c:smooth val="0"/>
        </c:ser>
        <c:ser>
          <c:idx val="11"/>
          <c:order val="3"/>
          <c:tx>
            <c:v>125</c:v>
          </c:tx>
          <c:spPr>
            <a:ln w="12700">
              <a:solidFill>
                <a:srgbClr val="424242"/>
              </a:solidFill>
              <a:prstDash val="solid"/>
            </a:ln>
          </c:spPr>
          <c:marker>
            <c:symbol val="none"/>
          </c:marker>
          <c:xVal>
            <c:numRef>
              <c:f>Ggrid!$E$188:$F$188</c:f>
              <c:numCache>
                <c:formatCode>0.00</c:formatCode>
                <c:ptCount val="2"/>
                <c:pt idx="0">
                  <c:v>4.4721286432160801</c:v>
                </c:pt>
                <c:pt idx="1">
                  <c:v>1.0703286432160803</c:v>
                </c:pt>
              </c:numCache>
            </c:numRef>
          </c:xVal>
          <c:yVal>
            <c:numRef>
              <c:f>Ggrid!$K$188:$L$188</c:f>
              <c:numCache>
                <c:formatCode>0.00</c:formatCode>
                <c:ptCount val="2"/>
                <c:pt idx="0">
                  <c:v>3.7199999999999998</c:v>
                </c:pt>
                <c:pt idx="1">
                  <c:v>-0.75800000000000001</c:v>
                </c:pt>
              </c:numCache>
            </c:numRef>
          </c:yVal>
          <c:smooth val="0"/>
        </c:ser>
        <c:ser>
          <c:idx val="12"/>
          <c:order val="4"/>
          <c:tx>
            <c:v>150</c:v>
          </c:tx>
          <c:spPr>
            <a:ln w="12700">
              <a:solidFill>
                <a:srgbClr val="424242"/>
              </a:solidFill>
              <a:prstDash val="solid"/>
            </a:ln>
          </c:spPr>
          <c:marker>
            <c:symbol val="none"/>
          </c:marker>
          <c:xVal>
            <c:numRef>
              <c:f>Ggrid!$E$189:$F$189</c:f>
              <c:numCache>
                <c:formatCode>0.00</c:formatCode>
                <c:ptCount val="2"/>
                <c:pt idx="0">
                  <c:v>4.5880075650118197</c:v>
                </c:pt>
                <c:pt idx="1">
                  <c:v>1.4587075650118209</c:v>
                </c:pt>
              </c:numCache>
            </c:numRef>
          </c:xVal>
          <c:yVal>
            <c:numRef>
              <c:f>Ggrid!$K$189:$L$189</c:f>
              <c:numCache>
                <c:formatCode>0.00</c:formatCode>
                <c:ptCount val="2"/>
                <c:pt idx="0">
                  <c:v>3.7199999999999998</c:v>
                </c:pt>
                <c:pt idx="1">
                  <c:v>-0.40800000000000036</c:v>
                </c:pt>
              </c:numCache>
            </c:numRef>
          </c:yVal>
          <c:smooth val="0"/>
        </c:ser>
        <c:ser>
          <c:idx val="14"/>
          <c:order val="5"/>
          <c:tx>
            <c:v>175</c:v>
          </c:tx>
          <c:spPr>
            <a:ln w="12700">
              <a:solidFill>
                <a:srgbClr val="424242"/>
              </a:solidFill>
              <a:prstDash val="solid"/>
            </a:ln>
          </c:spPr>
          <c:marker>
            <c:symbol val="none"/>
          </c:marker>
          <c:xVal>
            <c:numRef>
              <c:f>Ggrid!$E$190:$F$190</c:f>
              <c:numCache>
                <c:formatCode>0.00</c:formatCode>
                <c:ptCount val="2"/>
                <c:pt idx="0">
                  <c:v>4.7378285714285706</c:v>
                </c:pt>
                <c:pt idx="1">
                  <c:v>1.8810285714285708</c:v>
                </c:pt>
              </c:numCache>
            </c:numRef>
          </c:xVal>
          <c:yVal>
            <c:numRef>
              <c:f>Ggrid!$K$190:$L$190</c:f>
              <c:numCache>
                <c:formatCode>0.00</c:formatCode>
                <c:ptCount val="2"/>
                <c:pt idx="0">
                  <c:v>3.7199999999999998</c:v>
                </c:pt>
                <c:pt idx="1">
                  <c:v>-5.7999999999999829E-2</c:v>
                </c:pt>
              </c:numCache>
            </c:numRef>
          </c:yVal>
          <c:smooth val="0"/>
        </c:ser>
        <c:ser>
          <c:idx val="15"/>
          <c:order val="6"/>
          <c:tx>
            <c:v>200</c:v>
          </c:tx>
          <c:spPr>
            <a:ln w="12700">
              <a:solidFill>
                <a:srgbClr val="424242"/>
              </a:solidFill>
              <a:prstDash val="solid"/>
            </a:ln>
          </c:spPr>
          <c:marker>
            <c:symbol val="none"/>
          </c:marker>
          <c:xVal>
            <c:numRef>
              <c:f>Ggrid!$E$191:$F$191</c:f>
              <c:numCache>
                <c:formatCode>0.00</c:formatCode>
                <c:ptCount val="2"/>
                <c:pt idx="0">
                  <c:v>4.9162097251585619</c:v>
                </c:pt>
                <c:pt idx="1">
                  <c:v>2.331909725158563</c:v>
                </c:pt>
              </c:numCache>
            </c:numRef>
          </c:xVal>
          <c:yVal>
            <c:numRef>
              <c:f>Ggrid!$K$191:$L$191</c:f>
              <c:numCache>
                <c:formatCode>0.00</c:formatCode>
                <c:ptCount val="2"/>
                <c:pt idx="0">
                  <c:v>3.7199999999999998</c:v>
                </c:pt>
                <c:pt idx="1">
                  <c:v>0.29199999999999982</c:v>
                </c:pt>
              </c:numCache>
            </c:numRef>
          </c:yVal>
          <c:smooth val="0"/>
        </c:ser>
        <c:ser>
          <c:idx val="16"/>
          <c:order val="7"/>
          <c:tx>
            <c:v>225</c:v>
          </c:tx>
          <c:spPr>
            <a:ln w="12700">
              <a:solidFill>
                <a:srgbClr val="424242"/>
              </a:solidFill>
              <a:prstDash val="solid"/>
            </a:ln>
          </c:spPr>
          <c:marker>
            <c:symbol val="none"/>
          </c:marker>
          <c:xVal>
            <c:numRef>
              <c:f>Ggrid!$E$192:$F$192</c:f>
              <c:numCache>
                <c:formatCode>0.00</c:formatCode>
                <c:ptCount val="2"/>
                <c:pt idx="0">
                  <c:v>5.1188497991967852</c:v>
                </c:pt>
                <c:pt idx="1">
                  <c:v>2.8070497991967862</c:v>
                </c:pt>
              </c:numCache>
            </c:numRef>
          </c:xVal>
          <c:yVal>
            <c:numRef>
              <c:f>Ggrid!$K$192:$L$192</c:f>
              <c:numCache>
                <c:formatCode>0.00</c:formatCode>
                <c:ptCount val="2"/>
                <c:pt idx="0">
                  <c:v>3.7199999999999998</c:v>
                </c:pt>
                <c:pt idx="1">
                  <c:v>0.64200000000000035</c:v>
                </c:pt>
              </c:numCache>
            </c:numRef>
          </c:yVal>
          <c:smooth val="0"/>
        </c:ser>
        <c:ser>
          <c:idx val="2"/>
          <c:order val="8"/>
          <c:tx>
            <c:v>250</c:v>
          </c:tx>
          <c:spPr>
            <a:ln w="12700">
              <a:solidFill>
                <a:srgbClr val="424242"/>
              </a:solidFill>
              <a:prstDash val="solid"/>
            </a:ln>
          </c:spPr>
          <c:marker>
            <c:symbol val="none"/>
          </c:marker>
          <c:xVal>
            <c:numRef>
              <c:f>Ggrid!$E$193:$F$193</c:f>
              <c:numCache>
                <c:formatCode>0.00</c:formatCode>
                <c:ptCount val="2"/>
                <c:pt idx="0">
                  <c:v>5.3422699808795393</c:v>
                </c:pt>
                <c:pt idx="1">
                  <c:v>3.3029699808795412</c:v>
                </c:pt>
              </c:numCache>
            </c:numRef>
          </c:xVal>
          <c:yVal>
            <c:numRef>
              <c:f>Ggrid!$K$193:$L$193</c:f>
              <c:numCache>
                <c:formatCode>0.00</c:formatCode>
                <c:ptCount val="2"/>
                <c:pt idx="0">
                  <c:v>3.7199999999999998</c:v>
                </c:pt>
                <c:pt idx="1">
                  <c:v>0.99199999999999999</c:v>
                </c:pt>
              </c:numCache>
            </c:numRef>
          </c:yVal>
          <c:smooth val="0"/>
        </c:ser>
        <c:ser>
          <c:idx val="3"/>
          <c:order val="9"/>
          <c:tx>
            <c:v>275</c:v>
          </c:tx>
          <c:spPr>
            <a:ln w="12700">
              <a:solidFill>
                <a:srgbClr val="424242"/>
              </a:solidFill>
              <a:prstDash val="solid"/>
            </a:ln>
          </c:spPr>
          <c:marker>
            <c:symbol val="none"/>
          </c:marker>
          <c:xVal>
            <c:numRef>
              <c:f>Ggrid!$E$194:$F$194</c:f>
              <c:numCache>
                <c:formatCode>0.00</c:formatCode>
                <c:ptCount val="2"/>
                <c:pt idx="0">
                  <c:v>5.5836262773722609</c:v>
                </c:pt>
                <c:pt idx="1">
                  <c:v>3.8168262773722619</c:v>
                </c:pt>
              </c:numCache>
            </c:numRef>
          </c:xVal>
          <c:yVal>
            <c:numRef>
              <c:f>Ggrid!$K$194:$L$194</c:f>
              <c:numCache>
                <c:formatCode>0.00</c:formatCode>
                <c:ptCount val="2"/>
                <c:pt idx="0">
                  <c:v>3.7199999999999998</c:v>
                </c:pt>
                <c:pt idx="1">
                  <c:v>1.3420000000000005</c:v>
                </c:pt>
              </c:numCache>
            </c:numRef>
          </c:yVal>
          <c:smooth val="0"/>
        </c:ser>
        <c:ser>
          <c:idx val="4"/>
          <c:order val="10"/>
          <c:tx>
            <c:v>300</c:v>
          </c:tx>
          <c:spPr>
            <a:ln w="12700">
              <a:solidFill>
                <a:srgbClr val="424242"/>
              </a:solidFill>
              <a:prstDash val="solid"/>
            </a:ln>
          </c:spPr>
          <c:marker>
            <c:symbol val="none"/>
          </c:marker>
          <c:xVal>
            <c:numRef>
              <c:f>Ggrid!$E$195:$F$195</c:f>
              <c:numCache>
                <c:formatCode>0.00</c:formatCode>
                <c:ptCount val="2"/>
                <c:pt idx="0">
                  <c:v>5.8405710296684124</c:v>
                </c:pt>
                <c:pt idx="1">
                  <c:v>4.3462710296684115</c:v>
                </c:pt>
              </c:numCache>
            </c:numRef>
          </c:xVal>
          <c:yVal>
            <c:numRef>
              <c:f>Ggrid!$K$195:$L$195</c:f>
              <c:numCache>
                <c:formatCode>0.00</c:formatCode>
                <c:ptCount val="2"/>
                <c:pt idx="0">
                  <c:v>3.7199999999999998</c:v>
                </c:pt>
                <c:pt idx="1">
                  <c:v>1.6920000000000002</c:v>
                </c:pt>
              </c:numCache>
            </c:numRef>
          </c:yVal>
          <c:smooth val="1"/>
        </c:ser>
        <c:ser>
          <c:idx val="5"/>
          <c:order val="11"/>
          <c:tx>
            <c:strRef>
              <c:f>Ggrid!$A$196</c:f>
              <c:strCache>
                <c:ptCount val="1"/>
                <c:pt idx="0">
                  <c:v>325</c:v>
                </c:pt>
              </c:strCache>
            </c:strRef>
          </c:tx>
          <c:spPr>
            <a:ln w="12700">
              <a:solidFill>
                <a:srgbClr val="424242"/>
              </a:solidFill>
              <a:prstDash val="solid"/>
            </a:ln>
          </c:spPr>
          <c:marker>
            <c:symbol val="none"/>
          </c:marker>
          <c:xVal>
            <c:numRef>
              <c:f>Ggrid!$E$196:$F$196</c:f>
              <c:numCache>
                <c:formatCode>0.00</c:formatCode>
                <c:ptCount val="2"/>
                <c:pt idx="0">
                  <c:v>6.1111491638795989</c:v>
                </c:pt>
                <c:pt idx="1">
                  <c:v>4.8893491638795972</c:v>
                </c:pt>
              </c:numCache>
            </c:numRef>
          </c:xVal>
          <c:yVal>
            <c:numRef>
              <c:f>Ggrid!$K$196:$L$196</c:f>
              <c:numCache>
                <c:formatCode>0.00</c:formatCode>
                <c:ptCount val="2"/>
                <c:pt idx="0">
                  <c:v>3.7199999999999998</c:v>
                </c:pt>
                <c:pt idx="1">
                  <c:v>2.0419999999999998</c:v>
                </c:pt>
              </c:numCache>
            </c:numRef>
          </c:yVal>
          <c:smooth val="0"/>
        </c:ser>
        <c:ser>
          <c:idx val="6"/>
          <c:order val="12"/>
          <c:tx>
            <c:strRef>
              <c:f>Ggrid!$A$197</c:f>
              <c:strCache>
                <c:ptCount val="1"/>
                <c:pt idx="0">
                  <c:v>350</c:v>
                </c:pt>
              </c:strCache>
            </c:strRef>
          </c:tx>
          <c:spPr>
            <a:ln w="12700">
              <a:solidFill>
                <a:srgbClr val="424242"/>
              </a:solidFill>
              <a:prstDash val="solid"/>
            </a:ln>
          </c:spPr>
          <c:marker>
            <c:symbol val="none"/>
          </c:marker>
          <c:dLbls>
            <c:dLbl>
              <c:idx val="0"/>
              <c:tx>
                <c:rich>
                  <a:bodyPr/>
                  <a:lstStyle/>
                  <a:p>
                    <a:pPr>
                      <a:defRPr sz="1200" b="0" i="0" u="none" strike="noStrike" baseline="0">
                        <a:solidFill>
                          <a:srgbClr val="000000"/>
                        </a:solidFill>
                        <a:latin typeface="Arial"/>
                        <a:ea typeface="Arial"/>
                        <a:cs typeface="Arial"/>
                      </a:defRPr>
                    </a:pPr>
                    <a:r>
                      <a:rPr lang="en-NZ"/>
                      <a:t>equilibrated vapor</a:t>
                    </a:r>
                  </a:p>
                </c:rich>
              </c:tx>
              <c:spPr>
                <a:noFill/>
                <a:ln w="25400">
                  <a:noFill/>
                </a:ln>
              </c:spPr>
              <c:showLegendKey val="0"/>
              <c:showVal val="0"/>
              <c:showCatName val="0"/>
              <c:showSerName val="0"/>
              <c:showPercent val="0"/>
              <c:showBubbleSize val="0"/>
            </c:dLbl>
            <c:dLbl>
              <c:idx val="1"/>
              <c:tx>
                <c:rich>
                  <a:bodyPr/>
                  <a:lstStyle/>
                  <a:p>
                    <a:pPr>
                      <a:defRPr sz="1200" b="0" i="0" u="none" strike="noStrike" baseline="0">
                        <a:solidFill>
                          <a:srgbClr val="000000"/>
                        </a:solidFill>
                        <a:latin typeface="Arial"/>
                        <a:ea typeface="Arial"/>
                        <a:cs typeface="Arial"/>
                      </a:defRPr>
                    </a:pPr>
                    <a:r>
                      <a:rPr lang="en-NZ"/>
                      <a:t>equilibrated liquid</a:t>
                    </a:r>
                  </a:p>
                </c:rich>
              </c:tx>
              <c:spPr>
                <a:noFill/>
                <a:ln w="25400">
                  <a:noFill/>
                </a:ln>
              </c:spPr>
              <c:showLegendKey val="0"/>
              <c:showVal val="0"/>
              <c:showCatName val="0"/>
              <c:showSerName val="0"/>
              <c:showPercent val="0"/>
              <c:showBubbleSize val="0"/>
            </c:dLbl>
            <c:showLegendKey val="0"/>
            <c:showVal val="0"/>
            <c:showCatName val="0"/>
            <c:showSerName val="0"/>
            <c:showPercent val="0"/>
            <c:showBubbleSize val="0"/>
          </c:dLbls>
          <c:xVal>
            <c:numRef>
              <c:f>Ggrid!$E$197:$F$197</c:f>
              <c:numCache>
                <c:formatCode>0.00</c:formatCode>
                <c:ptCount val="2"/>
                <c:pt idx="0">
                  <c:v>6.3937194221508822</c:v>
                </c:pt>
                <c:pt idx="1">
                  <c:v>5.4444194221508813</c:v>
                </c:pt>
              </c:numCache>
            </c:numRef>
          </c:xVal>
          <c:yVal>
            <c:numRef>
              <c:f>Ggrid!$K$197:$L$197</c:f>
              <c:numCache>
                <c:formatCode>0.00</c:formatCode>
                <c:ptCount val="2"/>
                <c:pt idx="0">
                  <c:v>3.7199999999999998</c:v>
                </c:pt>
                <c:pt idx="1">
                  <c:v>2.3919999999999995</c:v>
                </c:pt>
              </c:numCache>
            </c:numRef>
          </c:yVal>
          <c:smooth val="1"/>
        </c:ser>
        <c:ser>
          <c:idx val="7"/>
          <c:order val="13"/>
          <c:tx>
            <c:v>data</c:v>
          </c:tx>
          <c:spPr>
            <a:ln w="28575">
              <a:noFill/>
            </a:ln>
          </c:spPr>
          <c:marker>
            <c:symbol val="diamond"/>
            <c:size val="10"/>
            <c:spPr>
              <a:noFill/>
              <a:ln>
                <a:solidFill>
                  <a:srgbClr val="0000FF"/>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input!$BG$11:$BG$40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input!$BH$11:$BH$40</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1"/>
        </c:ser>
        <c:ser>
          <c:idx val="8"/>
          <c:order val="14"/>
          <c:tx>
            <c:v>Ar error arrow</c:v>
          </c:tx>
          <c:spPr>
            <a:ln w="12700">
              <a:solidFill>
                <a:srgbClr val="424242"/>
              </a:solidFill>
              <a:prstDash val="solid"/>
            </a:ln>
          </c:spPr>
          <c:marker>
            <c:symbol val="none"/>
          </c:marker>
          <c:dLbls>
            <c:dLbl>
              <c:idx val="0"/>
              <c:layout>
                <c:manualLayout>
                  <c:x val="-7.1995945012977694E-2"/>
                  <c:y val="4.5847923169473274E-2"/>
                </c:manualLayout>
              </c:layout>
              <c:tx>
                <c:rich>
                  <a:bodyPr/>
                  <a:lstStyle/>
                  <a:p>
                    <a:pPr>
                      <a:defRPr sz="1400" b="0" i="0" u="none" strike="noStrike" baseline="0">
                        <a:solidFill>
                          <a:srgbClr val="000000"/>
                        </a:solidFill>
                        <a:latin typeface="Arial"/>
                        <a:ea typeface="Arial"/>
                        <a:cs typeface="Arial"/>
                      </a:defRPr>
                    </a:pPr>
                    <a:r>
                      <a:rPr lang="en-NZ" b="0"/>
                      <a:t>Argon Error</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Ggrid!$N$187:$N$197</c:f>
              <c:numCache>
                <c:formatCode>0.0</c:formatCode>
                <c:ptCount val="11"/>
                <c:pt idx="0" formatCode="General">
                  <c:v>1.07</c:v>
                </c:pt>
                <c:pt idx="1">
                  <c:v>1</c:v>
                </c:pt>
                <c:pt idx="2" formatCode="0.00">
                  <c:v>1.1299999999999999</c:v>
                </c:pt>
                <c:pt idx="3" formatCode="0.00">
                  <c:v>1</c:v>
                </c:pt>
                <c:pt idx="4" formatCode="0.00">
                  <c:v>2</c:v>
                </c:pt>
                <c:pt idx="5" formatCode="0.00">
                  <c:v>1.87</c:v>
                </c:pt>
                <c:pt idx="6" formatCode="0.00">
                  <c:v>2</c:v>
                </c:pt>
                <c:pt idx="7" formatCode="0.00">
                  <c:v>1.97</c:v>
                </c:pt>
              </c:numCache>
            </c:numRef>
          </c:xVal>
          <c:yVal>
            <c:numRef>
              <c:f>Ggrid!$O$187:$O$197</c:f>
              <c:numCache>
                <c:formatCode>General</c:formatCode>
                <c:ptCount val="11"/>
                <c:pt idx="0">
                  <c:v>1.4</c:v>
                </c:pt>
                <c:pt idx="1">
                  <c:v>1.2</c:v>
                </c:pt>
                <c:pt idx="2" formatCode="0.00">
                  <c:v>1.2</c:v>
                </c:pt>
                <c:pt idx="3" formatCode="0.00">
                  <c:v>1.2</c:v>
                </c:pt>
                <c:pt idx="4" formatCode="0.00">
                  <c:v>2.2000000000000002</c:v>
                </c:pt>
                <c:pt idx="5" formatCode="0.00">
                  <c:v>2.2000000000000002</c:v>
                </c:pt>
                <c:pt idx="6" formatCode="0.00">
                  <c:v>2.2000000000000002</c:v>
                </c:pt>
                <c:pt idx="7" formatCode="0.00">
                  <c:v>2</c:v>
                </c:pt>
              </c:numCache>
            </c:numRef>
          </c:yVal>
          <c:smooth val="0"/>
        </c:ser>
        <c:dLbls>
          <c:showLegendKey val="0"/>
          <c:showVal val="0"/>
          <c:showCatName val="0"/>
          <c:showSerName val="0"/>
          <c:showPercent val="0"/>
          <c:showBubbleSize val="0"/>
        </c:dLbls>
        <c:axId val="87539072"/>
        <c:axId val="89572864"/>
      </c:scatterChart>
      <c:valAx>
        <c:axId val="87539072"/>
        <c:scaling>
          <c:orientation val="minMax"/>
          <c:max val="8"/>
          <c:min val="0"/>
        </c:scaling>
        <c:delete val="0"/>
        <c:axPos val="b"/>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log(CO</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/Ar)</a:t>
                </a:r>
              </a:p>
            </c:rich>
          </c:tx>
          <c:layout>
            <c:manualLayout>
              <c:xMode val="edge"/>
              <c:yMode val="edge"/>
              <c:x val="0.46392894871543555"/>
              <c:y val="0.929853232631635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89572864"/>
        <c:crossesAt val="-4"/>
        <c:crossBetween val="midCat"/>
        <c:majorUnit val="1"/>
      </c:valAx>
      <c:valAx>
        <c:axId val="89572864"/>
        <c:scaling>
          <c:orientation val="minMax"/>
          <c:max val="5"/>
          <c:min val="-2"/>
        </c:scaling>
        <c:delete val="0"/>
        <c:axPos val="l"/>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log(H</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/Ar)</a:t>
                </a:r>
              </a:p>
            </c:rich>
          </c:tx>
          <c:layout>
            <c:manualLayout>
              <c:xMode val="edge"/>
              <c:yMode val="edge"/>
              <c:x val="4.4395073022511231E-3"/>
              <c:y val="0.3882545039012981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87539072"/>
        <c:crosses val="autoZero"/>
        <c:crossBetween val="midCat"/>
      </c:valAx>
      <c:spPr>
        <a:noFill/>
        <a:ln w="12700">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691453940066602E-2"/>
          <c:y val="5.7096247960848313E-2"/>
          <c:w val="0.89234184239733638"/>
          <c:h val="0.81402936378466551"/>
        </c:manualLayout>
      </c:layout>
      <c:scatterChart>
        <c:scatterStyle val="smoothMarker"/>
        <c:varyColors val="0"/>
        <c:ser>
          <c:idx val="0"/>
          <c:order val="0"/>
          <c:tx>
            <c:v>-2.8 vap</c:v>
          </c:tx>
          <c:spPr>
            <a:ln w="12700">
              <a:solidFill>
                <a:srgbClr val="424242"/>
              </a:solidFill>
              <a:prstDash val="solid"/>
            </a:ln>
          </c:spPr>
          <c:marker>
            <c:symbol val="none"/>
          </c:marker>
          <c:xVal>
            <c:numRef>
              <c:f>Ggrid!$E$187:$E$197</c:f>
              <c:numCache>
                <c:formatCode>0.00</c:formatCode>
                <c:ptCount val="11"/>
                <c:pt idx="0">
                  <c:v>4.397016621983914</c:v>
                </c:pt>
                <c:pt idx="1">
                  <c:v>4.4721286432160801</c:v>
                </c:pt>
                <c:pt idx="2">
                  <c:v>4.5880075650118197</c:v>
                </c:pt>
                <c:pt idx="3">
                  <c:v>4.7378285714285706</c:v>
                </c:pt>
                <c:pt idx="4">
                  <c:v>4.9162097251585619</c:v>
                </c:pt>
                <c:pt idx="5">
                  <c:v>5.1188497991967852</c:v>
                </c:pt>
                <c:pt idx="6">
                  <c:v>5.3422699808795393</c:v>
                </c:pt>
                <c:pt idx="7">
                  <c:v>5.5836262773722609</c:v>
                </c:pt>
                <c:pt idx="8">
                  <c:v>5.8405710296684124</c:v>
                </c:pt>
                <c:pt idx="9">
                  <c:v>6.1111491638795989</c:v>
                </c:pt>
                <c:pt idx="10">
                  <c:v>6.3937194221508822</c:v>
                </c:pt>
              </c:numCache>
            </c:numRef>
          </c:xVal>
          <c:yVal>
            <c:numRef>
              <c:f>Ggrid!$K$187:$K$197</c:f>
              <c:numCache>
                <c:formatCode>0.00</c:formatCode>
                <c:ptCount val="11"/>
                <c:pt idx="0">
                  <c:v>3.7199999999999998</c:v>
                </c:pt>
                <c:pt idx="1">
                  <c:v>3.7199999999999998</c:v>
                </c:pt>
                <c:pt idx="2">
                  <c:v>3.7199999999999998</c:v>
                </c:pt>
                <c:pt idx="3">
                  <c:v>3.7199999999999998</c:v>
                </c:pt>
                <c:pt idx="4">
                  <c:v>3.7199999999999998</c:v>
                </c:pt>
                <c:pt idx="5">
                  <c:v>3.7199999999999998</c:v>
                </c:pt>
                <c:pt idx="6">
                  <c:v>3.7199999999999998</c:v>
                </c:pt>
                <c:pt idx="7">
                  <c:v>3.7199999999999998</c:v>
                </c:pt>
                <c:pt idx="8">
                  <c:v>3.7199999999999998</c:v>
                </c:pt>
                <c:pt idx="9">
                  <c:v>3.7199999999999998</c:v>
                </c:pt>
                <c:pt idx="10">
                  <c:v>3.7199999999999998</c:v>
                </c:pt>
              </c:numCache>
            </c:numRef>
          </c:yVal>
          <c:smooth val="0"/>
        </c:ser>
        <c:ser>
          <c:idx val="1"/>
          <c:order val="1"/>
          <c:tx>
            <c:v>-2.8 liq</c:v>
          </c:tx>
          <c:spPr>
            <a:ln w="12700">
              <a:solidFill>
                <a:srgbClr val="424242"/>
              </a:solidFill>
              <a:prstDash val="solid"/>
            </a:ln>
          </c:spPr>
          <c:marker>
            <c:symbol val="none"/>
          </c:marker>
          <c:dLbls>
            <c:dLbl>
              <c:idx val="0"/>
              <c:tx>
                <c:strRef>
                  <c:f>Ggrid!$A$187</c:f>
                  <c:strCache>
                    <c:ptCount val="1"/>
                    <c:pt idx="0">
                      <c:v>100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
              <c:tx>
                <c:strRef>
                  <c:f>Ggrid!$A$188</c:f>
                  <c:strCache>
                    <c:ptCount val="1"/>
                    <c:pt idx="0">
                      <c:v>125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2"/>
              <c:tx>
                <c:strRef>
                  <c:f>Ggrid!$A$189</c:f>
                  <c:strCache>
                    <c:ptCount val="1"/>
                    <c:pt idx="0">
                      <c:v>150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3"/>
              <c:tx>
                <c:strRef>
                  <c:f>Ggrid!$A$190</c:f>
                  <c:strCache>
                    <c:ptCount val="1"/>
                    <c:pt idx="0">
                      <c:v>175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4"/>
              <c:tx>
                <c:strRef>
                  <c:f>Ggrid!$A$191</c:f>
                  <c:strCache>
                    <c:ptCount val="1"/>
                    <c:pt idx="0">
                      <c:v>200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5"/>
              <c:tx>
                <c:strRef>
                  <c:f>Ggrid!$A$192</c:f>
                  <c:strCache>
                    <c:ptCount val="1"/>
                    <c:pt idx="0">
                      <c:v>225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6"/>
              <c:tx>
                <c:strRef>
                  <c:f>Ggrid!$A$193</c:f>
                  <c:strCache>
                    <c:ptCount val="1"/>
                    <c:pt idx="0">
                      <c:v>250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7"/>
              <c:tx>
                <c:strRef>
                  <c:f>Ggrid!$A$194</c:f>
                  <c:strCache>
                    <c:ptCount val="1"/>
                    <c:pt idx="0">
                      <c:v>275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8"/>
              <c:tx>
                <c:strRef>
                  <c:f>Ggrid!$A$195</c:f>
                  <c:strCache>
                    <c:ptCount val="1"/>
                    <c:pt idx="0">
                      <c:v>300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9"/>
              <c:tx>
                <c:strRef>
                  <c:f>Ggrid!$A$196</c:f>
                  <c:strCache>
                    <c:ptCount val="1"/>
                    <c:pt idx="0">
                      <c:v>325</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dLbl>
              <c:idx val="10"/>
              <c:tx>
                <c:strRef>
                  <c:f>Ggrid!$A$197</c:f>
                  <c:strCache>
                    <c:ptCount val="1"/>
                    <c:pt idx="0">
                      <c:v>350</c:v>
                    </c:pt>
                  </c:strCache>
                </c:strRef>
              </c:tx>
              <c:spPr>
                <a:noFill/>
                <a:ln w="25400">
                  <a:noFill/>
                </a:ln>
              </c:spPr>
              <c:txPr>
                <a:bodyPr rot="-4500000" vert="horz"/>
                <a:lstStyle/>
                <a:p>
                  <a:pPr algn="ctr">
                    <a:defRPr sz="1400" b="0" i="0" u="none" strike="noStrike" baseline="0">
                      <a:solidFill>
                        <a:srgbClr val="424242"/>
                      </a:solidFill>
                      <a:latin typeface="Arial"/>
                      <a:ea typeface="Arial"/>
                      <a:cs typeface="Arial"/>
                    </a:defRPr>
                  </a:pPr>
                  <a:endParaRPr lang="en-US"/>
                </a:p>
              </c:txPr>
              <c:dLblPos val="b"/>
              <c:showLegendKey val="0"/>
              <c:showVal val="0"/>
              <c:showCatName val="0"/>
              <c:showSerName val="0"/>
              <c:showPercent val="0"/>
              <c:showBubbleSize val="0"/>
            </c:dLbl>
            <c:showLegendKey val="0"/>
            <c:showVal val="0"/>
            <c:showCatName val="0"/>
            <c:showSerName val="0"/>
            <c:showPercent val="0"/>
            <c:showBubbleSize val="0"/>
          </c:dLbls>
          <c:xVal>
            <c:numRef>
              <c:f>Ggrid!$F$187:$F$197</c:f>
              <c:numCache>
                <c:formatCode>0.00</c:formatCode>
                <c:ptCount val="11"/>
                <c:pt idx="0">
                  <c:v>0.7227166219839134</c:v>
                </c:pt>
                <c:pt idx="1">
                  <c:v>1.0703286432160803</c:v>
                </c:pt>
                <c:pt idx="2">
                  <c:v>1.4587075650118209</c:v>
                </c:pt>
                <c:pt idx="3">
                  <c:v>1.8810285714285708</c:v>
                </c:pt>
                <c:pt idx="4">
                  <c:v>2.331909725158563</c:v>
                </c:pt>
                <c:pt idx="5">
                  <c:v>2.8070497991967862</c:v>
                </c:pt>
                <c:pt idx="6">
                  <c:v>3.3029699808795412</c:v>
                </c:pt>
                <c:pt idx="7">
                  <c:v>3.8168262773722619</c:v>
                </c:pt>
                <c:pt idx="8">
                  <c:v>4.3462710296684115</c:v>
                </c:pt>
                <c:pt idx="9">
                  <c:v>4.8893491638795972</c:v>
                </c:pt>
                <c:pt idx="10">
                  <c:v>5.4444194221508813</c:v>
                </c:pt>
              </c:numCache>
            </c:numRef>
          </c:xVal>
          <c:yVal>
            <c:numRef>
              <c:f>Ggrid!$L$187:$L$197</c:f>
              <c:numCache>
                <c:formatCode>0.00</c:formatCode>
                <c:ptCount val="11"/>
                <c:pt idx="0">
                  <c:v>-1.1079999999999997</c:v>
                </c:pt>
                <c:pt idx="1">
                  <c:v>-0.75800000000000001</c:v>
                </c:pt>
                <c:pt idx="2">
                  <c:v>-0.40800000000000036</c:v>
                </c:pt>
                <c:pt idx="3">
                  <c:v>-5.7999999999999829E-2</c:v>
                </c:pt>
                <c:pt idx="4">
                  <c:v>0.29199999999999982</c:v>
                </c:pt>
                <c:pt idx="5">
                  <c:v>0.64200000000000035</c:v>
                </c:pt>
                <c:pt idx="6">
                  <c:v>0.99199999999999999</c:v>
                </c:pt>
                <c:pt idx="7">
                  <c:v>1.3420000000000005</c:v>
                </c:pt>
                <c:pt idx="8">
                  <c:v>1.6920000000000002</c:v>
                </c:pt>
                <c:pt idx="9">
                  <c:v>2.0419999999999998</c:v>
                </c:pt>
                <c:pt idx="10">
                  <c:v>2.3919999999999995</c:v>
                </c:pt>
              </c:numCache>
            </c:numRef>
          </c:yVal>
          <c:smooth val="0"/>
        </c:ser>
        <c:ser>
          <c:idx val="10"/>
          <c:order val="2"/>
          <c:tx>
            <c:v>100</c:v>
          </c:tx>
          <c:spPr>
            <a:ln w="12700">
              <a:solidFill>
                <a:srgbClr val="424242"/>
              </a:solidFill>
              <a:prstDash val="solid"/>
            </a:ln>
          </c:spPr>
          <c:marker>
            <c:symbol val="none"/>
          </c:marker>
          <c:xVal>
            <c:numRef>
              <c:f>Ggrid!$E$187:$F$187</c:f>
              <c:numCache>
                <c:formatCode>0.00</c:formatCode>
                <c:ptCount val="2"/>
                <c:pt idx="0">
                  <c:v>4.397016621983914</c:v>
                </c:pt>
                <c:pt idx="1">
                  <c:v>0.7227166219839134</c:v>
                </c:pt>
              </c:numCache>
            </c:numRef>
          </c:xVal>
          <c:yVal>
            <c:numRef>
              <c:f>Ggrid!$K$187:$L$187</c:f>
              <c:numCache>
                <c:formatCode>0.00</c:formatCode>
                <c:ptCount val="2"/>
                <c:pt idx="0">
                  <c:v>3.7199999999999998</c:v>
                </c:pt>
                <c:pt idx="1">
                  <c:v>-1.1079999999999997</c:v>
                </c:pt>
              </c:numCache>
            </c:numRef>
          </c:yVal>
          <c:smooth val="0"/>
        </c:ser>
        <c:ser>
          <c:idx val="11"/>
          <c:order val="3"/>
          <c:tx>
            <c:v>125</c:v>
          </c:tx>
          <c:spPr>
            <a:ln w="12700">
              <a:solidFill>
                <a:srgbClr val="424242"/>
              </a:solidFill>
              <a:prstDash val="solid"/>
            </a:ln>
          </c:spPr>
          <c:marker>
            <c:symbol val="none"/>
          </c:marker>
          <c:xVal>
            <c:numRef>
              <c:f>Ggrid!$E$188:$F$188</c:f>
              <c:numCache>
                <c:formatCode>0.00</c:formatCode>
                <c:ptCount val="2"/>
                <c:pt idx="0">
                  <c:v>4.4721286432160801</c:v>
                </c:pt>
                <c:pt idx="1">
                  <c:v>1.0703286432160803</c:v>
                </c:pt>
              </c:numCache>
            </c:numRef>
          </c:xVal>
          <c:yVal>
            <c:numRef>
              <c:f>Ggrid!$K$188:$L$188</c:f>
              <c:numCache>
                <c:formatCode>0.00</c:formatCode>
                <c:ptCount val="2"/>
                <c:pt idx="0">
                  <c:v>3.7199999999999998</c:v>
                </c:pt>
                <c:pt idx="1">
                  <c:v>-0.75800000000000001</c:v>
                </c:pt>
              </c:numCache>
            </c:numRef>
          </c:yVal>
          <c:smooth val="0"/>
        </c:ser>
        <c:ser>
          <c:idx val="12"/>
          <c:order val="4"/>
          <c:tx>
            <c:v>150</c:v>
          </c:tx>
          <c:spPr>
            <a:ln w="12700">
              <a:solidFill>
                <a:srgbClr val="424242"/>
              </a:solidFill>
              <a:prstDash val="solid"/>
            </a:ln>
          </c:spPr>
          <c:marker>
            <c:symbol val="none"/>
          </c:marker>
          <c:xVal>
            <c:numRef>
              <c:f>Ggrid!$E$189:$F$189</c:f>
              <c:numCache>
                <c:formatCode>0.00</c:formatCode>
                <c:ptCount val="2"/>
                <c:pt idx="0">
                  <c:v>4.5880075650118197</c:v>
                </c:pt>
                <c:pt idx="1">
                  <c:v>1.4587075650118209</c:v>
                </c:pt>
              </c:numCache>
            </c:numRef>
          </c:xVal>
          <c:yVal>
            <c:numRef>
              <c:f>Ggrid!$K$189:$L$189</c:f>
              <c:numCache>
                <c:formatCode>0.00</c:formatCode>
                <c:ptCount val="2"/>
                <c:pt idx="0">
                  <c:v>3.7199999999999998</c:v>
                </c:pt>
                <c:pt idx="1">
                  <c:v>-0.40800000000000036</c:v>
                </c:pt>
              </c:numCache>
            </c:numRef>
          </c:yVal>
          <c:smooth val="0"/>
        </c:ser>
        <c:ser>
          <c:idx val="14"/>
          <c:order val="5"/>
          <c:tx>
            <c:v>175</c:v>
          </c:tx>
          <c:spPr>
            <a:ln w="12700">
              <a:solidFill>
                <a:srgbClr val="424242"/>
              </a:solidFill>
              <a:prstDash val="solid"/>
            </a:ln>
          </c:spPr>
          <c:marker>
            <c:symbol val="none"/>
          </c:marker>
          <c:xVal>
            <c:numRef>
              <c:f>Ggrid!$E$190:$F$190</c:f>
              <c:numCache>
                <c:formatCode>0.00</c:formatCode>
                <c:ptCount val="2"/>
                <c:pt idx="0">
                  <c:v>4.7378285714285706</c:v>
                </c:pt>
                <c:pt idx="1">
                  <c:v>1.8810285714285708</c:v>
                </c:pt>
              </c:numCache>
            </c:numRef>
          </c:xVal>
          <c:yVal>
            <c:numRef>
              <c:f>Ggrid!$K$190:$L$190</c:f>
              <c:numCache>
                <c:formatCode>0.00</c:formatCode>
                <c:ptCount val="2"/>
                <c:pt idx="0">
                  <c:v>3.7199999999999998</c:v>
                </c:pt>
                <c:pt idx="1">
                  <c:v>-5.7999999999999829E-2</c:v>
                </c:pt>
              </c:numCache>
            </c:numRef>
          </c:yVal>
          <c:smooth val="0"/>
        </c:ser>
        <c:ser>
          <c:idx val="15"/>
          <c:order val="6"/>
          <c:tx>
            <c:v>200</c:v>
          </c:tx>
          <c:spPr>
            <a:ln w="12700">
              <a:solidFill>
                <a:srgbClr val="424242"/>
              </a:solidFill>
              <a:prstDash val="solid"/>
            </a:ln>
          </c:spPr>
          <c:marker>
            <c:symbol val="none"/>
          </c:marker>
          <c:xVal>
            <c:numRef>
              <c:f>Ggrid!$E$191:$F$191</c:f>
              <c:numCache>
                <c:formatCode>0.00</c:formatCode>
                <c:ptCount val="2"/>
                <c:pt idx="0">
                  <c:v>4.9162097251585619</c:v>
                </c:pt>
                <c:pt idx="1">
                  <c:v>2.331909725158563</c:v>
                </c:pt>
              </c:numCache>
            </c:numRef>
          </c:xVal>
          <c:yVal>
            <c:numRef>
              <c:f>Ggrid!$K$191:$L$191</c:f>
              <c:numCache>
                <c:formatCode>0.00</c:formatCode>
                <c:ptCount val="2"/>
                <c:pt idx="0">
                  <c:v>3.7199999999999998</c:v>
                </c:pt>
                <c:pt idx="1">
                  <c:v>0.29199999999999982</c:v>
                </c:pt>
              </c:numCache>
            </c:numRef>
          </c:yVal>
          <c:smooth val="0"/>
        </c:ser>
        <c:ser>
          <c:idx val="16"/>
          <c:order val="7"/>
          <c:tx>
            <c:v>225</c:v>
          </c:tx>
          <c:spPr>
            <a:ln w="12700">
              <a:solidFill>
                <a:srgbClr val="424242"/>
              </a:solidFill>
              <a:prstDash val="solid"/>
            </a:ln>
          </c:spPr>
          <c:marker>
            <c:symbol val="none"/>
          </c:marker>
          <c:xVal>
            <c:numRef>
              <c:f>Ggrid!$E$192:$F$192</c:f>
              <c:numCache>
                <c:formatCode>0.00</c:formatCode>
                <c:ptCount val="2"/>
                <c:pt idx="0">
                  <c:v>5.1188497991967852</c:v>
                </c:pt>
                <c:pt idx="1">
                  <c:v>2.8070497991967862</c:v>
                </c:pt>
              </c:numCache>
            </c:numRef>
          </c:xVal>
          <c:yVal>
            <c:numRef>
              <c:f>Ggrid!$K$192:$L$192</c:f>
              <c:numCache>
                <c:formatCode>0.00</c:formatCode>
                <c:ptCount val="2"/>
                <c:pt idx="0">
                  <c:v>3.7199999999999998</c:v>
                </c:pt>
                <c:pt idx="1">
                  <c:v>0.64200000000000035</c:v>
                </c:pt>
              </c:numCache>
            </c:numRef>
          </c:yVal>
          <c:smooth val="0"/>
        </c:ser>
        <c:ser>
          <c:idx val="2"/>
          <c:order val="8"/>
          <c:tx>
            <c:v>250</c:v>
          </c:tx>
          <c:spPr>
            <a:ln w="12700">
              <a:solidFill>
                <a:srgbClr val="424242"/>
              </a:solidFill>
              <a:prstDash val="solid"/>
            </a:ln>
          </c:spPr>
          <c:marker>
            <c:symbol val="none"/>
          </c:marker>
          <c:xVal>
            <c:numRef>
              <c:f>Ggrid!$E$193:$F$193</c:f>
              <c:numCache>
                <c:formatCode>0.00</c:formatCode>
                <c:ptCount val="2"/>
                <c:pt idx="0">
                  <c:v>5.3422699808795393</c:v>
                </c:pt>
                <c:pt idx="1">
                  <c:v>3.3029699808795412</c:v>
                </c:pt>
              </c:numCache>
            </c:numRef>
          </c:xVal>
          <c:yVal>
            <c:numRef>
              <c:f>Ggrid!$K$193:$L$193</c:f>
              <c:numCache>
                <c:formatCode>0.00</c:formatCode>
                <c:ptCount val="2"/>
                <c:pt idx="0">
                  <c:v>3.7199999999999998</c:v>
                </c:pt>
                <c:pt idx="1">
                  <c:v>0.99199999999999999</c:v>
                </c:pt>
              </c:numCache>
            </c:numRef>
          </c:yVal>
          <c:smooth val="0"/>
        </c:ser>
        <c:ser>
          <c:idx val="3"/>
          <c:order val="9"/>
          <c:tx>
            <c:v>275</c:v>
          </c:tx>
          <c:spPr>
            <a:ln w="12700">
              <a:solidFill>
                <a:srgbClr val="424242"/>
              </a:solidFill>
              <a:prstDash val="solid"/>
            </a:ln>
          </c:spPr>
          <c:marker>
            <c:symbol val="none"/>
          </c:marker>
          <c:xVal>
            <c:numRef>
              <c:f>Ggrid!$E$194:$F$194</c:f>
              <c:numCache>
                <c:formatCode>0.00</c:formatCode>
                <c:ptCount val="2"/>
                <c:pt idx="0">
                  <c:v>5.5836262773722609</c:v>
                </c:pt>
                <c:pt idx="1">
                  <c:v>3.8168262773722619</c:v>
                </c:pt>
              </c:numCache>
            </c:numRef>
          </c:xVal>
          <c:yVal>
            <c:numRef>
              <c:f>Ggrid!$K$194:$L$194</c:f>
              <c:numCache>
                <c:formatCode>0.00</c:formatCode>
                <c:ptCount val="2"/>
                <c:pt idx="0">
                  <c:v>3.7199999999999998</c:v>
                </c:pt>
                <c:pt idx="1">
                  <c:v>1.3420000000000005</c:v>
                </c:pt>
              </c:numCache>
            </c:numRef>
          </c:yVal>
          <c:smooth val="0"/>
        </c:ser>
        <c:ser>
          <c:idx val="4"/>
          <c:order val="10"/>
          <c:tx>
            <c:v>300</c:v>
          </c:tx>
          <c:spPr>
            <a:ln w="12700">
              <a:solidFill>
                <a:srgbClr val="424242"/>
              </a:solidFill>
              <a:prstDash val="solid"/>
            </a:ln>
          </c:spPr>
          <c:marker>
            <c:symbol val="none"/>
          </c:marker>
          <c:xVal>
            <c:numRef>
              <c:f>Ggrid!$E$195:$F$195</c:f>
              <c:numCache>
                <c:formatCode>0.00</c:formatCode>
                <c:ptCount val="2"/>
                <c:pt idx="0">
                  <c:v>5.8405710296684124</c:v>
                </c:pt>
                <c:pt idx="1">
                  <c:v>4.3462710296684115</c:v>
                </c:pt>
              </c:numCache>
            </c:numRef>
          </c:xVal>
          <c:yVal>
            <c:numRef>
              <c:f>Ggrid!$K$195:$L$195</c:f>
              <c:numCache>
                <c:formatCode>0.00</c:formatCode>
                <c:ptCount val="2"/>
                <c:pt idx="0">
                  <c:v>3.7199999999999998</c:v>
                </c:pt>
                <c:pt idx="1">
                  <c:v>1.6920000000000002</c:v>
                </c:pt>
              </c:numCache>
            </c:numRef>
          </c:yVal>
          <c:smooth val="1"/>
        </c:ser>
        <c:ser>
          <c:idx val="5"/>
          <c:order val="11"/>
          <c:tx>
            <c:strRef>
              <c:f>Ggrid!$A$196</c:f>
              <c:strCache>
                <c:ptCount val="1"/>
                <c:pt idx="0">
                  <c:v>325</c:v>
                </c:pt>
              </c:strCache>
            </c:strRef>
          </c:tx>
          <c:spPr>
            <a:ln w="12700">
              <a:solidFill>
                <a:srgbClr val="424242"/>
              </a:solidFill>
              <a:prstDash val="solid"/>
            </a:ln>
          </c:spPr>
          <c:marker>
            <c:symbol val="none"/>
          </c:marker>
          <c:xVal>
            <c:numRef>
              <c:f>Ggrid!$E$196:$F$196</c:f>
              <c:numCache>
                <c:formatCode>0.00</c:formatCode>
                <c:ptCount val="2"/>
                <c:pt idx="0">
                  <c:v>6.1111491638795989</c:v>
                </c:pt>
                <c:pt idx="1">
                  <c:v>4.8893491638795972</c:v>
                </c:pt>
              </c:numCache>
            </c:numRef>
          </c:xVal>
          <c:yVal>
            <c:numRef>
              <c:f>Ggrid!$K$196:$L$196</c:f>
              <c:numCache>
                <c:formatCode>0.00</c:formatCode>
                <c:ptCount val="2"/>
                <c:pt idx="0">
                  <c:v>3.7199999999999998</c:v>
                </c:pt>
                <c:pt idx="1">
                  <c:v>2.0419999999999998</c:v>
                </c:pt>
              </c:numCache>
            </c:numRef>
          </c:yVal>
          <c:smooth val="0"/>
        </c:ser>
        <c:ser>
          <c:idx val="6"/>
          <c:order val="12"/>
          <c:tx>
            <c:strRef>
              <c:f>Ggrid!$A$197</c:f>
              <c:strCache>
                <c:ptCount val="1"/>
                <c:pt idx="0">
                  <c:v>350</c:v>
                </c:pt>
              </c:strCache>
            </c:strRef>
          </c:tx>
          <c:spPr>
            <a:ln w="12700">
              <a:solidFill>
                <a:srgbClr val="424242"/>
              </a:solidFill>
              <a:prstDash val="solid"/>
            </a:ln>
          </c:spPr>
          <c:marker>
            <c:symbol val="none"/>
          </c:marker>
          <c:dLbls>
            <c:dLbl>
              <c:idx val="0"/>
              <c:tx>
                <c:rich>
                  <a:bodyPr/>
                  <a:lstStyle/>
                  <a:p>
                    <a:pPr>
                      <a:defRPr sz="1200" b="0" i="0" u="none" strike="noStrike" baseline="0">
                        <a:solidFill>
                          <a:srgbClr val="000000"/>
                        </a:solidFill>
                        <a:latin typeface="Arial"/>
                        <a:ea typeface="Arial"/>
                        <a:cs typeface="Arial"/>
                      </a:defRPr>
                    </a:pPr>
                    <a:r>
                      <a:rPr lang="en-NZ"/>
                      <a:t>equilibrated vapor</a:t>
                    </a:r>
                  </a:p>
                </c:rich>
              </c:tx>
              <c:spPr>
                <a:noFill/>
                <a:ln w="25400">
                  <a:noFill/>
                </a:ln>
              </c:spPr>
              <c:showLegendKey val="0"/>
              <c:showVal val="0"/>
              <c:showCatName val="0"/>
              <c:showSerName val="0"/>
              <c:showPercent val="0"/>
              <c:showBubbleSize val="0"/>
            </c:dLbl>
            <c:dLbl>
              <c:idx val="1"/>
              <c:tx>
                <c:rich>
                  <a:bodyPr/>
                  <a:lstStyle/>
                  <a:p>
                    <a:pPr>
                      <a:defRPr sz="1200" b="0" i="0" u="none" strike="noStrike" baseline="0">
                        <a:solidFill>
                          <a:srgbClr val="000000"/>
                        </a:solidFill>
                        <a:latin typeface="Arial"/>
                        <a:ea typeface="Arial"/>
                        <a:cs typeface="Arial"/>
                      </a:defRPr>
                    </a:pPr>
                    <a:r>
                      <a:rPr lang="en-NZ"/>
                      <a:t>equilibrated liquid</a:t>
                    </a:r>
                  </a:p>
                </c:rich>
              </c:tx>
              <c:spPr>
                <a:noFill/>
                <a:ln w="25400">
                  <a:noFill/>
                </a:ln>
              </c:spPr>
              <c:showLegendKey val="0"/>
              <c:showVal val="0"/>
              <c:showCatName val="0"/>
              <c:showSerName val="0"/>
              <c:showPercent val="0"/>
              <c:showBubbleSize val="0"/>
            </c:dLbl>
            <c:showLegendKey val="0"/>
            <c:showVal val="0"/>
            <c:showCatName val="0"/>
            <c:showSerName val="0"/>
            <c:showPercent val="0"/>
            <c:showBubbleSize val="0"/>
          </c:dLbls>
          <c:xVal>
            <c:numRef>
              <c:f>Ggrid!$E$197:$F$197</c:f>
              <c:numCache>
                <c:formatCode>0.00</c:formatCode>
                <c:ptCount val="2"/>
                <c:pt idx="0">
                  <c:v>6.3937194221508822</c:v>
                </c:pt>
                <c:pt idx="1">
                  <c:v>5.4444194221508813</c:v>
                </c:pt>
              </c:numCache>
            </c:numRef>
          </c:xVal>
          <c:yVal>
            <c:numRef>
              <c:f>Ggrid!$K$197:$L$197</c:f>
              <c:numCache>
                <c:formatCode>0.00</c:formatCode>
                <c:ptCount val="2"/>
                <c:pt idx="0">
                  <c:v>3.7199999999999998</c:v>
                </c:pt>
                <c:pt idx="1">
                  <c:v>2.3919999999999995</c:v>
                </c:pt>
              </c:numCache>
            </c:numRef>
          </c:yVal>
          <c:smooth val="1"/>
        </c:ser>
        <c:ser>
          <c:idx val="7"/>
          <c:order val="13"/>
          <c:tx>
            <c:v>data</c:v>
          </c:tx>
          <c:spPr>
            <a:ln w="28575">
              <a:noFill/>
            </a:ln>
          </c:spPr>
          <c:marker>
            <c:symbol val="diamond"/>
            <c:size val="10"/>
            <c:spPr>
              <a:noFill/>
              <a:ln>
                <a:solidFill>
                  <a:srgbClr val="0000FF"/>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input!$BG$11:$BG$40</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input!$BH$11:$BH$40</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1"/>
        </c:ser>
        <c:ser>
          <c:idx val="8"/>
          <c:order val="14"/>
          <c:tx>
            <c:v>Ar error arrow</c:v>
          </c:tx>
          <c:spPr>
            <a:ln w="12700">
              <a:solidFill>
                <a:srgbClr val="424242"/>
              </a:solidFill>
              <a:prstDash val="solid"/>
            </a:ln>
          </c:spPr>
          <c:marker>
            <c:symbol val="none"/>
          </c:marker>
          <c:dLbls>
            <c:dLbl>
              <c:idx val="0"/>
              <c:layout>
                <c:manualLayout>
                  <c:x val="-7.1995945012977694E-2"/>
                  <c:y val="4.5847923169473274E-2"/>
                </c:manualLayout>
              </c:layout>
              <c:tx>
                <c:rich>
                  <a:bodyPr/>
                  <a:lstStyle/>
                  <a:p>
                    <a:pPr>
                      <a:defRPr sz="1400" b="0" i="0" u="none" strike="noStrike" baseline="0">
                        <a:solidFill>
                          <a:srgbClr val="000000"/>
                        </a:solidFill>
                        <a:latin typeface="Arial"/>
                        <a:ea typeface="Arial"/>
                        <a:cs typeface="Arial"/>
                      </a:defRPr>
                    </a:pPr>
                    <a:r>
                      <a:rPr lang="en-NZ" b="0"/>
                      <a:t>Argon Error</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Ggrid!$N$187:$N$197</c:f>
              <c:numCache>
                <c:formatCode>0.0</c:formatCode>
                <c:ptCount val="11"/>
                <c:pt idx="0" formatCode="General">
                  <c:v>1.07</c:v>
                </c:pt>
                <c:pt idx="1">
                  <c:v>1</c:v>
                </c:pt>
                <c:pt idx="2" formatCode="0.00">
                  <c:v>1.1299999999999999</c:v>
                </c:pt>
                <c:pt idx="3" formatCode="0.00">
                  <c:v>1</c:v>
                </c:pt>
                <c:pt idx="4" formatCode="0.00">
                  <c:v>2</c:v>
                </c:pt>
                <c:pt idx="5" formatCode="0.00">
                  <c:v>1.87</c:v>
                </c:pt>
                <c:pt idx="6" formatCode="0.00">
                  <c:v>2</c:v>
                </c:pt>
                <c:pt idx="7" formatCode="0.00">
                  <c:v>1.97</c:v>
                </c:pt>
              </c:numCache>
            </c:numRef>
          </c:xVal>
          <c:yVal>
            <c:numRef>
              <c:f>Ggrid!$O$187:$O$197</c:f>
              <c:numCache>
                <c:formatCode>General</c:formatCode>
                <c:ptCount val="11"/>
                <c:pt idx="0">
                  <c:v>1.4</c:v>
                </c:pt>
                <c:pt idx="1">
                  <c:v>1.2</c:v>
                </c:pt>
                <c:pt idx="2" formatCode="0.00">
                  <c:v>1.2</c:v>
                </c:pt>
                <c:pt idx="3" formatCode="0.00">
                  <c:v>1.2</c:v>
                </c:pt>
                <c:pt idx="4" formatCode="0.00">
                  <c:v>2.2000000000000002</c:v>
                </c:pt>
                <c:pt idx="5" formatCode="0.00">
                  <c:v>2.2000000000000002</c:v>
                </c:pt>
                <c:pt idx="6" formatCode="0.00">
                  <c:v>2.2000000000000002</c:v>
                </c:pt>
                <c:pt idx="7" formatCode="0.00">
                  <c:v>2</c:v>
                </c:pt>
              </c:numCache>
            </c:numRef>
          </c:yVal>
          <c:smooth val="0"/>
        </c:ser>
        <c:dLbls>
          <c:showLegendKey val="0"/>
          <c:showVal val="0"/>
          <c:showCatName val="0"/>
          <c:showSerName val="0"/>
          <c:showPercent val="0"/>
          <c:showBubbleSize val="0"/>
        </c:dLbls>
        <c:axId val="93159808"/>
        <c:axId val="93161728"/>
      </c:scatterChart>
      <c:valAx>
        <c:axId val="93159808"/>
        <c:scaling>
          <c:orientation val="minMax"/>
          <c:max val="8"/>
          <c:min val="0"/>
        </c:scaling>
        <c:delete val="0"/>
        <c:axPos val="b"/>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log(CO</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/Ar)</a:t>
                </a:r>
              </a:p>
            </c:rich>
          </c:tx>
          <c:layout>
            <c:manualLayout>
              <c:xMode val="edge"/>
              <c:yMode val="edge"/>
              <c:x val="0.4639289487154355"/>
              <c:y val="0.929853232631635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93161728"/>
        <c:crossesAt val="-4"/>
        <c:crossBetween val="midCat"/>
        <c:majorUnit val="1"/>
      </c:valAx>
      <c:valAx>
        <c:axId val="93161728"/>
        <c:scaling>
          <c:orientation val="minMax"/>
          <c:max val="5"/>
          <c:min val="-2"/>
        </c:scaling>
        <c:delete val="0"/>
        <c:axPos val="l"/>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log(H</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/Ar)</a:t>
                </a:r>
              </a:p>
            </c:rich>
          </c:tx>
          <c:layout>
            <c:manualLayout>
              <c:xMode val="edge"/>
              <c:yMode val="edge"/>
              <c:x val="4.4395073022511205E-3"/>
              <c:y val="0.3882545039012980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93159808"/>
        <c:crosses val="autoZero"/>
        <c:crossBetween val="midCat"/>
      </c:valAx>
      <c:spPr>
        <a:noFill/>
        <a:ln w="12700">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205015428898566E-2"/>
          <c:y val="1.6819825938230953E-3"/>
          <c:w val="0.96189175811501726"/>
          <c:h val="0.99333588384701721"/>
        </c:manualLayout>
      </c:layout>
      <c:scatterChart>
        <c:scatterStyle val="lineMarker"/>
        <c:varyColors val="0"/>
        <c:ser>
          <c:idx val="0"/>
          <c:order val="0"/>
          <c:tx>
            <c:v>border</c:v>
          </c:tx>
          <c:spPr>
            <a:ln w="25400">
              <a:solidFill>
                <a:srgbClr val="000000"/>
              </a:solidFill>
              <a:prstDash val="solid"/>
            </a:ln>
          </c:spPr>
          <c:marker>
            <c:symbol val="none"/>
          </c:marker>
          <c:dLbls>
            <c:dLbl>
              <c:idx val="0"/>
              <c:delete val="1"/>
            </c:dLbl>
            <c:dLbl>
              <c:idx val="1"/>
              <c:tx>
                <c:strRef>
                  <c:f>input!$CE$10</c:f>
                  <c:strCache>
                    <c:ptCount val="1"/>
                    <c:pt idx="0">
                      <c:v>CO2</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input!$CG$10</c:f>
                  <c:strCache>
                    <c:ptCount val="1"/>
                    <c:pt idx="0">
                      <c:v>1000 NH3</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tx>
                <c:strRef>
                  <c:f>input!$CF$10</c:f>
                  <c:strCache>
                    <c:ptCount val="1"/>
                    <c:pt idx="0">
                      <c:v>10 H2S</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defRPr sz="16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1"/>
          <c:order val="1"/>
          <c:tx>
            <c:v>A grid</c:v>
          </c:tx>
          <c:spPr>
            <a:ln w="3175">
              <a:solidFill>
                <a:srgbClr val="C0C0C0"/>
              </a:solidFill>
              <a:prstDash val="sysDash"/>
            </a:ln>
          </c:spPr>
          <c:marker>
            <c:symbol val="none"/>
          </c:marker>
          <c:dLbls>
            <c:dLbl>
              <c:idx val="0"/>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tx>
                <c:rich>
                  <a:bodyPr/>
                  <a:lstStyle/>
                  <a:p>
                    <a:r>
                      <a:rPr lang="en-NZ"/>
                      <a:t>20%</a:t>
                    </a:r>
                  </a:p>
                </c:rich>
              </c:tx>
              <c:dLblPos val="l"/>
              <c:showLegendKey val="0"/>
              <c:showVal val="0"/>
              <c:showCatName val="0"/>
              <c:showSerName val="0"/>
              <c:showPercent val="0"/>
              <c:showBubbleSize val="0"/>
            </c:dLbl>
            <c:dLbl>
              <c:idx val="4"/>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tx>
                <c:rich>
                  <a:bodyPr/>
                  <a:lstStyle/>
                  <a:p>
                    <a:r>
                      <a:rPr lang="en-NZ"/>
                      <a:t>40%</a:t>
                    </a:r>
                  </a:p>
                </c:rich>
              </c:tx>
              <c:dLblPos val="l"/>
              <c:showLegendKey val="0"/>
              <c:showVal val="0"/>
              <c:showCatName val="0"/>
              <c:showSerName val="0"/>
              <c:showPercent val="0"/>
              <c:showBubbleSize val="0"/>
            </c:dLbl>
            <c:dLbl>
              <c:idx val="8"/>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tx>
                <c:rich>
                  <a:bodyPr/>
                  <a:lstStyle/>
                  <a:p>
                    <a:r>
                      <a:rPr lang="en-NZ"/>
                      <a:t>60%</a:t>
                    </a:r>
                  </a:p>
                </c:rich>
              </c:tx>
              <c:dLblPos val="l"/>
              <c:showLegendKey val="0"/>
              <c:showVal val="0"/>
              <c:showCatName val="0"/>
              <c:showSerName val="0"/>
              <c:showPercent val="0"/>
              <c:showBubbleSize val="0"/>
            </c:dLbl>
            <c:dLbl>
              <c:idx val="12"/>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tx>
                <c:rich>
                  <a:bodyPr/>
                  <a:lstStyle/>
                  <a:p>
                    <a:r>
                      <a:rPr lang="en-NZ"/>
                      <a:t>80%</a:t>
                    </a:r>
                  </a:p>
                </c:rich>
              </c:tx>
              <c:dLblPos val="l"/>
              <c:showLegendKey val="0"/>
              <c:showVal val="0"/>
              <c:showCatName val="0"/>
              <c:showSerName val="0"/>
              <c:showPercent val="0"/>
              <c:showBubbleSize val="0"/>
            </c:dLbl>
            <c:dLbl>
              <c:idx val="16"/>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C0C0C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2"/>
          <c:tx>
            <c:v>B grid</c:v>
          </c:tx>
          <c:spPr>
            <a:ln w="3175">
              <a:solidFill>
                <a:srgbClr val="C0C0C0"/>
              </a:solidFill>
              <a:prstDash val="sysDash"/>
            </a:ln>
          </c:spPr>
          <c:marker>
            <c:symbol val="none"/>
          </c:marker>
          <c:dLbls>
            <c:dLbl>
              <c:idx val="0"/>
              <c:layout>
                <c:manualLayout>
                  <c:x val="-1.3531188734593528E-2"/>
                  <c:y val="3.8000051973701307E-2"/>
                </c:manualLayout>
              </c:layout>
              <c:tx>
                <c:rich>
                  <a:bodyPr/>
                  <a:lstStyle/>
                  <a:p>
                    <a:r>
                      <a:rPr lang="en-US" sz="1200">
                        <a:solidFill>
                          <a:schemeClr val="bg1">
                            <a:lumMod val="75000"/>
                          </a:schemeClr>
                        </a:solidFill>
                      </a:rPr>
                      <a:t>90%</a:t>
                    </a:r>
                  </a:p>
                </c:rich>
              </c:tx>
              <c:dLblPos val="r"/>
              <c:showLegendKey val="0"/>
              <c:showVal val="0"/>
              <c:showCatName val="0"/>
              <c:showSerName val="0"/>
              <c:showPercent val="0"/>
              <c:showBubbleSize val="0"/>
            </c:dLbl>
            <c:dLbl>
              <c:idx val="1"/>
              <c:delete val="1"/>
            </c:dLbl>
            <c:dLbl>
              <c:idx val="2"/>
              <c:delete val="1"/>
            </c:dLbl>
            <c:dLbl>
              <c:idx val="3"/>
              <c:layout>
                <c:manualLayout>
                  <c:x val="-1.6490863170405587E-2"/>
                  <c:y val="3.4228246221697532E-2"/>
                </c:manualLayout>
              </c:layout>
              <c:tx>
                <c:rich>
                  <a:bodyPr/>
                  <a:lstStyle/>
                  <a:p>
                    <a:r>
                      <a:rPr lang="en-US" sz="1200">
                        <a:solidFill>
                          <a:schemeClr val="bg1">
                            <a:lumMod val="75000"/>
                          </a:schemeClr>
                        </a:solidFill>
                      </a:rPr>
                      <a:t>80%</a:t>
                    </a:r>
                  </a:p>
                </c:rich>
              </c:tx>
              <c:dLblPos val="r"/>
              <c:showLegendKey val="0"/>
              <c:showVal val="0"/>
              <c:showCatName val="0"/>
              <c:showSerName val="0"/>
              <c:showPercent val="0"/>
              <c:showBubbleSize val="0"/>
            </c:dLbl>
            <c:dLbl>
              <c:idx val="4"/>
              <c:layout>
                <c:manualLayout>
                  <c:x val="-1.5011025952499556E-2"/>
                  <c:y val="3.611414909769943E-2"/>
                </c:manualLayout>
              </c:layout>
              <c:tx>
                <c:rich>
                  <a:bodyPr/>
                  <a:lstStyle/>
                  <a:p>
                    <a:r>
                      <a:rPr lang="en-US" sz="1200">
                        <a:solidFill>
                          <a:schemeClr val="bg1">
                            <a:lumMod val="75000"/>
                          </a:schemeClr>
                        </a:solidFill>
                      </a:rPr>
                      <a:t>70%</a:t>
                    </a:r>
                  </a:p>
                </c:rich>
              </c:tx>
              <c:dLblPos val="r"/>
              <c:showLegendKey val="0"/>
              <c:showVal val="0"/>
              <c:showCatName val="0"/>
              <c:showSerName val="0"/>
              <c:showPercent val="0"/>
              <c:showBubbleSize val="0"/>
            </c:dLbl>
            <c:dLbl>
              <c:idx val="5"/>
              <c:delete val="1"/>
            </c:dLbl>
            <c:dLbl>
              <c:idx val="6"/>
              <c:delete val="1"/>
            </c:dLbl>
            <c:dLbl>
              <c:idx val="7"/>
              <c:layout>
                <c:manualLayout>
                  <c:x val="-1.5011025952499556E-2"/>
                  <c:y val="3.4228246221697532E-2"/>
                </c:manualLayout>
              </c:layout>
              <c:tx>
                <c:rich>
                  <a:bodyPr/>
                  <a:lstStyle/>
                  <a:p>
                    <a:r>
                      <a:rPr lang="en-US" sz="1200">
                        <a:solidFill>
                          <a:schemeClr val="bg1">
                            <a:lumMod val="75000"/>
                          </a:schemeClr>
                        </a:solidFill>
                      </a:rPr>
                      <a:t>60%</a:t>
                    </a:r>
                  </a:p>
                </c:rich>
              </c:tx>
              <c:dLblPos val="r"/>
              <c:showLegendKey val="0"/>
              <c:showVal val="0"/>
              <c:showCatName val="0"/>
              <c:showSerName val="0"/>
              <c:showPercent val="0"/>
              <c:showBubbleSize val="0"/>
            </c:dLbl>
            <c:dLbl>
              <c:idx val="8"/>
              <c:layout>
                <c:manualLayout>
                  <c:x val="-1.5011025952499556E-2"/>
                  <c:y val="3.611414909769943E-2"/>
                </c:manualLayout>
              </c:layout>
              <c:tx>
                <c:rich>
                  <a:bodyPr/>
                  <a:lstStyle/>
                  <a:p>
                    <a:r>
                      <a:rPr lang="en-US" sz="1200">
                        <a:solidFill>
                          <a:schemeClr val="bg1">
                            <a:lumMod val="75000"/>
                          </a:schemeClr>
                        </a:solidFill>
                      </a:rPr>
                      <a:t>50%</a:t>
                    </a:r>
                  </a:p>
                </c:rich>
              </c:tx>
              <c:dLblPos val="r"/>
              <c:showLegendKey val="0"/>
              <c:showVal val="0"/>
              <c:showCatName val="0"/>
              <c:showSerName val="0"/>
              <c:showPercent val="0"/>
              <c:showBubbleSize val="0"/>
            </c:dLbl>
            <c:dLbl>
              <c:idx val="9"/>
              <c:delete val="1"/>
            </c:dLbl>
            <c:dLbl>
              <c:idx val="10"/>
              <c:delete val="1"/>
            </c:dLbl>
            <c:dLbl>
              <c:idx val="11"/>
              <c:layout>
                <c:manualLayout>
                  <c:x val="-1.6490863170405587E-2"/>
                  <c:y val="3.4228246221697532E-2"/>
                </c:manualLayout>
              </c:layout>
              <c:tx>
                <c:rich>
                  <a:bodyPr/>
                  <a:lstStyle/>
                  <a:p>
                    <a:r>
                      <a:rPr lang="en-US" sz="1200">
                        <a:solidFill>
                          <a:schemeClr val="bg1">
                            <a:lumMod val="75000"/>
                          </a:schemeClr>
                        </a:solidFill>
                      </a:rPr>
                      <a:t>40%</a:t>
                    </a:r>
                  </a:p>
                </c:rich>
              </c:tx>
              <c:dLblPos val="r"/>
              <c:showLegendKey val="0"/>
              <c:showVal val="0"/>
              <c:showCatName val="0"/>
              <c:showSerName val="0"/>
              <c:showPercent val="0"/>
              <c:showBubbleSize val="0"/>
            </c:dLbl>
            <c:dLbl>
              <c:idx val="12"/>
              <c:layout>
                <c:manualLayout>
                  <c:x val="-1.6490863170405587E-2"/>
                  <c:y val="3.4228246221697532E-2"/>
                </c:manualLayout>
              </c:layout>
              <c:tx>
                <c:rich>
                  <a:bodyPr/>
                  <a:lstStyle/>
                  <a:p>
                    <a:r>
                      <a:rPr lang="en-US" sz="1200">
                        <a:solidFill>
                          <a:schemeClr val="bg1">
                            <a:lumMod val="75000"/>
                          </a:schemeClr>
                        </a:solidFill>
                      </a:rPr>
                      <a:t>30%</a:t>
                    </a:r>
                  </a:p>
                </c:rich>
              </c:tx>
              <c:dLblPos val="r"/>
              <c:showLegendKey val="0"/>
              <c:showVal val="0"/>
              <c:showCatName val="0"/>
              <c:showSerName val="0"/>
              <c:showPercent val="0"/>
              <c:showBubbleSize val="0"/>
            </c:dLbl>
            <c:dLbl>
              <c:idx val="13"/>
              <c:delete val="1"/>
            </c:dLbl>
            <c:dLbl>
              <c:idx val="14"/>
              <c:delete val="1"/>
            </c:dLbl>
            <c:dLbl>
              <c:idx val="15"/>
              <c:layout>
                <c:manualLayout>
                  <c:x val="-1.6490863170405587E-2"/>
                  <c:y val="3.2342343345695648E-2"/>
                </c:manualLayout>
              </c:layout>
              <c:tx>
                <c:rich>
                  <a:bodyPr/>
                  <a:lstStyle/>
                  <a:p>
                    <a:r>
                      <a:rPr lang="en-US" sz="1200">
                        <a:solidFill>
                          <a:schemeClr val="bg1">
                            <a:lumMod val="75000"/>
                          </a:schemeClr>
                        </a:solidFill>
                      </a:rPr>
                      <a:t>20%</a:t>
                    </a:r>
                  </a:p>
                </c:rich>
              </c:tx>
              <c:dLblPos val="r"/>
              <c:showLegendKey val="0"/>
              <c:showVal val="0"/>
              <c:showCatName val="0"/>
              <c:showSerName val="0"/>
              <c:showPercent val="0"/>
              <c:showBubbleSize val="0"/>
            </c:dLbl>
            <c:dLbl>
              <c:idx val="16"/>
              <c:layout>
                <c:manualLayout>
                  <c:x val="-1.7970700388311622E-2"/>
                  <c:y val="3.4228246221697532E-2"/>
                </c:manualLayout>
              </c:layout>
              <c:tx>
                <c:rich>
                  <a:bodyPr/>
                  <a:lstStyle/>
                  <a:p>
                    <a:r>
                      <a:rPr lang="en-US" sz="1200">
                        <a:solidFill>
                          <a:schemeClr val="bg1">
                            <a:lumMod val="75000"/>
                          </a:schemeClr>
                        </a:solidFill>
                      </a:rPr>
                      <a:t>10%</a:t>
                    </a:r>
                  </a:p>
                </c:rich>
              </c:tx>
              <c:dLblPos val="r"/>
              <c:showLegendKey val="0"/>
              <c:showVal val="0"/>
              <c:showCatName val="0"/>
              <c:showSerName val="0"/>
              <c:showPercent val="0"/>
              <c:showBubbleSize val="0"/>
            </c:dLbl>
            <c:dLbl>
              <c:idx val="17"/>
              <c:delete val="1"/>
            </c:dLbl>
            <c:txPr>
              <a:bodyPr rot="3600000" anchor="t" anchorCtr="1"/>
              <a:lstStyle/>
              <a:p>
                <a:pPr>
                  <a:defRPr sz="1200">
                    <a:solidFill>
                      <a:schemeClr val="bg1">
                        <a:lumMod val="75000"/>
                      </a:schemeClr>
                    </a:solidFil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3"/>
          <c:tx>
            <c:v>C grid</c:v>
          </c:tx>
          <c:spPr>
            <a:ln w="3175">
              <a:solidFill>
                <a:srgbClr val="C0C0C0"/>
              </a:solidFill>
              <a:prstDash val="sysDash"/>
            </a:ln>
          </c:spPr>
          <c:marker>
            <c:symbol val="none"/>
          </c:marker>
          <c:dLbls>
            <c:dLbl>
              <c:idx val="0"/>
              <c:delete val="1"/>
            </c:dLbl>
            <c:dLbl>
              <c:idx val="1"/>
              <c:layout>
                <c:manualLayout>
                  <c:x val="-1.0136418852193929E-2"/>
                  <c:y val="-2.8617907910026118E-2"/>
                </c:manualLayout>
              </c:layout>
              <c:tx>
                <c:rich>
                  <a:bodyPr/>
                  <a:lstStyle/>
                  <a:p>
                    <a:r>
                      <a:rPr lang="en-NZ"/>
                      <a:t>10%</a:t>
                    </a:r>
                  </a:p>
                </c:rich>
              </c:tx>
              <c:dLblPos val="r"/>
              <c:showLegendKey val="0"/>
              <c:showVal val="0"/>
              <c:showCatName val="0"/>
              <c:showSerName val="0"/>
              <c:showPercent val="0"/>
              <c:showBubbleSize val="0"/>
            </c:dLbl>
            <c:dLbl>
              <c:idx val="2"/>
              <c:layout>
                <c:manualLayout>
                  <c:x val="-1.204028186820701E-2"/>
                  <c:y val="-2.8853720017671083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834266970790638E-2"/>
                  <c:y val="-3.1918237943029372E-2"/>
                </c:manualLayout>
              </c:layout>
              <c:tx>
                <c:rich>
                  <a:bodyPr/>
                  <a:lstStyle/>
                  <a:p>
                    <a:r>
                      <a:rPr lang="en-NZ"/>
                      <a:t>30%</a:t>
                    </a:r>
                  </a:p>
                </c:rich>
              </c:tx>
              <c:dLblPos val="r"/>
              <c:showLegendKey val="0"/>
              <c:showVal val="0"/>
              <c:showCatName val="0"/>
              <c:showSerName val="0"/>
              <c:showPercent val="0"/>
              <c:showBubbleSize val="0"/>
            </c:dLbl>
            <c:dLbl>
              <c:idx val="6"/>
              <c:layout>
                <c:manualLayout>
                  <c:x val="-1.251849068256034E-2"/>
                  <c:y val="-3.4982904364677152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6642109525432488E-2"/>
                  <c:y val="-3.9461849447036915E-2"/>
                </c:manualLayout>
              </c:layout>
              <c:tx>
                <c:rich>
                  <a:bodyPr/>
                  <a:lstStyle/>
                  <a:p>
                    <a:r>
                      <a:rPr lang="en-NZ"/>
                      <a:t>50%</a:t>
                    </a:r>
                  </a:p>
                </c:rich>
              </c:tx>
              <c:dLblPos val="r"/>
              <c:showLegendKey val="0"/>
              <c:showVal val="0"/>
              <c:showCatName val="0"/>
              <c:showSerName val="0"/>
              <c:showPercent val="0"/>
              <c:showBubbleSize val="0"/>
            </c:dLbl>
            <c:dLbl>
              <c:idx val="10"/>
              <c:layout>
                <c:manualLayout>
                  <c:x val="-1.2996582974297979E-2"/>
                  <c:y val="-3.9697661554681872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461050859208603E-2"/>
                  <c:y val="-3.8518898009035935E-2"/>
                </c:manualLayout>
              </c:layout>
              <c:tx>
                <c:rich>
                  <a:bodyPr/>
                  <a:lstStyle/>
                  <a:p>
                    <a:r>
                      <a:rPr lang="en-NZ"/>
                      <a:t>70%</a:t>
                    </a:r>
                  </a:p>
                </c:rich>
              </c:tx>
              <c:dLblPos val="r"/>
              <c:showLegendKey val="0"/>
              <c:showVal val="0"/>
              <c:showCatName val="0"/>
              <c:showSerName val="0"/>
              <c:showPercent val="0"/>
              <c:showBubbleSize val="0"/>
            </c:dLbl>
            <c:dLbl>
              <c:idx val="14"/>
              <c:layout>
                <c:manualLayout>
                  <c:x val="-1.2364913875221664E-2"/>
                  <c:y val="-3.8754710116680906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049137586991358E-2"/>
                  <c:y val="-4.323365519904071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C0C0C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4"/>
          <c:order val="4"/>
          <c:tx>
            <c:v>data</c:v>
          </c:tx>
          <c:spPr>
            <a:ln w="28575">
              <a:noFill/>
            </a:ln>
          </c:spPr>
          <c:marker>
            <c:symbol val="diamond"/>
            <c:size val="7"/>
            <c:spPr>
              <a:solidFill>
                <a:srgbClr val="800080"/>
              </a:solidFill>
              <a:ln>
                <a:solidFill>
                  <a:srgbClr val="800080"/>
                </a:solidFill>
                <a:prstDash val="solid"/>
              </a:ln>
            </c:spPr>
          </c:marker>
          <c:dLbls>
            <c:dLbl>
              <c:idx val="0"/>
              <c:tx>
                <c:strRef>
                  <c:f>input!$T$11</c:f>
                  <c:strCache>
                    <c:ptCount val="1"/>
                  </c:strCache>
                </c:strRef>
              </c:tx>
              <c:dLblPos val="r"/>
              <c:showLegendKey val="0"/>
              <c:showVal val="0"/>
              <c:showCatName val="0"/>
              <c:showSerName val="0"/>
              <c:showPercent val="0"/>
              <c:showBubbleSize val="0"/>
            </c:dLbl>
            <c:dLbl>
              <c:idx val="1"/>
              <c:tx>
                <c:strRef>
                  <c:f>input!$T$12</c:f>
                  <c:strCache>
                    <c:ptCount val="1"/>
                  </c:strCache>
                </c:strRef>
              </c:tx>
              <c:dLblPos val="r"/>
              <c:showLegendKey val="0"/>
              <c:showVal val="0"/>
              <c:showCatName val="0"/>
              <c:showSerName val="0"/>
              <c:showPercent val="0"/>
              <c:showBubbleSize val="0"/>
            </c:dLbl>
            <c:dLbl>
              <c:idx val="2"/>
              <c:tx>
                <c:strRef>
                  <c:f>input!$T$13</c:f>
                  <c:strCache>
                    <c:ptCount val="1"/>
                  </c:strCache>
                </c:strRef>
              </c:tx>
              <c:dLblPos val="r"/>
              <c:showLegendKey val="0"/>
              <c:showVal val="0"/>
              <c:showCatName val="0"/>
              <c:showSerName val="0"/>
              <c:showPercent val="0"/>
              <c:showBubbleSize val="0"/>
            </c:dLbl>
            <c:dLbl>
              <c:idx val="3"/>
              <c:tx>
                <c:strRef>
                  <c:f>input!$T$14</c:f>
                  <c:strCache>
                    <c:ptCount val="1"/>
                  </c:strCache>
                </c:strRef>
              </c:tx>
              <c:dLblPos val="r"/>
              <c:showLegendKey val="0"/>
              <c:showVal val="0"/>
              <c:showCatName val="0"/>
              <c:showSerName val="0"/>
              <c:showPercent val="0"/>
              <c:showBubbleSize val="0"/>
            </c:dLbl>
            <c:dLbl>
              <c:idx val="4"/>
              <c:tx>
                <c:strRef>
                  <c:f>input!$T$15</c:f>
                  <c:strCache>
                    <c:ptCount val="1"/>
                  </c:strCache>
                </c:strRef>
              </c:tx>
              <c:dLblPos val="r"/>
              <c:showLegendKey val="0"/>
              <c:showVal val="0"/>
              <c:showCatName val="0"/>
              <c:showSerName val="0"/>
              <c:showPercent val="0"/>
              <c:showBubbleSize val="0"/>
            </c:dLbl>
            <c:dLbl>
              <c:idx val="5"/>
              <c:tx>
                <c:strRef>
                  <c:f>input!$T$16</c:f>
                  <c:strCache>
                    <c:ptCount val="1"/>
                  </c:strCache>
                </c:strRef>
              </c:tx>
              <c:dLblPos val="r"/>
              <c:showLegendKey val="0"/>
              <c:showVal val="0"/>
              <c:showCatName val="0"/>
              <c:showSerName val="0"/>
              <c:showPercent val="0"/>
              <c:showBubbleSize val="0"/>
            </c:dLbl>
            <c:dLbl>
              <c:idx val="6"/>
              <c:tx>
                <c:strRef>
                  <c:f>input!$T$17</c:f>
                  <c:strCache>
                    <c:ptCount val="1"/>
                  </c:strCache>
                </c:strRef>
              </c:tx>
              <c:dLblPos val="r"/>
              <c:showLegendKey val="0"/>
              <c:showVal val="0"/>
              <c:showCatName val="0"/>
              <c:showSerName val="0"/>
              <c:showPercent val="0"/>
              <c:showBubbleSize val="0"/>
            </c:dLbl>
            <c:dLbl>
              <c:idx val="7"/>
              <c:tx>
                <c:strRef>
                  <c:f>input!$T$18</c:f>
                  <c:strCache>
                    <c:ptCount val="1"/>
                  </c:strCache>
                </c:strRef>
              </c:tx>
              <c:dLblPos val="r"/>
              <c:showLegendKey val="0"/>
              <c:showVal val="0"/>
              <c:showCatName val="0"/>
              <c:showSerName val="0"/>
              <c:showPercent val="0"/>
              <c:showBubbleSize val="0"/>
            </c:dLbl>
            <c:dLbl>
              <c:idx val="8"/>
              <c:tx>
                <c:strRef>
                  <c:f>input!$T$19</c:f>
                  <c:strCache>
                    <c:ptCount val="1"/>
                  </c:strCache>
                </c:strRef>
              </c:tx>
              <c:dLblPos val="r"/>
              <c:showLegendKey val="0"/>
              <c:showVal val="0"/>
              <c:showCatName val="0"/>
              <c:showSerName val="0"/>
              <c:showPercent val="0"/>
              <c:showBubbleSize val="0"/>
            </c:dLbl>
            <c:dLbl>
              <c:idx val="9"/>
              <c:tx>
                <c:strRef>
                  <c:f>input!$T$20</c:f>
                  <c:strCache>
                    <c:ptCount val="1"/>
                  </c:strCache>
                </c:strRef>
              </c:tx>
              <c:dLblPos val="r"/>
              <c:showLegendKey val="0"/>
              <c:showVal val="0"/>
              <c:showCatName val="0"/>
              <c:showSerName val="0"/>
              <c:showPercent val="0"/>
              <c:showBubbleSize val="0"/>
            </c:dLbl>
            <c:dLbl>
              <c:idx val="10"/>
              <c:tx>
                <c:strRef>
                  <c:f>input!$T$21</c:f>
                  <c:strCache>
                    <c:ptCount val="1"/>
                  </c:strCache>
                </c:strRef>
              </c:tx>
              <c:dLblPos val="r"/>
              <c:showLegendKey val="0"/>
              <c:showVal val="0"/>
              <c:showCatName val="0"/>
              <c:showSerName val="0"/>
              <c:showPercent val="0"/>
              <c:showBubbleSize val="0"/>
            </c:dLbl>
            <c:dLbl>
              <c:idx val="11"/>
              <c:tx>
                <c:strRef>
                  <c:f>input!$T$22</c:f>
                  <c:strCache>
                    <c:ptCount val="1"/>
                  </c:strCache>
                </c:strRef>
              </c:tx>
              <c:dLblPos val="r"/>
              <c:showLegendKey val="0"/>
              <c:showVal val="0"/>
              <c:showCatName val="0"/>
              <c:showSerName val="0"/>
              <c:showPercent val="0"/>
              <c:showBubbleSize val="0"/>
            </c:dLbl>
            <c:dLbl>
              <c:idx val="12"/>
              <c:tx>
                <c:strRef>
                  <c:f>input!$T$23</c:f>
                  <c:strCache>
                    <c:ptCount val="1"/>
                  </c:strCache>
                </c:strRef>
              </c:tx>
              <c:dLblPos val="r"/>
              <c:showLegendKey val="0"/>
              <c:showVal val="0"/>
              <c:showCatName val="0"/>
              <c:showSerName val="0"/>
              <c:showPercent val="0"/>
              <c:showBubbleSize val="0"/>
            </c:dLbl>
            <c:dLbl>
              <c:idx val="13"/>
              <c:tx>
                <c:strRef>
                  <c:f>input!$T$24</c:f>
                  <c:strCache>
                    <c:ptCount val="1"/>
                  </c:strCache>
                </c:strRef>
              </c:tx>
              <c:dLblPos val="r"/>
              <c:showLegendKey val="0"/>
              <c:showVal val="0"/>
              <c:showCatName val="0"/>
              <c:showSerName val="0"/>
              <c:showPercent val="0"/>
              <c:showBubbleSize val="0"/>
            </c:dLbl>
            <c:dLbl>
              <c:idx val="14"/>
              <c:tx>
                <c:strRef>
                  <c:f>input!$T$25</c:f>
                  <c:strCache>
                    <c:ptCount val="1"/>
                  </c:strCache>
                </c:strRef>
              </c:tx>
              <c:dLblPos val="r"/>
              <c:showLegendKey val="0"/>
              <c:showVal val="0"/>
              <c:showCatName val="0"/>
              <c:showSerName val="0"/>
              <c:showPercent val="0"/>
              <c:showBubbleSize val="0"/>
            </c:dLbl>
            <c:dLbl>
              <c:idx val="15"/>
              <c:tx>
                <c:strRef>
                  <c:f>input!$T$26</c:f>
                  <c:strCache>
                    <c:ptCount val="1"/>
                  </c:strCache>
                </c:strRef>
              </c:tx>
              <c:dLblPos val="r"/>
              <c:showLegendKey val="0"/>
              <c:showVal val="0"/>
              <c:showCatName val="0"/>
              <c:showSerName val="0"/>
              <c:showPercent val="0"/>
              <c:showBubbleSize val="0"/>
            </c:dLbl>
            <c:dLbl>
              <c:idx val="16"/>
              <c:tx>
                <c:strRef>
                  <c:f>input!$T$27</c:f>
                  <c:strCache>
                    <c:ptCount val="1"/>
                  </c:strCache>
                </c:strRef>
              </c:tx>
              <c:dLblPos val="r"/>
              <c:showLegendKey val="0"/>
              <c:showVal val="0"/>
              <c:showCatName val="0"/>
              <c:showSerName val="0"/>
              <c:showPercent val="0"/>
              <c:showBubbleSize val="0"/>
            </c:dLbl>
            <c:dLbl>
              <c:idx val="17"/>
              <c:tx>
                <c:strRef>
                  <c:f>input!$T$28</c:f>
                  <c:strCache>
                    <c:ptCount val="1"/>
                  </c:strCache>
                </c:strRef>
              </c:tx>
              <c:dLblPos val="r"/>
              <c:showLegendKey val="0"/>
              <c:showVal val="0"/>
              <c:showCatName val="0"/>
              <c:showSerName val="0"/>
              <c:showPercent val="0"/>
              <c:showBubbleSize val="0"/>
            </c:dLbl>
            <c:dLbl>
              <c:idx val="18"/>
              <c:tx>
                <c:strRef>
                  <c:f>input!$T$29</c:f>
                  <c:strCache>
                    <c:ptCount val="1"/>
                  </c:strCache>
                </c:strRef>
              </c:tx>
              <c:dLblPos val="r"/>
              <c:showLegendKey val="0"/>
              <c:showVal val="0"/>
              <c:showCatName val="0"/>
              <c:showSerName val="0"/>
              <c:showPercent val="0"/>
              <c:showBubbleSize val="0"/>
            </c:dLbl>
            <c:dLbl>
              <c:idx val="19"/>
              <c:tx>
                <c:strRef>
                  <c:f>input!$T$30</c:f>
                  <c:strCache>
                    <c:ptCount val="1"/>
                  </c:strCache>
                </c:strRef>
              </c:tx>
              <c:dLblPos val="r"/>
              <c:showLegendKey val="0"/>
              <c:showVal val="0"/>
              <c:showCatName val="0"/>
              <c:showSerName val="0"/>
              <c:showPercent val="0"/>
              <c:showBubbleSize val="0"/>
            </c:dLbl>
            <c:dLbl>
              <c:idx val="20"/>
              <c:tx>
                <c:strRef>
                  <c:f>input!$T$31</c:f>
                  <c:strCache>
                    <c:ptCount val="1"/>
                  </c:strCache>
                </c:strRef>
              </c:tx>
              <c:dLblPos val="r"/>
              <c:showLegendKey val="0"/>
              <c:showVal val="0"/>
              <c:showCatName val="0"/>
              <c:showSerName val="0"/>
              <c:showPercent val="0"/>
              <c:showBubbleSize val="0"/>
            </c:dLbl>
            <c:dLbl>
              <c:idx val="21"/>
              <c:tx>
                <c:strRef>
                  <c:f>input!$T$32</c:f>
                  <c:strCache>
                    <c:ptCount val="1"/>
                  </c:strCache>
                </c:strRef>
              </c:tx>
              <c:dLblPos val="r"/>
              <c:showLegendKey val="0"/>
              <c:showVal val="0"/>
              <c:showCatName val="0"/>
              <c:showSerName val="0"/>
              <c:showPercent val="0"/>
              <c:showBubbleSize val="0"/>
            </c:dLbl>
            <c:dLbl>
              <c:idx val="22"/>
              <c:tx>
                <c:strRef>
                  <c:f>input!$T$33</c:f>
                  <c:strCache>
                    <c:ptCount val="1"/>
                  </c:strCache>
                </c:strRef>
              </c:tx>
              <c:dLblPos val="r"/>
              <c:showLegendKey val="0"/>
              <c:showVal val="0"/>
              <c:showCatName val="0"/>
              <c:showSerName val="0"/>
              <c:showPercent val="0"/>
              <c:showBubbleSize val="0"/>
            </c:dLbl>
            <c:dLbl>
              <c:idx val="23"/>
              <c:tx>
                <c:strRef>
                  <c:f>input!$T$34</c:f>
                  <c:strCache>
                    <c:ptCount val="1"/>
                  </c:strCache>
                </c:strRef>
              </c:tx>
              <c:dLblPos val="r"/>
              <c:showLegendKey val="0"/>
              <c:showVal val="0"/>
              <c:showCatName val="0"/>
              <c:showSerName val="0"/>
              <c:showPercent val="0"/>
              <c:showBubbleSize val="0"/>
            </c:dLbl>
            <c:dLbl>
              <c:idx val="24"/>
              <c:tx>
                <c:strRef>
                  <c:f>input!$T$35</c:f>
                  <c:strCache>
                    <c:ptCount val="1"/>
                  </c:strCache>
                </c:strRef>
              </c:tx>
              <c:dLblPos val="r"/>
              <c:showLegendKey val="0"/>
              <c:showVal val="0"/>
              <c:showCatName val="0"/>
              <c:showSerName val="0"/>
              <c:showPercent val="0"/>
              <c:showBubbleSize val="0"/>
            </c:dLbl>
            <c:dLbl>
              <c:idx val="25"/>
              <c:tx>
                <c:strRef>
                  <c:f>input!$T$36</c:f>
                  <c:strCache>
                    <c:ptCount val="1"/>
                  </c:strCache>
                </c:strRef>
              </c:tx>
              <c:dLblPos val="r"/>
              <c:showLegendKey val="0"/>
              <c:showVal val="0"/>
              <c:showCatName val="0"/>
              <c:showSerName val="0"/>
              <c:showPercent val="0"/>
              <c:showBubbleSize val="0"/>
            </c:dLbl>
            <c:dLbl>
              <c:idx val="26"/>
              <c:tx>
                <c:strRef>
                  <c:f>input!$T$37</c:f>
                  <c:strCache>
                    <c:ptCount val="1"/>
                  </c:strCache>
                </c:strRef>
              </c:tx>
              <c:dLblPos val="r"/>
              <c:showLegendKey val="0"/>
              <c:showVal val="0"/>
              <c:showCatName val="0"/>
              <c:showSerName val="0"/>
              <c:showPercent val="0"/>
              <c:showBubbleSize val="0"/>
            </c:dLbl>
            <c:dLbl>
              <c:idx val="27"/>
              <c:tx>
                <c:strRef>
                  <c:f>input!$T$38</c:f>
                  <c:strCache>
                    <c:ptCount val="1"/>
                  </c:strCache>
                </c:strRef>
              </c:tx>
              <c:dLblPos val="r"/>
              <c:showLegendKey val="0"/>
              <c:showVal val="0"/>
              <c:showCatName val="0"/>
              <c:showSerName val="0"/>
              <c:showPercent val="0"/>
              <c:showBubbleSize val="0"/>
            </c:dLbl>
            <c:dLbl>
              <c:idx val="28"/>
              <c:tx>
                <c:strRef>
                  <c:f>input!$T$39</c:f>
                  <c:strCache>
                    <c:ptCount val="1"/>
                  </c:strCache>
                </c:strRef>
              </c:tx>
              <c:dLblPos val="r"/>
              <c:showLegendKey val="0"/>
              <c:showVal val="0"/>
              <c:showCatName val="0"/>
              <c:showSerName val="0"/>
              <c:showPercent val="0"/>
              <c:showBubbleSize val="0"/>
            </c:dLbl>
            <c:dLbl>
              <c:idx val="29"/>
              <c:tx>
                <c:strRef>
                  <c:f>input!$T$40</c:f>
                  <c:strCache>
                    <c:ptCount val="1"/>
                  </c:strCache>
                </c:strRef>
              </c:tx>
              <c:dLblPos val="r"/>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input!$CH$11:$CH$40</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input!$CI$11:$CI$40</c:f>
              <c:numCache>
                <c:formatCode>0.000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0"/>
        </c:ser>
        <c:dLbls>
          <c:showLegendKey val="0"/>
          <c:showVal val="0"/>
          <c:showCatName val="0"/>
          <c:showSerName val="0"/>
          <c:showPercent val="0"/>
          <c:showBubbleSize val="0"/>
        </c:dLbls>
        <c:axId val="94365184"/>
        <c:axId val="94366720"/>
      </c:scatterChart>
      <c:valAx>
        <c:axId val="94365184"/>
        <c:scaling>
          <c:orientation val="minMax"/>
          <c:max val="1.6"/>
          <c:min val="-0.4"/>
        </c:scaling>
        <c:delete val="1"/>
        <c:axPos val="b"/>
        <c:numFmt formatCode="General" sourceLinked="1"/>
        <c:majorTickMark val="out"/>
        <c:minorTickMark val="none"/>
        <c:tickLblPos val="none"/>
        <c:crossAx val="94366720"/>
        <c:crosses val="autoZero"/>
        <c:crossBetween val="midCat"/>
      </c:valAx>
      <c:valAx>
        <c:axId val="94366720"/>
        <c:scaling>
          <c:orientation val="minMax"/>
          <c:max val="1.2"/>
          <c:min val="-0.2"/>
        </c:scaling>
        <c:delete val="1"/>
        <c:axPos val="l"/>
        <c:numFmt formatCode="General" sourceLinked="1"/>
        <c:majorTickMark val="out"/>
        <c:minorTickMark val="none"/>
        <c:tickLblPos val="none"/>
        <c:crossAx val="94365184"/>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670397605258072E-3"/>
          <c:y val="2.9564239252702108E-3"/>
          <c:w val="0.98938124986442799"/>
          <c:h val="0.98880862718247187"/>
        </c:manualLayout>
      </c:layout>
      <c:scatterChart>
        <c:scatterStyle val="lineMarker"/>
        <c:varyColors val="0"/>
        <c:ser>
          <c:idx val="1"/>
          <c:order val="0"/>
          <c:tx>
            <c:v>A grid</c:v>
          </c:tx>
          <c:spPr>
            <a:ln w="3175">
              <a:solidFill>
                <a:srgbClr val="C0C0C0"/>
              </a:solidFill>
              <a:prstDash val="sysDash"/>
            </a:ln>
          </c:spPr>
          <c:marker>
            <c:symbol val="none"/>
          </c:marker>
          <c:dLbls>
            <c:dLbl>
              <c:idx val="0"/>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tx>
                <c:rich>
                  <a:bodyPr/>
                  <a:lstStyle/>
                  <a:p>
                    <a:r>
                      <a:rPr lang="en-NZ"/>
                      <a:t>20%</a:t>
                    </a:r>
                  </a:p>
                </c:rich>
              </c:tx>
              <c:dLblPos val="l"/>
              <c:showLegendKey val="0"/>
              <c:showVal val="0"/>
              <c:showCatName val="0"/>
              <c:showSerName val="0"/>
              <c:showPercent val="0"/>
              <c:showBubbleSize val="0"/>
            </c:dLbl>
            <c:dLbl>
              <c:idx val="4"/>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tx>
                <c:rich>
                  <a:bodyPr/>
                  <a:lstStyle/>
                  <a:p>
                    <a:r>
                      <a:rPr lang="en-NZ"/>
                      <a:t>40%</a:t>
                    </a:r>
                  </a:p>
                </c:rich>
              </c:tx>
              <c:dLblPos val="l"/>
              <c:showLegendKey val="0"/>
              <c:showVal val="0"/>
              <c:showCatName val="0"/>
              <c:showSerName val="0"/>
              <c:showPercent val="0"/>
              <c:showBubbleSize val="0"/>
            </c:dLbl>
            <c:dLbl>
              <c:idx val="8"/>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tx>
                <c:rich>
                  <a:bodyPr/>
                  <a:lstStyle/>
                  <a:p>
                    <a:r>
                      <a:rPr lang="en-NZ"/>
                      <a:t>60%</a:t>
                    </a:r>
                  </a:p>
                </c:rich>
              </c:tx>
              <c:dLblPos val="l"/>
              <c:showLegendKey val="0"/>
              <c:showVal val="0"/>
              <c:showCatName val="0"/>
              <c:showSerName val="0"/>
              <c:showPercent val="0"/>
              <c:showBubbleSize val="0"/>
            </c:dLbl>
            <c:dLbl>
              <c:idx val="12"/>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tx>
                <c:rich>
                  <a:bodyPr/>
                  <a:lstStyle/>
                  <a:p>
                    <a:r>
                      <a:rPr lang="en-NZ"/>
                      <a:t>80%</a:t>
                    </a:r>
                  </a:p>
                </c:rich>
              </c:tx>
              <c:dLblPos val="l"/>
              <c:showLegendKey val="0"/>
              <c:showVal val="0"/>
              <c:showCatName val="0"/>
              <c:showSerName val="0"/>
              <c:showPercent val="0"/>
              <c:showBubbleSize val="0"/>
            </c:dLbl>
            <c:dLbl>
              <c:idx val="16"/>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C0C0C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3175">
              <a:solidFill>
                <a:srgbClr val="C0C0C0"/>
              </a:solidFill>
              <a:prstDash val="sysDash"/>
            </a:ln>
          </c:spPr>
          <c:marker>
            <c:symbol val="none"/>
          </c:marker>
          <c:dLbls>
            <c:dLbl>
              <c:idx val="0"/>
              <c:layout>
                <c:manualLayout>
                  <c:x val="-2.1803129214841468E-2"/>
                  <c:y val="3.5507633617869815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4507153032064143E-2"/>
                  <c:y val="3.2504630614866768E-2"/>
                </c:manualLayout>
              </c:layout>
              <c:tx>
                <c:rich>
                  <a:bodyPr/>
                  <a:lstStyle/>
                  <a:p>
                    <a:r>
                      <a:rPr lang="en-NZ"/>
                      <a:t>80%</a:t>
                    </a:r>
                  </a:p>
                </c:rich>
              </c:tx>
              <c:dLblPos val="r"/>
              <c:showLegendKey val="0"/>
              <c:showVal val="0"/>
              <c:showCatName val="0"/>
              <c:showSerName val="0"/>
              <c:showPercent val="0"/>
              <c:showBubbleSize val="0"/>
            </c:dLbl>
            <c:dLbl>
              <c:idx val="4"/>
              <c:layout>
                <c:manualLayout>
                  <c:x val="-2.0552025891325185E-2"/>
                  <c:y val="3.5507633617869815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036293881688792E-2"/>
                  <c:y val="3.5507633617869815E-2"/>
                </c:manualLayout>
              </c:layout>
              <c:tx>
                <c:rich>
                  <a:bodyPr/>
                  <a:lstStyle/>
                  <a:p>
                    <a:r>
                      <a:rPr lang="en-NZ"/>
                      <a:t>60%</a:t>
                    </a:r>
                  </a:p>
                </c:rich>
              </c:tx>
              <c:dLblPos val="r"/>
              <c:showLegendKey val="0"/>
              <c:showVal val="0"/>
              <c:showCatName val="0"/>
              <c:showSerName val="0"/>
              <c:showPercent val="0"/>
              <c:showBubbleSize val="0"/>
            </c:dLbl>
            <c:dLbl>
              <c:idx val="8"/>
              <c:layout>
                <c:manualLayout>
                  <c:x val="-2.1520561872052337E-2"/>
                  <c:y val="3.5507633617869815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2.0894951948986405E-2"/>
                  <c:y val="3.5507633617869815E-2"/>
                </c:manualLayout>
              </c:layout>
              <c:tx>
                <c:rich>
                  <a:bodyPr/>
                  <a:lstStyle/>
                  <a:p>
                    <a:r>
                      <a:rPr lang="en-NZ"/>
                      <a:t>40%</a:t>
                    </a:r>
                  </a:p>
                </c:rich>
              </c:tx>
              <c:dLblPos val="r"/>
              <c:showLegendKey val="0"/>
              <c:showVal val="0"/>
              <c:showCatName val="0"/>
              <c:showSerName val="0"/>
              <c:showPercent val="0"/>
              <c:showBubbleSize val="0"/>
            </c:dLbl>
            <c:dLbl>
              <c:idx val="12"/>
              <c:layout>
                <c:manualLayout>
                  <c:x val="-2.0269342025920435E-2"/>
                  <c:y val="3.5507633617869815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7423976275995477E-2"/>
                  <c:y val="3.2504630614866768E-2"/>
                </c:manualLayout>
              </c:layout>
              <c:tx>
                <c:rich>
                  <a:bodyPr/>
                  <a:lstStyle/>
                  <a:p>
                    <a:r>
                      <a:rPr lang="en-NZ"/>
                      <a:t>20%</a:t>
                    </a:r>
                  </a:p>
                </c:rich>
              </c:tx>
              <c:dLblPos val="r"/>
              <c:showLegendKey val="0"/>
              <c:showVal val="0"/>
              <c:showCatName val="0"/>
              <c:showSerName val="0"/>
              <c:showPercent val="0"/>
              <c:showBubbleSize val="0"/>
            </c:dLbl>
            <c:dLbl>
              <c:idx val="16"/>
              <c:layout>
                <c:manualLayout>
                  <c:x val="-2.1237878006647531E-2"/>
                  <c:y val="3.2504630614866768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C0C0C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3175">
              <a:solidFill>
                <a:srgbClr val="C0C0C0"/>
              </a:solidFill>
              <a:prstDash val="sysDash"/>
            </a:ln>
          </c:spPr>
          <c:marker>
            <c:symbol val="none"/>
          </c:marker>
          <c:dLbls>
            <c:dLbl>
              <c:idx val="0"/>
              <c:delete val="1"/>
            </c:dLbl>
            <c:dLbl>
              <c:idx val="1"/>
              <c:layout>
                <c:manualLayout>
                  <c:x val="-1.0136418852193933E-2"/>
                  <c:y val="-2.9486021454525377E-2"/>
                </c:manualLayout>
              </c:layout>
              <c:tx>
                <c:rich>
                  <a:bodyPr/>
                  <a:lstStyle/>
                  <a:p>
                    <a:r>
                      <a:rPr lang="en-NZ"/>
                      <a:t>10%</a:t>
                    </a:r>
                  </a:p>
                </c:rich>
              </c:tx>
              <c:dLblPos val="r"/>
              <c:showLegendKey val="0"/>
              <c:showVal val="0"/>
              <c:showCatName val="0"/>
              <c:showSerName val="0"/>
              <c:showPercent val="0"/>
              <c:showBubbleSize val="0"/>
            </c:dLbl>
            <c:dLbl>
              <c:idx val="2"/>
              <c:layout>
                <c:manualLayout>
                  <c:x val="-1.2040281868207006E-2"/>
                  <c:y val="-3.0772977702111577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834266970790643E-2"/>
                  <c:y val="-3.6564438454202215E-2"/>
                </c:manualLayout>
              </c:layout>
              <c:tx>
                <c:rich>
                  <a:bodyPr/>
                  <a:lstStyle/>
                  <a:p>
                    <a:r>
                      <a:rPr lang="en-NZ"/>
                      <a:t>30%</a:t>
                    </a:r>
                  </a:p>
                </c:rich>
              </c:tx>
              <c:dLblPos val="r"/>
              <c:showLegendKey val="0"/>
              <c:showVal val="0"/>
              <c:showCatName val="0"/>
              <c:showSerName val="0"/>
              <c:showPercent val="0"/>
              <c:showBubbleSize val="0"/>
            </c:dLbl>
            <c:dLbl>
              <c:idx val="6"/>
              <c:layout>
                <c:manualLayout>
                  <c:x val="-1.251849068256034E-2"/>
                  <c:y val="-3.935305384124279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6642109525432484E-2"/>
                  <c:y val="-4.3643013091831974E-2"/>
                </c:manualLayout>
              </c:layout>
              <c:tx>
                <c:rich>
                  <a:bodyPr/>
                  <a:lstStyle/>
                  <a:p>
                    <a:r>
                      <a:rPr lang="en-NZ"/>
                      <a:t>50%</a:t>
                    </a:r>
                  </a:p>
                </c:rich>
              </c:tx>
              <c:dLblPos val="r"/>
              <c:showLegendKey val="0"/>
              <c:showVal val="0"/>
              <c:showCatName val="0"/>
              <c:showSerName val="0"/>
              <c:showPercent val="0"/>
              <c:showBubbleSize val="0"/>
            </c:dLbl>
            <c:dLbl>
              <c:idx val="10"/>
              <c:layout>
                <c:manualLayout>
                  <c:x val="-1.299658297429798E-2"/>
                  <c:y val="-4.342846783791672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461050859208603E-2"/>
                  <c:y val="-4.0211077218951244E-2"/>
                </c:manualLayout>
              </c:layout>
              <c:tx>
                <c:rich>
                  <a:bodyPr/>
                  <a:lstStyle/>
                  <a:p>
                    <a:r>
                      <a:rPr lang="en-NZ"/>
                      <a:t>70%</a:t>
                    </a:r>
                  </a:p>
                </c:rich>
              </c:tx>
              <c:dLblPos val="r"/>
              <c:showLegendKey val="0"/>
              <c:showVal val="0"/>
              <c:showCatName val="0"/>
              <c:showSerName val="0"/>
              <c:showPercent val="0"/>
              <c:showBubbleSize val="0"/>
            </c:dLbl>
            <c:dLbl>
              <c:idx val="14"/>
              <c:layout>
                <c:manualLayout>
                  <c:x val="-1.2364913875221669E-2"/>
                  <c:y val="-3.9996531965035907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049137586991361E-2"/>
                  <c:y val="-4.7289494218628096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C0C0C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5"/>
          <c:order val="3"/>
          <c:tx>
            <c:v>vapor equil line</c:v>
          </c:tx>
          <c:spPr>
            <a:ln w="25400">
              <a:solidFill>
                <a:srgbClr val="808080"/>
              </a:solidFill>
              <a:prstDash val="solid"/>
            </a:ln>
          </c:spPr>
          <c:marker>
            <c:symbol val="plus"/>
            <c:size val="10"/>
            <c:spPr>
              <a:noFill/>
              <a:ln>
                <a:solidFill>
                  <a:srgbClr val="808080"/>
                </a:solidFill>
                <a:prstDash val="solid"/>
              </a:ln>
            </c:spPr>
          </c:marker>
          <c:dLbls>
            <c:dLbl>
              <c:idx val="0"/>
              <c:tx>
                <c:strRef>
                  <c:f>Ggrid!$A$168</c:f>
                  <c:strCache>
                    <c:ptCount val="1"/>
                    <c:pt idx="0">
                      <c:v>200</c:v>
                    </c:pt>
                  </c:strCache>
                </c:strRef>
              </c:tx>
              <c:dLblPos val="t"/>
              <c:showLegendKey val="0"/>
              <c:showVal val="0"/>
              <c:showCatName val="0"/>
              <c:showSerName val="0"/>
              <c:showPercent val="0"/>
              <c:showBubbleSize val="0"/>
            </c:dLbl>
            <c:dLbl>
              <c:idx val="1"/>
              <c:tx>
                <c:strRef>
                  <c:f>Ggrid!$A$169</c:f>
                  <c:strCache>
                    <c:ptCount val="1"/>
                    <c:pt idx="0">
                      <c:v>225</c:v>
                    </c:pt>
                  </c:strCache>
                </c:strRef>
              </c:tx>
              <c:dLblPos val="t"/>
              <c:showLegendKey val="0"/>
              <c:showVal val="0"/>
              <c:showCatName val="0"/>
              <c:showSerName val="0"/>
              <c:showPercent val="0"/>
              <c:showBubbleSize val="0"/>
            </c:dLbl>
            <c:dLbl>
              <c:idx val="2"/>
              <c:tx>
                <c:strRef>
                  <c:f>Ggrid!$A$170</c:f>
                  <c:strCache>
                    <c:ptCount val="1"/>
                    <c:pt idx="0">
                      <c:v>250</c:v>
                    </c:pt>
                  </c:strCache>
                </c:strRef>
              </c:tx>
              <c:dLblPos val="t"/>
              <c:showLegendKey val="0"/>
              <c:showVal val="0"/>
              <c:showCatName val="0"/>
              <c:showSerName val="0"/>
              <c:showPercent val="0"/>
              <c:showBubbleSize val="0"/>
            </c:dLbl>
            <c:dLbl>
              <c:idx val="3"/>
              <c:layout>
                <c:manualLayout>
                  <c:x val="-2.3762223950641002E-2"/>
                  <c:y val="-4.7757048386969647E-2"/>
                </c:manualLayout>
              </c:layout>
              <c:tx>
                <c:strRef>
                  <c:f>Ggrid!$A$171</c:f>
                  <c:strCache>
                    <c:ptCount val="1"/>
                    <c:pt idx="0">
                      <c:v>275</c:v>
                    </c:pt>
                  </c:strCache>
                </c:strRef>
              </c:tx>
              <c:dLblPos val="r"/>
              <c:showLegendKey val="0"/>
              <c:showVal val="0"/>
              <c:showCatName val="0"/>
              <c:showSerName val="0"/>
              <c:showPercent val="0"/>
              <c:showBubbleSize val="0"/>
            </c:dLbl>
            <c:dLbl>
              <c:idx val="4"/>
              <c:layout>
                <c:manualLayout>
                  <c:x val="-2.7147555501178373E-2"/>
                  <c:y val="-4.9119828489907216E-2"/>
                </c:manualLayout>
              </c:layout>
              <c:tx>
                <c:strRef>
                  <c:f>Ggrid!$A$172</c:f>
                  <c:strCache>
                    <c:ptCount val="1"/>
                    <c:pt idx="0">
                      <c:v>300</c:v>
                    </c:pt>
                  </c:strCache>
                </c:strRef>
              </c:tx>
              <c:dLblPos val="r"/>
              <c:showLegendKey val="0"/>
              <c:showVal val="0"/>
              <c:showCatName val="0"/>
              <c:showSerName val="0"/>
              <c:showPercent val="0"/>
              <c:showBubbleSize val="0"/>
            </c:dLbl>
            <c:dLbl>
              <c:idx val="5"/>
              <c:layout>
                <c:manualLayout>
                  <c:x val="-2.8315811245015043E-2"/>
                  <c:y val="-5.0955522451585425E-2"/>
                </c:manualLayout>
              </c:layout>
              <c:tx>
                <c:strRef>
                  <c:f>Ggrid!$A$173</c:f>
                  <c:strCache>
                    <c:ptCount val="1"/>
                    <c:pt idx="0">
                      <c:v>325</c:v>
                    </c:pt>
                  </c:strCache>
                </c:strRef>
              </c:tx>
              <c:dLblPos val="r"/>
              <c:showLegendKey val="0"/>
              <c:showVal val="0"/>
              <c:showCatName val="0"/>
              <c:showSerName val="0"/>
              <c:showPercent val="0"/>
              <c:showBubbleSize val="0"/>
            </c:dLbl>
            <c:dLbl>
              <c:idx val="6"/>
              <c:layout>
                <c:manualLayout>
                  <c:x val="-2.7896562874146838E-2"/>
                  <c:y val="-4.8470990675715128E-2"/>
                </c:manualLayout>
              </c:layout>
              <c:tx>
                <c:strRef>
                  <c:f>Ggrid!$A$174</c:f>
                  <c:strCache>
                    <c:ptCount val="1"/>
                    <c:pt idx="0">
                      <c:v>350</c:v>
                    </c:pt>
                  </c:strCache>
                </c:strRef>
              </c:tx>
              <c:dLblPos val="r"/>
              <c:showLegendKey val="0"/>
              <c:showVal val="0"/>
              <c:showCatName val="0"/>
              <c:showSerName val="0"/>
              <c:showPercent val="0"/>
              <c:showBubbleSize val="0"/>
            </c:dLbl>
            <c:dLbl>
              <c:idx val="7"/>
              <c:layout>
                <c:manualLayout>
                  <c:x val="-2.7793673404586914E-2"/>
                  <c:y val="-4.8922623410812424E-2"/>
                </c:manualLayout>
              </c:layout>
              <c:tx>
                <c:strRef>
                  <c:f>Ggrid!$A$175</c:f>
                  <c:strCache>
                    <c:ptCount val="1"/>
                    <c:pt idx="0">
                      <c:v>375</c:v>
                    </c:pt>
                  </c:strCache>
                </c:strRef>
              </c:tx>
              <c:dLblPos val="r"/>
              <c:showLegendKey val="0"/>
              <c:showVal val="0"/>
              <c:showCatName val="0"/>
              <c:showSerName val="0"/>
              <c:showPercent val="0"/>
              <c:showBubbleSize val="0"/>
            </c:dLbl>
            <c:dLbl>
              <c:idx val="8"/>
              <c:layout>
                <c:manualLayout>
                  <c:x val="-2.6865803816698289E-2"/>
                  <c:y val="-5.6020114602791805E-2"/>
                </c:manualLayout>
              </c:layout>
              <c:tx>
                <c:strRef>
                  <c:f>Ggrid!$A$176</c:f>
                  <c:strCache>
                    <c:ptCount val="1"/>
                    <c:pt idx="0">
                      <c:v>400</c:v>
                    </c:pt>
                  </c:strCache>
                </c:strRef>
              </c:tx>
              <c:dLblPos val="r"/>
              <c:showLegendKey val="0"/>
              <c:showVal val="0"/>
              <c:showCatName val="0"/>
              <c:showSerName val="0"/>
              <c:showPercent val="0"/>
              <c:showBubbleSize val="0"/>
            </c:dLbl>
            <c:spPr>
              <a:noFill/>
              <a:ln w="25400">
                <a:noFill/>
              </a:ln>
            </c:spPr>
            <c:txPr>
              <a:bodyPr rot="5400000" vert="horz"/>
              <a:lstStyle/>
              <a:p>
                <a:pPr algn="ctr">
                  <a:defRPr sz="1000" b="1" i="0" u="none" strike="noStrike" baseline="0">
                    <a:solidFill>
                      <a:srgbClr val="80808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Ggrid!$Q$168:$Q$176</c:f>
              <c:numCache>
                <c:formatCode>0.000</c:formatCode>
                <c:ptCount val="9"/>
                <c:pt idx="0">
                  <c:v>0.57400860621971062</c:v>
                </c:pt>
                <c:pt idx="1">
                  <c:v>0.56561495293526198</c:v>
                </c:pt>
                <c:pt idx="2">
                  <c:v>0.5419734683065921</c:v>
                </c:pt>
                <c:pt idx="3">
                  <c:v>0.48758691039618696</c:v>
                </c:pt>
                <c:pt idx="4">
                  <c:v>0.39302526856943715</c:v>
                </c:pt>
                <c:pt idx="5">
                  <c:v>0.27662497985255519</c:v>
                </c:pt>
                <c:pt idx="6">
                  <c:v>0.17400337878583413</c:v>
                </c:pt>
                <c:pt idx="7">
                  <c:v>0.10284491486272639</c:v>
                </c:pt>
                <c:pt idx="8">
                  <c:v>5.9457431747863325E-2</c:v>
                </c:pt>
              </c:numCache>
            </c:numRef>
          </c:xVal>
          <c:yVal>
            <c:numRef>
              <c:f>Ggrid!$R$168:$R$176</c:f>
              <c:numCache>
                <c:formatCode>0.000</c:formatCode>
                <c:ptCount val="9"/>
                <c:pt idx="0">
                  <c:v>0.99303607834813357</c:v>
                </c:pt>
                <c:pt idx="1">
                  <c:v>0.97567093133330929</c:v>
                </c:pt>
                <c:pt idx="2">
                  <c:v>0.9276691127182507</c:v>
                </c:pt>
                <c:pt idx="3">
                  <c:v>0.82072159718490389</c:v>
                </c:pt>
                <c:pt idx="4">
                  <c:v>0.64210688564620577</c:v>
                </c:pt>
                <c:pt idx="5">
                  <c:v>0.4322758910911158</c:v>
                </c:pt>
                <c:pt idx="6">
                  <c:v>0.25706801291577036</c:v>
                </c:pt>
                <c:pt idx="7">
                  <c:v>0.14301635755370068</c:v>
                </c:pt>
                <c:pt idx="8">
                  <c:v>7.8191250193056339E-2</c:v>
                </c:pt>
              </c:numCache>
            </c:numRef>
          </c:yVal>
          <c:smooth val="1"/>
        </c:ser>
        <c:ser>
          <c:idx val="6"/>
          <c:order val="4"/>
          <c:tx>
            <c:v>liquid equil line</c:v>
          </c:tx>
          <c:spPr>
            <a:ln w="25400">
              <a:solidFill>
                <a:srgbClr val="808080"/>
              </a:solidFill>
              <a:prstDash val="solid"/>
            </a:ln>
          </c:spPr>
          <c:marker>
            <c:symbol val="plus"/>
            <c:size val="10"/>
            <c:spPr>
              <a:noFill/>
              <a:ln>
                <a:solidFill>
                  <a:srgbClr val="808080"/>
                </a:solidFill>
                <a:prstDash val="solid"/>
              </a:ln>
            </c:spPr>
          </c:marker>
          <c:xVal>
            <c:numRef>
              <c:f>Ggrid!$X$168:$X$176</c:f>
              <c:numCache>
                <c:formatCode>0.000</c:formatCode>
                <c:ptCount val="9"/>
                <c:pt idx="0">
                  <c:v>0.56292924494342278</c:v>
                </c:pt>
                <c:pt idx="1">
                  <c:v>0.53690208160492137</c:v>
                </c:pt>
                <c:pt idx="2">
                  <c:v>0.48300980618714945</c:v>
                </c:pt>
                <c:pt idx="3">
                  <c:v>0.39908740828003564</c:v>
                </c:pt>
                <c:pt idx="4">
                  <c:v>0.3016172630345032</c:v>
                </c:pt>
                <c:pt idx="5">
                  <c:v>0.21224177241556841</c:v>
                </c:pt>
                <c:pt idx="6">
                  <c:v>0.14213328653435744</c:v>
                </c:pt>
                <c:pt idx="7">
                  <c:v>9.2097855291798383E-2</c:v>
                </c:pt>
                <c:pt idx="8">
                  <c:v>5.8447973671195988E-2</c:v>
                </c:pt>
              </c:numCache>
            </c:numRef>
          </c:xVal>
          <c:yVal>
            <c:numRef>
              <c:f>Ggrid!$Y$168:$Y$176</c:f>
              <c:numCache>
                <c:formatCode>0.000</c:formatCode>
                <c:ptCount val="9"/>
                <c:pt idx="0">
                  <c:v>0.95750608759313127</c:v>
                </c:pt>
                <c:pt idx="1">
                  <c:v>0.88319806577660709</c:v>
                </c:pt>
                <c:pt idx="2">
                  <c:v>0.74457680178278418</c:v>
                </c:pt>
                <c:pt idx="3">
                  <c:v>0.55764950484150722</c:v>
                </c:pt>
                <c:pt idx="4">
                  <c:v>0.37453482050421344</c:v>
                </c:pt>
                <c:pt idx="5">
                  <c:v>0.23494652265806276</c:v>
                </c:pt>
                <c:pt idx="6">
                  <c:v>0.14373527831518862</c:v>
                </c:pt>
                <c:pt idx="7">
                  <c:v>8.8346606058435528E-2</c:v>
                </c:pt>
                <c:pt idx="8">
                  <c:v>5.5458018574796202E-2</c:v>
                </c:pt>
              </c:numCache>
            </c:numRef>
          </c:yVal>
          <c:smooth val="1"/>
        </c:ser>
        <c:ser>
          <c:idx val="7"/>
          <c:order val="5"/>
          <c:tx>
            <c:v>tie line 1</c:v>
          </c:tx>
          <c:spPr>
            <a:ln w="25400">
              <a:solidFill>
                <a:srgbClr val="808080"/>
              </a:solidFill>
              <a:prstDash val="lgDash"/>
            </a:ln>
          </c:spPr>
          <c:marker>
            <c:symbol val="none"/>
          </c:marker>
          <c:xVal>
            <c:numRef>
              <c:f>(Ggrid!$Q$168,Ggrid!$X$168)</c:f>
              <c:numCache>
                <c:formatCode>0.000</c:formatCode>
                <c:ptCount val="2"/>
                <c:pt idx="0">
                  <c:v>0.57400860621971062</c:v>
                </c:pt>
                <c:pt idx="1">
                  <c:v>0.56292924494342278</c:v>
                </c:pt>
              </c:numCache>
            </c:numRef>
          </c:xVal>
          <c:yVal>
            <c:numRef>
              <c:f>(Ggrid!$R$168,Ggrid!$Y$168)</c:f>
              <c:numCache>
                <c:formatCode>0.000</c:formatCode>
                <c:ptCount val="2"/>
                <c:pt idx="0">
                  <c:v>0.99303607834813357</c:v>
                </c:pt>
                <c:pt idx="1">
                  <c:v>0.95750608759313127</c:v>
                </c:pt>
              </c:numCache>
            </c:numRef>
          </c:yVal>
          <c:smooth val="0"/>
        </c:ser>
        <c:ser>
          <c:idx val="8"/>
          <c:order val="6"/>
          <c:tx>
            <c:v>tie line 2</c:v>
          </c:tx>
          <c:spPr>
            <a:ln w="25400">
              <a:solidFill>
                <a:srgbClr val="808080"/>
              </a:solidFill>
              <a:prstDash val="lgDash"/>
            </a:ln>
          </c:spPr>
          <c:marker>
            <c:symbol val="none"/>
          </c:marker>
          <c:xVal>
            <c:numRef>
              <c:f>(Ggrid!$Q$169,Ggrid!$X$169)</c:f>
              <c:numCache>
                <c:formatCode>0.000</c:formatCode>
                <c:ptCount val="2"/>
                <c:pt idx="0">
                  <c:v>0.56561495293526198</c:v>
                </c:pt>
                <c:pt idx="1">
                  <c:v>0.53690208160492137</c:v>
                </c:pt>
              </c:numCache>
            </c:numRef>
          </c:xVal>
          <c:yVal>
            <c:numRef>
              <c:f>(Ggrid!$R$169,Ggrid!$Y$169)</c:f>
              <c:numCache>
                <c:formatCode>0.000</c:formatCode>
                <c:ptCount val="2"/>
                <c:pt idx="0">
                  <c:v>0.97567093133330929</c:v>
                </c:pt>
                <c:pt idx="1">
                  <c:v>0.88319806577660709</c:v>
                </c:pt>
              </c:numCache>
            </c:numRef>
          </c:yVal>
          <c:smooth val="0"/>
        </c:ser>
        <c:ser>
          <c:idx val="9"/>
          <c:order val="7"/>
          <c:tx>
            <c:v>tie line 3</c:v>
          </c:tx>
          <c:spPr>
            <a:ln w="25400">
              <a:solidFill>
                <a:srgbClr val="808080"/>
              </a:solidFill>
              <a:prstDash val="lgDash"/>
            </a:ln>
          </c:spPr>
          <c:marker>
            <c:symbol val="none"/>
          </c:marker>
          <c:xVal>
            <c:numRef>
              <c:f>(Ggrid!$Q$170,Ggrid!$X$170)</c:f>
              <c:numCache>
                <c:formatCode>0.000</c:formatCode>
                <c:ptCount val="2"/>
                <c:pt idx="0">
                  <c:v>0.5419734683065921</c:v>
                </c:pt>
                <c:pt idx="1">
                  <c:v>0.48300980618714945</c:v>
                </c:pt>
              </c:numCache>
            </c:numRef>
          </c:xVal>
          <c:yVal>
            <c:numRef>
              <c:f>(Ggrid!$R$170,Ggrid!$Y$170)</c:f>
              <c:numCache>
                <c:formatCode>0.000</c:formatCode>
                <c:ptCount val="2"/>
                <c:pt idx="0">
                  <c:v>0.9276691127182507</c:v>
                </c:pt>
                <c:pt idx="1">
                  <c:v>0.74457680178278418</c:v>
                </c:pt>
              </c:numCache>
            </c:numRef>
          </c:yVal>
          <c:smooth val="0"/>
        </c:ser>
        <c:ser>
          <c:idx val="10"/>
          <c:order val="8"/>
          <c:tx>
            <c:v>tie line 4</c:v>
          </c:tx>
          <c:spPr>
            <a:ln w="25400">
              <a:solidFill>
                <a:srgbClr val="808080"/>
              </a:solidFill>
              <a:prstDash val="lgDash"/>
            </a:ln>
          </c:spPr>
          <c:marker>
            <c:symbol val="none"/>
          </c:marker>
          <c:xVal>
            <c:numRef>
              <c:f>(Ggrid!$Q$171,Ggrid!$X$171)</c:f>
              <c:numCache>
                <c:formatCode>0.000</c:formatCode>
                <c:ptCount val="2"/>
                <c:pt idx="0">
                  <c:v>0.48758691039618696</c:v>
                </c:pt>
                <c:pt idx="1">
                  <c:v>0.39908740828003564</c:v>
                </c:pt>
              </c:numCache>
            </c:numRef>
          </c:xVal>
          <c:yVal>
            <c:numRef>
              <c:f>(Ggrid!$R$171,Ggrid!$Y$171)</c:f>
              <c:numCache>
                <c:formatCode>0.000</c:formatCode>
                <c:ptCount val="2"/>
                <c:pt idx="0">
                  <c:v>0.82072159718490389</c:v>
                </c:pt>
                <c:pt idx="1">
                  <c:v>0.55764950484150722</c:v>
                </c:pt>
              </c:numCache>
            </c:numRef>
          </c:yVal>
          <c:smooth val="0"/>
        </c:ser>
        <c:ser>
          <c:idx val="11"/>
          <c:order val="9"/>
          <c:tx>
            <c:v>tie line 5</c:v>
          </c:tx>
          <c:spPr>
            <a:ln w="25400">
              <a:solidFill>
                <a:srgbClr val="808080"/>
              </a:solidFill>
              <a:prstDash val="lgDash"/>
            </a:ln>
          </c:spPr>
          <c:marker>
            <c:symbol val="none"/>
          </c:marker>
          <c:xVal>
            <c:numRef>
              <c:f>(Ggrid!$Q$172,Ggrid!$X$172)</c:f>
              <c:numCache>
                <c:formatCode>0.000</c:formatCode>
                <c:ptCount val="2"/>
                <c:pt idx="0">
                  <c:v>0.39302526856943715</c:v>
                </c:pt>
                <c:pt idx="1">
                  <c:v>0.3016172630345032</c:v>
                </c:pt>
              </c:numCache>
            </c:numRef>
          </c:xVal>
          <c:yVal>
            <c:numRef>
              <c:f>(Ggrid!$R$172,Ggrid!$Y$172)</c:f>
              <c:numCache>
                <c:formatCode>0.000</c:formatCode>
                <c:ptCount val="2"/>
                <c:pt idx="0">
                  <c:v>0.64210688564620577</c:v>
                </c:pt>
                <c:pt idx="1">
                  <c:v>0.37453482050421344</c:v>
                </c:pt>
              </c:numCache>
            </c:numRef>
          </c:yVal>
          <c:smooth val="0"/>
        </c:ser>
        <c:ser>
          <c:idx val="12"/>
          <c:order val="10"/>
          <c:tx>
            <c:v>tie line 6</c:v>
          </c:tx>
          <c:spPr>
            <a:ln w="25400">
              <a:solidFill>
                <a:srgbClr val="808080"/>
              </a:solidFill>
              <a:prstDash val="lgDash"/>
            </a:ln>
          </c:spPr>
          <c:marker>
            <c:symbol val="none"/>
          </c:marker>
          <c:xVal>
            <c:numRef>
              <c:f>(Ggrid!$Q$173,Ggrid!$X$173)</c:f>
              <c:numCache>
                <c:formatCode>0.000</c:formatCode>
                <c:ptCount val="2"/>
                <c:pt idx="0">
                  <c:v>0.27662497985255519</c:v>
                </c:pt>
                <c:pt idx="1">
                  <c:v>0.21224177241556841</c:v>
                </c:pt>
              </c:numCache>
            </c:numRef>
          </c:xVal>
          <c:yVal>
            <c:numRef>
              <c:f>(Ggrid!$R$173,Ggrid!$Y$173)</c:f>
              <c:numCache>
                <c:formatCode>0.000</c:formatCode>
                <c:ptCount val="2"/>
                <c:pt idx="0">
                  <c:v>0.4322758910911158</c:v>
                </c:pt>
                <c:pt idx="1">
                  <c:v>0.23494652265806276</c:v>
                </c:pt>
              </c:numCache>
            </c:numRef>
          </c:yVal>
          <c:smooth val="0"/>
        </c:ser>
        <c:ser>
          <c:idx val="14"/>
          <c:order val="11"/>
          <c:tx>
            <c:v>tie line 7</c:v>
          </c:tx>
          <c:spPr>
            <a:ln w="25400">
              <a:solidFill>
                <a:srgbClr val="808080"/>
              </a:solidFill>
              <a:prstDash val="lgDash"/>
            </a:ln>
          </c:spPr>
          <c:marker>
            <c:symbol val="none"/>
          </c:marker>
          <c:xVal>
            <c:numRef>
              <c:f>(Ggrid!$Q$174,Ggrid!$X$174)</c:f>
              <c:numCache>
                <c:formatCode>0.000</c:formatCode>
                <c:ptCount val="2"/>
                <c:pt idx="0">
                  <c:v>0.17400337878583413</c:v>
                </c:pt>
                <c:pt idx="1">
                  <c:v>0.14213328653435744</c:v>
                </c:pt>
              </c:numCache>
            </c:numRef>
          </c:xVal>
          <c:yVal>
            <c:numRef>
              <c:f>(Ggrid!$R$174,Ggrid!$Y$174)</c:f>
              <c:numCache>
                <c:formatCode>0.000</c:formatCode>
                <c:ptCount val="2"/>
                <c:pt idx="0">
                  <c:v>0.25706801291577036</c:v>
                </c:pt>
                <c:pt idx="1">
                  <c:v>0.14373527831518862</c:v>
                </c:pt>
              </c:numCache>
            </c:numRef>
          </c:yVal>
          <c:smooth val="0"/>
        </c:ser>
        <c:ser>
          <c:idx val="17"/>
          <c:order val="12"/>
          <c:tx>
            <c:v>tie line 8</c:v>
          </c:tx>
          <c:spPr>
            <a:ln w="25400">
              <a:solidFill>
                <a:srgbClr val="808080"/>
              </a:solidFill>
              <a:prstDash val="lgDash"/>
            </a:ln>
          </c:spPr>
          <c:marker>
            <c:symbol val="none"/>
          </c:marker>
          <c:xVal>
            <c:numRef>
              <c:f>(Ggrid!$Q$175,Ggrid!$X$175)</c:f>
              <c:numCache>
                <c:formatCode>0.000</c:formatCode>
                <c:ptCount val="2"/>
                <c:pt idx="0">
                  <c:v>0.10284491486272639</c:v>
                </c:pt>
                <c:pt idx="1">
                  <c:v>9.2097855291798383E-2</c:v>
                </c:pt>
              </c:numCache>
            </c:numRef>
          </c:xVal>
          <c:yVal>
            <c:numRef>
              <c:f>(Ggrid!$R$175,Ggrid!$Y$175)</c:f>
              <c:numCache>
                <c:formatCode>0.000</c:formatCode>
                <c:ptCount val="2"/>
                <c:pt idx="0">
                  <c:v>0.14301635755370068</c:v>
                </c:pt>
                <c:pt idx="1">
                  <c:v>8.8346606058435528E-2</c:v>
                </c:pt>
              </c:numCache>
            </c:numRef>
          </c:yVal>
          <c:smooth val="0"/>
        </c:ser>
        <c:ser>
          <c:idx val="18"/>
          <c:order val="13"/>
          <c:tx>
            <c:v>tie line 9</c:v>
          </c:tx>
          <c:spPr>
            <a:ln w="25400">
              <a:solidFill>
                <a:srgbClr val="808080"/>
              </a:solidFill>
              <a:prstDash val="lgDash"/>
            </a:ln>
          </c:spPr>
          <c:marker>
            <c:symbol val="none"/>
          </c:marker>
          <c:xVal>
            <c:numRef>
              <c:f>(Ggrid!$Q$176,Ggrid!$X$176)</c:f>
              <c:numCache>
                <c:formatCode>0.000</c:formatCode>
                <c:ptCount val="2"/>
                <c:pt idx="0">
                  <c:v>5.9457431747863325E-2</c:v>
                </c:pt>
                <c:pt idx="1">
                  <c:v>5.8447973671195988E-2</c:v>
                </c:pt>
              </c:numCache>
            </c:numRef>
          </c:xVal>
          <c:yVal>
            <c:numRef>
              <c:f>(Ggrid!$R$176,Ggrid!$Y$176)</c:f>
              <c:numCache>
                <c:formatCode>0.000</c:formatCode>
                <c:ptCount val="2"/>
                <c:pt idx="0">
                  <c:v>7.8191250193056339E-2</c:v>
                </c:pt>
                <c:pt idx="1">
                  <c:v>5.5458018574796202E-2</c:v>
                </c:pt>
              </c:numCache>
            </c:numRef>
          </c:yVal>
          <c:smooth val="0"/>
        </c:ser>
        <c:ser>
          <c:idx val="16"/>
          <c:order val="14"/>
          <c:tx>
            <c:v>250 trend</c:v>
          </c:tx>
          <c:spPr>
            <a:ln w="25400">
              <a:solidFill>
                <a:srgbClr val="996666"/>
              </a:solidFill>
              <a:prstDash val="solid"/>
            </a:ln>
          </c:spPr>
          <c:marker>
            <c:symbol val="none"/>
          </c:marker>
          <c:dLbls>
            <c:dLbl>
              <c:idx val="3"/>
              <c:tx>
                <c:rich>
                  <a:bodyPr/>
                  <a:lstStyle/>
                  <a:p>
                    <a:pPr>
                      <a:defRPr sz="1000" b="1" i="0" u="none" strike="noStrike" baseline="0">
                        <a:solidFill>
                          <a:srgbClr val="996666"/>
                        </a:solidFill>
                        <a:latin typeface="Arial"/>
                        <a:ea typeface="Arial"/>
                        <a:cs typeface="Arial"/>
                      </a:defRPr>
                    </a:pPr>
                    <a:r>
                      <a:rPr lang="en-NZ"/>
                      <a:t>200C</a:t>
                    </a:r>
                  </a:p>
                </c:rich>
              </c:tx>
              <c:spPr>
                <a:solidFill>
                  <a:srgbClr val="FFFFFF"/>
                </a:solidFill>
                <a:ln w="25400">
                  <a:noFill/>
                </a:ln>
              </c:spPr>
              <c:showLegendKey val="0"/>
              <c:showVal val="0"/>
              <c:showCatName val="0"/>
              <c:showSerName val="0"/>
              <c:showPercent val="0"/>
              <c:showBubbleSize val="0"/>
            </c:dLbl>
            <c:showLegendKey val="0"/>
            <c:showVal val="0"/>
            <c:showCatName val="0"/>
            <c:showSerName val="0"/>
            <c:showPercent val="0"/>
            <c:showBubbleSize val="0"/>
          </c:dLbls>
          <c:xVal>
            <c:numRef>
              <c:f>Ref!$V$56:$V$64</c:f>
              <c:numCache>
                <c:formatCode>0.000</c:formatCode>
                <c:ptCount val="9"/>
                <c:pt idx="0">
                  <c:v>0.57400860621971062</c:v>
                </c:pt>
                <c:pt idx="1">
                  <c:v>0.56402176366236934</c:v>
                </c:pt>
                <c:pt idx="2">
                  <c:v>0.53771132727081439</c:v>
                </c:pt>
                <c:pt idx="3">
                  <c:v>0.54820291513668473</c:v>
                </c:pt>
                <c:pt idx="4">
                  <c:v>0.717150656501921</c:v>
                </c:pt>
                <c:pt idx="5">
                  <c:v>0.90576179362354414</c:v>
                </c:pt>
                <c:pt idx="6">
                  <c:v>1.0253257946440426</c:v>
                </c:pt>
                <c:pt idx="7">
                  <c:v>1.0905534435863871</c:v>
                </c:pt>
                <c:pt idx="8">
                  <c:v>1.1237477201010695</c:v>
                </c:pt>
              </c:numCache>
            </c:numRef>
          </c:xVal>
          <c:yVal>
            <c:numRef>
              <c:f>Ref!$W$56:$W$64</c:f>
              <c:numCache>
                <c:formatCode>0.000</c:formatCode>
                <c:ptCount val="9"/>
                <c:pt idx="0">
                  <c:v>0.99303607834813357</c:v>
                </c:pt>
                <c:pt idx="1">
                  <c:v>0.96658083873557132</c:v>
                </c:pt>
                <c:pt idx="2">
                  <c:v>0.84475741224127654</c:v>
                </c:pt>
                <c:pt idx="3">
                  <c:v>0.47735844443579101</c:v>
                </c:pt>
                <c:pt idx="4">
                  <c:v>0.11772425919564408</c:v>
                </c:pt>
                <c:pt idx="5">
                  <c:v>1.6825962155297726E-2</c:v>
                </c:pt>
                <c:pt idx="6">
                  <c:v>1.9914538110664256E-3</c:v>
                </c:pt>
                <c:pt idx="7">
                  <c:v>2.1955252965897562E-4</c:v>
                </c:pt>
                <c:pt idx="8">
                  <c:v>2.3428898962907525E-5</c:v>
                </c:pt>
              </c:numCache>
            </c:numRef>
          </c:yVal>
          <c:smooth val="1"/>
        </c:ser>
        <c:ser>
          <c:idx val="15"/>
          <c:order val="15"/>
          <c:tx>
            <c:v>150 trend</c:v>
          </c:tx>
          <c:spPr>
            <a:ln w="25400">
              <a:solidFill>
                <a:srgbClr val="666699"/>
              </a:solidFill>
              <a:prstDash val="solid"/>
            </a:ln>
          </c:spPr>
          <c:marker>
            <c:symbol val="none"/>
          </c:marker>
          <c:dLbls>
            <c:dLbl>
              <c:idx val="2"/>
              <c:layout>
                <c:manualLayout>
                  <c:x val="-6.1685907463564444E-3"/>
                  <c:y val="-1.792201650469364E-2"/>
                </c:manualLayout>
              </c:layout>
              <c:tx>
                <c:rich>
                  <a:bodyPr/>
                  <a:lstStyle/>
                  <a:p>
                    <a:pPr>
                      <a:defRPr sz="1000" b="1" i="0" u="none" strike="noStrike" baseline="0">
                        <a:solidFill>
                          <a:srgbClr val="666699"/>
                        </a:solidFill>
                        <a:latin typeface="Arial"/>
                        <a:ea typeface="Arial"/>
                        <a:cs typeface="Arial"/>
                      </a:defRPr>
                    </a:pPr>
                    <a:r>
                      <a:rPr lang="en-NZ"/>
                      <a:t>100C</a:t>
                    </a:r>
                  </a:p>
                </c:rich>
              </c:tx>
              <c:spPr>
                <a:noFill/>
                <a:ln w="25400">
                  <a:noFill/>
                </a:ln>
              </c:spPr>
              <c:dLblPos val="r"/>
              <c:showLegendKey val="0"/>
              <c:showVal val="0"/>
              <c:showCatName val="0"/>
              <c:showSerName val="0"/>
              <c:showPercent val="0"/>
              <c:showBubbleSize val="0"/>
            </c:dLbl>
            <c:dLbl>
              <c:idx val="3"/>
              <c:layout>
                <c:manualLayout>
                  <c:x val="-0.10333971294653647"/>
                  <c:y val="-0.17955940192160669"/>
                </c:manualLayout>
              </c:layout>
              <c:tx>
                <c:rich>
                  <a:bodyPr/>
                  <a:lstStyle/>
                  <a:p>
                    <a:pPr>
                      <a:defRPr sz="1000" b="1" i="0" u="none" strike="noStrike" baseline="0">
                        <a:solidFill>
                          <a:srgbClr val="666699"/>
                        </a:solidFill>
                        <a:latin typeface="Arial"/>
                        <a:ea typeface="Arial"/>
                        <a:cs typeface="Arial"/>
                      </a:defRPr>
                    </a:pPr>
                    <a:r>
                      <a:rPr lang="en-NZ"/>
                      <a:t>vapor trends from 
continuous boiling</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Ref!$F$56:$F$64</c:f>
              <c:numCache>
                <c:formatCode>0.000</c:formatCode>
                <c:ptCount val="9"/>
                <c:pt idx="0">
                  <c:v>0.57400860621971062</c:v>
                </c:pt>
                <c:pt idx="1">
                  <c:v>0.56290031660966799</c:v>
                </c:pt>
                <c:pt idx="2">
                  <c:v>0.56491390259870844</c:v>
                </c:pt>
                <c:pt idx="3">
                  <c:v>0.86989896489356133</c:v>
                </c:pt>
                <c:pt idx="4">
                  <c:v>1.0669231298866191</c:v>
                </c:pt>
                <c:pt idx="5">
                  <c:v>1.1298190298643946</c:v>
                </c:pt>
                <c:pt idx="6">
                  <c:v>1.1478705559982967</c:v>
                </c:pt>
                <c:pt idx="7">
                  <c:v>1.1528451271014226</c:v>
                </c:pt>
                <c:pt idx="8">
                  <c:v>1.1541977559714247</c:v>
                </c:pt>
              </c:numCache>
            </c:numRef>
          </c:xVal>
          <c:yVal>
            <c:numRef>
              <c:f>Ref!$G$56:$G$64</c:f>
              <c:numCache>
                <c:formatCode>0.000</c:formatCode>
                <c:ptCount val="9"/>
                <c:pt idx="0">
                  <c:v>0.99303607834813357</c:v>
                </c:pt>
                <c:pt idx="1">
                  <c:v>0.95874707724752217</c:v>
                </c:pt>
                <c:pt idx="2">
                  <c:v>0.59245520960886966</c:v>
                </c:pt>
                <c:pt idx="3">
                  <c:v>5.7495444606515393E-2</c:v>
                </c:pt>
                <c:pt idx="4">
                  <c:v>1.8929225966278092E-3</c:v>
                </c:pt>
                <c:pt idx="5">
                  <c:v>5.185898106327282E-5</c:v>
                </c:pt>
                <c:pt idx="6">
                  <c:v>1.3617612602757978E-6</c:v>
                </c:pt>
                <c:pt idx="7">
                  <c:v>3.5347692609688003E-8</c:v>
                </c:pt>
                <c:pt idx="8">
                  <c:v>9.146439940998309E-10</c:v>
                </c:pt>
              </c:numCache>
            </c:numRef>
          </c:yVal>
          <c:smooth val="1"/>
        </c:ser>
        <c:ser>
          <c:idx val="4"/>
          <c:order val="16"/>
          <c:tx>
            <c:v>data</c:v>
          </c:tx>
          <c:spPr>
            <a:ln w="28575">
              <a:noFill/>
            </a:ln>
          </c:spPr>
          <c:marker>
            <c:symbol val="diamond"/>
            <c:size val="7"/>
            <c:spPr>
              <a:solidFill>
                <a:srgbClr val="800080"/>
              </a:solidFill>
              <a:ln>
                <a:solidFill>
                  <a:srgbClr val="800080"/>
                </a:solidFill>
                <a:prstDash val="solid"/>
              </a:ln>
            </c:spPr>
          </c:marker>
          <c:dLbls>
            <c:dLbl>
              <c:idx val="0"/>
              <c:tx>
                <c:strRef>
                  <c:f>input!$T$11</c:f>
                  <c:strCache>
                    <c:ptCount val="1"/>
                  </c:strCache>
                </c:strRef>
              </c:tx>
              <c:dLblPos val="t"/>
              <c:showLegendKey val="0"/>
              <c:showVal val="0"/>
              <c:showCatName val="0"/>
              <c:showSerName val="0"/>
              <c:showPercent val="0"/>
              <c:showBubbleSize val="0"/>
            </c:dLbl>
            <c:dLbl>
              <c:idx val="1"/>
              <c:tx>
                <c:strRef>
                  <c:f>input!$T$12</c:f>
                  <c:strCache>
                    <c:ptCount val="1"/>
                  </c:strCache>
                </c:strRef>
              </c:tx>
              <c:dLblPos val="t"/>
              <c:showLegendKey val="0"/>
              <c:showVal val="0"/>
              <c:showCatName val="0"/>
              <c:showSerName val="0"/>
              <c:showPercent val="0"/>
              <c:showBubbleSize val="0"/>
            </c:dLbl>
            <c:dLbl>
              <c:idx val="2"/>
              <c:tx>
                <c:strRef>
                  <c:f>input!$T$13</c:f>
                  <c:strCache>
                    <c:ptCount val="1"/>
                  </c:strCache>
                </c:strRef>
              </c:tx>
              <c:dLblPos val="t"/>
              <c:showLegendKey val="0"/>
              <c:showVal val="0"/>
              <c:showCatName val="0"/>
              <c:showSerName val="0"/>
              <c:showPercent val="0"/>
              <c:showBubbleSize val="0"/>
            </c:dLbl>
            <c:dLbl>
              <c:idx val="3"/>
              <c:tx>
                <c:strRef>
                  <c:f>input!$T$14</c:f>
                  <c:strCache>
                    <c:ptCount val="1"/>
                  </c:strCache>
                </c:strRef>
              </c:tx>
              <c:dLblPos val="t"/>
              <c:showLegendKey val="0"/>
              <c:showVal val="0"/>
              <c:showCatName val="0"/>
              <c:showSerName val="0"/>
              <c:showPercent val="0"/>
              <c:showBubbleSize val="0"/>
            </c:dLbl>
            <c:dLbl>
              <c:idx val="4"/>
              <c:tx>
                <c:strRef>
                  <c:f>input!$T$15</c:f>
                  <c:strCache>
                    <c:ptCount val="1"/>
                  </c:strCache>
                </c:strRef>
              </c:tx>
              <c:dLblPos val="t"/>
              <c:showLegendKey val="0"/>
              <c:showVal val="0"/>
              <c:showCatName val="0"/>
              <c:showSerName val="0"/>
              <c:showPercent val="0"/>
              <c:showBubbleSize val="0"/>
            </c:dLbl>
            <c:dLbl>
              <c:idx val="5"/>
              <c:tx>
                <c:strRef>
                  <c:f>input!$T$16</c:f>
                  <c:strCache>
                    <c:ptCount val="1"/>
                  </c:strCache>
                </c:strRef>
              </c:tx>
              <c:dLblPos val="t"/>
              <c:showLegendKey val="0"/>
              <c:showVal val="0"/>
              <c:showCatName val="0"/>
              <c:showSerName val="0"/>
              <c:showPercent val="0"/>
              <c:showBubbleSize val="0"/>
            </c:dLbl>
            <c:dLbl>
              <c:idx val="6"/>
              <c:tx>
                <c:strRef>
                  <c:f>input!$T$17</c:f>
                  <c:strCache>
                    <c:ptCount val="1"/>
                  </c:strCache>
                </c:strRef>
              </c:tx>
              <c:dLblPos val="t"/>
              <c:showLegendKey val="0"/>
              <c:showVal val="0"/>
              <c:showCatName val="0"/>
              <c:showSerName val="0"/>
              <c:showPercent val="0"/>
              <c:showBubbleSize val="0"/>
            </c:dLbl>
            <c:dLbl>
              <c:idx val="7"/>
              <c:tx>
                <c:strRef>
                  <c:f>input!$T$18</c:f>
                  <c:strCache>
                    <c:ptCount val="1"/>
                  </c:strCache>
                </c:strRef>
              </c:tx>
              <c:dLblPos val="t"/>
              <c:showLegendKey val="0"/>
              <c:showVal val="0"/>
              <c:showCatName val="0"/>
              <c:showSerName val="0"/>
              <c:showPercent val="0"/>
              <c:showBubbleSize val="0"/>
            </c:dLbl>
            <c:dLbl>
              <c:idx val="8"/>
              <c:tx>
                <c:strRef>
                  <c:f>input!$T$19</c:f>
                  <c:strCache>
                    <c:ptCount val="1"/>
                  </c:strCache>
                </c:strRef>
              </c:tx>
              <c:dLblPos val="t"/>
              <c:showLegendKey val="0"/>
              <c:showVal val="0"/>
              <c:showCatName val="0"/>
              <c:showSerName val="0"/>
              <c:showPercent val="0"/>
              <c:showBubbleSize val="0"/>
            </c:dLbl>
            <c:dLbl>
              <c:idx val="9"/>
              <c:tx>
                <c:strRef>
                  <c:f>input!$T$20</c:f>
                  <c:strCache>
                    <c:ptCount val="1"/>
                  </c:strCache>
                </c:strRef>
              </c:tx>
              <c:dLblPos val="t"/>
              <c:showLegendKey val="0"/>
              <c:showVal val="0"/>
              <c:showCatName val="0"/>
              <c:showSerName val="0"/>
              <c:showPercent val="0"/>
              <c:showBubbleSize val="0"/>
            </c:dLbl>
            <c:dLbl>
              <c:idx val="10"/>
              <c:tx>
                <c:strRef>
                  <c:f>input!$T$21</c:f>
                  <c:strCache>
                    <c:ptCount val="1"/>
                  </c:strCache>
                </c:strRef>
              </c:tx>
              <c:dLblPos val="t"/>
              <c:showLegendKey val="0"/>
              <c:showVal val="0"/>
              <c:showCatName val="0"/>
              <c:showSerName val="0"/>
              <c:showPercent val="0"/>
              <c:showBubbleSize val="0"/>
            </c:dLbl>
            <c:dLbl>
              <c:idx val="11"/>
              <c:tx>
                <c:strRef>
                  <c:f>input!$T$22</c:f>
                  <c:strCache>
                    <c:ptCount val="1"/>
                  </c:strCache>
                </c:strRef>
              </c:tx>
              <c:dLblPos val="t"/>
              <c:showLegendKey val="0"/>
              <c:showVal val="0"/>
              <c:showCatName val="0"/>
              <c:showSerName val="0"/>
              <c:showPercent val="0"/>
              <c:showBubbleSize val="0"/>
            </c:dLbl>
            <c:dLbl>
              <c:idx val="12"/>
              <c:tx>
                <c:strRef>
                  <c:f>input!$T$23</c:f>
                  <c:strCache>
                    <c:ptCount val="1"/>
                  </c:strCache>
                </c:strRef>
              </c:tx>
              <c:dLblPos val="t"/>
              <c:showLegendKey val="0"/>
              <c:showVal val="0"/>
              <c:showCatName val="0"/>
              <c:showSerName val="0"/>
              <c:showPercent val="0"/>
              <c:showBubbleSize val="0"/>
            </c:dLbl>
            <c:dLbl>
              <c:idx val="13"/>
              <c:tx>
                <c:strRef>
                  <c:f>input!$T$24</c:f>
                  <c:strCache>
                    <c:ptCount val="1"/>
                  </c:strCache>
                </c:strRef>
              </c:tx>
              <c:dLblPos val="t"/>
              <c:showLegendKey val="0"/>
              <c:showVal val="0"/>
              <c:showCatName val="0"/>
              <c:showSerName val="0"/>
              <c:showPercent val="0"/>
              <c:showBubbleSize val="0"/>
            </c:dLbl>
            <c:dLbl>
              <c:idx val="14"/>
              <c:tx>
                <c:strRef>
                  <c:f>input!$T$25</c:f>
                  <c:strCache>
                    <c:ptCount val="1"/>
                  </c:strCache>
                </c:strRef>
              </c:tx>
              <c:dLblPos val="t"/>
              <c:showLegendKey val="0"/>
              <c:showVal val="0"/>
              <c:showCatName val="0"/>
              <c:showSerName val="0"/>
              <c:showPercent val="0"/>
              <c:showBubbleSize val="0"/>
            </c:dLbl>
            <c:dLbl>
              <c:idx val="15"/>
              <c:tx>
                <c:strRef>
                  <c:f>input!$T$26</c:f>
                  <c:strCache>
                    <c:ptCount val="1"/>
                  </c:strCache>
                </c:strRef>
              </c:tx>
              <c:dLblPos val="t"/>
              <c:showLegendKey val="0"/>
              <c:showVal val="0"/>
              <c:showCatName val="0"/>
              <c:showSerName val="0"/>
              <c:showPercent val="0"/>
              <c:showBubbleSize val="0"/>
            </c:dLbl>
            <c:dLbl>
              <c:idx val="16"/>
              <c:tx>
                <c:strRef>
                  <c:f>input!$T$27</c:f>
                  <c:strCache>
                    <c:ptCount val="1"/>
                  </c:strCache>
                </c:strRef>
              </c:tx>
              <c:dLblPos val="t"/>
              <c:showLegendKey val="0"/>
              <c:showVal val="0"/>
              <c:showCatName val="0"/>
              <c:showSerName val="0"/>
              <c:showPercent val="0"/>
              <c:showBubbleSize val="0"/>
            </c:dLbl>
            <c:dLbl>
              <c:idx val="17"/>
              <c:tx>
                <c:strRef>
                  <c:f>input!$T$28</c:f>
                  <c:strCache>
                    <c:ptCount val="1"/>
                  </c:strCache>
                </c:strRef>
              </c:tx>
              <c:dLblPos val="t"/>
              <c:showLegendKey val="0"/>
              <c:showVal val="0"/>
              <c:showCatName val="0"/>
              <c:showSerName val="0"/>
              <c:showPercent val="0"/>
              <c:showBubbleSize val="0"/>
            </c:dLbl>
            <c:dLbl>
              <c:idx val="18"/>
              <c:tx>
                <c:strRef>
                  <c:f>input!$T$29</c:f>
                  <c:strCache>
                    <c:ptCount val="1"/>
                  </c:strCache>
                </c:strRef>
              </c:tx>
              <c:dLblPos val="t"/>
              <c:showLegendKey val="0"/>
              <c:showVal val="0"/>
              <c:showCatName val="0"/>
              <c:showSerName val="0"/>
              <c:showPercent val="0"/>
              <c:showBubbleSize val="0"/>
            </c:dLbl>
            <c:dLbl>
              <c:idx val="19"/>
              <c:tx>
                <c:strRef>
                  <c:f>input!$T$30</c:f>
                  <c:strCache>
                    <c:ptCount val="1"/>
                  </c:strCache>
                </c:strRef>
              </c:tx>
              <c:dLblPos val="t"/>
              <c:showLegendKey val="0"/>
              <c:showVal val="0"/>
              <c:showCatName val="0"/>
              <c:showSerName val="0"/>
              <c:showPercent val="0"/>
              <c:showBubbleSize val="0"/>
            </c:dLbl>
            <c:dLbl>
              <c:idx val="20"/>
              <c:tx>
                <c:strRef>
                  <c:f>input!$T$31</c:f>
                  <c:strCache>
                    <c:ptCount val="1"/>
                  </c:strCache>
                </c:strRef>
              </c:tx>
              <c:dLblPos val="t"/>
              <c:showLegendKey val="0"/>
              <c:showVal val="0"/>
              <c:showCatName val="0"/>
              <c:showSerName val="0"/>
              <c:showPercent val="0"/>
              <c:showBubbleSize val="0"/>
            </c:dLbl>
            <c:dLbl>
              <c:idx val="21"/>
              <c:tx>
                <c:strRef>
                  <c:f>input!$T$32</c:f>
                  <c:strCache>
                    <c:ptCount val="1"/>
                  </c:strCache>
                </c:strRef>
              </c:tx>
              <c:dLblPos val="t"/>
              <c:showLegendKey val="0"/>
              <c:showVal val="0"/>
              <c:showCatName val="0"/>
              <c:showSerName val="0"/>
              <c:showPercent val="0"/>
              <c:showBubbleSize val="0"/>
            </c:dLbl>
            <c:dLbl>
              <c:idx val="22"/>
              <c:tx>
                <c:strRef>
                  <c:f>input!$T$33</c:f>
                  <c:strCache>
                    <c:ptCount val="1"/>
                  </c:strCache>
                </c:strRef>
              </c:tx>
              <c:dLblPos val="t"/>
              <c:showLegendKey val="0"/>
              <c:showVal val="0"/>
              <c:showCatName val="0"/>
              <c:showSerName val="0"/>
              <c:showPercent val="0"/>
              <c:showBubbleSize val="0"/>
            </c:dLbl>
            <c:dLbl>
              <c:idx val="23"/>
              <c:tx>
                <c:strRef>
                  <c:f>input!$T$34</c:f>
                  <c:strCache>
                    <c:ptCount val="1"/>
                  </c:strCache>
                </c:strRef>
              </c:tx>
              <c:dLblPos val="t"/>
              <c:showLegendKey val="0"/>
              <c:showVal val="0"/>
              <c:showCatName val="0"/>
              <c:showSerName val="0"/>
              <c:showPercent val="0"/>
              <c:showBubbleSize val="0"/>
            </c:dLbl>
            <c:dLbl>
              <c:idx val="24"/>
              <c:tx>
                <c:strRef>
                  <c:f>input!$T$35</c:f>
                  <c:strCache>
                    <c:ptCount val="1"/>
                  </c:strCache>
                </c:strRef>
              </c:tx>
              <c:dLblPos val="t"/>
              <c:showLegendKey val="0"/>
              <c:showVal val="0"/>
              <c:showCatName val="0"/>
              <c:showSerName val="0"/>
              <c:showPercent val="0"/>
              <c:showBubbleSize val="0"/>
            </c:dLbl>
            <c:dLbl>
              <c:idx val="25"/>
              <c:tx>
                <c:strRef>
                  <c:f>input!$T$36</c:f>
                  <c:strCache>
                    <c:ptCount val="1"/>
                  </c:strCache>
                </c:strRef>
              </c:tx>
              <c:dLblPos val="t"/>
              <c:showLegendKey val="0"/>
              <c:showVal val="0"/>
              <c:showCatName val="0"/>
              <c:showSerName val="0"/>
              <c:showPercent val="0"/>
              <c:showBubbleSize val="0"/>
            </c:dLbl>
            <c:dLbl>
              <c:idx val="26"/>
              <c:tx>
                <c:strRef>
                  <c:f>input!$T$37</c:f>
                  <c:strCache>
                    <c:ptCount val="1"/>
                  </c:strCache>
                </c:strRef>
              </c:tx>
              <c:dLblPos val="t"/>
              <c:showLegendKey val="0"/>
              <c:showVal val="0"/>
              <c:showCatName val="0"/>
              <c:showSerName val="0"/>
              <c:showPercent val="0"/>
              <c:showBubbleSize val="0"/>
            </c:dLbl>
            <c:dLbl>
              <c:idx val="27"/>
              <c:tx>
                <c:strRef>
                  <c:f>input!$T$38</c:f>
                  <c:strCache>
                    <c:ptCount val="1"/>
                  </c:strCache>
                </c:strRef>
              </c:tx>
              <c:dLblPos val="t"/>
              <c:showLegendKey val="0"/>
              <c:showVal val="0"/>
              <c:showCatName val="0"/>
              <c:showSerName val="0"/>
              <c:showPercent val="0"/>
              <c:showBubbleSize val="0"/>
            </c:dLbl>
            <c:dLbl>
              <c:idx val="28"/>
              <c:tx>
                <c:strRef>
                  <c:f>input!$T$39</c:f>
                  <c:strCache>
                    <c:ptCount val="1"/>
                  </c:strCache>
                </c:strRef>
              </c:tx>
              <c:dLblPos val="t"/>
              <c:showLegendKey val="0"/>
              <c:showVal val="0"/>
              <c:showCatName val="0"/>
              <c:showSerName val="0"/>
              <c:showPercent val="0"/>
              <c:showBubbleSize val="0"/>
            </c:dLbl>
            <c:dLbl>
              <c:idx val="29"/>
              <c:tx>
                <c:strRef>
                  <c:f>input!$T$40</c:f>
                  <c:strCache>
                    <c:ptCount val="1"/>
                  </c:strCache>
                </c:strRef>
              </c:tx>
              <c:dLblPos val="t"/>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input!$BP$11:$BP$40</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input!$BQ$11:$BQ$40</c:f>
              <c:numCache>
                <c:formatCode>0.000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0"/>
        </c:ser>
        <c:ser>
          <c:idx val="0"/>
          <c:order val="17"/>
          <c:tx>
            <c:v>border</c:v>
          </c:tx>
          <c:spPr>
            <a:ln w="38100">
              <a:solidFill>
                <a:srgbClr val="000000"/>
              </a:solidFill>
              <a:prstDash val="solid"/>
            </a:ln>
          </c:spPr>
          <c:marker>
            <c:symbol val="none"/>
          </c:marker>
          <c:dLbls>
            <c:dLbl>
              <c:idx val="0"/>
              <c:delete val="1"/>
            </c:dLbl>
            <c:dLbl>
              <c:idx val="1"/>
              <c:tx>
                <c:strRef>
                  <c:f>input!$BM$10</c:f>
                  <c:strCache>
                    <c:ptCount val="1"/>
                    <c:pt idx="0">
                      <c:v>200 CH4</c:v>
                    </c:pt>
                  </c:strCache>
                </c:strRef>
              </c:tx>
              <c:spPr>
                <a:solidFill>
                  <a:srgbClr val="FFFFFF"/>
                </a:solidFill>
                <a:ln w="25400">
                  <a:noFill/>
                </a:ln>
              </c:spPr>
              <c:txPr>
                <a:bodyPr/>
                <a:lstStyle/>
                <a:p>
                  <a:pPr>
                    <a:defRPr sz="16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input!$BO$10</c:f>
                  <c:strCache>
                    <c:ptCount val="1"/>
                    <c:pt idx="0">
                      <c:v>10 H2S</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layout>
                <c:manualLayout>
                  <c:x val="-6.682385567508832E-2"/>
                  <c:y val="-9.0375414784863353E-3"/>
                </c:manualLayout>
              </c:layout>
              <c:tx>
                <c:strRef>
                  <c:f>input!$BN$10</c:f>
                  <c:strCache>
                    <c:ptCount val="1"/>
                    <c:pt idx="0">
                      <c:v>CO2</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spPr>
              <a:noFill/>
              <a:ln w="25400">
                <a:noFill/>
              </a:ln>
            </c:spPr>
            <c:txPr>
              <a:bodyPr/>
              <a:lstStyle/>
              <a:p>
                <a:pPr>
                  <a:defRPr sz="16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dLbls>
          <c:showLegendKey val="0"/>
          <c:showVal val="0"/>
          <c:showCatName val="0"/>
          <c:showSerName val="0"/>
          <c:showPercent val="0"/>
          <c:showBubbleSize val="0"/>
        </c:dLbls>
        <c:axId val="98592640"/>
        <c:axId val="98594176"/>
      </c:scatterChart>
      <c:valAx>
        <c:axId val="98592640"/>
        <c:scaling>
          <c:orientation val="minMax"/>
          <c:max val="1.6"/>
          <c:min val="-0.4"/>
        </c:scaling>
        <c:delete val="1"/>
        <c:axPos val="b"/>
        <c:numFmt formatCode="General" sourceLinked="1"/>
        <c:majorTickMark val="out"/>
        <c:minorTickMark val="none"/>
        <c:tickLblPos val="none"/>
        <c:crossAx val="98594176"/>
        <c:crosses val="autoZero"/>
        <c:crossBetween val="midCat"/>
      </c:valAx>
      <c:valAx>
        <c:axId val="98594176"/>
        <c:scaling>
          <c:orientation val="minMax"/>
          <c:max val="1.2"/>
          <c:min val="-0.2"/>
        </c:scaling>
        <c:delete val="1"/>
        <c:axPos val="l"/>
        <c:numFmt formatCode="_(* #,##0.00_);_(* \(#,##0.00\);_(* &quot;-&quot;??_);_(@_)" sourceLinked="1"/>
        <c:majorTickMark val="out"/>
        <c:minorTickMark val="none"/>
        <c:tickLblPos val="none"/>
        <c:crossAx val="98592640"/>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56000000000000005" right="0.55000000000000004" top="0.68" bottom="0.71" header="0.5" footer="0.5"/>
  <pageSetup paperSize="9" orientation="landscape" horizontalDpi="300" verticalDpi="300" r:id="rId1"/>
  <headerFooter alignWithMargins="0">
    <oddFooter>&amp;C&amp;F&amp;R&amp;D</oddFooter>
  </headerFooter>
  <drawing r:id="rId2"/>
</chartsheet>
</file>

<file path=xl/chartsheets/sheet10.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paperSize="9" orientation="landscape" horizontalDpi="300" verticalDpi="300" r:id="rId1"/>
  <headerFooter alignWithMargins="0">
    <oddHeader>&amp;C&amp;"Arial,Bold"&amp;14N2 - CO2 - Ar Ternary</oddHeader>
    <oddFooter>&amp;C&amp;F&amp;R&amp;D</oddFooter>
  </headerFooter>
  <drawing r:id="rId2"/>
</chartsheet>
</file>

<file path=xl/chartsheets/sheet11.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paperSize="9" orientation="landscape" horizontalDpi="300" verticalDpi="300" r:id="rId1"/>
  <headerFooter alignWithMargins="0">
    <oddHeader>&amp;C&amp;"Arial,Bold"&amp;14N2 - He - Ar Ternary</oddHeader>
    <oddFooter>&amp;C&amp;F&amp;R&amp;D</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56000000000000005" right="0.55000000000000004" top="0.68" bottom="0.71" header="0.5" footer="0.5"/>
  <pageSetup paperSize="9" orientation="landscape" horizontalDpi="300" verticalDpi="300" r:id="rId1"/>
  <headerFooter alignWithMargins="0">
    <oddFooter>&amp;C&amp;F&amp;R&amp;D</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56000000000000005" right="0.55000000000000004" top="0.68" bottom="0.71" header="0.5" footer="0.5"/>
  <pageSetup paperSize="9" orientation="landscape" horizontalDpi="300" verticalDpi="300" r:id="rId1"/>
  <headerFooter alignWithMargins="0">
    <oddFooter>&amp;C&amp;F&amp;R&amp;D</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paperSize="9" orientation="portrait" horizontalDpi="300" verticalDpi="300" r:id="rId1"/>
  <headerFooter alignWithMargins="0">
    <oddFooter>&amp;C&amp;F&amp;R&amp;D</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paperSize="9" orientation="landscape" horizontalDpi="300" verticalDpi="300" r:id="rId1"/>
  <headerFooter alignWithMargins="0">
    <oddFooter>&amp;C&amp;F&amp;R&amp;D</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paperSize="9" orientation="landscape" horizontalDpi="300" verticalDpi="300" r:id="rId1"/>
  <headerFooter alignWithMargins="0">
    <oddFooter>&amp;C&amp;F&amp;R&amp;D</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paperSize="9" orientation="landscape" horizontalDpi="300" verticalDpi="300" r:id="rId1"/>
  <headerFooter alignWithMargins="0">
    <oddFooter>&amp;C&amp;F&amp;R&amp;D</oddFooter>
  </headerFooter>
  <drawing r:id="rId2"/>
</chartsheet>
</file>

<file path=xl/chartsheets/sheet8.xml><?xml version="1.0" encoding="utf-8"?>
<chartsheet xmlns="http://schemas.openxmlformats.org/spreadsheetml/2006/main" xmlns:r="http://schemas.openxmlformats.org/officeDocument/2006/relationships">
  <sheetPr/>
  <sheetViews>
    <sheetView zoomScale="90" workbookViewId="0"/>
  </sheetViews>
  <pageMargins left="0.75" right="0.75" top="0.52" bottom="0.5" header="0.5" footer="0.5"/>
  <pageSetup paperSize="9" orientation="landscape" horizontalDpi="300" verticalDpi="300" r:id="rId1"/>
  <headerFooter alignWithMargins="0">
    <oddHeader>&amp;C&amp;"Arial,Bold"&amp;14CO2-H2S-NH3 Ternary</oddHeader>
    <oddFooter>&amp;C&amp;F&amp;R&amp;D</oddFooter>
  </headerFooter>
  <drawing r:id="rId2"/>
</chartsheet>
</file>

<file path=xl/chartsheets/sheet9.xml><?xml version="1.0" encoding="utf-8"?>
<chartsheet xmlns="http://schemas.openxmlformats.org/spreadsheetml/2006/main" xmlns:r="http://schemas.openxmlformats.org/officeDocument/2006/relationships">
  <sheetPr/>
  <sheetViews>
    <sheetView zoomScale="75" workbookViewId="0"/>
  </sheetViews>
  <pageMargins left="0.75" right="0.75" top="0.78" bottom="0.67" header="0.5" footer="0.5"/>
  <pageSetup paperSize="9" orientation="landscape" horizontalDpi="300" verticalDpi="300" r:id="rId1"/>
  <headerFooter alignWithMargins="0">
    <oddHeader>&amp;C&amp;"Arial,Bold"&amp;14CH4 - CO2 - H2S Ternary</oddHeader>
    <oddFooter>&amp;C&amp;F&amp;R&amp;D</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525000" cy="61436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0.1465</cdr:x>
      <cdr:y>0.194</cdr:y>
    </cdr:from>
    <cdr:to>
      <cdr:x>0.2575</cdr:x>
      <cdr:y>0.25925</cdr:y>
    </cdr:to>
    <cdr:sp macro="" textlink="">
      <cdr:nvSpPr>
        <cdr:cNvPr id="157707" name="Text Box 11"/>
        <cdr:cNvSpPr txBox="1">
          <a:spLocks xmlns:a="http://schemas.openxmlformats.org/drawingml/2006/main" noChangeArrowheads="1"/>
        </cdr:cNvSpPr>
      </cdr:nvSpPr>
      <cdr:spPr bwMode="auto">
        <a:xfrm xmlns:a="http://schemas.openxmlformats.org/drawingml/2006/main">
          <a:off x="1257267" y="1132732"/>
          <a:ext cx="952604" cy="3809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NZ" sz="1200" b="1" i="0" u="none" strike="noStrike" baseline="0">
              <a:solidFill>
                <a:srgbClr val="000000"/>
              </a:solidFill>
              <a:latin typeface="Arial"/>
              <a:cs typeface="Arial"/>
            </a:rPr>
            <a:t>GRID RH = </a:t>
          </a:r>
        </a:p>
      </cdr:txBody>
    </cdr:sp>
  </cdr:relSizeAnchor>
  <cdr:relSizeAnchor xmlns:cdr="http://schemas.openxmlformats.org/drawingml/2006/chartDrawing">
    <cdr:from>
      <cdr:x>0.241</cdr:x>
      <cdr:y>0.194</cdr:y>
    </cdr:from>
    <cdr:to>
      <cdr:x>0.29325</cdr:x>
      <cdr:y>0.25925</cdr:y>
    </cdr:to>
    <cdr:sp macro="" textlink="input!$R$4">
      <cdr:nvSpPr>
        <cdr:cNvPr id="157708" name="Text Box 12"/>
        <cdr:cNvSpPr txBox="1">
          <a:spLocks xmlns:a="http://schemas.openxmlformats.org/drawingml/2006/main" noChangeArrowheads="1" noTextEdit="1"/>
        </cdr:cNvSpPr>
      </cdr:nvSpPr>
      <cdr:spPr bwMode="auto">
        <a:xfrm xmlns:a="http://schemas.openxmlformats.org/drawingml/2006/main">
          <a:off x="2068268" y="1132732"/>
          <a:ext cx="448411" cy="380983"/>
        </a:xfrm>
        <a:prstGeom xmlns:a="http://schemas.openxmlformats.org/drawingml/2006/main" prst="rect">
          <a:avLst/>
        </a:prstGeom>
        <a:noFill xmlns:a="http://schemas.openxmlformats.org/drawingml/2006/main"/>
        <a:ln xmlns:a="http://schemas.openxmlformats.org/drawingml/2006/main" w="12700">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fld id="{0C7F191D-C2E1-42E0-BB27-1951DE35722A}" type="TxLink">
            <a:rPr lang="en-NZ" sz="1200" b="1" i="0" u="none" strike="noStrike" baseline="0">
              <a:solidFill>
                <a:srgbClr val="000000"/>
              </a:solidFill>
              <a:latin typeface="Arial"/>
              <a:cs typeface="Arial"/>
            </a:rPr>
            <a:pPr algn="ctr" rtl="0">
              <a:defRPr sz="1000"/>
            </a:pPr>
            <a:t>-2.8</a:t>
          </a:fld>
          <a:endParaRPr lang="en-NZ" sz="1200" b="1"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82100" cy="5600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0.1465</cdr:x>
      <cdr:y>0.194</cdr:y>
    </cdr:from>
    <cdr:to>
      <cdr:x>0.2575</cdr:x>
      <cdr:y>0.25925</cdr:y>
    </cdr:to>
    <cdr:sp macro="" textlink="">
      <cdr:nvSpPr>
        <cdr:cNvPr id="157707" name="Text Box 11"/>
        <cdr:cNvSpPr txBox="1">
          <a:spLocks xmlns:a="http://schemas.openxmlformats.org/drawingml/2006/main" noChangeArrowheads="1"/>
        </cdr:cNvSpPr>
      </cdr:nvSpPr>
      <cdr:spPr bwMode="auto">
        <a:xfrm xmlns:a="http://schemas.openxmlformats.org/drawingml/2006/main">
          <a:off x="1257267" y="1132732"/>
          <a:ext cx="952604" cy="3809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NZ" sz="1200" b="1" i="0" u="none" strike="noStrike" baseline="0">
              <a:solidFill>
                <a:srgbClr val="000000"/>
              </a:solidFill>
              <a:latin typeface="Arial"/>
              <a:cs typeface="Arial"/>
            </a:rPr>
            <a:t>GRID RH = </a:t>
          </a:r>
        </a:p>
      </cdr:txBody>
    </cdr:sp>
  </cdr:relSizeAnchor>
  <cdr:relSizeAnchor xmlns:cdr="http://schemas.openxmlformats.org/drawingml/2006/chartDrawing">
    <cdr:from>
      <cdr:x>0.241</cdr:x>
      <cdr:y>0.194</cdr:y>
    </cdr:from>
    <cdr:to>
      <cdr:x>0.29325</cdr:x>
      <cdr:y>0.25925</cdr:y>
    </cdr:to>
    <cdr:sp macro="" textlink="input!$R$4">
      <cdr:nvSpPr>
        <cdr:cNvPr id="157708" name="Text Box 12"/>
        <cdr:cNvSpPr txBox="1">
          <a:spLocks xmlns:a="http://schemas.openxmlformats.org/drawingml/2006/main" noChangeArrowheads="1" noTextEdit="1"/>
        </cdr:cNvSpPr>
      </cdr:nvSpPr>
      <cdr:spPr bwMode="auto">
        <a:xfrm xmlns:a="http://schemas.openxmlformats.org/drawingml/2006/main">
          <a:off x="2068268" y="1132732"/>
          <a:ext cx="448411" cy="380983"/>
        </a:xfrm>
        <a:prstGeom xmlns:a="http://schemas.openxmlformats.org/drawingml/2006/main" prst="rect">
          <a:avLst/>
        </a:prstGeom>
        <a:noFill xmlns:a="http://schemas.openxmlformats.org/drawingml/2006/main"/>
        <a:ln xmlns:a="http://schemas.openxmlformats.org/drawingml/2006/main" w="12700">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fld id="{0C7F191D-C2E1-42E0-BB27-1951DE35722A}" type="TxLink">
            <a:rPr lang="en-NZ" sz="1200" b="1" i="0" u="none" strike="noStrike" baseline="0">
              <a:solidFill>
                <a:srgbClr val="000000"/>
              </a:solidFill>
              <a:latin typeface="Arial"/>
              <a:cs typeface="Arial"/>
            </a:rPr>
            <a:pPr algn="ctr" rtl="0">
              <a:defRPr sz="1000"/>
            </a:pPr>
            <a:t>-2.8</a:t>
          </a:fld>
          <a:endParaRPr lang="en-NZ" sz="1200" b="1" i="0" u="none" strike="noStrike" baseline="0">
            <a:solidFill>
              <a:srgbClr val="000000"/>
            </a:solidFill>
            <a:latin typeface="Arial"/>
            <a:cs typeface="Arial"/>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82100" cy="64865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210675" cy="61245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0.14775</cdr:x>
      <cdr:y>0.22475</cdr:y>
    </cdr:from>
    <cdr:to>
      <cdr:x>0.3175</cdr:x>
      <cdr:y>0.30275</cdr:y>
    </cdr:to>
    <cdr:sp macro="" textlink="">
      <cdr:nvSpPr>
        <cdr:cNvPr id="343045" name="Text Box 5"/>
        <cdr:cNvSpPr txBox="1">
          <a:spLocks xmlns:a="http://schemas.openxmlformats.org/drawingml/2006/main" noChangeArrowheads="1"/>
        </cdr:cNvSpPr>
      </cdr:nvSpPr>
      <cdr:spPr bwMode="auto">
        <a:xfrm xmlns:a="http://schemas.openxmlformats.org/drawingml/2006/main">
          <a:off x="1267994" y="1425735"/>
          <a:ext cx="1456799" cy="494805"/>
        </a:xfrm>
        <a:prstGeom xmlns:a="http://schemas.openxmlformats.org/drawingml/2006/main" prst="rect">
          <a:avLst/>
        </a:prstGeom>
        <a:noFill xmlns:a="http://schemas.openxmlformats.org/drawingml/2006/main"/>
        <a:ln xmlns:a="http://schemas.openxmlformats.org/drawingml/2006/main" w="12700">
          <a:solidFill>
            <a:srgbClr val="000000"/>
          </a:solidFill>
          <a:miter lim="800000"/>
          <a:headEnd/>
          <a:tailEnd/>
        </a:ln>
        <a:effectLst xmlns:a="http://schemas.openxmlformats.org/drawingml/2006/main"/>
      </cdr:spPr>
      <cdr:txBody>
        <a:bodyPr xmlns:a="http://schemas.openxmlformats.org/drawingml/2006/main" vertOverflow="clip" wrap="square" lIns="36576" tIns="27432" rIns="0" bIns="27432" anchor="ctr" upright="1"/>
        <a:lstStyle xmlns:a="http://schemas.openxmlformats.org/drawingml/2006/main"/>
        <a:p xmlns:a="http://schemas.openxmlformats.org/drawingml/2006/main">
          <a:pPr algn="l" rtl="0">
            <a:defRPr sz="1000"/>
          </a:pPr>
          <a:r>
            <a:rPr lang="en-NZ" sz="1400" b="0" i="0" u="none" strike="noStrike" baseline="0">
              <a:solidFill>
                <a:srgbClr val="000000"/>
              </a:solidFill>
              <a:latin typeface="Arial"/>
              <a:cs typeface="Arial"/>
            </a:rPr>
            <a:t> Chart R</a:t>
          </a:r>
          <a:r>
            <a:rPr lang="en-NZ" sz="1400" b="0" i="0" u="none" strike="noStrike" baseline="-25000">
              <a:solidFill>
                <a:srgbClr val="000000"/>
              </a:solidFill>
              <a:latin typeface="Arial"/>
              <a:cs typeface="Arial"/>
            </a:rPr>
            <a:t>H</a:t>
          </a:r>
          <a:r>
            <a:rPr lang="en-NZ" sz="1400" b="0" i="0" u="none" strike="noStrike" baseline="0">
              <a:solidFill>
                <a:srgbClr val="000000"/>
              </a:solidFill>
              <a:latin typeface="Arial"/>
              <a:cs typeface="Arial"/>
            </a:rPr>
            <a:t> =</a:t>
          </a:r>
        </a:p>
      </cdr:txBody>
    </cdr:sp>
  </cdr:relSizeAnchor>
  <cdr:relSizeAnchor xmlns:cdr="http://schemas.openxmlformats.org/drawingml/2006/chartDrawing">
    <cdr:from>
      <cdr:x>0.27158</cdr:x>
      <cdr:y>0.24587</cdr:y>
    </cdr:from>
    <cdr:to>
      <cdr:x>0.31117</cdr:x>
      <cdr:y>0.28863</cdr:y>
    </cdr:to>
    <cdr:sp macro="" textlink="input!$I$6">
      <cdr:nvSpPr>
        <cdr:cNvPr id="343046" name="Text Box 6"/>
        <cdr:cNvSpPr txBox="1">
          <a:spLocks xmlns:a="http://schemas.openxmlformats.org/drawingml/2006/main" noChangeArrowheads="1" noTextEdit="1"/>
        </cdr:cNvSpPr>
      </cdr:nvSpPr>
      <cdr:spPr bwMode="auto">
        <a:xfrm xmlns:a="http://schemas.openxmlformats.org/drawingml/2006/main">
          <a:off x="2501403" y="1505859"/>
          <a:ext cx="364715" cy="2618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27432" tIns="27432" rIns="27432" bIns="27432" anchor="ctr" upright="1">
          <a:spAutoFit/>
        </a:bodyPr>
        <a:lstStyle xmlns:a="http://schemas.openxmlformats.org/drawingml/2006/main"/>
        <a:p xmlns:a="http://schemas.openxmlformats.org/drawingml/2006/main">
          <a:pPr algn="ctr" rtl="0">
            <a:defRPr sz="1000"/>
          </a:pPr>
          <a:fld id="{09DC8AF9-91F4-481F-A4EF-A5C19F61C3BE}" type="TxLink">
            <a:rPr lang="en-NZ" sz="1400" b="0" i="0" u="none" strike="noStrike" baseline="0">
              <a:solidFill>
                <a:srgbClr val="000000"/>
              </a:solidFill>
              <a:latin typeface="Arial"/>
              <a:cs typeface="Arial"/>
            </a:rPr>
            <a:pPr algn="ctr" rtl="0">
              <a:defRPr sz="1000"/>
            </a:pPr>
            <a:t>-2.8</a:t>
          </a:fld>
          <a:endParaRPr lang="en-NZ" sz="1400" b="0" i="0" u="none" strike="noStrike" baseline="0">
            <a:solidFill>
              <a:srgbClr val="000000"/>
            </a:solidFill>
            <a:latin typeface="Arial"/>
            <a:cs typeface="Arial"/>
          </a:endParaRPr>
        </a:p>
      </cdr:txBody>
    </cdr:sp>
  </cdr:relSizeAnchor>
  <cdr:relSizeAnchor xmlns:cdr="http://schemas.openxmlformats.org/drawingml/2006/chartDrawing">
    <cdr:from>
      <cdr:x>0.14675</cdr:x>
      <cdr:y>0.324</cdr:y>
    </cdr:from>
    <cdr:to>
      <cdr:x>0.28875</cdr:x>
      <cdr:y>0.4365</cdr:y>
    </cdr:to>
    <cdr:sp macro="" textlink="">
      <cdr:nvSpPr>
        <cdr:cNvPr id="343047" name="Text Box 7"/>
        <cdr:cNvSpPr txBox="1">
          <a:spLocks xmlns:a="http://schemas.openxmlformats.org/drawingml/2006/main" noChangeArrowheads="1"/>
        </cdr:cNvSpPr>
      </cdr:nvSpPr>
      <cdr:spPr bwMode="auto">
        <a:xfrm xmlns:a="http://schemas.openxmlformats.org/drawingml/2006/main">
          <a:off x="1259412" y="2055343"/>
          <a:ext cx="1218648" cy="713660"/>
        </a:xfrm>
        <a:prstGeom xmlns:a="http://schemas.openxmlformats.org/drawingml/2006/main" prst="rect">
          <a:avLst/>
        </a:prstGeom>
        <a:noFill xmlns:a="http://schemas.openxmlformats.org/drawingml/2006/main"/>
        <a:ln xmlns:a="http://schemas.openxmlformats.org/drawingml/2006/main" w="12700">
          <a:solidFill>
            <a:srgbClr val="000000"/>
          </a:solidFill>
          <a:miter lim="800000"/>
          <a:headEnd/>
          <a:tailEnd/>
        </a:ln>
        <a:effectLst xmlns:a="http://schemas.openxmlformats.org/drawingml/2006/main"/>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NZ" sz="1400" b="0" i="0" u="none" strike="noStrike" baseline="0">
              <a:solidFill>
                <a:srgbClr val="000000"/>
              </a:solidFill>
              <a:latin typeface="Arial"/>
              <a:cs typeface="Arial"/>
            </a:rPr>
            <a:t> Reservoir</a:t>
          </a:r>
        </a:p>
        <a:p xmlns:a="http://schemas.openxmlformats.org/drawingml/2006/main">
          <a:pPr algn="l" rtl="0">
            <a:defRPr sz="1000"/>
          </a:pPr>
          <a:r>
            <a:rPr lang="en-NZ" sz="1400" b="0" i="0" u="none" strike="noStrike" baseline="0">
              <a:solidFill>
                <a:srgbClr val="000000"/>
              </a:solidFill>
              <a:latin typeface="Arial"/>
              <a:cs typeface="Arial"/>
            </a:rPr>
            <a:t> Temperature</a:t>
          </a:r>
        </a:p>
      </cdr:txBody>
    </cdr:sp>
  </cdr:relSizeAnchor>
  <cdr:relSizeAnchor xmlns:cdr="http://schemas.openxmlformats.org/drawingml/2006/chartDrawing">
    <cdr:from>
      <cdr:x>0.16448</cdr:x>
      <cdr:y>0.39387</cdr:y>
    </cdr:from>
    <cdr:to>
      <cdr:x>0.20277</cdr:x>
      <cdr:y>0.43813</cdr:y>
    </cdr:to>
    <cdr:sp macro="" textlink="input!$I$7">
      <cdr:nvSpPr>
        <cdr:cNvPr id="343048" name="Text Box 8"/>
        <cdr:cNvSpPr txBox="1">
          <a:spLocks xmlns:a="http://schemas.openxmlformats.org/drawingml/2006/main" noChangeArrowheads="1" noTextEdit="1"/>
        </cdr:cNvSpPr>
      </cdr:nvSpPr>
      <cdr:spPr bwMode="auto">
        <a:xfrm xmlns:a="http://schemas.openxmlformats.org/drawingml/2006/main">
          <a:off x="1515009" y="2412296"/>
          <a:ext cx="354905" cy="26186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27432" tIns="27432" rIns="27432" bIns="27432" anchor="ctr" upright="1">
          <a:spAutoFit/>
        </a:bodyPr>
        <a:lstStyle xmlns:a="http://schemas.openxmlformats.org/drawingml/2006/main"/>
        <a:p xmlns:a="http://schemas.openxmlformats.org/drawingml/2006/main">
          <a:pPr algn="ctr" rtl="0">
            <a:defRPr sz="1000"/>
          </a:pPr>
          <a:fld id="{F37CE715-21ED-406A-BF45-84B9A1C51936}" type="TxLink">
            <a:rPr lang="en-NZ" sz="1400" b="0" i="0" u="none" strike="noStrike" baseline="0">
              <a:solidFill>
                <a:srgbClr val="000000"/>
              </a:solidFill>
              <a:latin typeface="Arial"/>
              <a:cs typeface="Arial"/>
            </a:rPr>
            <a:pPr algn="ctr" rtl="0">
              <a:defRPr sz="1000"/>
            </a:pPr>
            <a:t>200</a:t>
          </a:fld>
          <a:endParaRPr lang="en-NZ" sz="1400" b="0" i="0" u="none" strike="noStrike" baseline="0">
            <a:solidFill>
              <a:srgbClr val="000000"/>
            </a:solidFill>
            <a:latin typeface="Arial"/>
            <a:cs typeface="Arial"/>
          </a:endParaRPr>
        </a:p>
      </cdr:txBody>
    </cdr:sp>
  </cdr:relSizeAnchor>
</c:userShapes>
</file>

<file path=xl/drawings/drawing16.xml><?xml version="1.0" encoding="utf-8"?>
<xdr:wsDr xmlns:xdr="http://schemas.openxmlformats.org/drawingml/2006/spreadsheetDrawing" xmlns:a="http://schemas.openxmlformats.org/drawingml/2006/main">
  <xdr:absoluteAnchor>
    <xdr:pos x="0" y="0"/>
    <xdr:ext cx="9153525" cy="64865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182100" cy="64960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544050" cy="61817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0.5</cdr:x>
      <cdr:y>0.4135</cdr:y>
    </cdr:from>
    <cdr:to>
      <cdr:x>0.51125</cdr:x>
      <cdr:y>0.4455</cdr:y>
    </cdr:to>
    <cdr:sp macro="" textlink="input!$E$40">
      <cdr:nvSpPr>
        <cdr:cNvPr id="354305" name="Text Box 1"/>
        <cdr:cNvSpPr txBox="1">
          <a:spLocks xmlns:a="http://schemas.openxmlformats.org/drawingml/2006/main" noChangeArrowheads="1" noTextEdit="1"/>
        </cdr:cNvSpPr>
      </cdr:nvSpPr>
      <cdr:spPr bwMode="auto">
        <a:xfrm xmlns:a="http://schemas.openxmlformats.org/drawingml/2006/main">
          <a:off x="4467225" y="2642792"/>
          <a:ext cx="100513" cy="20452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fld id="{AD4B4C99-1F45-4170-B3E3-AD79898B8352}" type="TxLink">
            <a:rPr lang="en-NZ"/>
            <a:pPr/>
            <a:t> </a:t>
          </a:fld>
          <a:endParaRPr lang="en-NZ"/>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525000" cy="61817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6029325" cy="87249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0.15898</cdr:x>
      <cdr:y>0.16705</cdr:y>
    </cdr:from>
    <cdr:to>
      <cdr:x>0.30502</cdr:x>
      <cdr:y>0.1937</cdr:y>
    </cdr:to>
    <cdr:sp macro="" textlink="">
      <cdr:nvSpPr>
        <cdr:cNvPr id="117767" name="Text Box 7"/>
        <cdr:cNvSpPr txBox="1">
          <a:spLocks xmlns:a="http://schemas.openxmlformats.org/drawingml/2006/main" noChangeArrowheads="1"/>
        </cdr:cNvSpPr>
      </cdr:nvSpPr>
      <cdr:spPr bwMode="auto">
        <a:xfrm xmlns:a="http://schemas.openxmlformats.org/drawingml/2006/main">
          <a:off x="958523" y="1457535"/>
          <a:ext cx="880562" cy="23243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27432" tIns="27432" rIns="27432" bIns="27432" anchor="ctr" upright="1">
          <a:spAutoFit/>
        </a:bodyPr>
        <a:lstStyle xmlns:a="http://schemas.openxmlformats.org/drawingml/2006/main"/>
        <a:p xmlns:a="http://schemas.openxmlformats.org/drawingml/2006/main">
          <a:pPr algn="ctr" rtl="0">
            <a:defRPr sz="1000"/>
          </a:pPr>
          <a:r>
            <a:rPr lang="en-NZ" sz="1200" b="1" i="0" u="none" strike="noStrike" baseline="0">
              <a:solidFill>
                <a:srgbClr val="000000"/>
              </a:solidFill>
              <a:latin typeface="Arial"/>
              <a:cs typeface="Arial"/>
            </a:rPr>
            <a:t>GRID RH = </a:t>
          </a:r>
        </a:p>
      </cdr:txBody>
    </cdr:sp>
  </cdr:relSizeAnchor>
  <cdr:relSizeAnchor xmlns:cdr="http://schemas.openxmlformats.org/drawingml/2006/chartDrawing">
    <cdr:from>
      <cdr:x>0.30279</cdr:x>
      <cdr:y>0.16943</cdr:y>
    </cdr:from>
    <cdr:to>
      <cdr:x>0.35596</cdr:x>
      <cdr:y>0.19607</cdr:y>
    </cdr:to>
    <cdr:sp macro="" textlink="input!$S$4">
      <cdr:nvSpPr>
        <cdr:cNvPr id="117768" name="Text Box 8"/>
        <cdr:cNvSpPr txBox="1">
          <a:spLocks xmlns:a="http://schemas.openxmlformats.org/drawingml/2006/main" noChangeArrowheads="1" noTextEdit="1"/>
        </cdr:cNvSpPr>
      </cdr:nvSpPr>
      <cdr:spPr bwMode="auto">
        <a:xfrm xmlns:a="http://schemas.openxmlformats.org/drawingml/2006/main">
          <a:off x="1825608" y="1478257"/>
          <a:ext cx="320602" cy="23243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27432" tIns="27432" rIns="27432" bIns="27432" anchor="ctr" upright="1">
          <a:spAutoFit/>
        </a:bodyPr>
        <a:lstStyle xmlns:a="http://schemas.openxmlformats.org/drawingml/2006/main"/>
        <a:p xmlns:a="http://schemas.openxmlformats.org/drawingml/2006/main">
          <a:pPr algn="ctr" rtl="0">
            <a:defRPr sz="1000"/>
          </a:pPr>
          <a:fld id="{4A7FC0BD-6A86-4848-823B-64820E9906BF}" type="TxLink">
            <a:rPr lang="en-NZ" sz="1200" b="1" i="0" u="none" strike="noStrike" baseline="0">
              <a:solidFill>
                <a:srgbClr val="000000"/>
              </a:solidFill>
              <a:latin typeface="Arial"/>
              <a:cs typeface="Arial"/>
            </a:rPr>
            <a:pPr algn="ctr" rtl="0">
              <a:defRPr sz="1000"/>
            </a:pPr>
            <a:t>-2.8</a:t>
          </a:fld>
          <a:endParaRPr lang="en-NZ" sz="1200" b="1" i="0" u="none" strike="noStrike" baseline="0">
            <a:solidFill>
              <a:srgbClr val="000000"/>
            </a:solidFill>
            <a:latin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82100" cy="5600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0.10362</cdr:x>
      <cdr:y>0.09196</cdr:y>
    </cdr:from>
    <cdr:to>
      <cdr:x>0.21462</cdr:x>
      <cdr:y>0.15721</cdr:y>
    </cdr:to>
    <cdr:sp macro="" textlink="">
      <cdr:nvSpPr>
        <cdr:cNvPr id="157707" name="Text Box 11"/>
        <cdr:cNvSpPr txBox="1">
          <a:spLocks xmlns:a="http://schemas.openxmlformats.org/drawingml/2006/main" noChangeArrowheads="1"/>
        </cdr:cNvSpPr>
      </cdr:nvSpPr>
      <cdr:spPr bwMode="auto">
        <a:xfrm xmlns:a="http://schemas.openxmlformats.org/drawingml/2006/main">
          <a:off x="951478" y="515036"/>
          <a:ext cx="1019213" cy="36544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NZ" sz="1200" b="1" i="0" u="none" strike="noStrike" baseline="0">
              <a:solidFill>
                <a:srgbClr val="000000"/>
              </a:solidFill>
              <a:latin typeface="Arial"/>
              <a:cs typeface="Arial"/>
            </a:rPr>
            <a:t>GRID RH = </a:t>
          </a:r>
        </a:p>
      </cdr:txBody>
    </cdr:sp>
  </cdr:relSizeAnchor>
  <cdr:relSizeAnchor xmlns:cdr="http://schemas.openxmlformats.org/drawingml/2006/chartDrawing">
    <cdr:from>
      <cdr:x>0.20089</cdr:x>
      <cdr:y>0.09196</cdr:y>
    </cdr:from>
    <cdr:to>
      <cdr:x>0.25314</cdr:x>
      <cdr:y>0.15721</cdr:y>
    </cdr:to>
    <cdr:sp macro="" textlink="input!$R$4">
      <cdr:nvSpPr>
        <cdr:cNvPr id="157708" name="Text Box 12"/>
        <cdr:cNvSpPr txBox="1">
          <a:spLocks xmlns:a="http://schemas.openxmlformats.org/drawingml/2006/main" noChangeArrowheads="1" noTextEdit="1"/>
        </cdr:cNvSpPr>
      </cdr:nvSpPr>
      <cdr:spPr bwMode="auto">
        <a:xfrm xmlns:a="http://schemas.openxmlformats.org/drawingml/2006/main">
          <a:off x="1844586" y="515036"/>
          <a:ext cx="479765" cy="365445"/>
        </a:xfrm>
        <a:prstGeom xmlns:a="http://schemas.openxmlformats.org/drawingml/2006/main" prst="rect">
          <a:avLst/>
        </a:prstGeom>
        <a:noFill xmlns:a="http://schemas.openxmlformats.org/drawingml/2006/main"/>
        <a:ln xmlns:a="http://schemas.openxmlformats.org/drawingml/2006/main" w="12700">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fld id="{0C7F191D-C2E1-42E0-BB27-1951DE35722A}" type="TxLink">
            <a:rPr lang="en-NZ" sz="1200" b="1" i="0" u="none" strike="noStrike" baseline="0">
              <a:solidFill>
                <a:srgbClr val="000000"/>
              </a:solidFill>
              <a:latin typeface="Arial"/>
              <a:cs typeface="Arial"/>
            </a:rPr>
            <a:pPr algn="ctr" rtl="0">
              <a:defRPr sz="1000"/>
            </a:pPr>
            <a:t>-2.8</a:t>
          </a:fld>
          <a:endParaRPr lang="en-NZ" sz="1200" b="1" i="0" u="none" strike="noStrike" baseline="0">
            <a:solidFill>
              <a:srgbClr val="000000"/>
            </a:solidFill>
            <a:latin typeface="Arial"/>
            <a:cs typeface="Arial"/>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82100" cy="5600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46"/>
  <sheetViews>
    <sheetView showZeros="0" tabSelected="1" topLeftCell="J1" zoomScale="75" workbookViewId="0">
      <pane ySplit="10" topLeftCell="A11" activePane="bottomLeft" state="frozen"/>
      <selection pane="bottomLeft" activeCell="V19" sqref="V19"/>
    </sheetView>
  </sheetViews>
  <sheetFormatPr defaultRowHeight="12.75" x14ac:dyDescent="0.2"/>
  <cols>
    <col min="1" max="1" width="57.42578125" style="1" customWidth="1"/>
    <col min="2" max="2" width="12" style="2" customWidth="1"/>
    <col min="3" max="3" width="7.42578125" style="3" customWidth="1"/>
    <col min="4" max="4" width="9" style="97" customWidth="1"/>
    <col min="5" max="5" width="16.140625" style="3" customWidth="1"/>
    <col min="6" max="6" width="9.42578125" style="1" customWidth="1"/>
    <col min="7" max="7" width="9.85546875" style="1" customWidth="1"/>
    <col min="8" max="8" width="8.7109375" style="1" customWidth="1"/>
    <col min="9" max="9" width="9.85546875" style="1" bestFit="1" customWidth="1"/>
    <col min="10" max="13" width="9.42578125" style="1" bestFit="1" customWidth="1"/>
    <col min="14" max="14" width="9.5703125" style="1" bestFit="1" customWidth="1"/>
    <col min="15" max="15" width="9.42578125" style="1" bestFit="1" customWidth="1"/>
    <col min="16" max="16" width="9.140625" style="1"/>
    <col min="17" max="17" width="10.85546875" style="1" customWidth="1"/>
    <col min="18" max="18" width="11.140625" style="1" customWidth="1"/>
    <col min="19" max="19" width="13" style="1" customWidth="1"/>
    <col min="20" max="34" width="10.28515625" style="60" customWidth="1"/>
    <col min="35" max="35" width="10.28515625" style="1" customWidth="1"/>
    <col min="36" max="36" width="10.85546875" style="1" customWidth="1"/>
    <col min="37" max="39" width="10.28515625" style="1" customWidth="1"/>
    <col min="40" max="40" width="10.28515625" style="60" customWidth="1"/>
    <col min="41" max="41" width="12.42578125" style="75" customWidth="1"/>
    <col min="42" max="42" width="9.140625" style="75" customWidth="1"/>
    <col min="43" max="43" width="11" style="70" customWidth="1"/>
    <col min="44" max="44" width="9.42578125" style="71" customWidth="1"/>
    <col min="45" max="45" width="12" style="71" customWidth="1"/>
    <col min="46" max="46" width="12.7109375" style="71" customWidth="1"/>
    <col min="47" max="47" width="12" style="71" customWidth="1"/>
    <col min="48" max="48" width="11" style="71" customWidth="1"/>
    <col min="49" max="49" width="12" style="71" customWidth="1"/>
    <col min="50" max="50" width="10.42578125" style="71" customWidth="1"/>
    <col min="51" max="51" width="9.85546875" style="71" customWidth="1"/>
    <col min="52" max="52" width="12.7109375" style="71" customWidth="1"/>
    <col min="53" max="58" width="9.140625" style="71" customWidth="1"/>
    <col min="59" max="59" width="11.28515625" style="71" customWidth="1"/>
    <col min="60" max="60" width="10.140625" style="71" customWidth="1"/>
    <col min="61" max="61" width="12.28515625" style="71" customWidth="1"/>
    <col min="62" max="62" width="13.140625" style="71" customWidth="1"/>
    <col min="63" max="63" width="9.5703125" style="71" customWidth="1"/>
    <col min="64" max="64" width="13.85546875" style="71" customWidth="1"/>
    <col min="65" max="79" width="9.140625" style="71" customWidth="1"/>
    <col min="80" max="80" width="10.42578125" style="1" customWidth="1"/>
    <col min="81" max="81" width="9.140625" style="1" customWidth="1"/>
    <col min="82" max="82" width="9.28515625" style="1" customWidth="1"/>
    <col min="83" max="87" width="9.140625" style="71" customWidth="1"/>
    <col min="88" max="16384" width="9.140625" style="1"/>
  </cols>
  <sheetData>
    <row r="1" spans="1:87" ht="12.75" customHeight="1" x14ac:dyDescent="0.2">
      <c r="A1" s="35" t="s">
        <v>61</v>
      </c>
      <c r="F1" s="267"/>
      <c r="G1" s="267"/>
      <c r="H1" s="268" t="s">
        <v>85</v>
      </c>
      <c r="I1" s="269"/>
      <c r="J1" s="268" t="s">
        <v>86</v>
      </c>
      <c r="K1" s="269"/>
      <c r="L1" s="268" t="s">
        <v>91</v>
      </c>
      <c r="M1" s="269"/>
      <c r="N1" s="268" t="s">
        <v>207</v>
      </c>
      <c r="O1" s="270"/>
      <c r="P1" s="269"/>
    </row>
    <row r="2" spans="1:87" x14ac:dyDescent="0.2">
      <c r="A2" s="35"/>
      <c r="F2" s="207"/>
      <c r="G2" s="191"/>
      <c r="H2" s="186"/>
      <c r="I2" s="187" t="s">
        <v>102</v>
      </c>
      <c r="J2" s="186"/>
      <c r="K2" s="187" t="s">
        <v>102</v>
      </c>
      <c r="L2" s="186"/>
      <c r="M2" s="187" t="s">
        <v>102</v>
      </c>
      <c r="N2" s="186" t="s">
        <v>210</v>
      </c>
      <c r="O2" s="191" t="s">
        <v>211</v>
      </c>
      <c r="P2" s="187" t="s">
        <v>102</v>
      </c>
      <c r="R2" s="48" t="s">
        <v>130</v>
      </c>
      <c r="S2" s="48" t="s">
        <v>132</v>
      </c>
    </row>
    <row r="3" spans="1:87" x14ac:dyDescent="0.2">
      <c r="F3" s="11"/>
      <c r="G3" s="23"/>
      <c r="H3" s="188" t="s">
        <v>21</v>
      </c>
      <c r="I3" s="36">
        <v>200</v>
      </c>
      <c r="J3" s="188" t="s">
        <v>22</v>
      </c>
      <c r="K3" s="36">
        <v>100</v>
      </c>
      <c r="L3" s="188" t="s">
        <v>22</v>
      </c>
      <c r="M3" s="36">
        <v>1</v>
      </c>
      <c r="N3" s="192" t="s">
        <v>212</v>
      </c>
      <c r="O3" s="188" t="str">
        <f ca="1">INDIRECT(N3&amp;ROW(O$10),TRUE)</f>
        <v>CO2</v>
      </c>
      <c r="P3" s="182">
        <v>1</v>
      </c>
      <c r="R3" s="48" t="s">
        <v>131</v>
      </c>
      <c r="S3" s="48" t="s">
        <v>131</v>
      </c>
    </row>
    <row r="4" spans="1:87" x14ac:dyDescent="0.2">
      <c r="F4" s="11"/>
      <c r="G4" s="23"/>
      <c r="H4" s="188" t="s">
        <v>18</v>
      </c>
      <c r="I4" s="37">
        <v>1</v>
      </c>
      <c r="J4" s="188" t="s">
        <v>18</v>
      </c>
      <c r="K4" s="37">
        <v>1</v>
      </c>
      <c r="L4" s="188" t="s">
        <v>28</v>
      </c>
      <c r="M4" s="37">
        <v>1000</v>
      </c>
      <c r="N4" s="193" t="s">
        <v>213</v>
      </c>
      <c r="O4" s="188" t="str">
        <f ca="1">INDIRECT(N4&amp;ROW(O$10),TRUE)</f>
        <v>H2S</v>
      </c>
      <c r="P4" s="183">
        <v>10</v>
      </c>
      <c r="R4" s="51">
        <v>-2.8</v>
      </c>
      <c r="S4" s="51">
        <v>-2.8</v>
      </c>
    </row>
    <row r="5" spans="1:87" x14ac:dyDescent="0.2">
      <c r="F5" s="11"/>
      <c r="G5" s="23"/>
      <c r="H5" s="188" t="s">
        <v>19</v>
      </c>
      <c r="I5" s="37">
        <v>10</v>
      </c>
      <c r="J5" s="189" t="s">
        <v>24</v>
      </c>
      <c r="K5" s="38">
        <v>10000</v>
      </c>
      <c r="L5" s="189" t="s">
        <v>24</v>
      </c>
      <c r="M5" s="38">
        <v>100</v>
      </c>
      <c r="N5" s="194" t="s">
        <v>224</v>
      </c>
      <c r="O5" s="188" t="str">
        <f ca="1">INDIRECT(N5&amp;ROW(O$10),TRUE)</f>
        <v>NH3</v>
      </c>
      <c r="P5" s="184">
        <v>1000</v>
      </c>
    </row>
    <row r="6" spans="1:87" s="6" customFormat="1" ht="15.75" x14ac:dyDescent="0.25">
      <c r="B6" s="7"/>
      <c r="C6" s="8"/>
      <c r="D6" s="98"/>
      <c r="E6" s="8"/>
      <c r="H6" s="190" t="s">
        <v>131</v>
      </c>
      <c r="I6" s="52">
        <v>-2.8</v>
      </c>
      <c r="T6" s="62"/>
      <c r="U6" s="62"/>
      <c r="V6" s="62"/>
      <c r="W6" s="62"/>
      <c r="X6" s="62"/>
      <c r="Y6" s="62"/>
      <c r="Z6" s="62"/>
      <c r="AA6" s="62"/>
      <c r="AB6" s="62"/>
      <c r="AC6" s="62"/>
      <c r="AD6" s="62"/>
      <c r="AE6" s="62"/>
      <c r="AF6" s="62"/>
      <c r="AG6" s="62"/>
      <c r="AH6" s="62"/>
      <c r="AN6" s="62"/>
      <c r="AO6" s="63"/>
      <c r="AP6" s="63"/>
      <c r="AQ6" s="67"/>
      <c r="AR6" s="76"/>
      <c r="AS6" s="76"/>
      <c r="AT6" s="76"/>
      <c r="AU6" s="76"/>
      <c r="AV6" s="76"/>
      <c r="AW6" s="76"/>
      <c r="AX6" s="76"/>
      <c r="AY6" s="71"/>
      <c r="AZ6" s="76"/>
      <c r="BA6" s="76"/>
      <c r="BB6" s="76"/>
      <c r="BC6" s="76"/>
      <c r="BD6" s="76"/>
      <c r="BE6" s="76"/>
      <c r="BF6" s="76"/>
      <c r="BG6" s="76"/>
      <c r="BH6" s="76"/>
      <c r="BI6" s="76"/>
      <c r="BJ6" s="76"/>
      <c r="BK6" s="76"/>
      <c r="BL6" s="77"/>
    </row>
    <row r="7" spans="1:87" s="6" customFormat="1" ht="15.75" x14ac:dyDescent="0.25">
      <c r="B7" s="7"/>
      <c r="C7" s="8"/>
      <c r="D7" s="98"/>
      <c r="E7" s="8"/>
      <c r="H7" s="180" t="s">
        <v>201</v>
      </c>
      <c r="I7" s="52">
        <v>200</v>
      </c>
      <c r="T7" s="64" t="s">
        <v>226</v>
      </c>
      <c r="U7" s="62"/>
      <c r="V7" s="62"/>
      <c r="W7" s="62"/>
      <c r="X7" s="62"/>
      <c r="Y7" s="62"/>
      <c r="Z7" s="62"/>
      <c r="AA7" s="62"/>
      <c r="AB7" s="62"/>
      <c r="AC7" s="62"/>
      <c r="AD7" s="62"/>
      <c r="AE7" s="62"/>
      <c r="AF7" s="62"/>
      <c r="AG7" s="62"/>
      <c r="AH7" s="62"/>
      <c r="AN7" s="62"/>
      <c r="AO7" s="63"/>
      <c r="AP7" s="63"/>
      <c r="AQ7" s="67"/>
      <c r="AR7" s="76"/>
      <c r="AS7" s="76"/>
      <c r="AT7" s="76"/>
      <c r="AU7" s="76"/>
      <c r="AV7" s="76"/>
      <c r="AW7" s="76"/>
      <c r="AX7" s="76"/>
      <c r="AY7" s="71"/>
      <c r="AZ7" s="76"/>
      <c r="BA7" s="76"/>
      <c r="BB7" s="76"/>
      <c r="BC7" s="76"/>
      <c r="BD7" s="76"/>
      <c r="BE7" s="76"/>
      <c r="BF7" s="76"/>
      <c r="BG7" s="76"/>
      <c r="BH7" s="76"/>
      <c r="BI7" s="76"/>
      <c r="BJ7" s="76"/>
      <c r="BK7" s="76"/>
      <c r="BL7" s="77"/>
      <c r="BM7" s="274" t="s">
        <v>85</v>
      </c>
      <c r="BN7" s="275"/>
      <c r="BO7" s="275"/>
      <c r="BP7" s="275"/>
      <c r="BQ7" s="276"/>
      <c r="BR7" s="271" t="s">
        <v>86</v>
      </c>
      <c r="BS7" s="272"/>
      <c r="BT7" s="272"/>
      <c r="BU7" s="272"/>
      <c r="BV7" s="273"/>
      <c r="BW7" s="271" t="s">
        <v>91</v>
      </c>
      <c r="BX7" s="272"/>
      <c r="BY7" s="272"/>
      <c r="BZ7" s="272"/>
      <c r="CA7" s="273"/>
      <c r="CB7" s="271" t="s">
        <v>207</v>
      </c>
      <c r="CC7" s="272"/>
      <c r="CD7" s="272"/>
      <c r="CE7" s="272"/>
      <c r="CF7" s="272"/>
      <c r="CG7" s="272"/>
      <c r="CH7" s="272"/>
      <c r="CI7" s="273"/>
    </row>
    <row r="8" spans="1:87" s="9" customFormat="1" ht="42.75" customHeight="1" x14ac:dyDescent="0.2">
      <c r="A8" s="260" t="s">
        <v>171</v>
      </c>
      <c r="B8" s="261"/>
      <c r="C8" s="261"/>
      <c r="D8" s="262"/>
      <c r="E8" s="12" t="s">
        <v>69</v>
      </c>
      <c r="F8" s="254" t="s">
        <v>117</v>
      </c>
      <c r="G8" s="255"/>
      <c r="H8" s="256"/>
      <c r="I8" s="254" t="s">
        <v>200</v>
      </c>
      <c r="J8" s="255"/>
      <c r="K8" s="255"/>
      <c r="L8" s="255"/>
      <c r="M8" s="255"/>
      <c r="N8" s="255"/>
      <c r="O8" s="255"/>
      <c r="P8" s="255"/>
      <c r="Q8" s="255"/>
      <c r="R8" s="255"/>
      <c r="S8" s="256"/>
      <c r="T8" s="65" t="s">
        <v>157</v>
      </c>
      <c r="U8" s="66" t="s">
        <v>129</v>
      </c>
      <c r="V8" s="66" t="s">
        <v>158</v>
      </c>
      <c r="W8" s="66" t="s">
        <v>159</v>
      </c>
      <c r="X8" s="66" t="s">
        <v>160</v>
      </c>
      <c r="Y8" s="66" t="s">
        <v>161</v>
      </c>
      <c r="Z8" s="66" t="s">
        <v>162</v>
      </c>
      <c r="AA8" s="66" t="s">
        <v>163</v>
      </c>
      <c r="AB8" s="65" t="s">
        <v>164</v>
      </c>
      <c r="AC8" s="66" t="s">
        <v>165</v>
      </c>
      <c r="AD8" s="66" t="s">
        <v>166</v>
      </c>
      <c r="AE8" s="66" t="s">
        <v>167</v>
      </c>
      <c r="AF8" s="65" t="s">
        <v>168</v>
      </c>
      <c r="AG8" s="66" t="s">
        <v>169</v>
      </c>
      <c r="AH8" s="66" t="s">
        <v>170</v>
      </c>
      <c r="AI8" s="15"/>
      <c r="AJ8" s="15"/>
      <c r="AK8" s="15"/>
      <c r="AL8" s="15"/>
      <c r="AM8" s="15"/>
      <c r="AN8" s="66"/>
      <c r="AO8" s="78"/>
      <c r="AP8" s="78"/>
      <c r="AQ8" s="79"/>
      <c r="AR8" s="79"/>
      <c r="AS8" s="79"/>
      <c r="AT8" s="79"/>
      <c r="AU8" s="79"/>
      <c r="AV8" s="79"/>
      <c r="AW8" s="79"/>
      <c r="AX8" s="79"/>
      <c r="AY8" s="79"/>
      <c r="AZ8" s="79"/>
      <c r="BA8" s="79"/>
      <c r="BB8" s="79"/>
      <c r="BC8" s="79"/>
      <c r="BD8" s="79"/>
      <c r="BE8" s="79"/>
      <c r="BF8" s="79"/>
      <c r="BG8" s="79"/>
      <c r="BH8" s="79"/>
      <c r="BI8" s="79"/>
      <c r="BJ8" s="79"/>
      <c r="BK8" s="79"/>
      <c r="BL8" s="80"/>
      <c r="BM8" s="81" t="s">
        <v>21</v>
      </c>
      <c r="BN8" s="82" t="s">
        <v>18</v>
      </c>
      <c r="BO8" s="82" t="s">
        <v>19</v>
      </c>
      <c r="BP8" s="41"/>
      <c r="BQ8" s="43"/>
      <c r="BR8" s="81" t="s">
        <v>22</v>
      </c>
      <c r="BS8" s="82" t="s">
        <v>18</v>
      </c>
      <c r="BT8" s="82" t="s">
        <v>24</v>
      </c>
      <c r="BU8" s="41"/>
      <c r="BV8" s="43"/>
      <c r="BW8" s="81" t="s">
        <v>22</v>
      </c>
      <c r="BX8" s="82" t="s">
        <v>28</v>
      </c>
      <c r="BY8" s="82" t="s">
        <v>24</v>
      </c>
      <c r="BZ8" s="41"/>
      <c r="CA8" s="43"/>
      <c r="CB8" s="264" t="s">
        <v>209</v>
      </c>
      <c r="CC8" s="265"/>
      <c r="CD8" s="266"/>
      <c r="CE8" s="81" t="str">
        <f ca="1">O3</f>
        <v>CO2</v>
      </c>
      <c r="CF8" s="82" t="str">
        <f ca="1">O4</f>
        <v>H2S</v>
      </c>
      <c r="CG8" s="82" t="str">
        <f ca="1">O5</f>
        <v>NH3</v>
      </c>
      <c r="CH8" s="41"/>
      <c r="CI8" s="43"/>
    </row>
    <row r="9" spans="1:87" ht="10.5" customHeight="1" x14ac:dyDescent="0.2">
      <c r="F9" s="252" t="s">
        <v>31</v>
      </c>
      <c r="G9" s="253"/>
      <c r="H9" s="263"/>
      <c r="I9" s="252" t="s">
        <v>76</v>
      </c>
      <c r="J9" s="253"/>
      <c r="K9" s="253"/>
      <c r="L9" s="253"/>
      <c r="M9" s="253"/>
      <c r="N9" s="253"/>
      <c r="O9" s="253"/>
      <c r="P9" s="253"/>
      <c r="Q9" s="253"/>
      <c r="R9" s="253"/>
      <c r="S9" s="53"/>
      <c r="U9" s="67"/>
      <c r="V9" s="67"/>
      <c r="W9" s="83" t="s">
        <v>198</v>
      </c>
      <c r="X9" s="67">
        <v>44</v>
      </c>
      <c r="Y9" s="67">
        <v>34</v>
      </c>
      <c r="Z9" s="67">
        <v>17</v>
      </c>
      <c r="AA9" s="67">
        <v>40</v>
      </c>
      <c r="AB9" s="67">
        <v>28</v>
      </c>
      <c r="AC9" s="67">
        <v>16</v>
      </c>
      <c r="AD9" s="67">
        <v>2</v>
      </c>
      <c r="AE9" s="67">
        <v>4</v>
      </c>
      <c r="AF9" s="67">
        <v>28</v>
      </c>
      <c r="AG9" s="67"/>
      <c r="AH9" s="67"/>
      <c r="AI9" s="13"/>
      <c r="AJ9" s="13"/>
      <c r="AK9" s="13"/>
      <c r="AL9" s="13"/>
      <c r="AM9" s="13"/>
      <c r="AN9" s="68"/>
      <c r="AO9" s="70"/>
      <c r="AP9" s="70"/>
      <c r="AQ9" s="249" t="s">
        <v>73</v>
      </c>
      <c r="AR9" s="250"/>
      <c r="AS9" s="250"/>
      <c r="AT9" s="250"/>
      <c r="AU9" s="250"/>
      <c r="AV9" s="250"/>
      <c r="AW9" s="250"/>
      <c r="AX9" s="250"/>
      <c r="AY9" s="250"/>
      <c r="AZ9" s="251"/>
      <c r="BA9" s="67"/>
      <c r="BB9" s="257" t="s">
        <v>187</v>
      </c>
      <c r="BC9" s="258"/>
      <c r="BD9" s="258"/>
      <c r="BE9" s="258"/>
      <c r="BF9" s="258"/>
      <c r="BG9" s="258"/>
      <c r="BH9" s="258"/>
      <c r="BI9" s="258"/>
      <c r="BJ9" s="258"/>
      <c r="BK9" s="259"/>
      <c r="BL9" s="82" t="s">
        <v>87</v>
      </c>
      <c r="BM9" s="42">
        <f>I3</f>
        <v>200</v>
      </c>
      <c r="BN9" s="41">
        <f>I4</f>
        <v>1</v>
      </c>
      <c r="BO9" s="41">
        <f>I5</f>
        <v>10</v>
      </c>
      <c r="BP9" s="41"/>
      <c r="BQ9" s="43"/>
      <c r="BR9" s="42">
        <f>K3</f>
        <v>100</v>
      </c>
      <c r="BS9" s="41">
        <f>K4</f>
        <v>1</v>
      </c>
      <c r="BT9" s="41">
        <f>K5</f>
        <v>10000</v>
      </c>
      <c r="BU9" s="41"/>
      <c r="BV9" s="43"/>
      <c r="BW9" s="42">
        <f>M3</f>
        <v>1</v>
      </c>
      <c r="BX9" s="41">
        <f>M4</f>
        <v>1000</v>
      </c>
      <c r="BY9" s="41">
        <f>M5</f>
        <v>100</v>
      </c>
      <c r="BZ9" s="41"/>
      <c r="CA9" s="43"/>
      <c r="CB9" s="181" t="s">
        <v>89</v>
      </c>
      <c r="CC9" s="181" t="s">
        <v>90</v>
      </c>
      <c r="CD9" s="181" t="s">
        <v>208</v>
      </c>
      <c r="CE9" s="42">
        <f>P3</f>
        <v>1</v>
      </c>
      <c r="CF9" s="41">
        <f>P4</f>
        <v>10</v>
      </c>
      <c r="CG9" s="41">
        <f>P5</f>
        <v>1000</v>
      </c>
      <c r="CH9" s="41"/>
      <c r="CI9" s="43"/>
    </row>
    <row r="10" spans="1:87" ht="26.25" customHeight="1" thickBot="1" x14ac:dyDescent="0.25">
      <c r="A10" s="16" t="s">
        <v>62</v>
      </c>
      <c r="B10" s="16" t="s">
        <v>26</v>
      </c>
      <c r="C10" s="14" t="s">
        <v>29</v>
      </c>
      <c r="D10" s="99" t="s">
        <v>27</v>
      </c>
      <c r="E10" s="14" t="s">
        <v>63</v>
      </c>
      <c r="F10" s="11" t="s">
        <v>30</v>
      </c>
      <c r="G10" s="10" t="s">
        <v>70</v>
      </c>
      <c r="H10" s="10" t="s">
        <v>64</v>
      </c>
      <c r="I10" s="11" t="s">
        <v>18</v>
      </c>
      <c r="J10" s="11" t="s">
        <v>19</v>
      </c>
      <c r="K10" s="11" t="s">
        <v>23</v>
      </c>
      <c r="L10" s="11" t="s">
        <v>24</v>
      </c>
      <c r="M10" s="11" t="s">
        <v>22</v>
      </c>
      <c r="N10" s="11" t="s">
        <v>21</v>
      </c>
      <c r="O10" s="11" t="s">
        <v>20</v>
      </c>
      <c r="P10" s="11" t="s">
        <v>28</v>
      </c>
      <c r="Q10" s="11" t="s">
        <v>60</v>
      </c>
      <c r="R10" s="10" t="s">
        <v>65</v>
      </c>
      <c r="S10" s="10" t="s">
        <v>68</v>
      </c>
      <c r="T10" s="69" t="s">
        <v>63</v>
      </c>
      <c r="U10" s="70" t="s">
        <v>30</v>
      </c>
      <c r="V10" s="69" t="s">
        <v>70</v>
      </c>
      <c r="W10" s="69" t="s">
        <v>64</v>
      </c>
      <c r="X10" s="70" t="s">
        <v>18</v>
      </c>
      <c r="Y10" s="70" t="s">
        <v>19</v>
      </c>
      <c r="Z10" s="70" t="s">
        <v>23</v>
      </c>
      <c r="AA10" s="195" t="s">
        <v>24</v>
      </c>
      <c r="AB10" s="70" t="s">
        <v>22</v>
      </c>
      <c r="AC10" s="195" t="s">
        <v>21</v>
      </c>
      <c r="AD10" s="70" t="s">
        <v>20</v>
      </c>
      <c r="AE10" s="61" t="s">
        <v>28</v>
      </c>
      <c r="AF10" s="70" t="s">
        <v>60</v>
      </c>
      <c r="AG10" s="69" t="s">
        <v>65</v>
      </c>
      <c r="AH10" s="69" t="s">
        <v>68</v>
      </c>
      <c r="AI10" s="55" t="s">
        <v>71</v>
      </c>
      <c r="AJ10" s="55" t="s">
        <v>66</v>
      </c>
      <c r="AK10" s="55" t="s">
        <v>67</v>
      </c>
      <c r="AL10" s="55" t="s">
        <v>204</v>
      </c>
      <c r="AM10" s="56" t="s">
        <v>205</v>
      </c>
      <c r="AN10" s="79" t="s">
        <v>185</v>
      </c>
      <c r="AO10" s="69" t="s">
        <v>72</v>
      </c>
      <c r="AP10" s="69" t="s">
        <v>74</v>
      </c>
      <c r="AQ10" s="69" t="s">
        <v>75</v>
      </c>
      <c r="AR10" s="83" t="s">
        <v>18</v>
      </c>
      <c r="AS10" s="83" t="s">
        <v>19</v>
      </c>
      <c r="AT10" s="83" t="s">
        <v>23</v>
      </c>
      <c r="AU10" s="196" t="s">
        <v>24</v>
      </c>
      <c r="AV10" s="83" t="s">
        <v>22</v>
      </c>
      <c r="AW10" s="196" t="s">
        <v>21</v>
      </c>
      <c r="AX10" s="83" t="s">
        <v>20</v>
      </c>
      <c r="AY10" s="196" t="s">
        <v>28</v>
      </c>
      <c r="AZ10" s="196" t="s">
        <v>60</v>
      </c>
      <c r="BA10" s="83"/>
      <c r="BB10" s="83" t="s">
        <v>1</v>
      </c>
      <c r="BC10" s="83" t="s">
        <v>32</v>
      </c>
      <c r="BD10" s="83" t="s">
        <v>2</v>
      </c>
      <c r="BE10" s="84" t="s">
        <v>77</v>
      </c>
      <c r="BF10" s="83" t="s">
        <v>78</v>
      </c>
      <c r="BG10" s="83" t="s">
        <v>79</v>
      </c>
      <c r="BH10" s="83" t="s">
        <v>80</v>
      </c>
      <c r="BI10" s="71" t="s">
        <v>81</v>
      </c>
      <c r="BJ10" s="83" t="s">
        <v>82</v>
      </c>
      <c r="BK10" s="243" t="s">
        <v>230</v>
      </c>
      <c r="BL10" s="82" t="s">
        <v>88</v>
      </c>
      <c r="BM10" s="81" t="str">
        <f>IF(BM9=1,BM8,CONCATENATE(BM9," ",BM8))</f>
        <v>200 CH4</v>
      </c>
      <c r="BN10" s="82" t="str">
        <f>IF(BN9=1,BN8,CONCATENATE(BN9," ",BN8))</f>
        <v>CO2</v>
      </c>
      <c r="BO10" s="82" t="str">
        <f>IF(BO9=1,BO8,CONCATENATE(BO9," ",BO8))</f>
        <v>10 H2S</v>
      </c>
      <c r="BP10" s="82" t="s">
        <v>89</v>
      </c>
      <c r="BQ10" s="85" t="s">
        <v>90</v>
      </c>
      <c r="BR10" s="81" t="str">
        <f>IF(BR9=1,BR8,CONCATENATE(BR9," ",BR8))</f>
        <v>100 N2</v>
      </c>
      <c r="BS10" s="82" t="str">
        <f>IF(BS9=1,BS8,CONCATENATE(BS9," ",BS8))</f>
        <v>CO2</v>
      </c>
      <c r="BT10" s="82" t="str">
        <f>IF(BT9=1,BT8,CONCATENATE(BT9," ",BT8))</f>
        <v>10000 Ar</v>
      </c>
      <c r="BU10" s="82" t="s">
        <v>89</v>
      </c>
      <c r="BV10" s="85" t="s">
        <v>90</v>
      </c>
      <c r="BW10" s="81" t="str">
        <f>IF(BW9=1,BW8,CONCATENATE(BW9," ",BW8))</f>
        <v>N2</v>
      </c>
      <c r="BX10" s="82" t="str">
        <f>IF(BX9=1,BX8,CONCATENATE(BX9," ",BX8))</f>
        <v>1000 He</v>
      </c>
      <c r="BY10" s="82" t="str">
        <f>IF(BY9=1,BY8,CONCATENATE(BY9," ",BY8))</f>
        <v>100 Ar</v>
      </c>
      <c r="BZ10" s="82" t="s">
        <v>89</v>
      </c>
      <c r="CA10" s="85" t="s">
        <v>90</v>
      </c>
      <c r="CB10" s="198" t="str">
        <f ca="1">INDIRECT("R"&amp;ROW(CB10)&amp;"C"&amp;(COLUMN(INDIRECT($N$3&amp;11))+35),FALSE)</f>
        <v>CO2</v>
      </c>
      <c r="CC10" s="198" t="str">
        <f ca="1">INDIRECT("R"&amp;ROW(CC10)&amp;"C"&amp;(COLUMN(INDIRECT($N$4&amp;11))+35),FALSE)</f>
        <v>H2S</v>
      </c>
      <c r="CD10" s="198" t="str">
        <f ca="1">INDIRECT("R"&amp;ROW(CD10)&amp;"C"&amp;(COLUMN(INDIRECT($N$5&amp;11))+35),FALSE)</f>
        <v>NH3</v>
      </c>
      <c r="CE10" s="81" t="str">
        <f ca="1">IF(CE9=1,CE8,CONCATENATE(CE9," ",CE8))</f>
        <v>CO2</v>
      </c>
      <c r="CF10" s="82" t="str">
        <f ca="1">IF(CF9=1,CF8,CONCATENATE(CF9," ",CF8))</f>
        <v>10 H2S</v>
      </c>
      <c r="CG10" s="82" t="str">
        <f ca="1">IF(CG9=1,CG8,CONCATENATE(CG9," ",CG8))</f>
        <v>1000 NH3</v>
      </c>
      <c r="CH10" s="82" t="s">
        <v>89</v>
      </c>
      <c r="CI10" s="85" t="s">
        <v>90</v>
      </c>
    </row>
    <row r="11" spans="1:87" ht="15" x14ac:dyDescent="0.25">
      <c r="A11" s="296" t="s">
        <v>234</v>
      </c>
      <c r="B11" s="50"/>
      <c r="C11" s="50"/>
      <c r="D11" s="102"/>
      <c r="E11" s="177"/>
      <c r="F11" s="168"/>
      <c r="G11" s="17"/>
      <c r="H11" s="50"/>
      <c r="I11" s="297"/>
      <c r="J11" s="297"/>
      <c r="K11" s="297"/>
      <c r="L11" s="297"/>
      <c r="M11" s="297"/>
      <c r="N11" s="297"/>
      <c r="O11" s="297">
        <v>180</v>
      </c>
      <c r="P11" s="297"/>
      <c r="Q11" s="297"/>
      <c r="R11" s="297"/>
      <c r="S11" s="169"/>
      <c r="T11" s="71" t="str">
        <f ca="1">IF(ISBLANK(INDIRECT("E"&amp;(CELL("row",T11)))),"",INDIRECT("E"&amp;(CELL("row",T11))))</f>
        <v/>
      </c>
      <c r="U11" s="72">
        <f ca="1">INDIRECT("F"&amp;(CELL("row", U11)))</f>
        <v>0</v>
      </c>
      <c r="V11" s="71">
        <f ca="1">INDIRECT("G"&amp;(CELL("row", V11)))</f>
        <v>0</v>
      </c>
      <c r="W11" s="71">
        <f ca="1">INDIRECT("H"&amp;(CELL("row", W11)))</f>
        <v>0</v>
      </c>
      <c r="X11" s="297"/>
      <c r="Y11" s="297"/>
      <c r="Z11" s="297"/>
      <c r="AA11" s="297"/>
      <c r="AB11" s="297"/>
      <c r="AC11" s="297"/>
      <c r="AD11" s="297">
        <v>180</v>
      </c>
      <c r="AE11" s="297"/>
      <c r="AF11" s="297"/>
      <c r="AG11" s="297"/>
      <c r="AH11" s="169"/>
      <c r="AI11" s="57">
        <f>IF(AG11&lt;=0,0,AG11/0.21)</f>
        <v>0</v>
      </c>
      <c r="AJ11" s="58">
        <f>ABS(X11)+ABS(Y11)+ABS(Z11)+ABS(AA11)+ABS(AB11)+ABS(AC11)+ABS(AD11)+ABS(AE11)+ABS(AF11)+ABS(AG11)</f>
        <v>180</v>
      </c>
      <c r="AK11" s="58">
        <f t="shared" ref="AK11:AK40" si="0">(ABS($X11)*X$9+ABS($Y11)*Y$9+ABS($Z11)*Z$9+ABS($AA11)*AA$9+ABS($AB11)*(1-AL11)*AB$9+ABS($AC11)*(1-AM11)*AC$9+ABS($AD11)*AD$9+ABS($AE11)*AE$9)/100</f>
        <v>3.6</v>
      </c>
      <c r="AL11" s="59">
        <f>IF($AB11=0,0,IF($AG11=0,(0.78*$AH11)/(0.78*$AH11+$AB11*AJ11/($AH11+AJ11)),(0.78*AI11)/$AB11))</f>
        <v>0</v>
      </c>
      <c r="AM11" s="59">
        <f>IF($AA11=0,0,IF($AG11=0,(0.00934*$AH11)/(0.00934*$AH11+ABS($AA11)*AJ11/($AH11+AJ11)),(0.00934*AI11)/ABS($AA11)))</f>
        <v>0</v>
      </c>
      <c r="AN11" s="72" t="str">
        <f>IF(AF11&lt;=0,"",T11)</f>
        <v/>
      </c>
      <c r="AO11" s="206">
        <f t="shared" ref="AO11:AO40" ca="1" si="1">IF(V11=0,(W11/AK11)/(W11/AK11+(100-W11)/18), V11/100)</f>
        <v>0</v>
      </c>
      <c r="AP11" s="75">
        <f t="shared" ref="AP11:AP40" ca="1" si="2">IF($U11=0,$AO11/(1-$AO11),$U11/1000000)</f>
        <v>0</v>
      </c>
      <c r="AQ11" s="174">
        <f ca="1">IF(AI11=0,AP11,AP11*(1-0.01*AI11))</f>
        <v>0</v>
      </c>
      <c r="AR11" s="175">
        <f ca="1">$AQ11*ABS(X11)/100</f>
        <v>0</v>
      </c>
      <c r="AS11" s="175">
        <f ca="1">$AQ11*ABS(Y11)/100</f>
        <v>0</v>
      </c>
      <c r="AT11" s="175">
        <f ca="1">$AQ11*ABS(Z11)/100</f>
        <v>0</v>
      </c>
      <c r="AU11" s="174">
        <f ca="1">IF($AI11=0, $AQ11*ABS($AA11)/100, $AQ11*ABS($AA11*(1-$AM11))/100)</f>
        <v>0</v>
      </c>
      <c r="AV11" s="174">
        <f ca="1">IF($AI11=0, $AQ11*ABS(AB11)/100, $AQ11*ABS(AB11*(1-AL11))/100)</f>
        <v>0</v>
      </c>
      <c r="AW11" s="174">
        <f ca="1">$AQ11*ABS(AC11/100)</f>
        <v>0</v>
      </c>
      <c r="AX11" s="174">
        <f ca="1">$AQ11*ABS(AD11/100)</f>
        <v>0</v>
      </c>
      <c r="AY11" s="175">
        <f ca="1">$AQ11*($AE11-0.00000524*$AI11)/100</f>
        <v>0</v>
      </c>
      <c r="AZ11" s="175">
        <f t="shared" ref="AZ11:AZ40" ca="1" si="3">$AQ11*ABS($AF11/100)</f>
        <v>0</v>
      </c>
      <c r="BB11" s="87" t="e">
        <f ca="1">LOG(AR11)+4*LOG(AX11)-LOG(AW11)</f>
        <v>#NUM!</v>
      </c>
      <c r="BC11" s="73" t="e">
        <f ca="1">3*LOG(AS11)-LOG(AX11)</f>
        <v>#NUM!</v>
      </c>
      <c r="BD11" s="73" t="e">
        <f ca="1">LOG(AV11)+3*LOG(AX11)-2*LOG(AT11)</f>
        <v>#NUM!</v>
      </c>
      <c r="BE11" s="73" t="e">
        <f ca="1">LOG(AR11)</f>
        <v>#NUM!</v>
      </c>
      <c r="BF11" s="73" t="e">
        <f ca="1">LOG(AS11)</f>
        <v>#NUM!</v>
      </c>
      <c r="BG11" s="73" t="e">
        <f ca="1">LOG(AR11/AU11)</f>
        <v>#DIV/0!</v>
      </c>
      <c r="BH11" s="73">
        <f ca="1">IF(ISERROR(LOG(AX11/AU11)),-99,LOG(AX11/AU11))</f>
        <v>-99</v>
      </c>
      <c r="BI11" s="88">
        <f ca="1">IF(AZ11=0,0,LOG(AZ11/AR11))</f>
        <v>0</v>
      </c>
      <c r="BJ11" s="73" t="e">
        <f ca="1">LOG(AW11/AR11)</f>
        <v>#DIV/0!</v>
      </c>
      <c r="BK11" s="73" t="e">
        <f ca="1">LOG(AX11)</f>
        <v>#NUM!</v>
      </c>
      <c r="BL11" s="89"/>
      <c r="BM11" s="93" t="e">
        <f t="shared" ref="BM11:BM40" ca="1" si="4">BM$9*AW11/(BM$9*AW11+BN$9*AR11+BO$9*AS11)</f>
        <v>#DIV/0!</v>
      </c>
      <c r="BN11" s="90" t="e">
        <f t="shared" ref="BN11:BN40" ca="1" si="5">BN$9*AR11/(BM$9*AW11+BN$9*AR11+BO$9*AS11)</f>
        <v>#DIV/0!</v>
      </c>
      <c r="BO11" s="90" t="e">
        <f t="shared" ref="BO11:BO40" ca="1" si="6">BO$9*AS11/(BM$9*AW11+BN$9*AR11+BO$9*AS11)</f>
        <v>#DIV/0!</v>
      </c>
      <c r="BP11" s="91" t="e">
        <f t="shared" ref="BP11:BP16" ca="1" si="7">0.5774*BM11+1.1547*BO11</f>
        <v>#DIV/0!</v>
      </c>
      <c r="BQ11" s="92">
        <f ca="1">IF(ISERROR(BM11),-99,BM11)</f>
        <v>-99</v>
      </c>
      <c r="BR11" s="93" t="e">
        <f t="shared" ref="BR11:BR40" ca="1" si="8">BR$9*AV11/(BR$9*AV11+BS$9*AR11+BT$9*AU11)</f>
        <v>#DIV/0!</v>
      </c>
      <c r="BS11" s="90" t="e">
        <f t="shared" ref="BS11:BS40" ca="1" si="9">BS$9*AR11/(BR$9*AV11+BS$9*AR11+BT$9*AU11)</f>
        <v>#DIV/0!</v>
      </c>
      <c r="BT11" s="90" t="e">
        <f t="shared" ref="BT11:BT40" ca="1" si="10">BT$9*AU11/(BR$9*AV11+BS$9*AR11+BT$9*AU11)</f>
        <v>#DIV/0!</v>
      </c>
      <c r="BU11" s="91" t="e">
        <f t="shared" ref="BU11:BU16" ca="1" si="11">0.5774*BR11+1.1547*BT11</f>
        <v>#DIV/0!</v>
      </c>
      <c r="BV11" s="92">
        <f ca="1">IF(ISERROR(BR11),-99,BR11)</f>
        <v>-99</v>
      </c>
      <c r="BW11" s="93" t="e">
        <f t="shared" ref="BW11:BW40" ca="1" si="12">BW$9*AV11/(BW$9*AV11+BX$9*AY11+BY$9*AU11)</f>
        <v>#DIV/0!</v>
      </c>
      <c r="BX11" s="90" t="e">
        <f t="shared" ref="BX11:BX40" ca="1" si="13">BX$9*AY11/(BW$9*AV11+BX$9*AY11+BY$9*AU11)</f>
        <v>#DIV/0!</v>
      </c>
      <c r="BY11" s="90" t="e">
        <f t="shared" ref="BY11:BY40" ca="1" si="14">BY$9*AU11/(BW$9*AV11+BX$9*AY11+BY$9*AU11)</f>
        <v>#DIV/0!</v>
      </c>
      <c r="BZ11" s="91" t="e">
        <f t="shared" ref="BZ11:BZ16" ca="1" si="15">0.5774*BW11+1.1547*BY11</f>
        <v>#DIV/0!</v>
      </c>
      <c r="CA11" s="92">
        <f ca="1">IF(ISERROR(BW11),-99,BW11)</f>
        <v>-99</v>
      </c>
      <c r="CB11" s="197">
        <f ca="1">INDIRECT("R"&amp;ROW(CB11)&amp;"C"&amp;(COLUMN(INDIRECT($N$3&amp;11))+35),FALSE)</f>
        <v>0</v>
      </c>
      <c r="CC11" s="197">
        <f ca="1">INDIRECT("R"&amp;ROW(CC11)&amp;"C"&amp;(COLUMN(INDIRECT($N$4&amp;11))+35),FALSE)</f>
        <v>0</v>
      </c>
      <c r="CD11" s="197">
        <f ca="1">INDIRECT("R"&amp;ROW(CD11)&amp;"C"&amp;(COLUMN(INDIRECT($N$5&amp;11))+35),FALSE)</f>
        <v>0</v>
      </c>
      <c r="CE11" s="93" t="e">
        <f ca="1">CE$9*CB11/(CE$9*CB11+CF$9*CC11+CG$9*CD11)</f>
        <v>#DIV/0!</v>
      </c>
      <c r="CF11" s="90" t="e">
        <f ca="1">CF$9*CC11/(CE$9*CB11+CF$9*CC11+CG$9*CD11)</f>
        <v>#DIV/0!</v>
      </c>
      <c r="CG11" s="90" t="e">
        <f ca="1">CG$9*CD11/(CE$9*CB11+CF$9*CC11+CG$9*CD11)</f>
        <v>#DIV/0!</v>
      </c>
      <c r="CH11" s="91" t="e">
        <f t="shared" ref="CH11:CH40" ca="1" si="16">0.5774*CE11+1.1547*CG11</f>
        <v>#DIV/0!</v>
      </c>
      <c r="CI11" s="92">
        <f ca="1">IF(ISERROR(CE11),-99,CE11)</f>
        <v>-99</v>
      </c>
    </row>
    <row r="12" spans="1:87" ht="15" x14ac:dyDescent="0.25">
      <c r="A12" s="296" t="s">
        <v>234</v>
      </c>
      <c r="B12" s="49"/>
      <c r="C12" s="172"/>
      <c r="D12" s="103"/>
      <c r="E12" s="178"/>
      <c r="F12" s="94"/>
      <c r="G12" s="20"/>
      <c r="H12" s="49"/>
      <c r="I12" s="297"/>
      <c r="J12" s="297"/>
      <c r="K12" s="297"/>
      <c r="L12" s="297"/>
      <c r="M12" s="297"/>
      <c r="N12" s="297"/>
      <c r="O12" s="297">
        <v>190</v>
      </c>
      <c r="P12" s="297"/>
      <c r="Q12" s="297"/>
      <c r="R12" s="297"/>
      <c r="S12" s="170"/>
      <c r="T12" s="71" t="str">
        <f t="shared" ref="T12:T40" ca="1" si="17">IF(ISBLANK(INDIRECT("E"&amp;(CELL("row",T12)))),"",INDIRECT("E"&amp;(CELL("row",T12))))</f>
        <v/>
      </c>
      <c r="U12" s="72">
        <f t="shared" ref="U12:U40" ca="1" si="18">INDIRECT("F"&amp;(CELL("row", U12)))</f>
        <v>0</v>
      </c>
      <c r="V12" s="71">
        <f t="shared" ref="V12:V40" ca="1" si="19">INDIRECT("G"&amp;(CELL("row", V12)))</f>
        <v>0</v>
      </c>
      <c r="W12" s="71">
        <f t="shared" ref="W12:W40" ca="1" si="20">INDIRECT("H"&amp;(CELL("row", W12)))</f>
        <v>0</v>
      </c>
      <c r="X12" s="297"/>
      <c r="Y12" s="297"/>
      <c r="Z12" s="297"/>
      <c r="AA12" s="297"/>
      <c r="AB12" s="297"/>
      <c r="AC12" s="297"/>
      <c r="AD12" s="297">
        <v>190</v>
      </c>
      <c r="AE12" s="297"/>
      <c r="AF12" s="297"/>
      <c r="AG12" s="297"/>
      <c r="AH12" s="170"/>
      <c r="AI12" s="57">
        <f t="shared" ref="AI12:AI40" si="21">IF(AG12&lt;=0,0,AG12/0.21)</f>
        <v>0</v>
      </c>
      <c r="AJ12" s="58">
        <f t="shared" ref="AJ12:AJ42" si="22">ABS(X12)+ABS(Y12)+ABS(Z12)+ABS(AA12)+ABS(AB12)+ABS(AC12)+ABS(AD12)+ABS(AE12)+ABS(AF12)+ABS(AG12)</f>
        <v>190</v>
      </c>
      <c r="AK12" s="58">
        <f t="shared" si="0"/>
        <v>3.8</v>
      </c>
      <c r="AL12" s="59">
        <f t="shared" ref="AL12:AL40" si="23">IF($AB12=0,0,IF($AG12=0,(0.78*$AH12)/(0.78*$AH12+$AB12*AJ12/($AH12+AJ12)),(0.78*AI12)/$AB12))</f>
        <v>0</v>
      </c>
      <c r="AM12" s="59">
        <f t="shared" ref="AM12:AM31" si="24">IF($AA12=0,0,IF($AG12=0,(0.00934*$AH12)/(0.00934*$AH12+ABS($AA12)*AJ12/($AH12+AJ12)),(0.00934*AI12)/ABS($AA12)))</f>
        <v>0</v>
      </c>
      <c r="AN12" s="72" t="str">
        <f t="shared" ref="AN12:AN40" si="25">IF(AF12&lt;=0,"",T12)</f>
        <v/>
      </c>
      <c r="AO12" s="206">
        <f t="shared" ca="1" si="1"/>
        <v>0</v>
      </c>
      <c r="AP12" s="75">
        <f t="shared" ca="1" si="2"/>
        <v>0</v>
      </c>
      <c r="AQ12" s="174">
        <f t="shared" ref="AQ12:AQ40" ca="1" si="26">IF(AI12=0,AP12,AP12*(1-0.01*AI12))</f>
        <v>0</v>
      </c>
      <c r="AR12" s="175">
        <f t="shared" ref="AR12:AR40" ca="1" si="27">$AQ12*ABS(X12)/100</f>
        <v>0</v>
      </c>
      <c r="AS12" s="175">
        <f t="shared" ref="AS12:AS40" ca="1" si="28">$AQ12*ABS(Y12)/100</f>
        <v>0</v>
      </c>
      <c r="AT12" s="175">
        <f t="shared" ref="AT12:AT40" ca="1" si="29">$AQ12*ABS(Z12)/100</f>
        <v>0</v>
      </c>
      <c r="AU12" s="174">
        <f t="shared" ref="AU12:AU40" ca="1" si="30">IF($AI12=0, $AQ12*ABS($AA12)/100, $AQ12*ABS($AA12*(1-$AM12))/100)</f>
        <v>0</v>
      </c>
      <c r="AV12" s="174">
        <f ca="1">IF($AI12=0, $AQ12*ABS(AB12)/100, $AQ12*ABS(AB12*(1-AL12))/100)</f>
        <v>0</v>
      </c>
      <c r="AW12" s="174">
        <f ca="1">$AQ12*ABS(AC12/100)</f>
        <v>0</v>
      </c>
      <c r="AX12" s="174">
        <f t="shared" ref="AX12:AX40" ca="1" si="31">$AQ12*ABS(AD12/100)</f>
        <v>0</v>
      </c>
      <c r="AY12" s="175">
        <f t="shared" ref="AY12:AY40" ca="1" si="32">$AQ12*($AE12-0.00000524*$AI12)/100</f>
        <v>0</v>
      </c>
      <c r="AZ12" s="175">
        <f t="shared" ca="1" si="3"/>
        <v>0</v>
      </c>
      <c r="BB12" s="87" t="e">
        <f t="shared" ref="BB12:BB40" ca="1" si="33">LOG(AR12)+4*LOG(AX12)-LOG(AW12)</f>
        <v>#NUM!</v>
      </c>
      <c r="BC12" s="73" t="e">
        <f t="shared" ref="BC12:BC40" ca="1" si="34">3*LOG(AS12)-LOG(AX12)</f>
        <v>#NUM!</v>
      </c>
      <c r="BD12" s="73" t="e">
        <f t="shared" ref="BD12:BD40" ca="1" si="35">LOG(AV12)+3*LOG(AX12)-2*LOG(AT12)</f>
        <v>#NUM!</v>
      </c>
      <c r="BE12" s="73" t="e">
        <f t="shared" ref="BE12:BE40" ca="1" si="36">LOG(AR12)</f>
        <v>#NUM!</v>
      </c>
      <c r="BF12" s="73" t="e">
        <f t="shared" ref="BF12:BF40" ca="1" si="37">LOG(AS12)</f>
        <v>#NUM!</v>
      </c>
      <c r="BG12" s="73" t="e">
        <f t="shared" ref="BG12:BG40" ca="1" si="38">LOG(AR12/AU12)</f>
        <v>#DIV/0!</v>
      </c>
      <c r="BH12" s="73">
        <f t="shared" ref="BH12:BH40" ca="1" si="39">IF(ISERROR(LOG(AX12/AU12)),-99,LOG(AX12/AU12))</f>
        <v>-99</v>
      </c>
      <c r="BI12" s="88">
        <f t="shared" ref="BI12:BI40" ca="1" si="40">IF(AZ12=0,0,LOG(AZ12/AR12))</f>
        <v>0</v>
      </c>
      <c r="BJ12" s="73" t="e">
        <f t="shared" ref="BJ12:BJ40" ca="1" si="41">LOG(AW12/AR12)</f>
        <v>#DIV/0!</v>
      </c>
      <c r="BK12" s="73" t="e">
        <f t="shared" ref="BK12:BK40" ca="1" si="42">LOG(AX12)</f>
        <v>#NUM!</v>
      </c>
      <c r="BM12" s="93" t="e">
        <f t="shared" ca="1" si="4"/>
        <v>#DIV/0!</v>
      </c>
      <c r="BN12" s="90" t="e">
        <f t="shared" ca="1" si="5"/>
        <v>#DIV/0!</v>
      </c>
      <c r="BO12" s="90" t="e">
        <f t="shared" ca="1" si="6"/>
        <v>#DIV/0!</v>
      </c>
      <c r="BP12" s="91" t="e">
        <f t="shared" ca="1" si="7"/>
        <v>#DIV/0!</v>
      </c>
      <c r="BQ12" s="92">
        <f t="shared" ref="BQ12:BQ40" ca="1" si="43">IF(ISERROR(BM12),-99,BM12)</f>
        <v>-99</v>
      </c>
      <c r="BR12" s="93" t="e">
        <f t="shared" ca="1" si="8"/>
        <v>#DIV/0!</v>
      </c>
      <c r="BS12" s="90" t="e">
        <f t="shared" ca="1" si="9"/>
        <v>#DIV/0!</v>
      </c>
      <c r="BT12" s="90" t="e">
        <f t="shared" ca="1" si="10"/>
        <v>#DIV/0!</v>
      </c>
      <c r="BU12" s="91" t="e">
        <f t="shared" ca="1" si="11"/>
        <v>#DIV/0!</v>
      </c>
      <c r="BV12" s="92">
        <f t="shared" ref="BV12:BV40" ca="1" si="44">IF(ISERROR(BR12),-99,BR12)</f>
        <v>-99</v>
      </c>
      <c r="BW12" s="93" t="e">
        <f t="shared" ca="1" si="12"/>
        <v>#DIV/0!</v>
      </c>
      <c r="BX12" s="90" t="e">
        <f t="shared" ca="1" si="13"/>
        <v>#DIV/0!</v>
      </c>
      <c r="BY12" s="90" t="e">
        <f t="shared" ca="1" si="14"/>
        <v>#DIV/0!</v>
      </c>
      <c r="BZ12" s="91" t="e">
        <f t="shared" ca="1" si="15"/>
        <v>#DIV/0!</v>
      </c>
      <c r="CA12" s="92">
        <f t="shared" ref="CA12:CA40" ca="1" si="45">IF(ISERROR(BW12),-99,BW12)</f>
        <v>-99</v>
      </c>
      <c r="CB12" s="197">
        <f t="shared" ref="CB12:CB40" ca="1" si="46">INDIRECT("R"&amp;ROW(CB12)&amp;"C"&amp;(COLUMN(INDIRECT($N$3&amp;11))+35),FALSE)</f>
        <v>0</v>
      </c>
      <c r="CC12" s="197">
        <f t="shared" ref="CC12:CC40" ca="1" si="47">INDIRECT("R"&amp;ROW(CC12)&amp;"C"&amp;(COLUMN(INDIRECT($N$4&amp;11))+35),FALSE)</f>
        <v>0</v>
      </c>
      <c r="CD12" s="197">
        <f t="shared" ref="CD12:CD40" ca="1" si="48">INDIRECT("R"&amp;ROW(CD12)&amp;"C"&amp;(COLUMN(INDIRECT($N$5&amp;11))+35),FALSE)</f>
        <v>0</v>
      </c>
      <c r="CE12" s="93" t="e">
        <f ca="1">CE$9*CB12/(CE$9*CB12+CF$9*CC12+CG$9*CD12)</f>
        <v>#DIV/0!</v>
      </c>
      <c r="CF12" s="90" t="e">
        <f ca="1">CF$9*CC12/(CE$9*CB12+CF$9*CC12+CG$9*CD12)</f>
        <v>#DIV/0!</v>
      </c>
      <c r="CG12" s="90" t="e">
        <f ca="1">CG$9*CD12/(CE$9*CB12+CF$9*CC12+CG$9*CD12)</f>
        <v>#DIV/0!</v>
      </c>
      <c r="CH12" s="91" t="e">
        <f t="shared" ca="1" si="16"/>
        <v>#DIV/0!</v>
      </c>
      <c r="CI12" s="92">
        <f t="shared" ref="CI12:CI40" ca="1" si="49">IF(ISERROR(CE12),-99,CE12)</f>
        <v>-99</v>
      </c>
    </row>
    <row r="13" spans="1:87" ht="15" x14ac:dyDescent="0.25">
      <c r="A13" s="296" t="s">
        <v>235</v>
      </c>
      <c r="B13" s="49"/>
      <c r="C13" s="172"/>
      <c r="D13" s="103"/>
      <c r="E13" s="178"/>
      <c r="F13" s="94"/>
      <c r="G13" s="20"/>
      <c r="H13" s="24"/>
      <c r="I13" s="297"/>
      <c r="J13" s="297"/>
      <c r="K13" s="297"/>
      <c r="L13" s="297"/>
      <c r="M13" s="297"/>
      <c r="N13" s="297"/>
      <c r="O13" s="297">
        <v>-0.5</v>
      </c>
      <c r="P13" s="297"/>
      <c r="Q13" s="297"/>
      <c r="R13" s="297"/>
      <c r="S13" s="170"/>
      <c r="T13" s="71" t="str">
        <f t="shared" ca="1" si="17"/>
        <v/>
      </c>
      <c r="U13" s="72">
        <f t="shared" ca="1" si="18"/>
        <v>0</v>
      </c>
      <c r="V13" s="71">
        <f t="shared" ca="1" si="19"/>
        <v>0</v>
      </c>
      <c r="W13" s="71">
        <f t="shared" ca="1" si="20"/>
        <v>0</v>
      </c>
      <c r="X13" s="297"/>
      <c r="Y13" s="297"/>
      <c r="Z13" s="297"/>
      <c r="AA13" s="297"/>
      <c r="AB13" s="297"/>
      <c r="AC13" s="297"/>
      <c r="AD13" s="297">
        <v>-0.5</v>
      </c>
      <c r="AE13" s="297"/>
      <c r="AF13" s="297"/>
      <c r="AG13" s="297"/>
      <c r="AH13" s="170"/>
      <c r="AI13" s="57">
        <f t="shared" si="21"/>
        <v>0</v>
      </c>
      <c r="AJ13" s="58">
        <f t="shared" si="22"/>
        <v>0.5</v>
      </c>
      <c r="AK13" s="58">
        <f t="shared" si="0"/>
        <v>0.01</v>
      </c>
      <c r="AL13" s="59">
        <f t="shared" si="23"/>
        <v>0</v>
      </c>
      <c r="AM13" s="59">
        <f t="shared" si="24"/>
        <v>0</v>
      </c>
      <c r="AN13" s="72" t="str">
        <f t="shared" si="25"/>
        <v/>
      </c>
      <c r="AO13" s="206">
        <f t="shared" ca="1" si="1"/>
        <v>0</v>
      </c>
      <c r="AP13" s="75">
        <f t="shared" ca="1" si="2"/>
        <v>0</v>
      </c>
      <c r="AQ13" s="174">
        <f t="shared" ca="1" si="26"/>
        <v>0</v>
      </c>
      <c r="AR13" s="175">
        <f t="shared" ca="1" si="27"/>
        <v>0</v>
      </c>
      <c r="AS13" s="175">
        <f t="shared" ca="1" si="28"/>
        <v>0</v>
      </c>
      <c r="AT13" s="175">
        <f t="shared" ca="1" si="29"/>
        <v>0</v>
      </c>
      <c r="AU13" s="174">
        <f t="shared" ca="1" si="30"/>
        <v>0</v>
      </c>
      <c r="AV13" s="174">
        <f t="shared" ref="AV13:AV40" ca="1" si="50">IF($AI13=0, $AQ13*ABS(AB13)/100, $AQ13*ABS(AB13*(1-AL13))/100)</f>
        <v>0</v>
      </c>
      <c r="AW13" s="174">
        <f t="shared" ref="AW13:AW40" ca="1" si="51">$AQ13*ABS(AC13/100)</f>
        <v>0</v>
      </c>
      <c r="AX13" s="174">
        <f t="shared" ca="1" si="31"/>
        <v>0</v>
      </c>
      <c r="AY13" s="175">
        <f t="shared" ca="1" si="32"/>
        <v>0</v>
      </c>
      <c r="AZ13" s="175">
        <f t="shared" ca="1" si="3"/>
        <v>0</v>
      </c>
      <c r="BB13" s="87" t="e">
        <f t="shared" ca="1" si="33"/>
        <v>#NUM!</v>
      </c>
      <c r="BC13" s="73" t="e">
        <f t="shared" ca="1" si="34"/>
        <v>#NUM!</v>
      </c>
      <c r="BD13" s="73" t="e">
        <f t="shared" ca="1" si="35"/>
        <v>#NUM!</v>
      </c>
      <c r="BE13" s="73" t="e">
        <f t="shared" ca="1" si="36"/>
        <v>#NUM!</v>
      </c>
      <c r="BF13" s="73" t="e">
        <f t="shared" ca="1" si="37"/>
        <v>#NUM!</v>
      </c>
      <c r="BG13" s="73" t="e">
        <f t="shared" ca="1" si="38"/>
        <v>#DIV/0!</v>
      </c>
      <c r="BH13" s="73">
        <f t="shared" ca="1" si="39"/>
        <v>-99</v>
      </c>
      <c r="BI13" s="88">
        <f t="shared" ca="1" si="40"/>
        <v>0</v>
      </c>
      <c r="BJ13" s="73" t="e">
        <f t="shared" ca="1" si="41"/>
        <v>#DIV/0!</v>
      </c>
      <c r="BK13" s="73" t="e">
        <f t="shared" ca="1" si="42"/>
        <v>#NUM!</v>
      </c>
      <c r="BM13" s="93" t="e">
        <f t="shared" ca="1" si="4"/>
        <v>#DIV/0!</v>
      </c>
      <c r="BN13" s="90" t="e">
        <f t="shared" ca="1" si="5"/>
        <v>#DIV/0!</v>
      </c>
      <c r="BO13" s="90" t="e">
        <f t="shared" ca="1" si="6"/>
        <v>#DIV/0!</v>
      </c>
      <c r="BP13" s="91" t="e">
        <f t="shared" ca="1" si="7"/>
        <v>#DIV/0!</v>
      </c>
      <c r="BQ13" s="92">
        <f t="shared" ca="1" si="43"/>
        <v>-99</v>
      </c>
      <c r="BR13" s="93" t="e">
        <f t="shared" ca="1" si="8"/>
        <v>#DIV/0!</v>
      </c>
      <c r="BS13" s="90" t="e">
        <f t="shared" ca="1" si="9"/>
        <v>#DIV/0!</v>
      </c>
      <c r="BT13" s="90" t="e">
        <f t="shared" ca="1" si="10"/>
        <v>#DIV/0!</v>
      </c>
      <c r="BU13" s="91" t="e">
        <f t="shared" ca="1" si="11"/>
        <v>#DIV/0!</v>
      </c>
      <c r="BV13" s="92">
        <f t="shared" ca="1" si="44"/>
        <v>-99</v>
      </c>
      <c r="BW13" s="93" t="e">
        <f t="shared" ca="1" si="12"/>
        <v>#DIV/0!</v>
      </c>
      <c r="BX13" s="90" t="e">
        <f t="shared" ca="1" si="13"/>
        <v>#DIV/0!</v>
      </c>
      <c r="BY13" s="90" t="e">
        <f t="shared" ca="1" si="14"/>
        <v>#DIV/0!</v>
      </c>
      <c r="BZ13" s="91" t="e">
        <f t="shared" ca="1" si="15"/>
        <v>#DIV/0!</v>
      </c>
      <c r="CA13" s="92">
        <f t="shared" ca="1" si="45"/>
        <v>-99</v>
      </c>
      <c r="CB13" s="197">
        <f t="shared" ca="1" si="46"/>
        <v>0</v>
      </c>
      <c r="CC13" s="197">
        <f t="shared" ca="1" si="47"/>
        <v>0</v>
      </c>
      <c r="CD13" s="197">
        <f t="shared" ca="1" si="48"/>
        <v>0</v>
      </c>
      <c r="CE13" s="93" t="e">
        <f t="shared" ref="CE13:CE40" ca="1" si="52">CE$9*CB13/(CE$9*CB13+CF$9*CC13+CG$9*CD13)</f>
        <v>#DIV/0!</v>
      </c>
      <c r="CF13" s="90" t="e">
        <f t="shared" ref="CF13:CF40" ca="1" si="53">CF$9*CC13/(CE$9*CB13+CF$9*CC13+CG$9*CD13)</f>
        <v>#DIV/0!</v>
      </c>
      <c r="CG13" s="90" t="e">
        <f t="shared" ref="CG13:CG40" ca="1" si="54">CG$9*CD13/(CE$9*CB13+CF$9*CC13+CG$9*CD13)</f>
        <v>#DIV/0!</v>
      </c>
      <c r="CH13" s="91" t="e">
        <f t="shared" ca="1" si="16"/>
        <v>#DIV/0!</v>
      </c>
      <c r="CI13" s="92">
        <f t="shared" ca="1" si="49"/>
        <v>-99</v>
      </c>
    </row>
    <row r="14" spans="1:87" ht="15" x14ac:dyDescent="0.25">
      <c r="A14" s="296" t="s">
        <v>236</v>
      </c>
      <c r="B14" s="49"/>
      <c r="C14" s="172"/>
      <c r="D14" s="103"/>
      <c r="E14" s="178"/>
      <c r="F14" s="94"/>
      <c r="G14" s="23"/>
      <c r="H14" s="54"/>
      <c r="I14" s="297"/>
      <c r="J14" s="297"/>
      <c r="K14" s="297"/>
      <c r="L14" s="297"/>
      <c r="M14" s="297"/>
      <c r="N14" s="297"/>
      <c r="O14" s="297">
        <v>-0.5</v>
      </c>
      <c r="P14" s="297"/>
      <c r="Q14" s="297"/>
      <c r="R14" s="297"/>
      <c r="S14" s="170"/>
      <c r="T14" s="71" t="str">
        <f t="shared" ca="1" si="17"/>
        <v/>
      </c>
      <c r="U14" s="72">
        <f t="shared" ca="1" si="18"/>
        <v>0</v>
      </c>
      <c r="V14" s="71">
        <f t="shared" ca="1" si="19"/>
        <v>0</v>
      </c>
      <c r="W14" s="70">
        <f t="shared" ca="1" si="20"/>
        <v>0</v>
      </c>
      <c r="X14" s="297"/>
      <c r="Y14" s="297"/>
      <c r="Z14" s="297"/>
      <c r="AA14" s="297"/>
      <c r="AB14" s="297"/>
      <c r="AC14" s="297"/>
      <c r="AD14" s="297">
        <v>-0.5</v>
      </c>
      <c r="AE14" s="297"/>
      <c r="AF14" s="297"/>
      <c r="AG14" s="297"/>
      <c r="AH14" s="170"/>
      <c r="AI14" s="57">
        <f t="shared" si="21"/>
        <v>0</v>
      </c>
      <c r="AJ14" s="58">
        <f t="shared" si="22"/>
        <v>0.5</v>
      </c>
      <c r="AK14" s="58">
        <f t="shared" si="0"/>
        <v>0.01</v>
      </c>
      <c r="AL14" s="59">
        <f t="shared" si="23"/>
        <v>0</v>
      </c>
      <c r="AM14" s="59">
        <f t="shared" si="24"/>
        <v>0</v>
      </c>
      <c r="AN14" s="72" t="str">
        <f t="shared" si="25"/>
        <v/>
      </c>
      <c r="AO14" s="206">
        <f t="shared" ca="1" si="1"/>
        <v>0</v>
      </c>
      <c r="AP14" s="75">
        <f t="shared" ca="1" si="2"/>
        <v>0</v>
      </c>
      <c r="AQ14" s="174">
        <f t="shared" ca="1" si="26"/>
        <v>0</v>
      </c>
      <c r="AR14" s="175">
        <f t="shared" ca="1" si="27"/>
        <v>0</v>
      </c>
      <c r="AS14" s="175">
        <f t="shared" ca="1" si="28"/>
        <v>0</v>
      </c>
      <c r="AT14" s="175">
        <f t="shared" ca="1" si="29"/>
        <v>0</v>
      </c>
      <c r="AU14" s="174">
        <f t="shared" ca="1" si="30"/>
        <v>0</v>
      </c>
      <c r="AV14" s="174">
        <f t="shared" ca="1" si="50"/>
        <v>0</v>
      </c>
      <c r="AW14" s="174">
        <f t="shared" ca="1" si="51"/>
        <v>0</v>
      </c>
      <c r="AX14" s="174">
        <f t="shared" ca="1" si="31"/>
        <v>0</v>
      </c>
      <c r="AY14" s="175">
        <f t="shared" ca="1" si="32"/>
        <v>0</v>
      </c>
      <c r="AZ14" s="175">
        <f t="shared" ca="1" si="3"/>
        <v>0</v>
      </c>
      <c r="BB14" s="87" t="e">
        <f t="shared" ca="1" si="33"/>
        <v>#NUM!</v>
      </c>
      <c r="BC14" s="73" t="e">
        <f t="shared" ca="1" si="34"/>
        <v>#NUM!</v>
      </c>
      <c r="BD14" s="73" t="e">
        <f t="shared" ca="1" si="35"/>
        <v>#NUM!</v>
      </c>
      <c r="BE14" s="73" t="e">
        <f t="shared" ca="1" si="36"/>
        <v>#NUM!</v>
      </c>
      <c r="BF14" s="73" t="e">
        <f t="shared" ca="1" si="37"/>
        <v>#NUM!</v>
      </c>
      <c r="BG14" s="73" t="e">
        <f t="shared" ca="1" si="38"/>
        <v>#DIV/0!</v>
      </c>
      <c r="BH14" s="73">
        <f t="shared" ca="1" si="39"/>
        <v>-99</v>
      </c>
      <c r="BI14" s="88">
        <f t="shared" ca="1" si="40"/>
        <v>0</v>
      </c>
      <c r="BJ14" s="73" t="e">
        <f t="shared" ca="1" si="41"/>
        <v>#DIV/0!</v>
      </c>
      <c r="BK14" s="73" t="e">
        <f t="shared" ca="1" si="42"/>
        <v>#NUM!</v>
      </c>
      <c r="BM14" s="93" t="e">
        <f t="shared" ca="1" si="4"/>
        <v>#DIV/0!</v>
      </c>
      <c r="BN14" s="90" t="e">
        <f t="shared" ca="1" si="5"/>
        <v>#DIV/0!</v>
      </c>
      <c r="BO14" s="90" t="e">
        <f t="shared" ca="1" si="6"/>
        <v>#DIV/0!</v>
      </c>
      <c r="BP14" s="91" t="e">
        <f t="shared" ca="1" si="7"/>
        <v>#DIV/0!</v>
      </c>
      <c r="BQ14" s="92">
        <f t="shared" ca="1" si="43"/>
        <v>-99</v>
      </c>
      <c r="BR14" s="93" t="e">
        <f t="shared" ca="1" si="8"/>
        <v>#DIV/0!</v>
      </c>
      <c r="BS14" s="90" t="e">
        <f t="shared" ca="1" si="9"/>
        <v>#DIV/0!</v>
      </c>
      <c r="BT14" s="90" t="e">
        <f t="shared" ca="1" si="10"/>
        <v>#DIV/0!</v>
      </c>
      <c r="BU14" s="91" t="e">
        <f t="shared" ca="1" si="11"/>
        <v>#DIV/0!</v>
      </c>
      <c r="BV14" s="92">
        <f t="shared" ca="1" si="44"/>
        <v>-99</v>
      </c>
      <c r="BW14" s="93" t="e">
        <f t="shared" ca="1" si="12"/>
        <v>#DIV/0!</v>
      </c>
      <c r="BX14" s="90" t="e">
        <f t="shared" ca="1" si="13"/>
        <v>#DIV/0!</v>
      </c>
      <c r="BY14" s="90" t="e">
        <f t="shared" ca="1" si="14"/>
        <v>#DIV/0!</v>
      </c>
      <c r="BZ14" s="91" t="e">
        <f t="shared" ca="1" si="15"/>
        <v>#DIV/0!</v>
      </c>
      <c r="CA14" s="92">
        <f t="shared" ca="1" si="45"/>
        <v>-99</v>
      </c>
      <c r="CB14" s="197">
        <f t="shared" ca="1" si="46"/>
        <v>0</v>
      </c>
      <c r="CC14" s="197">
        <f t="shared" ca="1" si="47"/>
        <v>0</v>
      </c>
      <c r="CD14" s="197">
        <f t="shared" ca="1" si="48"/>
        <v>0</v>
      </c>
      <c r="CE14" s="93" t="e">
        <f t="shared" ca="1" si="52"/>
        <v>#DIV/0!</v>
      </c>
      <c r="CF14" s="90" t="e">
        <f t="shared" ca="1" si="53"/>
        <v>#DIV/0!</v>
      </c>
      <c r="CG14" s="90" t="e">
        <f t="shared" ca="1" si="54"/>
        <v>#DIV/0!</v>
      </c>
      <c r="CH14" s="91" t="e">
        <f t="shared" ca="1" si="16"/>
        <v>#DIV/0!</v>
      </c>
      <c r="CI14" s="92">
        <f t="shared" ca="1" si="49"/>
        <v>-99</v>
      </c>
    </row>
    <row r="15" spans="1:87" ht="15" x14ac:dyDescent="0.25">
      <c r="A15" s="296" t="s">
        <v>237</v>
      </c>
      <c r="B15" s="49"/>
      <c r="C15" s="172"/>
      <c r="D15" s="104"/>
      <c r="E15" s="178"/>
      <c r="F15" s="94"/>
      <c r="G15" s="23"/>
      <c r="H15" s="49"/>
      <c r="I15" s="297"/>
      <c r="J15" s="297"/>
      <c r="K15" s="297"/>
      <c r="L15" s="297"/>
      <c r="M15" s="297"/>
      <c r="N15" s="297"/>
      <c r="O15" s="297">
        <v>-0.5</v>
      </c>
      <c r="P15" s="297"/>
      <c r="Q15" s="297"/>
      <c r="R15" s="297"/>
      <c r="S15" s="96"/>
      <c r="T15" s="71" t="str">
        <f t="shared" ca="1" si="17"/>
        <v/>
      </c>
      <c r="U15" s="72">
        <f t="shared" ca="1" si="18"/>
        <v>0</v>
      </c>
      <c r="V15" s="71">
        <f t="shared" ca="1" si="19"/>
        <v>0</v>
      </c>
      <c r="W15" s="71">
        <f t="shared" ca="1" si="20"/>
        <v>0</v>
      </c>
      <c r="X15" s="297"/>
      <c r="Y15" s="297"/>
      <c r="Z15" s="297"/>
      <c r="AA15" s="297"/>
      <c r="AB15" s="297"/>
      <c r="AC15" s="297"/>
      <c r="AD15" s="297">
        <v>-0.5</v>
      </c>
      <c r="AE15" s="297"/>
      <c r="AF15" s="297"/>
      <c r="AG15" s="297"/>
      <c r="AH15" s="96"/>
      <c r="AI15" s="57">
        <f t="shared" si="21"/>
        <v>0</v>
      </c>
      <c r="AJ15" s="58">
        <f t="shared" si="22"/>
        <v>0.5</v>
      </c>
      <c r="AK15" s="58">
        <f t="shared" si="0"/>
        <v>0.01</v>
      </c>
      <c r="AL15" s="59">
        <f t="shared" si="23"/>
        <v>0</v>
      </c>
      <c r="AM15" s="59">
        <f t="shared" si="24"/>
        <v>0</v>
      </c>
      <c r="AN15" s="72" t="str">
        <f t="shared" si="25"/>
        <v/>
      </c>
      <c r="AO15" s="206">
        <f t="shared" ca="1" si="1"/>
        <v>0</v>
      </c>
      <c r="AP15" s="75">
        <f t="shared" ca="1" si="2"/>
        <v>0</v>
      </c>
      <c r="AQ15" s="174">
        <f t="shared" ca="1" si="26"/>
        <v>0</v>
      </c>
      <c r="AR15" s="175">
        <f t="shared" ca="1" si="27"/>
        <v>0</v>
      </c>
      <c r="AS15" s="175">
        <f t="shared" ca="1" si="28"/>
        <v>0</v>
      </c>
      <c r="AT15" s="175">
        <f t="shared" ca="1" si="29"/>
        <v>0</v>
      </c>
      <c r="AU15" s="174">
        <f t="shared" ca="1" si="30"/>
        <v>0</v>
      </c>
      <c r="AV15" s="174">
        <f t="shared" ca="1" si="50"/>
        <v>0</v>
      </c>
      <c r="AW15" s="174">
        <f t="shared" ca="1" si="51"/>
        <v>0</v>
      </c>
      <c r="AX15" s="174">
        <f t="shared" ca="1" si="31"/>
        <v>0</v>
      </c>
      <c r="AY15" s="175">
        <f t="shared" ca="1" si="32"/>
        <v>0</v>
      </c>
      <c r="AZ15" s="175">
        <f t="shared" ca="1" si="3"/>
        <v>0</v>
      </c>
      <c r="BB15" s="87" t="e">
        <f t="shared" ca="1" si="33"/>
        <v>#NUM!</v>
      </c>
      <c r="BC15" s="73" t="e">
        <f t="shared" ca="1" si="34"/>
        <v>#NUM!</v>
      </c>
      <c r="BD15" s="73" t="e">
        <f t="shared" ca="1" si="35"/>
        <v>#NUM!</v>
      </c>
      <c r="BE15" s="73" t="e">
        <f t="shared" ca="1" si="36"/>
        <v>#NUM!</v>
      </c>
      <c r="BF15" s="73" t="e">
        <f t="shared" ca="1" si="37"/>
        <v>#NUM!</v>
      </c>
      <c r="BG15" s="73" t="e">
        <f t="shared" ca="1" si="38"/>
        <v>#DIV/0!</v>
      </c>
      <c r="BH15" s="73">
        <f t="shared" ca="1" si="39"/>
        <v>-99</v>
      </c>
      <c r="BI15" s="88">
        <f t="shared" ca="1" si="40"/>
        <v>0</v>
      </c>
      <c r="BJ15" s="73" t="e">
        <f t="shared" ca="1" si="41"/>
        <v>#DIV/0!</v>
      </c>
      <c r="BK15" s="73" t="e">
        <f t="shared" ca="1" si="42"/>
        <v>#NUM!</v>
      </c>
      <c r="BM15" s="93" t="e">
        <f t="shared" ca="1" si="4"/>
        <v>#DIV/0!</v>
      </c>
      <c r="BN15" s="90" t="e">
        <f t="shared" ca="1" si="5"/>
        <v>#DIV/0!</v>
      </c>
      <c r="BO15" s="90" t="e">
        <f t="shared" ca="1" si="6"/>
        <v>#DIV/0!</v>
      </c>
      <c r="BP15" s="91" t="e">
        <f t="shared" ca="1" si="7"/>
        <v>#DIV/0!</v>
      </c>
      <c r="BQ15" s="92">
        <f t="shared" ca="1" si="43"/>
        <v>-99</v>
      </c>
      <c r="BR15" s="93" t="e">
        <f t="shared" ca="1" si="8"/>
        <v>#DIV/0!</v>
      </c>
      <c r="BS15" s="90" t="e">
        <f t="shared" ca="1" si="9"/>
        <v>#DIV/0!</v>
      </c>
      <c r="BT15" s="90" t="e">
        <f t="shared" ca="1" si="10"/>
        <v>#DIV/0!</v>
      </c>
      <c r="BU15" s="91" t="e">
        <f t="shared" ca="1" si="11"/>
        <v>#DIV/0!</v>
      </c>
      <c r="BV15" s="92">
        <f t="shared" ca="1" si="44"/>
        <v>-99</v>
      </c>
      <c r="BW15" s="93" t="e">
        <f t="shared" ca="1" si="12"/>
        <v>#DIV/0!</v>
      </c>
      <c r="BX15" s="90" t="e">
        <f t="shared" ca="1" si="13"/>
        <v>#DIV/0!</v>
      </c>
      <c r="BY15" s="90" t="e">
        <f t="shared" ca="1" si="14"/>
        <v>#DIV/0!</v>
      </c>
      <c r="BZ15" s="91" t="e">
        <f t="shared" ca="1" si="15"/>
        <v>#DIV/0!</v>
      </c>
      <c r="CA15" s="92">
        <f t="shared" ca="1" si="45"/>
        <v>-99</v>
      </c>
      <c r="CB15" s="197">
        <f t="shared" ca="1" si="46"/>
        <v>0</v>
      </c>
      <c r="CC15" s="197">
        <f t="shared" ca="1" si="47"/>
        <v>0</v>
      </c>
      <c r="CD15" s="197">
        <f t="shared" ca="1" si="48"/>
        <v>0</v>
      </c>
      <c r="CE15" s="93" t="e">
        <f t="shared" ca="1" si="52"/>
        <v>#DIV/0!</v>
      </c>
      <c r="CF15" s="90" t="e">
        <f t="shared" ca="1" si="53"/>
        <v>#DIV/0!</v>
      </c>
      <c r="CG15" s="90" t="e">
        <f t="shared" ca="1" si="54"/>
        <v>#DIV/0!</v>
      </c>
      <c r="CH15" s="91" t="e">
        <f t="shared" ca="1" si="16"/>
        <v>#DIV/0!</v>
      </c>
      <c r="CI15" s="92">
        <f t="shared" ca="1" si="49"/>
        <v>-99</v>
      </c>
    </row>
    <row r="16" spans="1:87" ht="15" x14ac:dyDescent="0.25">
      <c r="A16" s="296" t="s">
        <v>238</v>
      </c>
      <c r="B16" s="49"/>
      <c r="C16" s="172"/>
      <c r="D16" s="104"/>
      <c r="E16" s="178"/>
      <c r="F16" s="94"/>
      <c r="G16" s="23"/>
      <c r="H16" s="49"/>
      <c r="I16" s="297"/>
      <c r="J16" s="297"/>
      <c r="K16" s="297"/>
      <c r="L16" s="297"/>
      <c r="M16" s="297"/>
      <c r="N16" s="297"/>
      <c r="O16" s="297">
        <v>-1</v>
      </c>
      <c r="P16" s="297"/>
      <c r="Q16" s="297"/>
      <c r="R16" s="297"/>
      <c r="S16" s="96"/>
      <c r="T16" s="71" t="str">
        <f t="shared" ca="1" si="17"/>
        <v/>
      </c>
      <c r="U16" s="72">
        <f t="shared" ca="1" si="18"/>
        <v>0</v>
      </c>
      <c r="V16" s="71">
        <f t="shared" ca="1" si="19"/>
        <v>0</v>
      </c>
      <c r="W16" s="71">
        <f t="shared" ca="1" si="20"/>
        <v>0</v>
      </c>
      <c r="X16" s="297"/>
      <c r="Y16" s="297"/>
      <c r="Z16" s="297"/>
      <c r="AA16" s="297"/>
      <c r="AB16" s="297"/>
      <c r="AC16" s="297"/>
      <c r="AD16" s="297">
        <v>-1</v>
      </c>
      <c r="AE16" s="297"/>
      <c r="AF16" s="297"/>
      <c r="AG16" s="297"/>
      <c r="AH16" s="96"/>
      <c r="AI16" s="57">
        <f t="shared" si="21"/>
        <v>0</v>
      </c>
      <c r="AJ16" s="58">
        <f t="shared" si="22"/>
        <v>1</v>
      </c>
      <c r="AK16" s="58">
        <f t="shared" si="0"/>
        <v>0.02</v>
      </c>
      <c r="AL16" s="59">
        <f t="shared" si="23"/>
        <v>0</v>
      </c>
      <c r="AM16" s="59">
        <f t="shared" si="24"/>
        <v>0</v>
      </c>
      <c r="AN16" s="72" t="str">
        <f t="shared" si="25"/>
        <v/>
      </c>
      <c r="AO16" s="206">
        <f t="shared" ca="1" si="1"/>
        <v>0</v>
      </c>
      <c r="AP16" s="75">
        <f t="shared" ca="1" si="2"/>
        <v>0</v>
      </c>
      <c r="AQ16" s="174">
        <f t="shared" ca="1" si="26"/>
        <v>0</v>
      </c>
      <c r="AR16" s="175">
        <f t="shared" ca="1" si="27"/>
        <v>0</v>
      </c>
      <c r="AS16" s="175">
        <f t="shared" ca="1" si="28"/>
        <v>0</v>
      </c>
      <c r="AT16" s="175">
        <f t="shared" ca="1" si="29"/>
        <v>0</v>
      </c>
      <c r="AU16" s="174">
        <f t="shared" ca="1" si="30"/>
        <v>0</v>
      </c>
      <c r="AV16" s="174">
        <f t="shared" ca="1" si="50"/>
        <v>0</v>
      </c>
      <c r="AW16" s="174">
        <f t="shared" ca="1" si="51"/>
        <v>0</v>
      </c>
      <c r="AX16" s="174">
        <f t="shared" ca="1" si="31"/>
        <v>0</v>
      </c>
      <c r="AY16" s="175">
        <f t="shared" ca="1" si="32"/>
        <v>0</v>
      </c>
      <c r="AZ16" s="175">
        <f t="shared" ca="1" si="3"/>
        <v>0</v>
      </c>
      <c r="BB16" s="87" t="e">
        <f t="shared" ca="1" si="33"/>
        <v>#NUM!</v>
      </c>
      <c r="BC16" s="73" t="e">
        <f t="shared" ca="1" si="34"/>
        <v>#NUM!</v>
      </c>
      <c r="BD16" s="73" t="e">
        <f t="shared" ca="1" si="35"/>
        <v>#NUM!</v>
      </c>
      <c r="BE16" s="73" t="e">
        <f t="shared" ca="1" si="36"/>
        <v>#NUM!</v>
      </c>
      <c r="BF16" s="73" t="e">
        <f t="shared" ca="1" si="37"/>
        <v>#NUM!</v>
      </c>
      <c r="BG16" s="73" t="e">
        <f t="shared" ca="1" si="38"/>
        <v>#DIV/0!</v>
      </c>
      <c r="BH16" s="73">
        <f t="shared" ca="1" si="39"/>
        <v>-99</v>
      </c>
      <c r="BI16" s="88">
        <f t="shared" ca="1" si="40"/>
        <v>0</v>
      </c>
      <c r="BJ16" s="73" t="e">
        <f t="shared" ca="1" si="41"/>
        <v>#DIV/0!</v>
      </c>
      <c r="BK16" s="73" t="e">
        <f t="shared" ca="1" si="42"/>
        <v>#NUM!</v>
      </c>
      <c r="BM16" s="93" t="e">
        <f t="shared" ca="1" si="4"/>
        <v>#DIV/0!</v>
      </c>
      <c r="BN16" s="90" t="e">
        <f t="shared" ca="1" si="5"/>
        <v>#DIV/0!</v>
      </c>
      <c r="BO16" s="90" t="e">
        <f t="shared" ca="1" si="6"/>
        <v>#DIV/0!</v>
      </c>
      <c r="BP16" s="91" t="e">
        <f t="shared" ca="1" si="7"/>
        <v>#DIV/0!</v>
      </c>
      <c r="BQ16" s="92">
        <f t="shared" ca="1" si="43"/>
        <v>-99</v>
      </c>
      <c r="BR16" s="93" t="e">
        <f t="shared" ca="1" si="8"/>
        <v>#DIV/0!</v>
      </c>
      <c r="BS16" s="90" t="e">
        <f t="shared" ca="1" si="9"/>
        <v>#DIV/0!</v>
      </c>
      <c r="BT16" s="90" t="e">
        <f t="shared" ca="1" si="10"/>
        <v>#DIV/0!</v>
      </c>
      <c r="BU16" s="91" t="e">
        <f t="shared" ca="1" si="11"/>
        <v>#DIV/0!</v>
      </c>
      <c r="BV16" s="92">
        <f t="shared" ca="1" si="44"/>
        <v>-99</v>
      </c>
      <c r="BW16" s="93" t="e">
        <f t="shared" ca="1" si="12"/>
        <v>#DIV/0!</v>
      </c>
      <c r="BX16" s="90" t="e">
        <f t="shared" ca="1" si="13"/>
        <v>#DIV/0!</v>
      </c>
      <c r="BY16" s="90" t="e">
        <f t="shared" ca="1" si="14"/>
        <v>#DIV/0!</v>
      </c>
      <c r="BZ16" s="91" t="e">
        <f t="shared" ca="1" si="15"/>
        <v>#DIV/0!</v>
      </c>
      <c r="CA16" s="92">
        <f t="shared" ca="1" si="45"/>
        <v>-99</v>
      </c>
      <c r="CB16" s="197">
        <f t="shared" ca="1" si="46"/>
        <v>0</v>
      </c>
      <c r="CC16" s="197">
        <f t="shared" ca="1" si="47"/>
        <v>0</v>
      </c>
      <c r="CD16" s="197">
        <f t="shared" ca="1" si="48"/>
        <v>0</v>
      </c>
      <c r="CE16" s="93" t="e">
        <f t="shared" ca="1" si="52"/>
        <v>#DIV/0!</v>
      </c>
      <c r="CF16" s="90" t="e">
        <f t="shared" ca="1" si="53"/>
        <v>#DIV/0!</v>
      </c>
      <c r="CG16" s="90" t="e">
        <f t="shared" ca="1" si="54"/>
        <v>#DIV/0!</v>
      </c>
      <c r="CH16" s="91" t="e">
        <f t="shared" ca="1" si="16"/>
        <v>#DIV/0!</v>
      </c>
      <c r="CI16" s="92">
        <f t="shared" ca="1" si="49"/>
        <v>-99</v>
      </c>
    </row>
    <row r="17" spans="1:87" ht="15" x14ac:dyDescent="0.25">
      <c r="A17" s="296" t="s">
        <v>239</v>
      </c>
      <c r="B17" s="24"/>
      <c r="C17" s="172"/>
      <c r="D17" s="105"/>
      <c r="E17" s="178"/>
      <c r="F17" s="94"/>
      <c r="G17" s="23"/>
      <c r="H17" s="49"/>
      <c r="I17" s="297"/>
      <c r="J17" s="297"/>
      <c r="K17" s="297"/>
      <c r="L17" s="297"/>
      <c r="M17" s="297"/>
      <c r="N17" s="297"/>
      <c r="O17" s="297">
        <v>-0.5</v>
      </c>
      <c r="P17" s="297"/>
      <c r="Q17" s="297"/>
      <c r="R17" s="297"/>
      <c r="S17" s="95"/>
      <c r="T17" s="71" t="str">
        <f t="shared" ca="1" si="17"/>
        <v/>
      </c>
      <c r="U17" s="72">
        <f t="shared" ca="1" si="18"/>
        <v>0</v>
      </c>
      <c r="V17" s="71">
        <f t="shared" ca="1" si="19"/>
        <v>0</v>
      </c>
      <c r="W17" s="71">
        <f t="shared" ca="1" si="20"/>
        <v>0</v>
      </c>
      <c r="X17" s="297"/>
      <c r="Y17" s="297"/>
      <c r="Z17" s="297"/>
      <c r="AA17" s="297"/>
      <c r="AB17" s="297"/>
      <c r="AC17" s="297"/>
      <c r="AD17" s="297">
        <v>-0.5</v>
      </c>
      <c r="AE17" s="297"/>
      <c r="AF17" s="297"/>
      <c r="AG17" s="297"/>
      <c r="AH17" s="95"/>
      <c r="AI17" s="57">
        <f t="shared" si="21"/>
        <v>0</v>
      </c>
      <c r="AJ17" s="58">
        <f t="shared" si="22"/>
        <v>0.5</v>
      </c>
      <c r="AK17" s="58">
        <f t="shared" si="0"/>
        <v>0.01</v>
      </c>
      <c r="AL17" s="59">
        <f t="shared" si="23"/>
        <v>0</v>
      </c>
      <c r="AM17" s="59">
        <f t="shared" si="24"/>
        <v>0</v>
      </c>
      <c r="AN17" s="72" t="str">
        <f t="shared" si="25"/>
        <v/>
      </c>
      <c r="AO17" s="206">
        <f t="shared" ca="1" si="1"/>
        <v>0</v>
      </c>
      <c r="AP17" s="75">
        <f t="shared" ca="1" si="2"/>
        <v>0</v>
      </c>
      <c r="AQ17" s="174">
        <f t="shared" ca="1" si="26"/>
        <v>0</v>
      </c>
      <c r="AR17" s="175">
        <f t="shared" ca="1" si="27"/>
        <v>0</v>
      </c>
      <c r="AS17" s="175">
        <f t="shared" ca="1" si="28"/>
        <v>0</v>
      </c>
      <c r="AT17" s="175">
        <f t="shared" ca="1" si="29"/>
        <v>0</v>
      </c>
      <c r="AU17" s="174">
        <f t="shared" ca="1" si="30"/>
        <v>0</v>
      </c>
      <c r="AV17" s="174">
        <f t="shared" ca="1" si="50"/>
        <v>0</v>
      </c>
      <c r="AW17" s="174">
        <f t="shared" ca="1" si="51"/>
        <v>0</v>
      </c>
      <c r="AX17" s="174">
        <f t="shared" ca="1" si="31"/>
        <v>0</v>
      </c>
      <c r="AY17" s="175">
        <f t="shared" ca="1" si="32"/>
        <v>0</v>
      </c>
      <c r="AZ17" s="175">
        <f t="shared" ca="1" si="3"/>
        <v>0</v>
      </c>
      <c r="BB17" s="87" t="e">
        <f t="shared" ca="1" si="33"/>
        <v>#NUM!</v>
      </c>
      <c r="BC17" s="73" t="e">
        <f t="shared" ca="1" si="34"/>
        <v>#NUM!</v>
      </c>
      <c r="BD17" s="73" t="e">
        <f t="shared" ca="1" si="35"/>
        <v>#NUM!</v>
      </c>
      <c r="BE17" s="73" t="e">
        <f t="shared" ca="1" si="36"/>
        <v>#NUM!</v>
      </c>
      <c r="BF17" s="73" t="e">
        <f t="shared" ca="1" si="37"/>
        <v>#NUM!</v>
      </c>
      <c r="BG17" s="73" t="e">
        <f t="shared" ca="1" si="38"/>
        <v>#DIV/0!</v>
      </c>
      <c r="BH17" s="73">
        <f t="shared" ca="1" si="39"/>
        <v>-99</v>
      </c>
      <c r="BI17" s="88">
        <f t="shared" ca="1" si="40"/>
        <v>0</v>
      </c>
      <c r="BJ17" s="73" t="e">
        <f t="shared" ca="1" si="41"/>
        <v>#DIV/0!</v>
      </c>
      <c r="BK17" s="73" t="e">
        <f t="shared" ca="1" si="42"/>
        <v>#NUM!</v>
      </c>
      <c r="BM17" s="93" t="e">
        <f t="shared" ca="1" si="4"/>
        <v>#DIV/0!</v>
      </c>
      <c r="BN17" s="90" t="e">
        <f t="shared" ca="1" si="5"/>
        <v>#DIV/0!</v>
      </c>
      <c r="BO17" s="90" t="e">
        <f t="shared" ca="1" si="6"/>
        <v>#DIV/0!</v>
      </c>
      <c r="BP17" s="91" t="e">
        <f t="shared" ref="BP17:BP40" ca="1" si="55">0.5774*BM17+1.1547*BO17</f>
        <v>#DIV/0!</v>
      </c>
      <c r="BQ17" s="92">
        <f t="shared" ca="1" si="43"/>
        <v>-99</v>
      </c>
      <c r="BR17" s="93" t="e">
        <f t="shared" ca="1" si="8"/>
        <v>#DIV/0!</v>
      </c>
      <c r="BS17" s="90" t="e">
        <f t="shared" ca="1" si="9"/>
        <v>#DIV/0!</v>
      </c>
      <c r="BT17" s="90" t="e">
        <f t="shared" ca="1" si="10"/>
        <v>#DIV/0!</v>
      </c>
      <c r="BU17" s="91" t="e">
        <f t="shared" ref="BU17:BU40" ca="1" si="56">0.5774*BR17+1.1547*BT17</f>
        <v>#DIV/0!</v>
      </c>
      <c r="BV17" s="92">
        <f t="shared" ca="1" si="44"/>
        <v>-99</v>
      </c>
      <c r="BW17" s="93" t="e">
        <f t="shared" ca="1" si="12"/>
        <v>#DIV/0!</v>
      </c>
      <c r="BX17" s="90" t="e">
        <f t="shared" ca="1" si="13"/>
        <v>#DIV/0!</v>
      </c>
      <c r="BY17" s="90" t="e">
        <f t="shared" ca="1" si="14"/>
        <v>#DIV/0!</v>
      </c>
      <c r="BZ17" s="91" t="e">
        <f t="shared" ref="BZ17:BZ40" ca="1" si="57">0.5774*BW17+1.1547*BY17</f>
        <v>#DIV/0!</v>
      </c>
      <c r="CA17" s="92">
        <f t="shared" ca="1" si="45"/>
        <v>-99</v>
      </c>
      <c r="CB17" s="197">
        <f t="shared" ca="1" si="46"/>
        <v>0</v>
      </c>
      <c r="CC17" s="197">
        <f t="shared" ca="1" si="47"/>
        <v>0</v>
      </c>
      <c r="CD17" s="197">
        <f t="shared" ca="1" si="48"/>
        <v>0</v>
      </c>
      <c r="CE17" s="93" t="e">
        <f t="shared" ca="1" si="52"/>
        <v>#DIV/0!</v>
      </c>
      <c r="CF17" s="90" t="e">
        <f t="shared" ca="1" si="53"/>
        <v>#DIV/0!</v>
      </c>
      <c r="CG17" s="90" t="e">
        <f t="shared" ca="1" si="54"/>
        <v>#DIV/0!</v>
      </c>
      <c r="CH17" s="91" t="e">
        <f t="shared" ca="1" si="16"/>
        <v>#DIV/0!</v>
      </c>
      <c r="CI17" s="92">
        <f t="shared" ca="1" si="49"/>
        <v>-99</v>
      </c>
    </row>
    <row r="18" spans="1:87" ht="15" x14ac:dyDescent="0.25">
      <c r="A18" s="296" t="s">
        <v>240</v>
      </c>
      <c r="B18" s="26"/>
      <c r="C18" s="199"/>
      <c r="D18" s="106"/>
      <c r="E18" s="178"/>
      <c r="F18" s="173"/>
      <c r="G18" s="23"/>
      <c r="H18" s="200"/>
      <c r="I18" s="297"/>
      <c r="J18" s="297"/>
      <c r="K18" s="297"/>
      <c r="L18" s="297"/>
      <c r="M18" s="297"/>
      <c r="N18" s="297"/>
      <c r="O18" s="297">
        <v>-1</v>
      </c>
      <c r="P18" s="297"/>
      <c r="Q18" s="297"/>
      <c r="R18" s="297"/>
      <c r="S18" s="201"/>
      <c r="T18" s="71" t="str">
        <f t="shared" ca="1" si="17"/>
        <v/>
      </c>
      <c r="U18" s="72">
        <f t="shared" ca="1" si="18"/>
        <v>0</v>
      </c>
      <c r="V18" s="71">
        <f t="shared" ca="1" si="19"/>
        <v>0</v>
      </c>
      <c r="W18" s="71">
        <f t="shared" ca="1" si="20"/>
        <v>0</v>
      </c>
      <c r="X18" s="297"/>
      <c r="Y18" s="297"/>
      <c r="Z18" s="297"/>
      <c r="AA18" s="297"/>
      <c r="AB18" s="297"/>
      <c r="AC18" s="297"/>
      <c r="AD18" s="297">
        <v>-1</v>
      </c>
      <c r="AE18" s="297"/>
      <c r="AF18" s="297"/>
      <c r="AG18" s="297"/>
      <c r="AH18" s="201"/>
      <c r="AI18" s="57">
        <f t="shared" si="21"/>
        <v>0</v>
      </c>
      <c r="AJ18" s="58">
        <f t="shared" si="22"/>
        <v>1</v>
      </c>
      <c r="AK18" s="58">
        <f t="shared" si="0"/>
        <v>0.02</v>
      </c>
      <c r="AL18" s="59">
        <f t="shared" si="23"/>
        <v>0</v>
      </c>
      <c r="AM18" s="59">
        <f t="shared" si="24"/>
        <v>0</v>
      </c>
      <c r="AN18" s="72" t="str">
        <f t="shared" si="25"/>
        <v/>
      </c>
      <c r="AO18" s="206">
        <f t="shared" ca="1" si="1"/>
        <v>0</v>
      </c>
      <c r="AP18" s="75">
        <f t="shared" ca="1" si="2"/>
        <v>0</v>
      </c>
      <c r="AQ18" s="174">
        <f t="shared" ca="1" si="26"/>
        <v>0</v>
      </c>
      <c r="AR18" s="175">
        <f t="shared" ca="1" si="27"/>
        <v>0</v>
      </c>
      <c r="AS18" s="175">
        <f t="shared" ca="1" si="28"/>
        <v>0</v>
      </c>
      <c r="AT18" s="175">
        <f t="shared" ca="1" si="29"/>
        <v>0</v>
      </c>
      <c r="AU18" s="174">
        <f t="shared" ca="1" si="30"/>
        <v>0</v>
      </c>
      <c r="AV18" s="174">
        <f t="shared" ca="1" si="50"/>
        <v>0</v>
      </c>
      <c r="AW18" s="174">
        <f t="shared" ca="1" si="51"/>
        <v>0</v>
      </c>
      <c r="AX18" s="174">
        <f t="shared" ca="1" si="31"/>
        <v>0</v>
      </c>
      <c r="AY18" s="175">
        <f t="shared" ca="1" si="32"/>
        <v>0</v>
      </c>
      <c r="AZ18" s="175">
        <f t="shared" ca="1" si="3"/>
        <v>0</v>
      </c>
      <c r="BB18" s="87" t="e">
        <f ca="1">LOG(AR18)+4*LOG(AX18)-LOG(AW18)</f>
        <v>#NUM!</v>
      </c>
      <c r="BC18" s="73" t="e">
        <f t="shared" ca="1" si="34"/>
        <v>#NUM!</v>
      </c>
      <c r="BD18" s="73" t="e">
        <f t="shared" ca="1" si="35"/>
        <v>#NUM!</v>
      </c>
      <c r="BE18" s="73" t="e">
        <f t="shared" ca="1" si="36"/>
        <v>#NUM!</v>
      </c>
      <c r="BF18" s="73" t="e">
        <f t="shared" ca="1" si="37"/>
        <v>#NUM!</v>
      </c>
      <c r="BG18" s="73" t="e">
        <f t="shared" ca="1" si="38"/>
        <v>#DIV/0!</v>
      </c>
      <c r="BH18" s="73">
        <f t="shared" ca="1" si="39"/>
        <v>-99</v>
      </c>
      <c r="BI18" s="88">
        <f t="shared" ca="1" si="40"/>
        <v>0</v>
      </c>
      <c r="BJ18" s="73" t="e">
        <f t="shared" ca="1" si="41"/>
        <v>#DIV/0!</v>
      </c>
      <c r="BK18" s="73" t="e">
        <f t="shared" ca="1" si="42"/>
        <v>#NUM!</v>
      </c>
      <c r="BM18" s="205" t="e">
        <f t="shared" ca="1" si="4"/>
        <v>#DIV/0!</v>
      </c>
      <c r="BN18" s="202" t="e">
        <f t="shared" ca="1" si="5"/>
        <v>#DIV/0!</v>
      </c>
      <c r="BO18" s="202" t="e">
        <f t="shared" ca="1" si="6"/>
        <v>#DIV/0!</v>
      </c>
      <c r="BP18" s="203" t="e">
        <f t="shared" ca="1" si="55"/>
        <v>#DIV/0!</v>
      </c>
      <c r="BQ18" s="204">
        <f t="shared" ca="1" si="43"/>
        <v>-99</v>
      </c>
      <c r="BR18" s="205" t="e">
        <f t="shared" ca="1" si="8"/>
        <v>#DIV/0!</v>
      </c>
      <c r="BS18" s="202" t="e">
        <f t="shared" ca="1" si="9"/>
        <v>#DIV/0!</v>
      </c>
      <c r="BT18" s="202" t="e">
        <f t="shared" ca="1" si="10"/>
        <v>#DIV/0!</v>
      </c>
      <c r="BU18" s="203" t="e">
        <f t="shared" ca="1" si="56"/>
        <v>#DIV/0!</v>
      </c>
      <c r="BV18" s="204">
        <f t="shared" ca="1" si="44"/>
        <v>-99</v>
      </c>
      <c r="BW18" s="205" t="e">
        <f t="shared" ca="1" si="12"/>
        <v>#DIV/0!</v>
      </c>
      <c r="BX18" s="202" t="e">
        <f t="shared" ca="1" si="13"/>
        <v>#DIV/0!</v>
      </c>
      <c r="BY18" s="202" t="e">
        <f t="shared" ca="1" si="14"/>
        <v>#DIV/0!</v>
      </c>
      <c r="BZ18" s="203" t="e">
        <f t="shared" ca="1" si="57"/>
        <v>#DIV/0!</v>
      </c>
      <c r="CA18" s="204">
        <f t="shared" ca="1" si="45"/>
        <v>-99</v>
      </c>
      <c r="CB18" s="197">
        <f t="shared" ca="1" si="46"/>
        <v>0</v>
      </c>
      <c r="CC18" s="197">
        <f t="shared" ca="1" si="47"/>
        <v>0</v>
      </c>
      <c r="CD18" s="197">
        <f t="shared" ca="1" si="48"/>
        <v>0</v>
      </c>
      <c r="CE18" s="205" t="e">
        <f t="shared" ca="1" si="52"/>
        <v>#DIV/0!</v>
      </c>
      <c r="CF18" s="202" t="e">
        <f t="shared" ca="1" si="53"/>
        <v>#DIV/0!</v>
      </c>
      <c r="CG18" s="202" t="e">
        <f t="shared" ca="1" si="54"/>
        <v>#DIV/0!</v>
      </c>
      <c r="CH18" s="203" t="e">
        <f t="shared" ca="1" si="16"/>
        <v>#DIV/0!</v>
      </c>
      <c r="CI18" s="204">
        <f t="shared" ca="1" si="49"/>
        <v>-99</v>
      </c>
    </row>
    <row r="19" spans="1:87" ht="15" x14ac:dyDescent="0.25">
      <c r="A19" s="296" t="s">
        <v>241</v>
      </c>
      <c r="B19" s="18"/>
      <c r="C19" s="172"/>
      <c r="D19" s="104"/>
      <c r="E19" s="178"/>
      <c r="F19" s="173"/>
      <c r="G19" s="23"/>
      <c r="H19" s="49"/>
      <c r="I19" s="297"/>
      <c r="J19" s="297"/>
      <c r="K19" s="297"/>
      <c r="L19" s="297"/>
      <c r="M19" s="297"/>
      <c r="N19" s="297"/>
      <c r="O19" s="297">
        <v>-0.1</v>
      </c>
      <c r="P19" s="297"/>
      <c r="Q19" s="297"/>
      <c r="R19" s="297"/>
      <c r="S19" s="96"/>
      <c r="T19" s="71" t="str">
        <f t="shared" ca="1" si="17"/>
        <v/>
      </c>
      <c r="U19" s="71">
        <f t="shared" ca="1" si="18"/>
        <v>0</v>
      </c>
      <c r="V19" s="71">
        <f t="shared" ca="1" si="19"/>
        <v>0</v>
      </c>
      <c r="W19" s="71">
        <f t="shared" ca="1" si="20"/>
        <v>0</v>
      </c>
      <c r="X19" s="297"/>
      <c r="Y19" s="297"/>
      <c r="Z19" s="297"/>
      <c r="AA19" s="297"/>
      <c r="AB19" s="297"/>
      <c r="AC19" s="297"/>
      <c r="AD19" s="297">
        <v>-0.1</v>
      </c>
      <c r="AE19" s="297"/>
      <c r="AF19" s="297"/>
      <c r="AG19" s="297"/>
      <c r="AH19" s="96"/>
      <c r="AI19" s="57">
        <f t="shared" si="21"/>
        <v>0</v>
      </c>
      <c r="AJ19" s="58">
        <f t="shared" si="22"/>
        <v>0.1</v>
      </c>
      <c r="AK19" s="58">
        <f t="shared" si="0"/>
        <v>2E-3</v>
      </c>
      <c r="AL19" s="59">
        <f t="shared" si="23"/>
        <v>0</v>
      </c>
      <c r="AM19" s="59">
        <f t="shared" si="24"/>
        <v>0</v>
      </c>
      <c r="AN19" s="72" t="str">
        <f t="shared" si="25"/>
        <v/>
      </c>
      <c r="AO19" s="206">
        <f t="shared" ca="1" si="1"/>
        <v>0</v>
      </c>
      <c r="AP19" s="75">
        <f t="shared" ca="1" si="2"/>
        <v>0</v>
      </c>
      <c r="AQ19" s="174">
        <f t="shared" ca="1" si="26"/>
        <v>0</v>
      </c>
      <c r="AR19" s="175">
        <f t="shared" ca="1" si="27"/>
        <v>0</v>
      </c>
      <c r="AS19" s="175">
        <f t="shared" ca="1" si="28"/>
        <v>0</v>
      </c>
      <c r="AT19" s="175">
        <f t="shared" ca="1" si="29"/>
        <v>0</v>
      </c>
      <c r="AU19" s="174">
        <f t="shared" ca="1" si="30"/>
        <v>0</v>
      </c>
      <c r="AV19" s="174">
        <f t="shared" ca="1" si="50"/>
        <v>0</v>
      </c>
      <c r="AW19" s="174">
        <f t="shared" ca="1" si="51"/>
        <v>0</v>
      </c>
      <c r="AX19" s="174">
        <f t="shared" ca="1" si="31"/>
        <v>0</v>
      </c>
      <c r="AY19" s="175">
        <f t="shared" ca="1" si="32"/>
        <v>0</v>
      </c>
      <c r="AZ19" s="175">
        <f t="shared" ca="1" si="3"/>
        <v>0</v>
      </c>
      <c r="BB19" s="87" t="e">
        <f t="shared" ca="1" si="33"/>
        <v>#NUM!</v>
      </c>
      <c r="BC19" s="73" t="e">
        <f t="shared" ca="1" si="34"/>
        <v>#NUM!</v>
      </c>
      <c r="BD19" s="73" t="e">
        <f t="shared" ca="1" si="35"/>
        <v>#NUM!</v>
      </c>
      <c r="BE19" s="73" t="e">
        <f t="shared" ca="1" si="36"/>
        <v>#NUM!</v>
      </c>
      <c r="BF19" s="73" t="e">
        <f t="shared" ca="1" si="37"/>
        <v>#NUM!</v>
      </c>
      <c r="BG19" s="73" t="e">
        <f t="shared" ca="1" si="38"/>
        <v>#DIV/0!</v>
      </c>
      <c r="BH19" s="73">
        <f t="shared" ca="1" si="39"/>
        <v>-99</v>
      </c>
      <c r="BI19" s="88">
        <f t="shared" ca="1" si="40"/>
        <v>0</v>
      </c>
      <c r="BJ19" s="73" t="e">
        <f t="shared" ca="1" si="41"/>
        <v>#DIV/0!</v>
      </c>
      <c r="BK19" s="73" t="e">
        <f t="shared" ca="1" si="42"/>
        <v>#NUM!</v>
      </c>
      <c r="BM19" s="93" t="e">
        <f t="shared" ca="1" si="4"/>
        <v>#DIV/0!</v>
      </c>
      <c r="BN19" s="90" t="e">
        <f t="shared" ca="1" si="5"/>
        <v>#DIV/0!</v>
      </c>
      <c r="BO19" s="90" t="e">
        <f t="shared" ca="1" si="6"/>
        <v>#DIV/0!</v>
      </c>
      <c r="BP19" s="91" t="e">
        <f t="shared" ca="1" si="55"/>
        <v>#DIV/0!</v>
      </c>
      <c r="BQ19" s="92">
        <f t="shared" ca="1" si="43"/>
        <v>-99</v>
      </c>
      <c r="BR19" s="93" t="e">
        <f t="shared" ca="1" si="8"/>
        <v>#DIV/0!</v>
      </c>
      <c r="BS19" s="90" t="e">
        <f t="shared" ca="1" si="9"/>
        <v>#DIV/0!</v>
      </c>
      <c r="BT19" s="90" t="e">
        <f t="shared" ca="1" si="10"/>
        <v>#DIV/0!</v>
      </c>
      <c r="BU19" s="91" t="e">
        <f t="shared" ca="1" si="56"/>
        <v>#DIV/0!</v>
      </c>
      <c r="BV19" s="92">
        <f t="shared" ca="1" si="44"/>
        <v>-99</v>
      </c>
      <c r="BW19" s="93" t="e">
        <f t="shared" ca="1" si="12"/>
        <v>#DIV/0!</v>
      </c>
      <c r="BX19" s="90" t="e">
        <f t="shared" ca="1" si="13"/>
        <v>#DIV/0!</v>
      </c>
      <c r="BY19" s="90" t="e">
        <f t="shared" ca="1" si="14"/>
        <v>#DIV/0!</v>
      </c>
      <c r="BZ19" s="91" t="e">
        <f t="shared" ca="1" si="57"/>
        <v>#DIV/0!</v>
      </c>
      <c r="CA19" s="92">
        <f t="shared" ca="1" si="45"/>
        <v>-99</v>
      </c>
      <c r="CB19" s="197">
        <f t="shared" ca="1" si="46"/>
        <v>0</v>
      </c>
      <c r="CC19" s="197">
        <f t="shared" ca="1" si="47"/>
        <v>0</v>
      </c>
      <c r="CD19" s="197">
        <f t="shared" ca="1" si="48"/>
        <v>0</v>
      </c>
      <c r="CE19" s="93" t="e">
        <f t="shared" ca="1" si="52"/>
        <v>#DIV/0!</v>
      </c>
      <c r="CF19" s="90" t="e">
        <f t="shared" ca="1" si="53"/>
        <v>#DIV/0!</v>
      </c>
      <c r="CG19" s="90" t="e">
        <f t="shared" ca="1" si="54"/>
        <v>#DIV/0!</v>
      </c>
      <c r="CH19" s="91" t="e">
        <f t="shared" ca="1" si="16"/>
        <v>#DIV/0!</v>
      </c>
      <c r="CI19" s="92">
        <f t="shared" ca="1" si="49"/>
        <v>-99</v>
      </c>
    </row>
    <row r="20" spans="1:87" ht="15" x14ac:dyDescent="0.25">
      <c r="A20" s="296" t="s">
        <v>241</v>
      </c>
      <c r="B20" s="18"/>
      <c r="C20" s="172"/>
      <c r="D20" s="104"/>
      <c r="E20" s="178"/>
      <c r="F20" s="173"/>
      <c r="G20" s="23"/>
      <c r="H20" s="49"/>
      <c r="I20" s="297"/>
      <c r="J20" s="297"/>
      <c r="K20" s="297"/>
      <c r="L20" s="297"/>
      <c r="M20" s="297"/>
      <c r="N20" s="297"/>
      <c r="O20" s="297">
        <v>-0.1</v>
      </c>
      <c r="P20" s="297"/>
      <c r="Q20" s="297"/>
      <c r="R20" s="297"/>
      <c r="S20" s="96"/>
      <c r="T20" s="71" t="str">
        <f t="shared" ca="1" si="17"/>
        <v/>
      </c>
      <c r="U20" s="71">
        <f t="shared" ca="1" si="18"/>
        <v>0</v>
      </c>
      <c r="V20" s="71">
        <f t="shared" ca="1" si="19"/>
        <v>0</v>
      </c>
      <c r="W20" s="71">
        <f t="shared" ca="1" si="20"/>
        <v>0</v>
      </c>
      <c r="X20" s="297"/>
      <c r="Y20" s="297"/>
      <c r="Z20" s="297"/>
      <c r="AA20" s="297"/>
      <c r="AB20" s="297"/>
      <c r="AC20" s="297"/>
      <c r="AD20" s="297">
        <v>-0.1</v>
      </c>
      <c r="AE20" s="297"/>
      <c r="AF20" s="297"/>
      <c r="AG20" s="297"/>
      <c r="AH20" s="96"/>
      <c r="AI20" s="57">
        <f t="shared" si="21"/>
        <v>0</v>
      </c>
      <c r="AJ20" s="58">
        <f t="shared" si="22"/>
        <v>0.1</v>
      </c>
      <c r="AK20" s="58">
        <f t="shared" si="0"/>
        <v>2E-3</v>
      </c>
      <c r="AL20" s="59">
        <f t="shared" si="23"/>
        <v>0</v>
      </c>
      <c r="AM20" s="59">
        <f t="shared" si="24"/>
        <v>0</v>
      </c>
      <c r="AN20" s="72" t="str">
        <f t="shared" si="25"/>
        <v/>
      </c>
      <c r="AO20" s="206">
        <f t="shared" ca="1" si="1"/>
        <v>0</v>
      </c>
      <c r="AP20" s="75">
        <f t="shared" ca="1" si="2"/>
        <v>0</v>
      </c>
      <c r="AQ20" s="174">
        <f t="shared" ca="1" si="26"/>
        <v>0</v>
      </c>
      <c r="AR20" s="175">
        <f t="shared" ca="1" si="27"/>
        <v>0</v>
      </c>
      <c r="AS20" s="175">
        <f t="shared" ca="1" si="28"/>
        <v>0</v>
      </c>
      <c r="AT20" s="175">
        <f t="shared" ca="1" si="29"/>
        <v>0</v>
      </c>
      <c r="AU20" s="174">
        <f t="shared" ca="1" si="30"/>
        <v>0</v>
      </c>
      <c r="AV20" s="174">
        <f t="shared" ca="1" si="50"/>
        <v>0</v>
      </c>
      <c r="AW20" s="174">
        <f t="shared" ca="1" si="51"/>
        <v>0</v>
      </c>
      <c r="AX20" s="174">
        <f t="shared" ca="1" si="31"/>
        <v>0</v>
      </c>
      <c r="AY20" s="175">
        <f t="shared" ca="1" si="32"/>
        <v>0</v>
      </c>
      <c r="AZ20" s="175">
        <f t="shared" ca="1" si="3"/>
        <v>0</v>
      </c>
      <c r="BB20" s="87" t="e">
        <f t="shared" ca="1" si="33"/>
        <v>#NUM!</v>
      </c>
      <c r="BC20" s="73" t="e">
        <f t="shared" ca="1" si="34"/>
        <v>#NUM!</v>
      </c>
      <c r="BD20" s="73" t="e">
        <f t="shared" ca="1" si="35"/>
        <v>#NUM!</v>
      </c>
      <c r="BE20" s="73" t="e">
        <f t="shared" ca="1" si="36"/>
        <v>#NUM!</v>
      </c>
      <c r="BF20" s="73" t="e">
        <f t="shared" ca="1" si="37"/>
        <v>#NUM!</v>
      </c>
      <c r="BG20" s="73" t="e">
        <f t="shared" ca="1" si="38"/>
        <v>#DIV/0!</v>
      </c>
      <c r="BH20" s="73">
        <f t="shared" ca="1" si="39"/>
        <v>-99</v>
      </c>
      <c r="BI20" s="88">
        <f t="shared" ca="1" si="40"/>
        <v>0</v>
      </c>
      <c r="BJ20" s="73" t="e">
        <f t="shared" ca="1" si="41"/>
        <v>#DIV/0!</v>
      </c>
      <c r="BK20" s="73" t="e">
        <f t="shared" ca="1" si="42"/>
        <v>#NUM!</v>
      </c>
      <c r="BM20" s="93" t="e">
        <f t="shared" ca="1" si="4"/>
        <v>#DIV/0!</v>
      </c>
      <c r="BN20" s="90" t="e">
        <f t="shared" ca="1" si="5"/>
        <v>#DIV/0!</v>
      </c>
      <c r="BO20" s="90" t="e">
        <f t="shared" ca="1" si="6"/>
        <v>#DIV/0!</v>
      </c>
      <c r="BP20" s="91" t="e">
        <f t="shared" ca="1" si="55"/>
        <v>#DIV/0!</v>
      </c>
      <c r="BQ20" s="92">
        <f t="shared" ca="1" si="43"/>
        <v>-99</v>
      </c>
      <c r="BR20" s="93" t="e">
        <f t="shared" ca="1" si="8"/>
        <v>#DIV/0!</v>
      </c>
      <c r="BS20" s="90" t="e">
        <f t="shared" ca="1" si="9"/>
        <v>#DIV/0!</v>
      </c>
      <c r="BT20" s="90" t="e">
        <f t="shared" ca="1" si="10"/>
        <v>#DIV/0!</v>
      </c>
      <c r="BU20" s="91" t="e">
        <f t="shared" ca="1" si="56"/>
        <v>#DIV/0!</v>
      </c>
      <c r="BV20" s="92">
        <f t="shared" ca="1" si="44"/>
        <v>-99</v>
      </c>
      <c r="BW20" s="93" t="e">
        <f t="shared" ca="1" si="12"/>
        <v>#DIV/0!</v>
      </c>
      <c r="BX20" s="90" t="e">
        <f t="shared" ca="1" si="13"/>
        <v>#DIV/0!</v>
      </c>
      <c r="BY20" s="90" t="e">
        <f t="shared" ca="1" si="14"/>
        <v>#DIV/0!</v>
      </c>
      <c r="BZ20" s="91" t="e">
        <f t="shared" ca="1" si="57"/>
        <v>#DIV/0!</v>
      </c>
      <c r="CA20" s="92">
        <f t="shared" ca="1" si="45"/>
        <v>-99</v>
      </c>
      <c r="CB20" s="197">
        <f t="shared" ca="1" si="46"/>
        <v>0</v>
      </c>
      <c r="CC20" s="197">
        <f t="shared" ca="1" si="47"/>
        <v>0</v>
      </c>
      <c r="CD20" s="197">
        <f t="shared" ca="1" si="48"/>
        <v>0</v>
      </c>
      <c r="CE20" s="93" t="e">
        <f t="shared" ca="1" si="52"/>
        <v>#DIV/0!</v>
      </c>
      <c r="CF20" s="90" t="e">
        <f t="shared" ca="1" si="53"/>
        <v>#DIV/0!</v>
      </c>
      <c r="CG20" s="90" t="e">
        <f t="shared" ca="1" si="54"/>
        <v>#DIV/0!</v>
      </c>
      <c r="CH20" s="91" t="e">
        <f t="shared" ca="1" si="16"/>
        <v>#DIV/0!</v>
      </c>
      <c r="CI20" s="92">
        <f t="shared" ca="1" si="49"/>
        <v>-99</v>
      </c>
    </row>
    <row r="21" spans="1:87" ht="15" x14ac:dyDescent="0.25">
      <c r="A21" s="296" t="s">
        <v>242</v>
      </c>
      <c r="B21" s="24"/>
      <c r="C21" s="172"/>
      <c r="D21" s="106"/>
      <c r="E21" s="178"/>
      <c r="F21" s="173"/>
      <c r="G21" s="20"/>
      <c r="H21" s="110"/>
      <c r="I21" s="297"/>
      <c r="J21" s="297"/>
      <c r="K21" s="297"/>
      <c r="L21" s="297"/>
      <c r="M21" s="297"/>
      <c r="N21" s="297"/>
      <c r="O21" s="297">
        <v>65</v>
      </c>
      <c r="P21" s="297"/>
      <c r="Q21" s="297"/>
      <c r="R21" s="297"/>
      <c r="S21" s="170"/>
      <c r="T21" s="71" t="str">
        <f t="shared" ca="1" si="17"/>
        <v/>
      </c>
      <c r="U21" s="71">
        <f t="shared" ca="1" si="18"/>
        <v>0</v>
      </c>
      <c r="V21" s="71">
        <f t="shared" ca="1" si="19"/>
        <v>0</v>
      </c>
      <c r="W21" s="71">
        <f t="shared" ca="1" si="20"/>
        <v>0</v>
      </c>
      <c r="X21" s="297"/>
      <c r="Y21" s="297"/>
      <c r="Z21" s="297"/>
      <c r="AA21" s="297"/>
      <c r="AB21" s="297"/>
      <c r="AC21" s="297"/>
      <c r="AD21" s="297">
        <v>65</v>
      </c>
      <c r="AE21" s="297"/>
      <c r="AF21" s="297"/>
      <c r="AG21" s="297"/>
      <c r="AH21" s="170"/>
      <c r="AI21" s="57">
        <f t="shared" si="21"/>
        <v>0</v>
      </c>
      <c r="AJ21" s="58">
        <f t="shared" si="22"/>
        <v>65</v>
      </c>
      <c r="AK21" s="58">
        <f t="shared" si="0"/>
        <v>1.3</v>
      </c>
      <c r="AL21" s="59">
        <f t="shared" si="23"/>
        <v>0</v>
      </c>
      <c r="AM21" s="59">
        <f t="shared" si="24"/>
        <v>0</v>
      </c>
      <c r="AN21" s="72" t="str">
        <f t="shared" si="25"/>
        <v/>
      </c>
      <c r="AO21" s="206">
        <f t="shared" ca="1" si="1"/>
        <v>0</v>
      </c>
      <c r="AP21" s="75">
        <f t="shared" ca="1" si="2"/>
        <v>0</v>
      </c>
      <c r="AQ21" s="174">
        <f t="shared" ca="1" si="26"/>
        <v>0</v>
      </c>
      <c r="AR21" s="175">
        <f t="shared" ca="1" si="27"/>
        <v>0</v>
      </c>
      <c r="AS21" s="175">
        <f t="shared" ca="1" si="28"/>
        <v>0</v>
      </c>
      <c r="AT21" s="175">
        <f t="shared" ca="1" si="29"/>
        <v>0</v>
      </c>
      <c r="AU21" s="174">
        <f t="shared" ca="1" si="30"/>
        <v>0</v>
      </c>
      <c r="AV21" s="174">
        <f t="shared" ca="1" si="50"/>
        <v>0</v>
      </c>
      <c r="AW21" s="174">
        <f t="shared" ca="1" si="51"/>
        <v>0</v>
      </c>
      <c r="AX21" s="174">
        <f t="shared" ca="1" si="31"/>
        <v>0</v>
      </c>
      <c r="AY21" s="175">
        <f t="shared" ca="1" si="32"/>
        <v>0</v>
      </c>
      <c r="AZ21" s="175">
        <f t="shared" ca="1" si="3"/>
        <v>0</v>
      </c>
      <c r="BB21" s="87" t="e">
        <f t="shared" ca="1" si="33"/>
        <v>#NUM!</v>
      </c>
      <c r="BC21" s="73" t="e">
        <f t="shared" ca="1" si="34"/>
        <v>#NUM!</v>
      </c>
      <c r="BD21" s="73" t="e">
        <f t="shared" ca="1" si="35"/>
        <v>#NUM!</v>
      </c>
      <c r="BE21" s="73" t="e">
        <f t="shared" ca="1" si="36"/>
        <v>#NUM!</v>
      </c>
      <c r="BF21" s="73" t="e">
        <f t="shared" ca="1" si="37"/>
        <v>#NUM!</v>
      </c>
      <c r="BG21" s="73" t="e">
        <f t="shared" ca="1" si="38"/>
        <v>#DIV/0!</v>
      </c>
      <c r="BH21" s="73">
        <f t="shared" ca="1" si="39"/>
        <v>-99</v>
      </c>
      <c r="BI21" s="88">
        <f t="shared" ca="1" si="40"/>
        <v>0</v>
      </c>
      <c r="BJ21" s="73" t="e">
        <f t="shared" ca="1" si="41"/>
        <v>#DIV/0!</v>
      </c>
      <c r="BK21" s="73" t="e">
        <f t="shared" ca="1" si="42"/>
        <v>#NUM!</v>
      </c>
      <c r="BM21" s="93" t="e">
        <f t="shared" ca="1" si="4"/>
        <v>#DIV/0!</v>
      </c>
      <c r="BN21" s="90" t="e">
        <f t="shared" ca="1" si="5"/>
        <v>#DIV/0!</v>
      </c>
      <c r="BO21" s="90" t="e">
        <f t="shared" ca="1" si="6"/>
        <v>#DIV/0!</v>
      </c>
      <c r="BP21" s="91" t="e">
        <f t="shared" ca="1" si="55"/>
        <v>#DIV/0!</v>
      </c>
      <c r="BQ21" s="92">
        <f t="shared" ca="1" si="43"/>
        <v>-99</v>
      </c>
      <c r="BR21" s="93" t="e">
        <f t="shared" ca="1" si="8"/>
        <v>#DIV/0!</v>
      </c>
      <c r="BS21" s="90" t="e">
        <f t="shared" ca="1" si="9"/>
        <v>#DIV/0!</v>
      </c>
      <c r="BT21" s="90" t="e">
        <f t="shared" ca="1" si="10"/>
        <v>#DIV/0!</v>
      </c>
      <c r="BU21" s="91" t="e">
        <f t="shared" ca="1" si="56"/>
        <v>#DIV/0!</v>
      </c>
      <c r="BV21" s="92">
        <f t="shared" ca="1" si="44"/>
        <v>-99</v>
      </c>
      <c r="BW21" s="93" t="e">
        <f t="shared" ca="1" si="12"/>
        <v>#DIV/0!</v>
      </c>
      <c r="BX21" s="90" t="e">
        <f t="shared" ca="1" si="13"/>
        <v>#DIV/0!</v>
      </c>
      <c r="BY21" s="90" t="e">
        <f t="shared" ca="1" si="14"/>
        <v>#DIV/0!</v>
      </c>
      <c r="BZ21" s="91" t="e">
        <f t="shared" ca="1" si="57"/>
        <v>#DIV/0!</v>
      </c>
      <c r="CA21" s="92">
        <f t="shared" ca="1" si="45"/>
        <v>-99</v>
      </c>
      <c r="CB21" s="197">
        <f t="shared" ca="1" si="46"/>
        <v>0</v>
      </c>
      <c r="CC21" s="197">
        <f t="shared" ca="1" si="47"/>
        <v>0</v>
      </c>
      <c r="CD21" s="197">
        <f t="shared" ca="1" si="48"/>
        <v>0</v>
      </c>
      <c r="CE21" s="93" t="e">
        <f t="shared" ca="1" si="52"/>
        <v>#DIV/0!</v>
      </c>
      <c r="CF21" s="90" t="e">
        <f t="shared" ca="1" si="53"/>
        <v>#DIV/0!</v>
      </c>
      <c r="CG21" s="90" t="e">
        <f t="shared" ca="1" si="54"/>
        <v>#DIV/0!</v>
      </c>
      <c r="CH21" s="91" t="e">
        <f t="shared" ca="1" si="16"/>
        <v>#DIV/0!</v>
      </c>
      <c r="CI21" s="92">
        <f t="shared" ca="1" si="49"/>
        <v>-99</v>
      </c>
    </row>
    <row r="22" spans="1:87" ht="15" x14ac:dyDescent="0.25">
      <c r="A22" s="296" t="s">
        <v>243</v>
      </c>
      <c r="B22" s="26"/>
      <c r="C22" s="172"/>
      <c r="D22" s="106"/>
      <c r="E22" s="178"/>
      <c r="F22" s="21"/>
      <c r="G22" s="23"/>
      <c r="H22" s="110"/>
      <c r="I22" s="297"/>
      <c r="J22" s="297"/>
      <c r="K22" s="297"/>
      <c r="L22" s="297"/>
      <c r="M22" s="297"/>
      <c r="N22" s="297"/>
      <c r="O22" s="297">
        <v>5.6</v>
      </c>
      <c r="P22" s="297"/>
      <c r="Q22" s="297"/>
      <c r="R22" s="297"/>
      <c r="S22" s="170"/>
      <c r="T22" s="71" t="str">
        <f t="shared" ca="1" si="17"/>
        <v/>
      </c>
      <c r="U22" s="71">
        <f t="shared" ca="1" si="18"/>
        <v>0</v>
      </c>
      <c r="V22" s="71">
        <f t="shared" ca="1" si="19"/>
        <v>0</v>
      </c>
      <c r="W22" s="71">
        <f t="shared" ca="1" si="20"/>
        <v>0</v>
      </c>
      <c r="X22" s="297"/>
      <c r="Y22" s="297"/>
      <c r="Z22" s="297"/>
      <c r="AA22" s="297"/>
      <c r="AB22" s="297"/>
      <c r="AC22" s="297"/>
      <c r="AD22" s="297">
        <v>5.6</v>
      </c>
      <c r="AE22" s="297"/>
      <c r="AF22" s="297"/>
      <c r="AG22" s="297"/>
      <c r="AH22" s="170"/>
      <c r="AI22" s="57">
        <f t="shared" si="21"/>
        <v>0</v>
      </c>
      <c r="AJ22" s="58">
        <f t="shared" si="22"/>
        <v>5.6</v>
      </c>
      <c r="AK22" s="58">
        <f t="shared" si="0"/>
        <v>0.11199999999999999</v>
      </c>
      <c r="AL22" s="59">
        <f t="shared" si="23"/>
        <v>0</v>
      </c>
      <c r="AM22" s="59">
        <f t="shared" si="24"/>
        <v>0</v>
      </c>
      <c r="AN22" s="72" t="str">
        <f t="shared" si="25"/>
        <v/>
      </c>
      <c r="AO22" s="206">
        <f t="shared" ca="1" si="1"/>
        <v>0</v>
      </c>
      <c r="AP22" s="75">
        <f t="shared" ca="1" si="2"/>
        <v>0</v>
      </c>
      <c r="AQ22" s="174">
        <f t="shared" ca="1" si="26"/>
        <v>0</v>
      </c>
      <c r="AR22" s="175">
        <f t="shared" ca="1" si="27"/>
        <v>0</v>
      </c>
      <c r="AS22" s="175">
        <f t="shared" ca="1" si="28"/>
        <v>0</v>
      </c>
      <c r="AT22" s="175">
        <f t="shared" ca="1" si="29"/>
        <v>0</v>
      </c>
      <c r="AU22" s="174">
        <f t="shared" ca="1" si="30"/>
        <v>0</v>
      </c>
      <c r="AV22" s="174">
        <f t="shared" ca="1" si="50"/>
        <v>0</v>
      </c>
      <c r="AW22" s="174">
        <f t="shared" ca="1" si="51"/>
        <v>0</v>
      </c>
      <c r="AX22" s="174">
        <f t="shared" ca="1" si="31"/>
        <v>0</v>
      </c>
      <c r="AY22" s="175">
        <f t="shared" ca="1" si="32"/>
        <v>0</v>
      </c>
      <c r="AZ22" s="175">
        <f t="shared" ca="1" si="3"/>
        <v>0</v>
      </c>
      <c r="BB22" s="87" t="e">
        <f t="shared" ca="1" si="33"/>
        <v>#NUM!</v>
      </c>
      <c r="BC22" s="73" t="e">
        <f t="shared" ca="1" si="34"/>
        <v>#NUM!</v>
      </c>
      <c r="BD22" s="73" t="e">
        <f t="shared" ca="1" si="35"/>
        <v>#NUM!</v>
      </c>
      <c r="BE22" s="73" t="e">
        <f t="shared" ca="1" si="36"/>
        <v>#NUM!</v>
      </c>
      <c r="BF22" s="73" t="e">
        <f t="shared" ca="1" si="37"/>
        <v>#NUM!</v>
      </c>
      <c r="BG22" s="73" t="e">
        <f t="shared" ca="1" si="38"/>
        <v>#DIV/0!</v>
      </c>
      <c r="BH22" s="73">
        <f t="shared" ca="1" si="39"/>
        <v>-99</v>
      </c>
      <c r="BI22" s="88">
        <f t="shared" ca="1" si="40"/>
        <v>0</v>
      </c>
      <c r="BJ22" s="73" t="e">
        <f t="shared" ca="1" si="41"/>
        <v>#DIV/0!</v>
      </c>
      <c r="BK22" s="73" t="e">
        <f t="shared" ca="1" si="42"/>
        <v>#NUM!</v>
      </c>
      <c r="BM22" s="93" t="e">
        <f t="shared" ca="1" si="4"/>
        <v>#DIV/0!</v>
      </c>
      <c r="BN22" s="90" t="e">
        <f t="shared" ca="1" si="5"/>
        <v>#DIV/0!</v>
      </c>
      <c r="BO22" s="90" t="e">
        <f t="shared" ca="1" si="6"/>
        <v>#DIV/0!</v>
      </c>
      <c r="BP22" s="91" t="e">
        <f t="shared" ca="1" si="55"/>
        <v>#DIV/0!</v>
      </c>
      <c r="BQ22" s="92">
        <f t="shared" ca="1" si="43"/>
        <v>-99</v>
      </c>
      <c r="BR22" s="93" t="e">
        <f t="shared" ca="1" si="8"/>
        <v>#DIV/0!</v>
      </c>
      <c r="BS22" s="90" t="e">
        <f t="shared" ca="1" si="9"/>
        <v>#DIV/0!</v>
      </c>
      <c r="BT22" s="90" t="e">
        <f t="shared" ca="1" si="10"/>
        <v>#DIV/0!</v>
      </c>
      <c r="BU22" s="91" t="e">
        <f t="shared" ca="1" si="56"/>
        <v>#DIV/0!</v>
      </c>
      <c r="BV22" s="92">
        <f t="shared" ca="1" si="44"/>
        <v>-99</v>
      </c>
      <c r="BW22" s="93" t="e">
        <f t="shared" ca="1" si="12"/>
        <v>#DIV/0!</v>
      </c>
      <c r="BX22" s="90" t="e">
        <f t="shared" ca="1" si="13"/>
        <v>#DIV/0!</v>
      </c>
      <c r="BY22" s="90" t="e">
        <f t="shared" ca="1" si="14"/>
        <v>#DIV/0!</v>
      </c>
      <c r="BZ22" s="91" t="e">
        <f t="shared" ca="1" si="57"/>
        <v>#DIV/0!</v>
      </c>
      <c r="CA22" s="92">
        <f t="shared" ca="1" si="45"/>
        <v>-99</v>
      </c>
      <c r="CB22" s="197">
        <f t="shared" ca="1" si="46"/>
        <v>0</v>
      </c>
      <c r="CC22" s="197">
        <f t="shared" ca="1" si="47"/>
        <v>0</v>
      </c>
      <c r="CD22" s="197">
        <f t="shared" ca="1" si="48"/>
        <v>0</v>
      </c>
      <c r="CE22" s="93" t="e">
        <f t="shared" ca="1" si="52"/>
        <v>#DIV/0!</v>
      </c>
      <c r="CF22" s="90" t="e">
        <f t="shared" ca="1" si="53"/>
        <v>#DIV/0!</v>
      </c>
      <c r="CG22" s="90" t="e">
        <f t="shared" ca="1" si="54"/>
        <v>#DIV/0!</v>
      </c>
      <c r="CH22" s="91" t="e">
        <f t="shared" ca="1" si="16"/>
        <v>#DIV/0!</v>
      </c>
      <c r="CI22" s="92">
        <f t="shared" ca="1" si="49"/>
        <v>-99</v>
      </c>
    </row>
    <row r="23" spans="1:87" ht="15" x14ac:dyDescent="0.25">
      <c r="A23" s="296" t="s">
        <v>244</v>
      </c>
      <c r="B23" s="26"/>
      <c r="C23" s="172"/>
      <c r="D23" s="106"/>
      <c r="E23" s="178"/>
      <c r="F23" s="21"/>
      <c r="G23" s="23"/>
      <c r="H23" s="171"/>
      <c r="I23" s="297"/>
      <c r="J23" s="297"/>
      <c r="K23" s="297"/>
      <c r="L23" s="297"/>
      <c r="M23" s="297"/>
      <c r="N23" s="297"/>
      <c r="O23" s="297">
        <v>-1</v>
      </c>
      <c r="P23" s="297"/>
      <c r="Q23" s="297"/>
      <c r="R23" s="297"/>
      <c r="S23" s="170"/>
      <c r="T23" s="71" t="str">
        <f t="shared" ca="1" si="17"/>
        <v/>
      </c>
      <c r="U23" s="71">
        <f t="shared" ca="1" si="18"/>
        <v>0</v>
      </c>
      <c r="V23" s="71">
        <f t="shared" ca="1" si="19"/>
        <v>0</v>
      </c>
      <c r="W23" s="71">
        <f t="shared" ca="1" si="20"/>
        <v>0</v>
      </c>
      <c r="X23" s="297"/>
      <c r="Y23" s="297"/>
      <c r="Z23" s="297"/>
      <c r="AA23" s="297"/>
      <c r="AB23" s="297"/>
      <c r="AC23" s="297"/>
      <c r="AD23" s="297">
        <v>-1</v>
      </c>
      <c r="AE23" s="297"/>
      <c r="AF23" s="297"/>
      <c r="AG23" s="297"/>
      <c r="AH23" s="170"/>
      <c r="AI23" s="57">
        <f t="shared" si="21"/>
        <v>0</v>
      </c>
      <c r="AJ23" s="58">
        <f t="shared" si="22"/>
        <v>1</v>
      </c>
      <c r="AK23" s="58">
        <f t="shared" si="0"/>
        <v>0.02</v>
      </c>
      <c r="AL23" s="59">
        <f t="shared" si="23"/>
        <v>0</v>
      </c>
      <c r="AM23" s="59">
        <f t="shared" si="24"/>
        <v>0</v>
      </c>
      <c r="AN23" s="72" t="str">
        <f t="shared" si="25"/>
        <v/>
      </c>
      <c r="AO23" s="206">
        <f t="shared" ca="1" si="1"/>
        <v>0</v>
      </c>
      <c r="AP23" s="75">
        <f t="shared" ca="1" si="2"/>
        <v>0</v>
      </c>
      <c r="AQ23" s="174">
        <f t="shared" ca="1" si="26"/>
        <v>0</v>
      </c>
      <c r="AR23" s="175">
        <f t="shared" ca="1" si="27"/>
        <v>0</v>
      </c>
      <c r="AS23" s="175">
        <f t="shared" ca="1" si="28"/>
        <v>0</v>
      </c>
      <c r="AT23" s="175">
        <f t="shared" ca="1" si="29"/>
        <v>0</v>
      </c>
      <c r="AU23" s="174">
        <f t="shared" ca="1" si="30"/>
        <v>0</v>
      </c>
      <c r="AV23" s="174">
        <f t="shared" ca="1" si="50"/>
        <v>0</v>
      </c>
      <c r="AW23" s="174">
        <f t="shared" ca="1" si="51"/>
        <v>0</v>
      </c>
      <c r="AX23" s="174">
        <f t="shared" ca="1" si="31"/>
        <v>0</v>
      </c>
      <c r="AY23" s="175">
        <f t="shared" ca="1" si="32"/>
        <v>0</v>
      </c>
      <c r="AZ23" s="175">
        <f t="shared" ca="1" si="3"/>
        <v>0</v>
      </c>
      <c r="BB23" s="87" t="e">
        <f t="shared" ca="1" si="33"/>
        <v>#NUM!</v>
      </c>
      <c r="BC23" s="73" t="e">
        <f t="shared" ca="1" si="34"/>
        <v>#NUM!</v>
      </c>
      <c r="BD23" s="73" t="e">
        <f t="shared" ca="1" si="35"/>
        <v>#NUM!</v>
      </c>
      <c r="BE23" s="73" t="e">
        <f t="shared" ca="1" si="36"/>
        <v>#NUM!</v>
      </c>
      <c r="BF23" s="73" t="e">
        <f t="shared" ca="1" si="37"/>
        <v>#NUM!</v>
      </c>
      <c r="BG23" s="73" t="e">
        <f t="shared" ca="1" si="38"/>
        <v>#DIV/0!</v>
      </c>
      <c r="BH23" s="73">
        <f t="shared" ca="1" si="39"/>
        <v>-99</v>
      </c>
      <c r="BI23" s="88">
        <f t="shared" ca="1" si="40"/>
        <v>0</v>
      </c>
      <c r="BJ23" s="73" t="e">
        <f t="shared" ca="1" si="41"/>
        <v>#DIV/0!</v>
      </c>
      <c r="BK23" s="73" t="e">
        <f t="shared" ca="1" si="42"/>
        <v>#NUM!</v>
      </c>
      <c r="BM23" s="93" t="e">
        <f t="shared" ca="1" si="4"/>
        <v>#DIV/0!</v>
      </c>
      <c r="BN23" s="90" t="e">
        <f t="shared" ca="1" si="5"/>
        <v>#DIV/0!</v>
      </c>
      <c r="BO23" s="90" t="e">
        <f t="shared" ca="1" si="6"/>
        <v>#DIV/0!</v>
      </c>
      <c r="BP23" s="91" t="e">
        <f t="shared" ca="1" si="55"/>
        <v>#DIV/0!</v>
      </c>
      <c r="BQ23" s="92">
        <f t="shared" ca="1" si="43"/>
        <v>-99</v>
      </c>
      <c r="BR23" s="93" t="e">
        <f t="shared" ca="1" si="8"/>
        <v>#DIV/0!</v>
      </c>
      <c r="BS23" s="90" t="e">
        <f t="shared" ca="1" si="9"/>
        <v>#DIV/0!</v>
      </c>
      <c r="BT23" s="90" t="e">
        <f t="shared" ca="1" si="10"/>
        <v>#DIV/0!</v>
      </c>
      <c r="BU23" s="91" t="e">
        <f t="shared" ca="1" si="56"/>
        <v>#DIV/0!</v>
      </c>
      <c r="BV23" s="92">
        <f t="shared" ca="1" si="44"/>
        <v>-99</v>
      </c>
      <c r="BW23" s="93" t="e">
        <f t="shared" ca="1" si="12"/>
        <v>#DIV/0!</v>
      </c>
      <c r="BX23" s="90" t="e">
        <f t="shared" ca="1" si="13"/>
        <v>#DIV/0!</v>
      </c>
      <c r="BY23" s="90" t="e">
        <f t="shared" ca="1" si="14"/>
        <v>#DIV/0!</v>
      </c>
      <c r="BZ23" s="91" t="e">
        <f t="shared" ca="1" si="57"/>
        <v>#DIV/0!</v>
      </c>
      <c r="CA23" s="92">
        <f t="shared" ca="1" si="45"/>
        <v>-99</v>
      </c>
      <c r="CB23" s="197">
        <f t="shared" ca="1" si="46"/>
        <v>0</v>
      </c>
      <c r="CC23" s="197">
        <f t="shared" ca="1" si="47"/>
        <v>0</v>
      </c>
      <c r="CD23" s="197">
        <f t="shared" ca="1" si="48"/>
        <v>0</v>
      </c>
      <c r="CE23" s="93" t="e">
        <f t="shared" ca="1" si="52"/>
        <v>#DIV/0!</v>
      </c>
      <c r="CF23" s="90" t="e">
        <f t="shared" ca="1" si="53"/>
        <v>#DIV/0!</v>
      </c>
      <c r="CG23" s="90" t="e">
        <f t="shared" ca="1" si="54"/>
        <v>#DIV/0!</v>
      </c>
      <c r="CH23" s="91" t="e">
        <f t="shared" ca="1" si="16"/>
        <v>#DIV/0!</v>
      </c>
      <c r="CI23" s="92">
        <f t="shared" ca="1" si="49"/>
        <v>-99</v>
      </c>
    </row>
    <row r="24" spans="1:87" ht="15" x14ac:dyDescent="0.25">
      <c r="A24" s="296" t="s">
        <v>245</v>
      </c>
      <c r="B24" s="26"/>
      <c r="C24" s="21"/>
      <c r="D24" s="106"/>
      <c r="E24" s="21"/>
      <c r="F24" s="21"/>
      <c r="G24" s="20"/>
      <c r="H24" s="171"/>
      <c r="I24" s="297"/>
      <c r="J24" s="297"/>
      <c r="K24" s="297"/>
      <c r="L24" s="297"/>
      <c r="M24" s="297"/>
      <c r="N24" s="297"/>
      <c r="O24" s="297">
        <v>-1</v>
      </c>
      <c r="P24" s="297"/>
      <c r="Q24" s="297"/>
      <c r="R24" s="297"/>
      <c r="S24" s="170"/>
      <c r="T24" s="71" t="str">
        <f t="shared" ca="1" si="17"/>
        <v/>
      </c>
      <c r="U24" s="71">
        <f t="shared" ca="1" si="18"/>
        <v>0</v>
      </c>
      <c r="V24" s="71">
        <f t="shared" ca="1" si="19"/>
        <v>0</v>
      </c>
      <c r="W24" s="71">
        <f t="shared" ca="1" si="20"/>
        <v>0</v>
      </c>
      <c r="X24" s="297"/>
      <c r="Y24" s="297"/>
      <c r="Z24" s="297"/>
      <c r="AA24" s="297"/>
      <c r="AB24" s="297"/>
      <c r="AC24" s="297"/>
      <c r="AD24" s="297">
        <v>-1</v>
      </c>
      <c r="AE24" s="297"/>
      <c r="AF24" s="297"/>
      <c r="AG24" s="297"/>
      <c r="AH24" s="170"/>
      <c r="AI24" s="57">
        <f t="shared" si="21"/>
        <v>0</v>
      </c>
      <c r="AJ24" s="58">
        <f t="shared" si="22"/>
        <v>1</v>
      </c>
      <c r="AK24" s="58">
        <f t="shared" si="0"/>
        <v>0.02</v>
      </c>
      <c r="AL24" s="59">
        <f t="shared" si="23"/>
        <v>0</v>
      </c>
      <c r="AM24" s="59">
        <f t="shared" si="24"/>
        <v>0</v>
      </c>
      <c r="AN24" s="72" t="str">
        <f t="shared" si="25"/>
        <v/>
      </c>
      <c r="AO24" s="206">
        <f t="shared" ca="1" si="1"/>
        <v>0</v>
      </c>
      <c r="AP24" s="75">
        <f t="shared" ca="1" si="2"/>
        <v>0</v>
      </c>
      <c r="AQ24" s="174">
        <f t="shared" ca="1" si="26"/>
        <v>0</v>
      </c>
      <c r="AR24" s="175">
        <f t="shared" ca="1" si="27"/>
        <v>0</v>
      </c>
      <c r="AS24" s="175">
        <f t="shared" ca="1" si="28"/>
        <v>0</v>
      </c>
      <c r="AT24" s="175">
        <f t="shared" ca="1" si="29"/>
        <v>0</v>
      </c>
      <c r="AU24" s="174">
        <f t="shared" ca="1" si="30"/>
        <v>0</v>
      </c>
      <c r="AV24" s="174">
        <f t="shared" ca="1" si="50"/>
        <v>0</v>
      </c>
      <c r="AW24" s="174">
        <f t="shared" ca="1" si="51"/>
        <v>0</v>
      </c>
      <c r="AX24" s="174">
        <f t="shared" ca="1" si="31"/>
        <v>0</v>
      </c>
      <c r="AY24" s="175">
        <f t="shared" ca="1" si="32"/>
        <v>0</v>
      </c>
      <c r="AZ24" s="175">
        <f t="shared" ca="1" si="3"/>
        <v>0</v>
      </c>
      <c r="BB24" s="87" t="e">
        <f t="shared" ca="1" si="33"/>
        <v>#NUM!</v>
      </c>
      <c r="BC24" s="73" t="e">
        <f t="shared" ca="1" si="34"/>
        <v>#NUM!</v>
      </c>
      <c r="BD24" s="73" t="e">
        <f t="shared" ca="1" si="35"/>
        <v>#NUM!</v>
      </c>
      <c r="BE24" s="73" t="e">
        <f t="shared" ca="1" si="36"/>
        <v>#NUM!</v>
      </c>
      <c r="BF24" s="73" t="e">
        <f t="shared" ca="1" si="37"/>
        <v>#NUM!</v>
      </c>
      <c r="BG24" s="73" t="e">
        <f t="shared" ca="1" si="38"/>
        <v>#DIV/0!</v>
      </c>
      <c r="BH24" s="73">
        <f t="shared" ca="1" si="39"/>
        <v>-99</v>
      </c>
      <c r="BI24" s="88">
        <f t="shared" ca="1" si="40"/>
        <v>0</v>
      </c>
      <c r="BJ24" s="73" t="e">
        <f t="shared" ca="1" si="41"/>
        <v>#DIV/0!</v>
      </c>
      <c r="BK24" s="73" t="e">
        <f t="shared" ca="1" si="42"/>
        <v>#NUM!</v>
      </c>
      <c r="BM24" s="93" t="e">
        <f t="shared" ca="1" si="4"/>
        <v>#DIV/0!</v>
      </c>
      <c r="BN24" s="90" t="e">
        <f t="shared" ca="1" si="5"/>
        <v>#DIV/0!</v>
      </c>
      <c r="BO24" s="90" t="e">
        <f t="shared" ca="1" si="6"/>
        <v>#DIV/0!</v>
      </c>
      <c r="BP24" s="91" t="e">
        <f t="shared" ca="1" si="55"/>
        <v>#DIV/0!</v>
      </c>
      <c r="BQ24" s="92">
        <f t="shared" ca="1" si="43"/>
        <v>-99</v>
      </c>
      <c r="BR24" s="93" t="e">
        <f t="shared" ca="1" si="8"/>
        <v>#DIV/0!</v>
      </c>
      <c r="BS24" s="90" t="e">
        <f t="shared" ca="1" si="9"/>
        <v>#DIV/0!</v>
      </c>
      <c r="BT24" s="90" t="e">
        <f t="shared" ca="1" si="10"/>
        <v>#DIV/0!</v>
      </c>
      <c r="BU24" s="91" t="e">
        <f t="shared" ca="1" si="56"/>
        <v>#DIV/0!</v>
      </c>
      <c r="BV24" s="92">
        <f t="shared" ca="1" si="44"/>
        <v>-99</v>
      </c>
      <c r="BW24" s="93" t="e">
        <f t="shared" ca="1" si="12"/>
        <v>#DIV/0!</v>
      </c>
      <c r="BX24" s="90" t="e">
        <f t="shared" ca="1" si="13"/>
        <v>#DIV/0!</v>
      </c>
      <c r="BY24" s="90" t="e">
        <f t="shared" ca="1" si="14"/>
        <v>#DIV/0!</v>
      </c>
      <c r="BZ24" s="91" t="e">
        <f t="shared" ca="1" si="57"/>
        <v>#DIV/0!</v>
      </c>
      <c r="CA24" s="92">
        <f t="shared" ca="1" si="45"/>
        <v>-99</v>
      </c>
      <c r="CB24" s="197">
        <f t="shared" ca="1" si="46"/>
        <v>0</v>
      </c>
      <c r="CC24" s="197">
        <f t="shared" ca="1" si="47"/>
        <v>0</v>
      </c>
      <c r="CD24" s="197">
        <f t="shared" ca="1" si="48"/>
        <v>0</v>
      </c>
      <c r="CE24" s="93" t="e">
        <f t="shared" ca="1" si="52"/>
        <v>#DIV/0!</v>
      </c>
      <c r="CF24" s="90" t="e">
        <f t="shared" ca="1" si="53"/>
        <v>#DIV/0!</v>
      </c>
      <c r="CG24" s="90" t="e">
        <f t="shared" ca="1" si="54"/>
        <v>#DIV/0!</v>
      </c>
      <c r="CH24" s="91" t="e">
        <f t="shared" ca="1" si="16"/>
        <v>#DIV/0!</v>
      </c>
      <c r="CI24" s="92">
        <f t="shared" ca="1" si="49"/>
        <v>-99</v>
      </c>
    </row>
    <row r="25" spans="1:87" ht="15" x14ac:dyDescent="0.25">
      <c r="A25" s="296" t="s">
        <v>246</v>
      </c>
      <c r="B25" s="26"/>
      <c r="C25" s="21"/>
      <c r="D25" s="106"/>
      <c r="E25" s="21"/>
      <c r="F25" s="21"/>
      <c r="G25" s="20"/>
      <c r="H25" s="20"/>
      <c r="I25" s="297"/>
      <c r="J25" s="297"/>
      <c r="K25" s="297"/>
      <c r="L25" s="297"/>
      <c r="M25" s="297"/>
      <c r="N25" s="297"/>
      <c r="O25" s="297">
        <v>2.5</v>
      </c>
      <c r="P25" s="297"/>
      <c r="Q25" s="297"/>
      <c r="R25" s="297"/>
      <c r="S25" s="170"/>
      <c r="T25" s="71" t="str">
        <f t="shared" ca="1" si="17"/>
        <v/>
      </c>
      <c r="U25" s="71">
        <f t="shared" ca="1" si="18"/>
        <v>0</v>
      </c>
      <c r="V25" s="71">
        <f t="shared" ca="1" si="19"/>
        <v>0</v>
      </c>
      <c r="W25" s="71">
        <f t="shared" ca="1" si="20"/>
        <v>0</v>
      </c>
      <c r="X25" s="297"/>
      <c r="Y25" s="297"/>
      <c r="Z25" s="297"/>
      <c r="AA25" s="297"/>
      <c r="AB25" s="297"/>
      <c r="AC25" s="297"/>
      <c r="AD25" s="297">
        <v>2.5</v>
      </c>
      <c r="AE25" s="297"/>
      <c r="AF25" s="297"/>
      <c r="AG25" s="297"/>
      <c r="AH25" s="170"/>
      <c r="AI25" s="57">
        <f t="shared" si="21"/>
        <v>0</v>
      </c>
      <c r="AJ25" s="58">
        <f t="shared" si="22"/>
        <v>2.5</v>
      </c>
      <c r="AK25" s="58">
        <f t="shared" si="0"/>
        <v>0.05</v>
      </c>
      <c r="AL25" s="59">
        <f t="shared" si="23"/>
        <v>0</v>
      </c>
      <c r="AM25" s="59">
        <f t="shared" si="24"/>
        <v>0</v>
      </c>
      <c r="AN25" s="72" t="str">
        <f t="shared" si="25"/>
        <v/>
      </c>
      <c r="AO25" s="206">
        <f t="shared" ca="1" si="1"/>
        <v>0</v>
      </c>
      <c r="AP25" s="75">
        <f t="shared" ca="1" si="2"/>
        <v>0</v>
      </c>
      <c r="AQ25" s="174">
        <f t="shared" ca="1" si="26"/>
        <v>0</v>
      </c>
      <c r="AR25" s="175">
        <f t="shared" ca="1" si="27"/>
        <v>0</v>
      </c>
      <c r="AS25" s="175">
        <f t="shared" ca="1" si="28"/>
        <v>0</v>
      </c>
      <c r="AT25" s="175">
        <f t="shared" ca="1" si="29"/>
        <v>0</v>
      </c>
      <c r="AU25" s="174">
        <f t="shared" ca="1" si="30"/>
        <v>0</v>
      </c>
      <c r="AV25" s="174">
        <f t="shared" ca="1" si="50"/>
        <v>0</v>
      </c>
      <c r="AW25" s="174">
        <f t="shared" ca="1" si="51"/>
        <v>0</v>
      </c>
      <c r="AX25" s="174">
        <f t="shared" ca="1" si="31"/>
        <v>0</v>
      </c>
      <c r="AY25" s="175">
        <f t="shared" ca="1" si="32"/>
        <v>0</v>
      </c>
      <c r="AZ25" s="175">
        <f t="shared" ca="1" si="3"/>
        <v>0</v>
      </c>
      <c r="BB25" s="87" t="e">
        <f t="shared" ca="1" si="33"/>
        <v>#NUM!</v>
      </c>
      <c r="BC25" s="73" t="e">
        <f t="shared" ca="1" si="34"/>
        <v>#NUM!</v>
      </c>
      <c r="BD25" s="73" t="e">
        <f t="shared" ca="1" si="35"/>
        <v>#NUM!</v>
      </c>
      <c r="BE25" s="73" t="e">
        <f t="shared" ca="1" si="36"/>
        <v>#NUM!</v>
      </c>
      <c r="BF25" s="73" t="e">
        <f t="shared" ca="1" si="37"/>
        <v>#NUM!</v>
      </c>
      <c r="BG25" s="73" t="e">
        <f t="shared" ca="1" si="38"/>
        <v>#DIV/0!</v>
      </c>
      <c r="BH25" s="73">
        <f t="shared" ca="1" si="39"/>
        <v>-99</v>
      </c>
      <c r="BI25" s="88">
        <f t="shared" ca="1" si="40"/>
        <v>0</v>
      </c>
      <c r="BJ25" s="73" t="e">
        <f t="shared" ca="1" si="41"/>
        <v>#DIV/0!</v>
      </c>
      <c r="BK25" s="73" t="e">
        <f t="shared" ca="1" si="42"/>
        <v>#NUM!</v>
      </c>
      <c r="BM25" s="93" t="e">
        <f t="shared" ca="1" si="4"/>
        <v>#DIV/0!</v>
      </c>
      <c r="BN25" s="90" t="e">
        <f t="shared" ca="1" si="5"/>
        <v>#DIV/0!</v>
      </c>
      <c r="BO25" s="90" t="e">
        <f t="shared" ca="1" si="6"/>
        <v>#DIV/0!</v>
      </c>
      <c r="BP25" s="91" t="e">
        <f t="shared" ca="1" si="55"/>
        <v>#DIV/0!</v>
      </c>
      <c r="BQ25" s="92">
        <f t="shared" ca="1" si="43"/>
        <v>-99</v>
      </c>
      <c r="BR25" s="93" t="e">
        <f t="shared" ca="1" si="8"/>
        <v>#DIV/0!</v>
      </c>
      <c r="BS25" s="90" t="e">
        <f t="shared" ca="1" si="9"/>
        <v>#DIV/0!</v>
      </c>
      <c r="BT25" s="90" t="e">
        <f t="shared" ca="1" si="10"/>
        <v>#DIV/0!</v>
      </c>
      <c r="BU25" s="91" t="e">
        <f t="shared" ca="1" si="56"/>
        <v>#DIV/0!</v>
      </c>
      <c r="BV25" s="92">
        <f t="shared" ca="1" si="44"/>
        <v>-99</v>
      </c>
      <c r="BW25" s="93" t="e">
        <f t="shared" ca="1" si="12"/>
        <v>#DIV/0!</v>
      </c>
      <c r="BX25" s="90" t="e">
        <f t="shared" ca="1" si="13"/>
        <v>#DIV/0!</v>
      </c>
      <c r="BY25" s="90" t="e">
        <f t="shared" ca="1" si="14"/>
        <v>#DIV/0!</v>
      </c>
      <c r="BZ25" s="91" t="e">
        <f t="shared" ca="1" si="57"/>
        <v>#DIV/0!</v>
      </c>
      <c r="CA25" s="92">
        <f t="shared" ca="1" si="45"/>
        <v>-99</v>
      </c>
      <c r="CB25" s="197">
        <f t="shared" ca="1" si="46"/>
        <v>0</v>
      </c>
      <c r="CC25" s="197">
        <f t="shared" ca="1" si="47"/>
        <v>0</v>
      </c>
      <c r="CD25" s="197">
        <f t="shared" ca="1" si="48"/>
        <v>0</v>
      </c>
      <c r="CE25" s="93" t="e">
        <f t="shared" ca="1" si="52"/>
        <v>#DIV/0!</v>
      </c>
      <c r="CF25" s="90" t="e">
        <f t="shared" ca="1" si="53"/>
        <v>#DIV/0!</v>
      </c>
      <c r="CG25" s="90" t="e">
        <f t="shared" ca="1" si="54"/>
        <v>#DIV/0!</v>
      </c>
      <c r="CH25" s="91" t="e">
        <f t="shared" ca="1" si="16"/>
        <v>#DIV/0!</v>
      </c>
      <c r="CI25" s="92">
        <f t="shared" ca="1" si="49"/>
        <v>-99</v>
      </c>
    </row>
    <row r="26" spans="1:87" ht="15" x14ac:dyDescent="0.25">
      <c r="A26" s="296" t="s">
        <v>247</v>
      </c>
      <c r="B26" s="26"/>
      <c r="C26" s="26"/>
      <c r="D26" s="106"/>
      <c r="E26" s="21"/>
      <c r="F26" s="21"/>
      <c r="G26" s="20"/>
      <c r="H26" s="20"/>
      <c r="I26" s="297"/>
      <c r="J26" s="297"/>
      <c r="K26" s="297"/>
      <c r="L26" s="297"/>
      <c r="M26" s="297"/>
      <c r="N26" s="297"/>
      <c r="O26" s="297">
        <v>1.2</v>
      </c>
      <c r="P26" s="297"/>
      <c r="Q26" s="297"/>
      <c r="R26" s="297"/>
      <c r="S26" s="27"/>
      <c r="T26" s="71" t="str">
        <f t="shared" ca="1" si="17"/>
        <v/>
      </c>
      <c r="U26" s="71">
        <f t="shared" ca="1" si="18"/>
        <v>0</v>
      </c>
      <c r="V26" s="71">
        <f t="shared" ca="1" si="19"/>
        <v>0</v>
      </c>
      <c r="W26" s="71">
        <f t="shared" ca="1" si="20"/>
        <v>0</v>
      </c>
      <c r="X26" s="297"/>
      <c r="Y26" s="297"/>
      <c r="Z26" s="297"/>
      <c r="AA26" s="297"/>
      <c r="AB26" s="297"/>
      <c r="AC26" s="297"/>
      <c r="AD26" s="297">
        <v>1.2</v>
      </c>
      <c r="AE26" s="297"/>
      <c r="AF26" s="297"/>
      <c r="AG26" s="297"/>
      <c r="AH26" s="27"/>
      <c r="AI26" s="57">
        <f t="shared" si="21"/>
        <v>0</v>
      </c>
      <c r="AJ26" s="58">
        <f t="shared" si="22"/>
        <v>1.2</v>
      </c>
      <c r="AK26" s="58">
        <f t="shared" si="0"/>
        <v>2.4E-2</v>
      </c>
      <c r="AL26" s="59">
        <f t="shared" si="23"/>
        <v>0</v>
      </c>
      <c r="AM26" s="59">
        <f t="shared" si="24"/>
        <v>0</v>
      </c>
      <c r="AN26" s="72" t="str">
        <f t="shared" si="25"/>
        <v/>
      </c>
      <c r="AO26" s="206">
        <f t="shared" ca="1" si="1"/>
        <v>0</v>
      </c>
      <c r="AP26" s="75">
        <f t="shared" ca="1" si="2"/>
        <v>0</v>
      </c>
      <c r="AQ26" s="174">
        <f t="shared" ca="1" si="26"/>
        <v>0</v>
      </c>
      <c r="AR26" s="175">
        <f t="shared" ca="1" si="27"/>
        <v>0</v>
      </c>
      <c r="AS26" s="175">
        <f t="shared" ca="1" si="28"/>
        <v>0</v>
      </c>
      <c r="AT26" s="175">
        <f t="shared" ca="1" si="29"/>
        <v>0</v>
      </c>
      <c r="AU26" s="174">
        <f t="shared" ca="1" si="30"/>
        <v>0</v>
      </c>
      <c r="AV26" s="174">
        <f t="shared" ca="1" si="50"/>
        <v>0</v>
      </c>
      <c r="AW26" s="174">
        <f t="shared" ca="1" si="51"/>
        <v>0</v>
      </c>
      <c r="AX26" s="174">
        <f t="shared" ca="1" si="31"/>
        <v>0</v>
      </c>
      <c r="AY26" s="175">
        <f t="shared" ca="1" si="32"/>
        <v>0</v>
      </c>
      <c r="AZ26" s="175">
        <f t="shared" ca="1" si="3"/>
        <v>0</v>
      </c>
      <c r="BB26" s="87" t="e">
        <f t="shared" ca="1" si="33"/>
        <v>#NUM!</v>
      </c>
      <c r="BC26" s="73" t="e">
        <f t="shared" ca="1" si="34"/>
        <v>#NUM!</v>
      </c>
      <c r="BD26" s="73" t="e">
        <f t="shared" ca="1" si="35"/>
        <v>#NUM!</v>
      </c>
      <c r="BE26" s="73" t="e">
        <f t="shared" ca="1" si="36"/>
        <v>#NUM!</v>
      </c>
      <c r="BF26" s="73" t="e">
        <f t="shared" ca="1" si="37"/>
        <v>#NUM!</v>
      </c>
      <c r="BG26" s="73" t="e">
        <f t="shared" ca="1" si="38"/>
        <v>#DIV/0!</v>
      </c>
      <c r="BH26" s="73">
        <f t="shared" ca="1" si="39"/>
        <v>-99</v>
      </c>
      <c r="BI26" s="88">
        <f t="shared" ca="1" si="40"/>
        <v>0</v>
      </c>
      <c r="BJ26" s="73" t="e">
        <f t="shared" ca="1" si="41"/>
        <v>#DIV/0!</v>
      </c>
      <c r="BK26" s="73" t="e">
        <f t="shared" ca="1" si="42"/>
        <v>#NUM!</v>
      </c>
      <c r="BM26" s="93" t="e">
        <f t="shared" ca="1" si="4"/>
        <v>#DIV/0!</v>
      </c>
      <c r="BN26" s="90" t="e">
        <f t="shared" ca="1" si="5"/>
        <v>#DIV/0!</v>
      </c>
      <c r="BO26" s="90" t="e">
        <f t="shared" ca="1" si="6"/>
        <v>#DIV/0!</v>
      </c>
      <c r="BP26" s="91" t="e">
        <f t="shared" ca="1" si="55"/>
        <v>#DIV/0!</v>
      </c>
      <c r="BQ26" s="92">
        <f t="shared" ca="1" si="43"/>
        <v>-99</v>
      </c>
      <c r="BR26" s="93" t="e">
        <f t="shared" ca="1" si="8"/>
        <v>#DIV/0!</v>
      </c>
      <c r="BS26" s="90" t="e">
        <f t="shared" ca="1" si="9"/>
        <v>#DIV/0!</v>
      </c>
      <c r="BT26" s="90" t="e">
        <f t="shared" ca="1" si="10"/>
        <v>#DIV/0!</v>
      </c>
      <c r="BU26" s="91" t="e">
        <f t="shared" ca="1" si="56"/>
        <v>#DIV/0!</v>
      </c>
      <c r="BV26" s="92">
        <f t="shared" ca="1" si="44"/>
        <v>-99</v>
      </c>
      <c r="BW26" s="93" t="e">
        <f t="shared" ca="1" si="12"/>
        <v>#DIV/0!</v>
      </c>
      <c r="BX26" s="90" t="e">
        <f t="shared" ca="1" si="13"/>
        <v>#DIV/0!</v>
      </c>
      <c r="BY26" s="90" t="e">
        <f t="shared" ca="1" si="14"/>
        <v>#DIV/0!</v>
      </c>
      <c r="BZ26" s="91" t="e">
        <f t="shared" ca="1" si="57"/>
        <v>#DIV/0!</v>
      </c>
      <c r="CA26" s="92">
        <f t="shared" ca="1" si="45"/>
        <v>-99</v>
      </c>
      <c r="CB26" s="197">
        <f t="shared" ca="1" si="46"/>
        <v>0</v>
      </c>
      <c r="CC26" s="197">
        <f t="shared" ca="1" si="47"/>
        <v>0</v>
      </c>
      <c r="CD26" s="197">
        <f t="shared" ca="1" si="48"/>
        <v>0</v>
      </c>
      <c r="CE26" s="93" t="e">
        <f t="shared" ca="1" si="52"/>
        <v>#DIV/0!</v>
      </c>
      <c r="CF26" s="90" t="e">
        <f t="shared" ca="1" si="53"/>
        <v>#DIV/0!</v>
      </c>
      <c r="CG26" s="90" t="e">
        <f t="shared" ca="1" si="54"/>
        <v>#DIV/0!</v>
      </c>
      <c r="CH26" s="91" t="e">
        <f t="shared" ca="1" si="16"/>
        <v>#DIV/0!</v>
      </c>
      <c r="CI26" s="92">
        <f t="shared" ca="1" si="49"/>
        <v>-99</v>
      </c>
    </row>
    <row r="27" spans="1:87" ht="15" x14ac:dyDescent="0.25">
      <c r="A27" s="296" t="s">
        <v>248</v>
      </c>
      <c r="B27" s="26"/>
      <c r="C27" s="21"/>
      <c r="D27" s="106"/>
      <c r="E27" s="21"/>
      <c r="F27" s="21"/>
      <c r="G27" s="20"/>
      <c r="H27" s="20"/>
      <c r="I27" s="297"/>
      <c r="J27" s="297"/>
      <c r="K27" s="297"/>
      <c r="L27" s="297"/>
      <c r="M27" s="297"/>
      <c r="N27" s="297"/>
      <c r="O27" s="297">
        <v>-1</v>
      </c>
      <c r="P27" s="297"/>
      <c r="Q27" s="297"/>
      <c r="R27" s="297"/>
      <c r="S27" s="27"/>
      <c r="T27" s="71" t="str">
        <f t="shared" ca="1" si="17"/>
        <v/>
      </c>
      <c r="U27" s="71">
        <f t="shared" ca="1" si="18"/>
        <v>0</v>
      </c>
      <c r="V27" s="71">
        <f t="shared" ca="1" si="19"/>
        <v>0</v>
      </c>
      <c r="W27" s="71">
        <f t="shared" ca="1" si="20"/>
        <v>0</v>
      </c>
      <c r="X27" s="297"/>
      <c r="Y27" s="297"/>
      <c r="Z27" s="297"/>
      <c r="AA27" s="297"/>
      <c r="AB27" s="297"/>
      <c r="AC27" s="297"/>
      <c r="AD27" s="297">
        <v>-1</v>
      </c>
      <c r="AE27" s="297"/>
      <c r="AF27" s="297"/>
      <c r="AG27" s="297"/>
      <c r="AH27" s="27"/>
      <c r="AI27" s="57">
        <f t="shared" si="21"/>
        <v>0</v>
      </c>
      <c r="AJ27" s="58">
        <f t="shared" si="22"/>
        <v>1</v>
      </c>
      <c r="AK27" s="58">
        <f t="shared" si="0"/>
        <v>0.02</v>
      </c>
      <c r="AL27" s="59">
        <f t="shared" si="23"/>
        <v>0</v>
      </c>
      <c r="AM27" s="59">
        <f t="shared" si="24"/>
        <v>0</v>
      </c>
      <c r="AN27" s="72" t="str">
        <f t="shared" si="25"/>
        <v/>
      </c>
      <c r="AO27" s="206">
        <f t="shared" ca="1" si="1"/>
        <v>0</v>
      </c>
      <c r="AP27" s="75">
        <f t="shared" ca="1" si="2"/>
        <v>0</v>
      </c>
      <c r="AQ27" s="174">
        <f t="shared" ca="1" si="26"/>
        <v>0</v>
      </c>
      <c r="AR27" s="175">
        <f t="shared" ca="1" si="27"/>
        <v>0</v>
      </c>
      <c r="AS27" s="175">
        <f t="shared" ca="1" si="28"/>
        <v>0</v>
      </c>
      <c r="AT27" s="175">
        <f t="shared" ca="1" si="29"/>
        <v>0</v>
      </c>
      <c r="AU27" s="174">
        <f t="shared" ca="1" si="30"/>
        <v>0</v>
      </c>
      <c r="AV27" s="174">
        <f t="shared" ca="1" si="50"/>
        <v>0</v>
      </c>
      <c r="AW27" s="174">
        <f t="shared" ca="1" si="51"/>
        <v>0</v>
      </c>
      <c r="AX27" s="174">
        <f t="shared" ca="1" si="31"/>
        <v>0</v>
      </c>
      <c r="AY27" s="175">
        <f t="shared" ca="1" si="32"/>
        <v>0</v>
      </c>
      <c r="AZ27" s="175">
        <f t="shared" ca="1" si="3"/>
        <v>0</v>
      </c>
      <c r="BB27" s="87" t="e">
        <f t="shared" ca="1" si="33"/>
        <v>#NUM!</v>
      </c>
      <c r="BC27" s="73" t="e">
        <f t="shared" ca="1" si="34"/>
        <v>#NUM!</v>
      </c>
      <c r="BD27" s="73" t="e">
        <f t="shared" ca="1" si="35"/>
        <v>#NUM!</v>
      </c>
      <c r="BE27" s="73" t="e">
        <f t="shared" ca="1" si="36"/>
        <v>#NUM!</v>
      </c>
      <c r="BF27" s="73" t="e">
        <f t="shared" ca="1" si="37"/>
        <v>#NUM!</v>
      </c>
      <c r="BG27" s="73" t="e">
        <f t="shared" ca="1" si="38"/>
        <v>#DIV/0!</v>
      </c>
      <c r="BH27" s="73">
        <f t="shared" ca="1" si="39"/>
        <v>-99</v>
      </c>
      <c r="BI27" s="88">
        <f t="shared" ca="1" si="40"/>
        <v>0</v>
      </c>
      <c r="BJ27" s="73" t="e">
        <f t="shared" ca="1" si="41"/>
        <v>#DIV/0!</v>
      </c>
      <c r="BK27" s="73" t="e">
        <f t="shared" ca="1" si="42"/>
        <v>#NUM!</v>
      </c>
      <c r="BM27" s="93" t="e">
        <f t="shared" ca="1" si="4"/>
        <v>#DIV/0!</v>
      </c>
      <c r="BN27" s="90" t="e">
        <f t="shared" ca="1" si="5"/>
        <v>#DIV/0!</v>
      </c>
      <c r="BO27" s="90" t="e">
        <f t="shared" ca="1" si="6"/>
        <v>#DIV/0!</v>
      </c>
      <c r="BP27" s="91" t="e">
        <f t="shared" ca="1" si="55"/>
        <v>#DIV/0!</v>
      </c>
      <c r="BQ27" s="92">
        <f t="shared" ca="1" si="43"/>
        <v>-99</v>
      </c>
      <c r="BR27" s="93" t="e">
        <f t="shared" ca="1" si="8"/>
        <v>#DIV/0!</v>
      </c>
      <c r="BS27" s="90" t="e">
        <f t="shared" ca="1" si="9"/>
        <v>#DIV/0!</v>
      </c>
      <c r="BT27" s="90" t="e">
        <f t="shared" ca="1" si="10"/>
        <v>#DIV/0!</v>
      </c>
      <c r="BU27" s="91" t="e">
        <f t="shared" ca="1" si="56"/>
        <v>#DIV/0!</v>
      </c>
      <c r="BV27" s="92">
        <f t="shared" ca="1" si="44"/>
        <v>-99</v>
      </c>
      <c r="BW27" s="93" t="e">
        <f t="shared" ca="1" si="12"/>
        <v>#DIV/0!</v>
      </c>
      <c r="BX27" s="90" t="e">
        <f t="shared" ca="1" si="13"/>
        <v>#DIV/0!</v>
      </c>
      <c r="BY27" s="90" t="e">
        <f t="shared" ca="1" si="14"/>
        <v>#DIV/0!</v>
      </c>
      <c r="BZ27" s="91" t="e">
        <f t="shared" ca="1" si="57"/>
        <v>#DIV/0!</v>
      </c>
      <c r="CA27" s="92">
        <f t="shared" ca="1" si="45"/>
        <v>-99</v>
      </c>
      <c r="CB27" s="197">
        <f t="shared" ca="1" si="46"/>
        <v>0</v>
      </c>
      <c r="CC27" s="197">
        <f t="shared" ca="1" si="47"/>
        <v>0</v>
      </c>
      <c r="CD27" s="197">
        <f t="shared" ca="1" si="48"/>
        <v>0</v>
      </c>
      <c r="CE27" s="93" t="e">
        <f t="shared" ca="1" si="52"/>
        <v>#DIV/0!</v>
      </c>
      <c r="CF27" s="90" t="e">
        <f t="shared" ca="1" si="53"/>
        <v>#DIV/0!</v>
      </c>
      <c r="CG27" s="90" t="e">
        <f t="shared" ca="1" si="54"/>
        <v>#DIV/0!</v>
      </c>
      <c r="CH27" s="91" t="e">
        <f t="shared" ca="1" si="16"/>
        <v>#DIV/0!</v>
      </c>
      <c r="CI27" s="92">
        <f t="shared" ca="1" si="49"/>
        <v>-99</v>
      </c>
    </row>
    <row r="28" spans="1:87" ht="15" x14ac:dyDescent="0.25">
      <c r="A28" s="296" t="s">
        <v>249</v>
      </c>
      <c r="B28" s="26"/>
      <c r="C28" s="21"/>
      <c r="D28" s="100"/>
      <c r="E28" s="21"/>
      <c r="F28" s="21"/>
      <c r="G28" s="23"/>
      <c r="H28" s="23"/>
      <c r="I28" s="297"/>
      <c r="J28" s="297"/>
      <c r="K28" s="297"/>
      <c r="L28" s="297"/>
      <c r="M28" s="297"/>
      <c r="N28" s="297"/>
      <c r="O28" s="297">
        <v>110</v>
      </c>
      <c r="P28" s="297"/>
      <c r="Q28" s="297"/>
      <c r="R28" s="297"/>
      <c r="S28" s="27"/>
      <c r="T28" s="71" t="str">
        <f t="shared" ca="1" si="17"/>
        <v/>
      </c>
      <c r="U28" s="71">
        <f t="shared" ca="1" si="18"/>
        <v>0</v>
      </c>
      <c r="V28" s="71">
        <f t="shared" ca="1" si="19"/>
        <v>0</v>
      </c>
      <c r="W28" s="71">
        <f t="shared" ca="1" si="20"/>
        <v>0</v>
      </c>
      <c r="X28" s="297"/>
      <c r="Y28" s="297"/>
      <c r="Z28" s="297"/>
      <c r="AA28" s="297"/>
      <c r="AB28" s="297"/>
      <c r="AC28" s="297"/>
      <c r="AD28" s="297">
        <v>110</v>
      </c>
      <c r="AE28" s="297"/>
      <c r="AF28" s="297"/>
      <c r="AG28" s="297"/>
      <c r="AH28" s="27"/>
      <c r="AI28" s="57">
        <f t="shared" si="21"/>
        <v>0</v>
      </c>
      <c r="AJ28" s="58">
        <f t="shared" si="22"/>
        <v>110</v>
      </c>
      <c r="AK28" s="58">
        <f t="shared" si="0"/>
        <v>2.2000000000000002</v>
      </c>
      <c r="AL28" s="59">
        <f t="shared" si="23"/>
        <v>0</v>
      </c>
      <c r="AM28" s="59">
        <f t="shared" si="24"/>
        <v>0</v>
      </c>
      <c r="AN28" s="72" t="str">
        <f t="shared" si="25"/>
        <v/>
      </c>
      <c r="AO28" s="206">
        <f t="shared" ca="1" si="1"/>
        <v>0</v>
      </c>
      <c r="AP28" s="75">
        <f t="shared" ca="1" si="2"/>
        <v>0</v>
      </c>
      <c r="AQ28" s="174">
        <f t="shared" ca="1" si="26"/>
        <v>0</v>
      </c>
      <c r="AR28" s="175">
        <f t="shared" ca="1" si="27"/>
        <v>0</v>
      </c>
      <c r="AS28" s="175">
        <f t="shared" ca="1" si="28"/>
        <v>0</v>
      </c>
      <c r="AT28" s="175">
        <f t="shared" ca="1" si="29"/>
        <v>0</v>
      </c>
      <c r="AU28" s="174">
        <f t="shared" ca="1" si="30"/>
        <v>0</v>
      </c>
      <c r="AV28" s="174">
        <f t="shared" ca="1" si="50"/>
        <v>0</v>
      </c>
      <c r="AW28" s="174">
        <f t="shared" ca="1" si="51"/>
        <v>0</v>
      </c>
      <c r="AX28" s="174">
        <f t="shared" ca="1" si="31"/>
        <v>0</v>
      </c>
      <c r="AY28" s="175">
        <f t="shared" ca="1" si="32"/>
        <v>0</v>
      </c>
      <c r="AZ28" s="175">
        <f t="shared" ca="1" si="3"/>
        <v>0</v>
      </c>
      <c r="BB28" s="87" t="e">
        <f t="shared" ca="1" si="33"/>
        <v>#NUM!</v>
      </c>
      <c r="BC28" s="73" t="e">
        <f t="shared" ca="1" si="34"/>
        <v>#NUM!</v>
      </c>
      <c r="BD28" s="73" t="e">
        <f t="shared" ca="1" si="35"/>
        <v>#NUM!</v>
      </c>
      <c r="BE28" s="73" t="e">
        <f t="shared" ca="1" si="36"/>
        <v>#NUM!</v>
      </c>
      <c r="BF28" s="73" t="e">
        <f t="shared" ca="1" si="37"/>
        <v>#NUM!</v>
      </c>
      <c r="BG28" s="73" t="e">
        <f t="shared" ca="1" si="38"/>
        <v>#DIV/0!</v>
      </c>
      <c r="BH28" s="73">
        <f t="shared" ca="1" si="39"/>
        <v>-99</v>
      </c>
      <c r="BI28" s="88">
        <f t="shared" ca="1" si="40"/>
        <v>0</v>
      </c>
      <c r="BJ28" s="73" t="e">
        <f t="shared" ca="1" si="41"/>
        <v>#DIV/0!</v>
      </c>
      <c r="BK28" s="73" t="e">
        <f t="shared" ca="1" si="42"/>
        <v>#NUM!</v>
      </c>
      <c r="BM28" s="93" t="e">
        <f t="shared" ca="1" si="4"/>
        <v>#DIV/0!</v>
      </c>
      <c r="BN28" s="90" t="e">
        <f t="shared" ca="1" si="5"/>
        <v>#DIV/0!</v>
      </c>
      <c r="BO28" s="90" t="e">
        <f t="shared" ca="1" si="6"/>
        <v>#DIV/0!</v>
      </c>
      <c r="BP28" s="91" t="e">
        <f t="shared" ca="1" si="55"/>
        <v>#DIV/0!</v>
      </c>
      <c r="BQ28" s="92">
        <f t="shared" ca="1" si="43"/>
        <v>-99</v>
      </c>
      <c r="BR28" s="93" t="e">
        <f t="shared" ca="1" si="8"/>
        <v>#DIV/0!</v>
      </c>
      <c r="BS28" s="90" t="e">
        <f t="shared" ca="1" si="9"/>
        <v>#DIV/0!</v>
      </c>
      <c r="BT28" s="90" t="e">
        <f t="shared" ca="1" si="10"/>
        <v>#DIV/0!</v>
      </c>
      <c r="BU28" s="91" t="e">
        <f t="shared" ca="1" si="56"/>
        <v>#DIV/0!</v>
      </c>
      <c r="BV28" s="92">
        <f t="shared" ca="1" si="44"/>
        <v>-99</v>
      </c>
      <c r="BW28" s="93" t="e">
        <f t="shared" ca="1" si="12"/>
        <v>#DIV/0!</v>
      </c>
      <c r="BX28" s="90" t="e">
        <f t="shared" ca="1" si="13"/>
        <v>#DIV/0!</v>
      </c>
      <c r="BY28" s="90" t="e">
        <f t="shared" ca="1" si="14"/>
        <v>#DIV/0!</v>
      </c>
      <c r="BZ28" s="91" t="e">
        <f t="shared" ca="1" si="57"/>
        <v>#DIV/0!</v>
      </c>
      <c r="CA28" s="92">
        <f t="shared" ca="1" si="45"/>
        <v>-99</v>
      </c>
      <c r="CB28" s="197">
        <f t="shared" ca="1" si="46"/>
        <v>0</v>
      </c>
      <c r="CC28" s="197">
        <f t="shared" ca="1" si="47"/>
        <v>0</v>
      </c>
      <c r="CD28" s="197">
        <f t="shared" ca="1" si="48"/>
        <v>0</v>
      </c>
      <c r="CE28" s="93" t="e">
        <f t="shared" ca="1" si="52"/>
        <v>#DIV/0!</v>
      </c>
      <c r="CF28" s="90" t="e">
        <f t="shared" ca="1" si="53"/>
        <v>#DIV/0!</v>
      </c>
      <c r="CG28" s="90" t="e">
        <f t="shared" ca="1" si="54"/>
        <v>#DIV/0!</v>
      </c>
      <c r="CH28" s="91" t="e">
        <f t="shared" ca="1" si="16"/>
        <v>#DIV/0!</v>
      </c>
      <c r="CI28" s="92">
        <f t="shared" ca="1" si="49"/>
        <v>-99</v>
      </c>
    </row>
    <row r="29" spans="1:87" ht="15" x14ac:dyDescent="0.25">
      <c r="A29" s="296" t="s">
        <v>250</v>
      </c>
      <c r="B29" s="26"/>
      <c r="C29" s="21"/>
      <c r="D29" s="100"/>
      <c r="E29" s="21"/>
      <c r="F29" s="21"/>
      <c r="G29" s="23"/>
      <c r="H29" s="23"/>
      <c r="I29" s="297"/>
      <c r="J29" s="297"/>
      <c r="K29" s="297"/>
      <c r="L29" s="297"/>
      <c r="M29" s="297"/>
      <c r="N29" s="297"/>
      <c r="O29" s="297">
        <v>1.1000000000000001</v>
      </c>
      <c r="P29" s="297"/>
      <c r="Q29" s="297"/>
      <c r="R29" s="297"/>
      <c r="S29" s="27"/>
      <c r="T29" s="71" t="str">
        <f t="shared" ca="1" si="17"/>
        <v/>
      </c>
      <c r="U29" s="71">
        <f t="shared" ca="1" si="18"/>
        <v>0</v>
      </c>
      <c r="V29" s="71">
        <f t="shared" ca="1" si="19"/>
        <v>0</v>
      </c>
      <c r="W29" s="71">
        <f t="shared" ca="1" si="20"/>
        <v>0</v>
      </c>
      <c r="X29" s="297"/>
      <c r="Y29" s="297"/>
      <c r="Z29" s="297"/>
      <c r="AA29" s="297"/>
      <c r="AB29" s="297"/>
      <c r="AC29" s="297"/>
      <c r="AD29" s="297">
        <v>1.1000000000000001</v>
      </c>
      <c r="AE29" s="297"/>
      <c r="AF29" s="297"/>
      <c r="AG29" s="297"/>
      <c r="AH29" s="27"/>
      <c r="AI29" s="57">
        <f t="shared" si="21"/>
        <v>0</v>
      </c>
      <c r="AJ29" s="58">
        <f t="shared" si="22"/>
        <v>1.1000000000000001</v>
      </c>
      <c r="AK29" s="58">
        <f t="shared" si="0"/>
        <v>2.2000000000000002E-2</v>
      </c>
      <c r="AL29" s="59">
        <f t="shared" si="23"/>
        <v>0</v>
      </c>
      <c r="AM29" s="59">
        <f t="shared" si="24"/>
        <v>0</v>
      </c>
      <c r="AN29" s="72" t="str">
        <f t="shared" si="25"/>
        <v/>
      </c>
      <c r="AO29" s="206">
        <f t="shared" ca="1" si="1"/>
        <v>0</v>
      </c>
      <c r="AP29" s="75">
        <f t="shared" ca="1" si="2"/>
        <v>0</v>
      </c>
      <c r="AQ29" s="174">
        <f t="shared" ca="1" si="26"/>
        <v>0</v>
      </c>
      <c r="AR29" s="175">
        <f t="shared" ca="1" si="27"/>
        <v>0</v>
      </c>
      <c r="AS29" s="175">
        <f t="shared" ca="1" si="28"/>
        <v>0</v>
      </c>
      <c r="AT29" s="175">
        <f t="shared" ca="1" si="29"/>
        <v>0</v>
      </c>
      <c r="AU29" s="174">
        <f t="shared" ca="1" si="30"/>
        <v>0</v>
      </c>
      <c r="AV29" s="174">
        <f t="shared" ca="1" si="50"/>
        <v>0</v>
      </c>
      <c r="AW29" s="174">
        <f t="shared" ca="1" si="51"/>
        <v>0</v>
      </c>
      <c r="AX29" s="174">
        <f t="shared" ca="1" si="31"/>
        <v>0</v>
      </c>
      <c r="AY29" s="175">
        <f t="shared" ca="1" si="32"/>
        <v>0</v>
      </c>
      <c r="AZ29" s="175">
        <f t="shared" ca="1" si="3"/>
        <v>0</v>
      </c>
      <c r="BB29" s="87" t="e">
        <f t="shared" ca="1" si="33"/>
        <v>#NUM!</v>
      </c>
      <c r="BC29" s="73" t="e">
        <f t="shared" ca="1" si="34"/>
        <v>#NUM!</v>
      </c>
      <c r="BD29" s="73" t="e">
        <f t="shared" ca="1" si="35"/>
        <v>#NUM!</v>
      </c>
      <c r="BE29" s="73" t="e">
        <f t="shared" ca="1" si="36"/>
        <v>#NUM!</v>
      </c>
      <c r="BF29" s="73" t="e">
        <f t="shared" ca="1" si="37"/>
        <v>#NUM!</v>
      </c>
      <c r="BG29" s="73" t="e">
        <f t="shared" ca="1" si="38"/>
        <v>#DIV/0!</v>
      </c>
      <c r="BH29" s="73">
        <f t="shared" ca="1" si="39"/>
        <v>-99</v>
      </c>
      <c r="BI29" s="88">
        <f t="shared" ca="1" si="40"/>
        <v>0</v>
      </c>
      <c r="BJ29" s="73" t="e">
        <f t="shared" ca="1" si="41"/>
        <v>#DIV/0!</v>
      </c>
      <c r="BK29" s="73" t="e">
        <f t="shared" ca="1" si="42"/>
        <v>#NUM!</v>
      </c>
      <c r="BM29" s="93" t="e">
        <f t="shared" ca="1" si="4"/>
        <v>#DIV/0!</v>
      </c>
      <c r="BN29" s="90" t="e">
        <f t="shared" ca="1" si="5"/>
        <v>#DIV/0!</v>
      </c>
      <c r="BO29" s="90" t="e">
        <f t="shared" ca="1" si="6"/>
        <v>#DIV/0!</v>
      </c>
      <c r="BP29" s="91" t="e">
        <f t="shared" ca="1" si="55"/>
        <v>#DIV/0!</v>
      </c>
      <c r="BQ29" s="92">
        <f t="shared" ca="1" si="43"/>
        <v>-99</v>
      </c>
      <c r="BR29" s="93" t="e">
        <f t="shared" ca="1" si="8"/>
        <v>#DIV/0!</v>
      </c>
      <c r="BS29" s="90" t="e">
        <f t="shared" ca="1" si="9"/>
        <v>#DIV/0!</v>
      </c>
      <c r="BT29" s="90" t="e">
        <f t="shared" ca="1" si="10"/>
        <v>#DIV/0!</v>
      </c>
      <c r="BU29" s="91" t="e">
        <f t="shared" ca="1" si="56"/>
        <v>#DIV/0!</v>
      </c>
      <c r="BV29" s="92">
        <f t="shared" ca="1" si="44"/>
        <v>-99</v>
      </c>
      <c r="BW29" s="93" t="e">
        <f t="shared" ca="1" si="12"/>
        <v>#DIV/0!</v>
      </c>
      <c r="BX29" s="90" t="e">
        <f t="shared" ca="1" si="13"/>
        <v>#DIV/0!</v>
      </c>
      <c r="BY29" s="90" t="e">
        <f t="shared" ca="1" si="14"/>
        <v>#DIV/0!</v>
      </c>
      <c r="BZ29" s="91" t="e">
        <f t="shared" ca="1" si="57"/>
        <v>#DIV/0!</v>
      </c>
      <c r="CA29" s="92">
        <f t="shared" ca="1" si="45"/>
        <v>-99</v>
      </c>
      <c r="CB29" s="197">
        <f t="shared" ca="1" si="46"/>
        <v>0</v>
      </c>
      <c r="CC29" s="197">
        <f t="shared" ca="1" si="47"/>
        <v>0</v>
      </c>
      <c r="CD29" s="197">
        <f t="shared" ca="1" si="48"/>
        <v>0</v>
      </c>
      <c r="CE29" s="93" t="e">
        <f t="shared" ca="1" si="52"/>
        <v>#DIV/0!</v>
      </c>
      <c r="CF29" s="90" t="e">
        <f t="shared" ca="1" si="53"/>
        <v>#DIV/0!</v>
      </c>
      <c r="CG29" s="90" t="e">
        <f t="shared" ca="1" si="54"/>
        <v>#DIV/0!</v>
      </c>
      <c r="CH29" s="91" t="e">
        <f t="shared" ca="1" si="16"/>
        <v>#DIV/0!</v>
      </c>
      <c r="CI29" s="92">
        <f t="shared" ca="1" si="49"/>
        <v>-99</v>
      </c>
    </row>
    <row r="30" spans="1:87" ht="15" x14ac:dyDescent="0.25">
      <c r="A30" s="296" t="s">
        <v>251</v>
      </c>
      <c r="B30" s="26"/>
      <c r="C30" s="21"/>
      <c r="D30" s="100"/>
      <c r="E30" s="21"/>
      <c r="F30" s="21"/>
      <c r="G30" s="23"/>
      <c r="H30" s="23"/>
      <c r="I30" s="297"/>
      <c r="J30" s="297"/>
      <c r="K30" s="297"/>
      <c r="L30" s="297"/>
      <c r="M30" s="297"/>
      <c r="N30" s="297"/>
      <c r="O30" s="297">
        <v>1.9</v>
      </c>
      <c r="P30" s="297"/>
      <c r="Q30" s="297"/>
      <c r="R30" s="297"/>
      <c r="S30" s="27"/>
      <c r="T30" s="71" t="str">
        <f t="shared" ca="1" si="17"/>
        <v/>
      </c>
      <c r="U30" s="71">
        <f t="shared" ca="1" si="18"/>
        <v>0</v>
      </c>
      <c r="V30" s="71">
        <f t="shared" ca="1" si="19"/>
        <v>0</v>
      </c>
      <c r="W30" s="71">
        <f t="shared" ca="1" si="20"/>
        <v>0</v>
      </c>
      <c r="X30" s="297"/>
      <c r="Y30" s="297"/>
      <c r="Z30" s="297"/>
      <c r="AA30" s="297"/>
      <c r="AB30" s="297"/>
      <c r="AC30" s="297"/>
      <c r="AD30" s="297">
        <v>1.9</v>
      </c>
      <c r="AE30" s="297"/>
      <c r="AF30" s="297"/>
      <c r="AG30" s="297"/>
      <c r="AH30" s="27"/>
      <c r="AI30" s="57">
        <f t="shared" si="21"/>
        <v>0</v>
      </c>
      <c r="AJ30" s="58">
        <f t="shared" si="22"/>
        <v>1.9</v>
      </c>
      <c r="AK30" s="58">
        <f t="shared" si="0"/>
        <v>3.7999999999999999E-2</v>
      </c>
      <c r="AL30" s="59">
        <f t="shared" si="23"/>
        <v>0</v>
      </c>
      <c r="AM30" s="59">
        <f t="shared" si="24"/>
        <v>0</v>
      </c>
      <c r="AN30" s="72" t="str">
        <f t="shared" si="25"/>
        <v/>
      </c>
      <c r="AO30" s="206">
        <f t="shared" ca="1" si="1"/>
        <v>0</v>
      </c>
      <c r="AP30" s="75">
        <f t="shared" ca="1" si="2"/>
        <v>0</v>
      </c>
      <c r="AQ30" s="174">
        <f t="shared" ca="1" si="26"/>
        <v>0</v>
      </c>
      <c r="AR30" s="175">
        <f t="shared" ca="1" si="27"/>
        <v>0</v>
      </c>
      <c r="AS30" s="175">
        <f t="shared" ca="1" si="28"/>
        <v>0</v>
      </c>
      <c r="AT30" s="175">
        <f t="shared" ca="1" si="29"/>
        <v>0</v>
      </c>
      <c r="AU30" s="174">
        <f t="shared" ca="1" si="30"/>
        <v>0</v>
      </c>
      <c r="AV30" s="174">
        <f t="shared" ca="1" si="50"/>
        <v>0</v>
      </c>
      <c r="AW30" s="174">
        <f t="shared" ca="1" si="51"/>
        <v>0</v>
      </c>
      <c r="AX30" s="174">
        <f t="shared" ca="1" si="31"/>
        <v>0</v>
      </c>
      <c r="AY30" s="175">
        <f t="shared" ca="1" si="32"/>
        <v>0</v>
      </c>
      <c r="AZ30" s="175">
        <f t="shared" ca="1" si="3"/>
        <v>0</v>
      </c>
      <c r="BB30" s="87" t="e">
        <f t="shared" ca="1" si="33"/>
        <v>#NUM!</v>
      </c>
      <c r="BC30" s="73" t="e">
        <f t="shared" ca="1" si="34"/>
        <v>#NUM!</v>
      </c>
      <c r="BD30" s="73" t="e">
        <f t="shared" ca="1" si="35"/>
        <v>#NUM!</v>
      </c>
      <c r="BE30" s="73" t="e">
        <f t="shared" ca="1" si="36"/>
        <v>#NUM!</v>
      </c>
      <c r="BF30" s="73" t="e">
        <f t="shared" ca="1" si="37"/>
        <v>#NUM!</v>
      </c>
      <c r="BG30" s="73" t="e">
        <f t="shared" ca="1" si="38"/>
        <v>#DIV/0!</v>
      </c>
      <c r="BH30" s="73">
        <f t="shared" ca="1" si="39"/>
        <v>-99</v>
      </c>
      <c r="BI30" s="88">
        <f t="shared" ca="1" si="40"/>
        <v>0</v>
      </c>
      <c r="BJ30" s="73" t="e">
        <f t="shared" ca="1" si="41"/>
        <v>#DIV/0!</v>
      </c>
      <c r="BK30" s="73" t="e">
        <f t="shared" ca="1" si="42"/>
        <v>#NUM!</v>
      </c>
      <c r="BM30" s="93" t="e">
        <f t="shared" ca="1" si="4"/>
        <v>#DIV/0!</v>
      </c>
      <c r="BN30" s="90" t="e">
        <f t="shared" ca="1" si="5"/>
        <v>#DIV/0!</v>
      </c>
      <c r="BO30" s="90" t="e">
        <f t="shared" ca="1" si="6"/>
        <v>#DIV/0!</v>
      </c>
      <c r="BP30" s="91" t="e">
        <f t="shared" ca="1" si="55"/>
        <v>#DIV/0!</v>
      </c>
      <c r="BQ30" s="92">
        <f t="shared" ca="1" si="43"/>
        <v>-99</v>
      </c>
      <c r="BR30" s="93" t="e">
        <f t="shared" ca="1" si="8"/>
        <v>#DIV/0!</v>
      </c>
      <c r="BS30" s="90" t="e">
        <f t="shared" ca="1" si="9"/>
        <v>#DIV/0!</v>
      </c>
      <c r="BT30" s="90" t="e">
        <f t="shared" ca="1" si="10"/>
        <v>#DIV/0!</v>
      </c>
      <c r="BU30" s="91" t="e">
        <f t="shared" ca="1" si="56"/>
        <v>#DIV/0!</v>
      </c>
      <c r="BV30" s="92">
        <f t="shared" ca="1" si="44"/>
        <v>-99</v>
      </c>
      <c r="BW30" s="93" t="e">
        <f t="shared" ca="1" si="12"/>
        <v>#DIV/0!</v>
      </c>
      <c r="BX30" s="90" t="e">
        <f t="shared" ca="1" si="13"/>
        <v>#DIV/0!</v>
      </c>
      <c r="BY30" s="90" t="e">
        <f t="shared" ca="1" si="14"/>
        <v>#DIV/0!</v>
      </c>
      <c r="BZ30" s="91" t="e">
        <f t="shared" ca="1" si="57"/>
        <v>#DIV/0!</v>
      </c>
      <c r="CA30" s="92">
        <f t="shared" ca="1" si="45"/>
        <v>-99</v>
      </c>
      <c r="CB30" s="197">
        <f t="shared" ca="1" si="46"/>
        <v>0</v>
      </c>
      <c r="CC30" s="197">
        <f t="shared" ca="1" si="47"/>
        <v>0</v>
      </c>
      <c r="CD30" s="197">
        <f t="shared" ca="1" si="48"/>
        <v>0</v>
      </c>
      <c r="CE30" s="93" t="e">
        <f t="shared" ca="1" si="52"/>
        <v>#DIV/0!</v>
      </c>
      <c r="CF30" s="90" t="e">
        <f t="shared" ca="1" si="53"/>
        <v>#DIV/0!</v>
      </c>
      <c r="CG30" s="90" t="e">
        <f t="shared" ca="1" si="54"/>
        <v>#DIV/0!</v>
      </c>
      <c r="CH30" s="91" t="e">
        <f t="shared" ca="1" si="16"/>
        <v>#DIV/0!</v>
      </c>
      <c r="CI30" s="92">
        <f t="shared" ca="1" si="49"/>
        <v>-99</v>
      </c>
    </row>
    <row r="31" spans="1:87" ht="15" x14ac:dyDescent="0.25">
      <c r="A31" s="296" t="s">
        <v>252</v>
      </c>
      <c r="B31" s="26"/>
      <c r="C31" s="21"/>
      <c r="D31" s="100"/>
      <c r="E31" s="21"/>
      <c r="F31" s="21"/>
      <c r="G31" s="20"/>
      <c r="H31" s="20"/>
      <c r="I31" s="297"/>
      <c r="J31" s="297"/>
      <c r="K31" s="297"/>
      <c r="L31" s="297"/>
      <c r="M31" s="297"/>
      <c r="N31" s="297"/>
      <c r="O31" s="297">
        <v>129</v>
      </c>
      <c r="P31" s="297"/>
      <c r="Q31" s="297"/>
      <c r="R31" s="297"/>
      <c r="S31" s="28"/>
      <c r="T31" s="71" t="str">
        <f t="shared" ca="1" si="17"/>
        <v/>
      </c>
      <c r="U31" s="71">
        <f t="shared" ca="1" si="18"/>
        <v>0</v>
      </c>
      <c r="V31" s="71">
        <f t="shared" ca="1" si="19"/>
        <v>0</v>
      </c>
      <c r="W31" s="71">
        <f t="shared" ca="1" si="20"/>
        <v>0</v>
      </c>
      <c r="X31" s="297"/>
      <c r="Y31" s="297"/>
      <c r="Z31" s="297"/>
      <c r="AA31" s="297"/>
      <c r="AB31" s="297"/>
      <c r="AC31" s="297"/>
      <c r="AD31" s="297">
        <v>129</v>
      </c>
      <c r="AE31" s="297"/>
      <c r="AF31" s="297"/>
      <c r="AG31" s="297"/>
      <c r="AH31" s="28"/>
      <c r="AI31" s="57">
        <f t="shared" si="21"/>
        <v>0</v>
      </c>
      <c r="AJ31" s="58">
        <f t="shared" si="22"/>
        <v>129</v>
      </c>
      <c r="AK31" s="58">
        <f t="shared" si="0"/>
        <v>2.58</v>
      </c>
      <c r="AL31" s="59">
        <f t="shared" si="23"/>
        <v>0</v>
      </c>
      <c r="AM31" s="59">
        <f t="shared" si="24"/>
        <v>0</v>
      </c>
      <c r="AN31" s="72" t="str">
        <f t="shared" si="25"/>
        <v/>
      </c>
      <c r="AO31" s="206">
        <f t="shared" ca="1" si="1"/>
        <v>0</v>
      </c>
      <c r="AP31" s="75">
        <f t="shared" ca="1" si="2"/>
        <v>0</v>
      </c>
      <c r="AQ31" s="174">
        <f t="shared" ca="1" si="26"/>
        <v>0</v>
      </c>
      <c r="AR31" s="175">
        <f t="shared" ca="1" si="27"/>
        <v>0</v>
      </c>
      <c r="AS31" s="175">
        <f t="shared" ca="1" si="28"/>
        <v>0</v>
      </c>
      <c r="AT31" s="175">
        <f t="shared" ca="1" si="29"/>
        <v>0</v>
      </c>
      <c r="AU31" s="174">
        <f t="shared" ca="1" si="30"/>
        <v>0</v>
      </c>
      <c r="AV31" s="174">
        <f t="shared" ca="1" si="50"/>
        <v>0</v>
      </c>
      <c r="AW31" s="174">
        <f t="shared" ca="1" si="51"/>
        <v>0</v>
      </c>
      <c r="AX31" s="174">
        <f t="shared" ca="1" si="31"/>
        <v>0</v>
      </c>
      <c r="AY31" s="175">
        <f t="shared" ca="1" si="32"/>
        <v>0</v>
      </c>
      <c r="AZ31" s="175">
        <f t="shared" ca="1" si="3"/>
        <v>0</v>
      </c>
      <c r="BB31" s="87" t="e">
        <f t="shared" ca="1" si="33"/>
        <v>#NUM!</v>
      </c>
      <c r="BC31" s="73" t="e">
        <f t="shared" ca="1" si="34"/>
        <v>#NUM!</v>
      </c>
      <c r="BD31" s="73" t="e">
        <f t="shared" ca="1" si="35"/>
        <v>#NUM!</v>
      </c>
      <c r="BE31" s="73" t="e">
        <f t="shared" ca="1" si="36"/>
        <v>#NUM!</v>
      </c>
      <c r="BF31" s="73" t="e">
        <f t="shared" ca="1" si="37"/>
        <v>#NUM!</v>
      </c>
      <c r="BG31" s="73" t="e">
        <f t="shared" ca="1" si="38"/>
        <v>#DIV/0!</v>
      </c>
      <c r="BH31" s="73">
        <f t="shared" ca="1" si="39"/>
        <v>-99</v>
      </c>
      <c r="BI31" s="88">
        <f t="shared" ca="1" si="40"/>
        <v>0</v>
      </c>
      <c r="BJ31" s="73" t="e">
        <f t="shared" ca="1" si="41"/>
        <v>#DIV/0!</v>
      </c>
      <c r="BK31" s="73" t="e">
        <f t="shared" ca="1" si="42"/>
        <v>#NUM!</v>
      </c>
      <c r="BM31" s="93" t="e">
        <f t="shared" ca="1" si="4"/>
        <v>#DIV/0!</v>
      </c>
      <c r="BN31" s="90" t="e">
        <f t="shared" ca="1" si="5"/>
        <v>#DIV/0!</v>
      </c>
      <c r="BO31" s="90" t="e">
        <f t="shared" ca="1" si="6"/>
        <v>#DIV/0!</v>
      </c>
      <c r="BP31" s="91" t="e">
        <f t="shared" ca="1" si="55"/>
        <v>#DIV/0!</v>
      </c>
      <c r="BQ31" s="92">
        <f t="shared" ca="1" si="43"/>
        <v>-99</v>
      </c>
      <c r="BR31" s="93" t="e">
        <f t="shared" ca="1" si="8"/>
        <v>#DIV/0!</v>
      </c>
      <c r="BS31" s="90" t="e">
        <f t="shared" ca="1" si="9"/>
        <v>#DIV/0!</v>
      </c>
      <c r="BT31" s="90" t="e">
        <f t="shared" ca="1" si="10"/>
        <v>#DIV/0!</v>
      </c>
      <c r="BU31" s="91" t="e">
        <f t="shared" ca="1" si="56"/>
        <v>#DIV/0!</v>
      </c>
      <c r="BV31" s="92">
        <f t="shared" ca="1" si="44"/>
        <v>-99</v>
      </c>
      <c r="BW31" s="93" t="e">
        <f t="shared" ca="1" si="12"/>
        <v>#DIV/0!</v>
      </c>
      <c r="BX31" s="90" t="e">
        <f t="shared" ca="1" si="13"/>
        <v>#DIV/0!</v>
      </c>
      <c r="BY31" s="90" t="e">
        <f t="shared" ca="1" si="14"/>
        <v>#DIV/0!</v>
      </c>
      <c r="BZ31" s="91" t="e">
        <f t="shared" ca="1" si="57"/>
        <v>#DIV/0!</v>
      </c>
      <c r="CA31" s="92">
        <f t="shared" ca="1" si="45"/>
        <v>-99</v>
      </c>
      <c r="CB31" s="197">
        <f t="shared" ca="1" si="46"/>
        <v>0</v>
      </c>
      <c r="CC31" s="197">
        <f t="shared" ca="1" si="47"/>
        <v>0</v>
      </c>
      <c r="CD31" s="197">
        <f t="shared" ca="1" si="48"/>
        <v>0</v>
      </c>
      <c r="CE31" s="93" t="e">
        <f t="shared" ca="1" si="52"/>
        <v>#DIV/0!</v>
      </c>
      <c r="CF31" s="90" t="e">
        <f t="shared" ca="1" si="53"/>
        <v>#DIV/0!</v>
      </c>
      <c r="CG31" s="90" t="e">
        <f t="shared" ca="1" si="54"/>
        <v>#DIV/0!</v>
      </c>
      <c r="CH31" s="91" t="e">
        <f t="shared" ca="1" si="16"/>
        <v>#DIV/0!</v>
      </c>
      <c r="CI31" s="92">
        <f t="shared" ca="1" si="49"/>
        <v>-99</v>
      </c>
    </row>
    <row r="32" spans="1:87" ht="15" x14ac:dyDescent="0.25">
      <c r="A32" s="296" t="s">
        <v>253</v>
      </c>
      <c r="B32" s="26"/>
      <c r="C32" s="21"/>
      <c r="D32" s="100"/>
      <c r="E32" s="21"/>
      <c r="F32" s="21"/>
      <c r="G32" s="20"/>
      <c r="H32" s="20"/>
      <c r="I32" s="297"/>
      <c r="J32" s="297"/>
      <c r="K32" s="297"/>
      <c r="L32" s="297"/>
      <c r="M32" s="297"/>
      <c r="N32" s="297"/>
      <c r="O32" s="297">
        <v>149</v>
      </c>
      <c r="P32" s="297"/>
      <c r="Q32" s="297"/>
      <c r="R32" s="297"/>
      <c r="S32" s="28"/>
      <c r="T32" s="71" t="str">
        <f t="shared" ca="1" si="17"/>
        <v/>
      </c>
      <c r="U32" s="71">
        <f t="shared" ca="1" si="18"/>
        <v>0</v>
      </c>
      <c r="V32" s="71">
        <f t="shared" ca="1" si="19"/>
        <v>0</v>
      </c>
      <c r="W32" s="71">
        <f t="shared" ca="1" si="20"/>
        <v>0</v>
      </c>
      <c r="X32" s="297"/>
      <c r="Y32" s="297"/>
      <c r="Z32" s="297"/>
      <c r="AA32" s="297"/>
      <c r="AB32" s="297"/>
      <c r="AC32" s="297"/>
      <c r="AD32" s="297">
        <v>149</v>
      </c>
      <c r="AE32" s="297"/>
      <c r="AF32" s="297"/>
      <c r="AG32" s="297"/>
      <c r="AH32" s="28"/>
      <c r="AI32" s="57">
        <f t="shared" si="21"/>
        <v>0</v>
      </c>
      <c r="AJ32" s="58">
        <f t="shared" si="22"/>
        <v>149</v>
      </c>
      <c r="AK32" s="58">
        <f t="shared" si="0"/>
        <v>2.98</v>
      </c>
      <c r="AL32" s="59">
        <f t="shared" si="23"/>
        <v>0</v>
      </c>
      <c r="AM32" s="59">
        <f t="shared" ref="AM32:AM40" si="58">IF($AC32=0,0,IF($AG32=0,(0.00934*$AH32)/(0.00934*$AH32+ABS($AC32)*AJ32/($AH32+AJ32)),(0.00934*AI32)/ABS($AC32)))</f>
        <v>0</v>
      </c>
      <c r="AN32" s="72" t="str">
        <f t="shared" si="25"/>
        <v/>
      </c>
      <c r="AO32" s="206">
        <f t="shared" ca="1" si="1"/>
        <v>0</v>
      </c>
      <c r="AP32" s="75">
        <f t="shared" ca="1" si="2"/>
        <v>0</v>
      </c>
      <c r="AQ32" s="174">
        <f t="shared" ca="1" si="26"/>
        <v>0</v>
      </c>
      <c r="AR32" s="175">
        <f t="shared" ca="1" si="27"/>
        <v>0</v>
      </c>
      <c r="AS32" s="175">
        <f t="shared" ca="1" si="28"/>
        <v>0</v>
      </c>
      <c r="AT32" s="175">
        <f t="shared" ca="1" si="29"/>
        <v>0</v>
      </c>
      <c r="AU32" s="174">
        <f t="shared" ca="1" si="30"/>
        <v>0</v>
      </c>
      <c r="AV32" s="174">
        <f t="shared" ca="1" si="50"/>
        <v>0</v>
      </c>
      <c r="AW32" s="174">
        <f t="shared" ca="1" si="51"/>
        <v>0</v>
      </c>
      <c r="AX32" s="174">
        <f t="shared" ca="1" si="31"/>
        <v>0</v>
      </c>
      <c r="AY32" s="175">
        <f t="shared" ca="1" si="32"/>
        <v>0</v>
      </c>
      <c r="AZ32" s="175">
        <f t="shared" ca="1" si="3"/>
        <v>0</v>
      </c>
      <c r="BB32" s="87" t="e">
        <f t="shared" ca="1" si="33"/>
        <v>#NUM!</v>
      </c>
      <c r="BC32" s="73" t="e">
        <f t="shared" ca="1" si="34"/>
        <v>#NUM!</v>
      </c>
      <c r="BD32" s="73" t="e">
        <f t="shared" ca="1" si="35"/>
        <v>#NUM!</v>
      </c>
      <c r="BE32" s="73" t="e">
        <f t="shared" ca="1" si="36"/>
        <v>#NUM!</v>
      </c>
      <c r="BF32" s="73" t="e">
        <f t="shared" ca="1" si="37"/>
        <v>#NUM!</v>
      </c>
      <c r="BG32" s="73" t="e">
        <f t="shared" ca="1" si="38"/>
        <v>#DIV/0!</v>
      </c>
      <c r="BH32" s="73">
        <f t="shared" ca="1" si="39"/>
        <v>-99</v>
      </c>
      <c r="BI32" s="88">
        <f t="shared" ca="1" si="40"/>
        <v>0</v>
      </c>
      <c r="BJ32" s="73" t="e">
        <f t="shared" ca="1" si="41"/>
        <v>#DIV/0!</v>
      </c>
      <c r="BK32" s="73" t="e">
        <f t="shared" ca="1" si="42"/>
        <v>#NUM!</v>
      </c>
      <c r="BM32" s="93" t="e">
        <f t="shared" ca="1" si="4"/>
        <v>#DIV/0!</v>
      </c>
      <c r="BN32" s="90" t="e">
        <f t="shared" ca="1" si="5"/>
        <v>#DIV/0!</v>
      </c>
      <c r="BO32" s="90" t="e">
        <f t="shared" ca="1" si="6"/>
        <v>#DIV/0!</v>
      </c>
      <c r="BP32" s="91" t="e">
        <f t="shared" ca="1" si="55"/>
        <v>#DIV/0!</v>
      </c>
      <c r="BQ32" s="92">
        <f t="shared" ca="1" si="43"/>
        <v>-99</v>
      </c>
      <c r="BR32" s="93" t="e">
        <f t="shared" ca="1" si="8"/>
        <v>#DIV/0!</v>
      </c>
      <c r="BS32" s="90" t="e">
        <f t="shared" ca="1" si="9"/>
        <v>#DIV/0!</v>
      </c>
      <c r="BT32" s="90" t="e">
        <f t="shared" ca="1" si="10"/>
        <v>#DIV/0!</v>
      </c>
      <c r="BU32" s="91" t="e">
        <f t="shared" ca="1" si="56"/>
        <v>#DIV/0!</v>
      </c>
      <c r="BV32" s="92">
        <f t="shared" ca="1" si="44"/>
        <v>-99</v>
      </c>
      <c r="BW32" s="93" t="e">
        <f t="shared" ca="1" si="12"/>
        <v>#DIV/0!</v>
      </c>
      <c r="BX32" s="90" t="e">
        <f t="shared" ca="1" si="13"/>
        <v>#DIV/0!</v>
      </c>
      <c r="BY32" s="90" t="e">
        <f t="shared" ca="1" si="14"/>
        <v>#DIV/0!</v>
      </c>
      <c r="BZ32" s="91" t="e">
        <f t="shared" ca="1" si="57"/>
        <v>#DIV/0!</v>
      </c>
      <c r="CA32" s="92">
        <f t="shared" ca="1" si="45"/>
        <v>-99</v>
      </c>
      <c r="CB32" s="197">
        <f t="shared" ca="1" si="46"/>
        <v>0</v>
      </c>
      <c r="CC32" s="197">
        <f t="shared" ca="1" si="47"/>
        <v>0</v>
      </c>
      <c r="CD32" s="197">
        <f t="shared" ca="1" si="48"/>
        <v>0</v>
      </c>
      <c r="CE32" s="93" t="e">
        <f t="shared" ca="1" si="52"/>
        <v>#DIV/0!</v>
      </c>
      <c r="CF32" s="90" t="e">
        <f t="shared" ca="1" si="53"/>
        <v>#DIV/0!</v>
      </c>
      <c r="CG32" s="90" t="e">
        <f t="shared" ca="1" si="54"/>
        <v>#DIV/0!</v>
      </c>
      <c r="CH32" s="91" t="e">
        <f t="shared" ca="1" si="16"/>
        <v>#DIV/0!</v>
      </c>
      <c r="CI32" s="92">
        <f t="shared" ca="1" si="49"/>
        <v>-99</v>
      </c>
    </row>
    <row r="33" spans="1:87" ht="15" x14ac:dyDescent="0.25">
      <c r="A33" s="296" t="s">
        <v>253</v>
      </c>
      <c r="B33" s="26"/>
      <c r="C33" s="21"/>
      <c r="D33" s="100"/>
      <c r="E33" s="22"/>
      <c r="F33" s="21"/>
      <c r="G33" s="20"/>
      <c r="H33" s="20"/>
      <c r="I33" s="297"/>
      <c r="J33" s="297"/>
      <c r="K33" s="297"/>
      <c r="L33" s="297"/>
      <c r="M33" s="297"/>
      <c r="N33" s="297"/>
      <c r="O33" s="297">
        <v>167</v>
      </c>
      <c r="P33" s="297"/>
      <c r="Q33" s="297"/>
      <c r="R33" s="297"/>
      <c r="S33" s="28"/>
      <c r="T33" s="71" t="str">
        <f t="shared" ca="1" si="17"/>
        <v/>
      </c>
      <c r="U33" s="71">
        <f t="shared" ca="1" si="18"/>
        <v>0</v>
      </c>
      <c r="V33" s="71">
        <f t="shared" ca="1" si="19"/>
        <v>0</v>
      </c>
      <c r="W33" s="71">
        <f t="shared" ca="1" si="20"/>
        <v>0</v>
      </c>
      <c r="X33" s="297"/>
      <c r="Y33" s="297"/>
      <c r="Z33" s="297"/>
      <c r="AA33" s="297"/>
      <c r="AB33" s="297"/>
      <c r="AC33" s="297"/>
      <c r="AD33" s="297">
        <v>167</v>
      </c>
      <c r="AE33" s="297"/>
      <c r="AF33" s="297"/>
      <c r="AG33" s="297"/>
      <c r="AH33" s="28"/>
      <c r="AI33" s="57">
        <f t="shared" si="21"/>
        <v>0</v>
      </c>
      <c r="AJ33" s="58">
        <f t="shared" si="22"/>
        <v>167</v>
      </c>
      <c r="AK33" s="58">
        <f t="shared" si="0"/>
        <v>3.34</v>
      </c>
      <c r="AL33" s="59">
        <f t="shared" si="23"/>
        <v>0</v>
      </c>
      <c r="AM33" s="59">
        <f t="shared" si="58"/>
        <v>0</v>
      </c>
      <c r="AN33" s="72" t="str">
        <f t="shared" si="25"/>
        <v/>
      </c>
      <c r="AO33" s="206">
        <f t="shared" ca="1" si="1"/>
        <v>0</v>
      </c>
      <c r="AP33" s="75">
        <f t="shared" ca="1" si="2"/>
        <v>0</v>
      </c>
      <c r="AQ33" s="174">
        <f t="shared" ca="1" si="26"/>
        <v>0</v>
      </c>
      <c r="AR33" s="175">
        <f t="shared" ca="1" si="27"/>
        <v>0</v>
      </c>
      <c r="AS33" s="175">
        <f t="shared" ca="1" si="28"/>
        <v>0</v>
      </c>
      <c r="AT33" s="175">
        <f t="shared" ca="1" si="29"/>
        <v>0</v>
      </c>
      <c r="AU33" s="174">
        <f t="shared" ca="1" si="30"/>
        <v>0</v>
      </c>
      <c r="AV33" s="174">
        <f t="shared" ca="1" si="50"/>
        <v>0</v>
      </c>
      <c r="AW33" s="174">
        <f t="shared" ca="1" si="51"/>
        <v>0</v>
      </c>
      <c r="AX33" s="174">
        <f t="shared" ca="1" si="31"/>
        <v>0</v>
      </c>
      <c r="AY33" s="175">
        <f t="shared" ca="1" si="32"/>
        <v>0</v>
      </c>
      <c r="AZ33" s="175">
        <f t="shared" ca="1" si="3"/>
        <v>0</v>
      </c>
      <c r="BB33" s="87" t="e">
        <f t="shared" ca="1" si="33"/>
        <v>#NUM!</v>
      </c>
      <c r="BC33" s="73" t="e">
        <f t="shared" ca="1" si="34"/>
        <v>#NUM!</v>
      </c>
      <c r="BD33" s="73" t="e">
        <f t="shared" ca="1" si="35"/>
        <v>#NUM!</v>
      </c>
      <c r="BE33" s="73" t="e">
        <f t="shared" ca="1" si="36"/>
        <v>#NUM!</v>
      </c>
      <c r="BF33" s="73" t="e">
        <f t="shared" ca="1" si="37"/>
        <v>#NUM!</v>
      </c>
      <c r="BG33" s="73" t="e">
        <f t="shared" ca="1" si="38"/>
        <v>#DIV/0!</v>
      </c>
      <c r="BH33" s="73">
        <f t="shared" ca="1" si="39"/>
        <v>-99</v>
      </c>
      <c r="BI33" s="88">
        <f t="shared" ca="1" si="40"/>
        <v>0</v>
      </c>
      <c r="BJ33" s="73" t="e">
        <f t="shared" ca="1" si="41"/>
        <v>#DIV/0!</v>
      </c>
      <c r="BK33" s="73" t="e">
        <f t="shared" ca="1" si="42"/>
        <v>#NUM!</v>
      </c>
      <c r="BM33" s="93" t="e">
        <f t="shared" ca="1" si="4"/>
        <v>#DIV/0!</v>
      </c>
      <c r="BN33" s="90" t="e">
        <f t="shared" ca="1" si="5"/>
        <v>#DIV/0!</v>
      </c>
      <c r="BO33" s="90" t="e">
        <f t="shared" ca="1" si="6"/>
        <v>#DIV/0!</v>
      </c>
      <c r="BP33" s="91" t="e">
        <f t="shared" ca="1" si="55"/>
        <v>#DIV/0!</v>
      </c>
      <c r="BQ33" s="92">
        <f t="shared" ca="1" si="43"/>
        <v>-99</v>
      </c>
      <c r="BR33" s="93" t="e">
        <f t="shared" ca="1" si="8"/>
        <v>#DIV/0!</v>
      </c>
      <c r="BS33" s="90" t="e">
        <f t="shared" ca="1" si="9"/>
        <v>#DIV/0!</v>
      </c>
      <c r="BT33" s="90" t="e">
        <f t="shared" ca="1" si="10"/>
        <v>#DIV/0!</v>
      </c>
      <c r="BU33" s="91" t="e">
        <f t="shared" ca="1" si="56"/>
        <v>#DIV/0!</v>
      </c>
      <c r="BV33" s="92">
        <f t="shared" ca="1" si="44"/>
        <v>-99</v>
      </c>
      <c r="BW33" s="93" t="e">
        <f t="shared" ca="1" si="12"/>
        <v>#DIV/0!</v>
      </c>
      <c r="BX33" s="90" t="e">
        <f t="shared" ca="1" si="13"/>
        <v>#DIV/0!</v>
      </c>
      <c r="BY33" s="90" t="e">
        <f t="shared" ca="1" si="14"/>
        <v>#DIV/0!</v>
      </c>
      <c r="BZ33" s="91" t="e">
        <f t="shared" ca="1" si="57"/>
        <v>#DIV/0!</v>
      </c>
      <c r="CA33" s="92">
        <f t="shared" ca="1" si="45"/>
        <v>-99</v>
      </c>
      <c r="CB33" s="197">
        <f t="shared" ca="1" si="46"/>
        <v>0</v>
      </c>
      <c r="CC33" s="197">
        <f t="shared" ca="1" si="47"/>
        <v>0</v>
      </c>
      <c r="CD33" s="197">
        <f t="shared" ca="1" si="48"/>
        <v>0</v>
      </c>
      <c r="CE33" s="93" t="e">
        <f t="shared" ca="1" si="52"/>
        <v>#DIV/0!</v>
      </c>
      <c r="CF33" s="90" t="e">
        <f t="shared" ca="1" si="53"/>
        <v>#DIV/0!</v>
      </c>
      <c r="CG33" s="90" t="e">
        <f t="shared" ca="1" si="54"/>
        <v>#DIV/0!</v>
      </c>
      <c r="CH33" s="91" t="e">
        <f t="shared" ca="1" si="16"/>
        <v>#DIV/0!</v>
      </c>
      <c r="CI33" s="92">
        <f t="shared" ca="1" si="49"/>
        <v>-99</v>
      </c>
    </row>
    <row r="34" spans="1:87" ht="15" x14ac:dyDescent="0.25">
      <c r="A34" s="296" t="s">
        <v>254</v>
      </c>
      <c r="B34" s="26"/>
      <c r="C34" s="21"/>
      <c r="D34" s="100"/>
      <c r="E34" s="22"/>
      <c r="F34" s="21"/>
      <c r="G34" s="20"/>
      <c r="H34" s="20"/>
      <c r="I34" s="297"/>
      <c r="J34" s="297"/>
      <c r="K34" s="297"/>
      <c r="L34" s="297"/>
      <c r="M34" s="297"/>
      <c r="N34" s="297"/>
      <c r="O34" s="297">
        <v>82</v>
      </c>
      <c r="P34" s="297"/>
      <c r="Q34" s="297"/>
      <c r="R34" s="297"/>
      <c r="S34" s="28"/>
      <c r="T34" s="71" t="str">
        <f t="shared" ca="1" si="17"/>
        <v/>
      </c>
      <c r="U34" s="71">
        <f t="shared" ca="1" si="18"/>
        <v>0</v>
      </c>
      <c r="V34" s="71">
        <f t="shared" ca="1" si="19"/>
        <v>0</v>
      </c>
      <c r="W34" s="71">
        <f t="shared" ca="1" si="20"/>
        <v>0</v>
      </c>
      <c r="X34" s="297"/>
      <c r="Y34" s="297"/>
      <c r="Z34" s="297"/>
      <c r="AA34" s="297"/>
      <c r="AB34" s="297"/>
      <c r="AC34" s="297"/>
      <c r="AD34" s="297">
        <v>82</v>
      </c>
      <c r="AE34" s="297"/>
      <c r="AF34" s="297"/>
      <c r="AG34" s="297"/>
      <c r="AH34" s="28"/>
      <c r="AI34" s="57">
        <f t="shared" si="21"/>
        <v>0</v>
      </c>
      <c r="AJ34" s="58">
        <f t="shared" si="22"/>
        <v>82</v>
      </c>
      <c r="AK34" s="58">
        <f t="shared" si="0"/>
        <v>1.64</v>
      </c>
      <c r="AL34" s="59">
        <f t="shared" si="23"/>
        <v>0</v>
      </c>
      <c r="AM34" s="59">
        <f t="shared" si="58"/>
        <v>0</v>
      </c>
      <c r="AN34" s="72" t="str">
        <f t="shared" si="25"/>
        <v/>
      </c>
      <c r="AO34" s="206">
        <f t="shared" ca="1" si="1"/>
        <v>0</v>
      </c>
      <c r="AP34" s="75">
        <f t="shared" ca="1" si="2"/>
        <v>0</v>
      </c>
      <c r="AQ34" s="174">
        <f t="shared" ca="1" si="26"/>
        <v>0</v>
      </c>
      <c r="AR34" s="175">
        <f t="shared" ca="1" si="27"/>
        <v>0</v>
      </c>
      <c r="AS34" s="175">
        <f t="shared" ca="1" si="28"/>
        <v>0</v>
      </c>
      <c r="AT34" s="175">
        <f t="shared" ca="1" si="29"/>
        <v>0</v>
      </c>
      <c r="AU34" s="174">
        <f t="shared" ca="1" si="30"/>
        <v>0</v>
      </c>
      <c r="AV34" s="174">
        <f t="shared" ca="1" si="50"/>
        <v>0</v>
      </c>
      <c r="AW34" s="174">
        <f t="shared" ca="1" si="51"/>
        <v>0</v>
      </c>
      <c r="AX34" s="174">
        <f t="shared" ca="1" si="31"/>
        <v>0</v>
      </c>
      <c r="AY34" s="175">
        <f t="shared" ca="1" si="32"/>
        <v>0</v>
      </c>
      <c r="AZ34" s="175">
        <f t="shared" ca="1" si="3"/>
        <v>0</v>
      </c>
      <c r="BB34" s="87" t="e">
        <f t="shared" ca="1" si="33"/>
        <v>#NUM!</v>
      </c>
      <c r="BC34" s="73" t="e">
        <f t="shared" ca="1" si="34"/>
        <v>#NUM!</v>
      </c>
      <c r="BD34" s="73" t="e">
        <f t="shared" ca="1" si="35"/>
        <v>#NUM!</v>
      </c>
      <c r="BE34" s="73" t="e">
        <f t="shared" ca="1" si="36"/>
        <v>#NUM!</v>
      </c>
      <c r="BF34" s="73" t="e">
        <f t="shared" ca="1" si="37"/>
        <v>#NUM!</v>
      </c>
      <c r="BG34" s="73" t="e">
        <f t="shared" ca="1" si="38"/>
        <v>#DIV/0!</v>
      </c>
      <c r="BH34" s="73">
        <f t="shared" ca="1" si="39"/>
        <v>-99</v>
      </c>
      <c r="BI34" s="88">
        <f t="shared" ca="1" si="40"/>
        <v>0</v>
      </c>
      <c r="BJ34" s="73" t="e">
        <f t="shared" ca="1" si="41"/>
        <v>#DIV/0!</v>
      </c>
      <c r="BK34" s="73" t="e">
        <f t="shared" ca="1" si="42"/>
        <v>#NUM!</v>
      </c>
      <c r="BM34" s="93" t="e">
        <f t="shared" ca="1" si="4"/>
        <v>#DIV/0!</v>
      </c>
      <c r="BN34" s="90" t="e">
        <f t="shared" ca="1" si="5"/>
        <v>#DIV/0!</v>
      </c>
      <c r="BO34" s="90" t="e">
        <f t="shared" ca="1" si="6"/>
        <v>#DIV/0!</v>
      </c>
      <c r="BP34" s="91" t="e">
        <f t="shared" ca="1" si="55"/>
        <v>#DIV/0!</v>
      </c>
      <c r="BQ34" s="92">
        <f t="shared" ca="1" si="43"/>
        <v>-99</v>
      </c>
      <c r="BR34" s="93" t="e">
        <f t="shared" ca="1" si="8"/>
        <v>#DIV/0!</v>
      </c>
      <c r="BS34" s="90" t="e">
        <f t="shared" ca="1" si="9"/>
        <v>#DIV/0!</v>
      </c>
      <c r="BT34" s="90" t="e">
        <f t="shared" ca="1" si="10"/>
        <v>#DIV/0!</v>
      </c>
      <c r="BU34" s="91" t="e">
        <f t="shared" ca="1" si="56"/>
        <v>#DIV/0!</v>
      </c>
      <c r="BV34" s="92">
        <f t="shared" ca="1" si="44"/>
        <v>-99</v>
      </c>
      <c r="BW34" s="93" t="e">
        <f t="shared" ca="1" si="12"/>
        <v>#DIV/0!</v>
      </c>
      <c r="BX34" s="90" t="e">
        <f t="shared" ca="1" si="13"/>
        <v>#DIV/0!</v>
      </c>
      <c r="BY34" s="90" t="e">
        <f t="shared" ca="1" si="14"/>
        <v>#DIV/0!</v>
      </c>
      <c r="BZ34" s="91" t="e">
        <f t="shared" ca="1" si="57"/>
        <v>#DIV/0!</v>
      </c>
      <c r="CA34" s="92">
        <f t="shared" ca="1" si="45"/>
        <v>-99</v>
      </c>
      <c r="CB34" s="197">
        <f t="shared" ca="1" si="46"/>
        <v>0</v>
      </c>
      <c r="CC34" s="197">
        <f t="shared" ca="1" si="47"/>
        <v>0</v>
      </c>
      <c r="CD34" s="197">
        <f t="shared" ca="1" si="48"/>
        <v>0</v>
      </c>
      <c r="CE34" s="93" t="e">
        <f t="shared" ca="1" si="52"/>
        <v>#DIV/0!</v>
      </c>
      <c r="CF34" s="90" t="e">
        <f t="shared" ca="1" si="53"/>
        <v>#DIV/0!</v>
      </c>
      <c r="CG34" s="90" t="e">
        <f t="shared" ca="1" si="54"/>
        <v>#DIV/0!</v>
      </c>
      <c r="CH34" s="91" t="e">
        <f t="shared" ca="1" si="16"/>
        <v>#DIV/0!</v>
      </c>
      <c r="CI34" s="92">
        <f t="shared" ca="1" si="49"/>
        <v>-99</v>
      </c>
    </row>
    <row r="35" spans="1:87" ht="15" x14ac:dyDescent="0.25">
      <c r="A35" s="296" t="s">
        <v>255</v>
      </c>
      <c r="B35" s="18"/>
      <c r="C35" s="18"/>
      <c r="D35" s="100"/>
      <c r="E35" s="179"/>
      <c r="F35" s="21"/>
      <c r="G35" s="20"/>
      <c r="H35" s="20"/>
      <c r="I35" s="297"/>
      <c r="J35" s="297"/>
      <c r="K35" s="297"/>
      <c r="L35" s="297"/>
      <c r="M35" s="297"/>
      <c r="N35" s="297"/>
      <c r="O35" s="297">
        <v>110</v>
      </c>
      <c r="P35" s="297"/>
      <c r="Q35" s="297"/>
      <c r="R35" s="297"/>
      <c r="S35" s="28"/>
      <c r="T35" s="71" t="str">
        <f t="shared" ca="1" si="17"/>
        <v/>
      </c>
      <c r="U35" s="71">
        <f t="shared" ca="1" si="18"/>
        <v>0</v>
      </c>
      <c r="V35" s="71">
        <f t="shared" ca="1" si="19"/>
        <v>0</v>
      </c>
      <c r="W35" s="71">
        <f t="shared" ca="1" si="20"/>
        <v>0</v>
      </c>
      <c r="X35" s="297"/>
      <c r="Y35" s="297"/>
      <c r="Z35" s="297"/>
      <c r="AA35" s="297"/>
      <c r="AB35" s="297"/>
      <c r="AC35" s="297"/>
      <c r="AD35" s="297">
        <v>110</v>
      </c>
      <c r="AE35" s="297"/>
      <c r="AF35" s="297"/>
      <c r="AG35" s="297"/>
      <c r="AH35" s="28"/>
      <c r="AI35" s="57">
        <f t="shared" si="21"/>
        <v>0</v>
      </c>
      <c r="AJ35" s="58">
        <f t="shared" si="22"/>
        <v>110</v>
      </c>
      <c r="AK35" s="58">
        <f t="shared" si="0"/>
        <v>2.2000000000000002</v>
      </c>
      <c r="AL35" s="59">
        <f t="shared" si="23"/>
        <v>0</v>
      </c>
      <c r="AM35" s="59">
        <f t="shared" si="58"/>
        <v>0</v>
      </c>
      <c r="AN35" s="72" t="str">
        <f t="shared" si="25"/>
        <v/>
      </c>
      <c r="AO35" s="206">
        <f t="shared" ca="1" si="1"/>
        <v>0</v>
      </c>
      <c r="AP35" s="75">
        <f t="shared" ca="1" si="2"/>
        <v>0</v>
      </c>
      <c r="AQ35" s="174">
        <f t="shared" ca="1" si="26"/>
        <v>0</v>
      </c>
      <c r="AR35" s="175">
        <f t="shared" ca="1" si="27"/>
        <v>0</v>
      </c>
      <c r="AS35" s="175">
        <f t="shared" ca="1" si="28"/>
        <v>0</v>
      </c>
      <c r="AT35" s="175">
        <f t="shared" ca="1" si="29"/>
        <v>0</v>
      </c>
      <c r="AU35" s="174">
        <f t="shared" ca="1" si="30"/>
        <v>0</v>
      </c>
      <c r="AV35" s="174">
        <f t="shared" ca="1" si="50"/>
        <v>0</v>
      </c>
      <c r="AW35" s="174">
        <f t="shared" ca="1" si="51"/>
        <v>0</v>
      </c>
      <c r="AX35" s="174">
        <f t="shared" ca="1" si="31"/>
        <v>0</v>
      </c>
      <c r="AY35" s="175">
        <f t="shared" ca="1" si="32"/>
        <v>0</v>
      </c>
      <c r="AZ35" s="175">
        <f t="shared" ca="1" si="3"/>
        <v>0</v>
      </c>
      <c r="BB35" s="87" t="e">
        <f t="shared" ca="1" si="33"/>
        <v>#NUM!</v>
      </c>
      <c r="BC35" s="73" t="e">
        <f t="shared" ca="1" si="34"/>
        <v>#NUM!</v>
      </c>
      <c r="BD35" s="73" t="e">
        <f t="shared" ca="1" si="35"/>
        <v>#NUM!</v>
      </c>
      <c r="BE35" s="73" t="e">
        <f t="shared" ca="1" si="36"/>
        <v>#NUM!</v>
      </c>
      <c r="BF35" s="73" t="e">
        <f t="shared" ca="1" si="37"/>
        <v>#NUM!</v>
      </c>
      <c r="BG35" s="73" t="e">
        <f t="shared" ca="1" si="38"/>
        <v>#DIV/0!</v>
      </c>
      <c r="BH35" s="73">
        <f t="shared" ca="1" si="39"/>
        <v>-99</v>
      </c>
      <c r="BI35" s="88">
        <f t="shared" ca="1" si="40"/>
        <v>0</v>
      </c>
      <c r="BJ35" s="73" t="e">
        <f t="shared" ca="1" si="41"/>
        <v>#DIV/0!</v>
      </c>
      <c r="BK35" s="73" t="e">
        <f t="shared" ca="1" si="42"/>
        <v>#NUM!</v>
      </c>
      <c r="BM35" s="93" t="e">
        <f t="shared" ca="1" si="4"/>
        <v>#DIV/0!</v>
      </c>
      <c r="BN35" s="90" t="e">
        <f t="shared" ca="1" si="5"/>
        <v>#DIV/0!</v>
      </c>
      <c r="BO35" s="90" t="e">
        <f t="shared" ca="1" si="6"/>
        <v>#DIV/0!</v>
      </c>
      <c r="BP35" s="91" t="e">
        <f t="shared" ca="1" si="55"/>
        <v>#DIV/0!</v>
      </c>
      <c r="BQ35" s="92">
        <f t="shared" ca="1" si="43"/>
        <v>-99</v>
      </c>
      <c r="BR35" s="93" t="e">
        <f t="shared" ca="1" si="8"/>
        <v>#DIV/0!</v>
      </c>
      <c r="BS35" s="90" t="e">
        <f t="shared" ca="1" si="9"/>
        <v>#DIV/0!</v>
      </c>
      <c r="BT35" s="90" t="e">
        <f t="shared" ca="1" si="10"/>
        <v>#DIV/0!</v>
      </c>
      <c r="BU35" s="91" t="e">
        <f t="shared" ca="1" si="56"/>
        <v>#DIV/0!</v>
      </c>
      <c r="BV35" s="92">
        <f t="shared" ca="1" si="44"/>
        <v>-99</v>
      </c>
      <c r="BW35" s="93" t="e">
        <f t="shared" ca="1" si="12"/>
        <v>#DIV/0!</v>
      </c>
      <c r="BX35" s="90" t="e">
        <f t="shared" ca="1" si="13"/>
        <v>#DIV/0!</v>
      </c>
      <c r="BY35" s="90" t="e">
        <f t="shared" ca="1" si="14"/>
        <v>#DIV/0!</v>
      </c>
      <c r="BZ35" s="91" t="e">
        <f t="shared" ca="1" si="57"/>
        <v>#DIV/0!</v>
      </c>
      <c r="CA35" s="92">
        <f t="shared" ca="1" si="45"/>
        <v>-99</v>
      </c>
      <c r="CB35" s="197">
        <f t="shared" ca="1" si="46"/>
        <v>0</v>
      </c>
      <c r="CC35" s="197">
        <f t="shared" ca="1" si="47"/>
        <v>0</v>
      </c>
      <c r="CD35" s="197">
        <f t="shared" ca="1" si="48"/>
        <v>0</v>
      </c>
      <c r="CE35" s="93" t="e">
        <f t="shared" ca="1" si="52"/>
        <v>#DIV/0!</v>
      </c>
      <c r="CF35" s="90" t="e">
        <f t="shared" ca="1" si="53"/>
        <v>#DIV/0!</v>
      </c>
      <c r="CG35" s="90" t="e">
        <f t="shared" ca="1" si="54"/>
        <v>#DIV/0!</v>
      </c>
      <c r="CH35" s="91" t="e">
        <f t="shared" ca="1" si="16"/>
        <v>#DIV/0!</v>
      </c>
      <c r="CI35" s="92">
        <f t="shared" ca="1" si="49"/>
        <v>-99</v>
      </c>
    </row>
    <row r="36" spans="1:87" ht="15" x14ac:dyDescent="0.25">
      <c r="A36" s="296" t="s">
        <v>256</v>
      </c>
      <c r="B36" s="18"/>
      <c r="C36" s="18"/>
      <c r="D36" s="100"/>
      <c r="E36" s="179"/>
      <c r="F36" s="19"/>
      <c r="G36" s="20"/>
      <c r="H36" s="20"/>
      <c r="I36" s="297"/>
      <c r="J36" s="297"/>
      <c r="K36" s="297"/>
      <c r="L36" s="297"/>
      <c r="M36" s="297"/>
      <c r="N36" s="297"/>
      <c r="O36" s="297">
        <v>9.1999999999999993</v>
      </c>
      <c r="P36" s="297"/>
      <c r="Q36" s="297"/>
      <c r="R36" s="297"/>
      <c r="S36" s="28"/>
      <c r="T36" s="71" t="str">
        <f t="shared" ca="1" si="17"/>
        <v/>
      </c>
      <c r="U36" s="71">
        <f t="shared" ca="1" si="18"/>
        <v>0</v>
      </c>
      <c r="V36" s="71">
        <f t="shared" ca="1" si="19"/>
        <v>0</v>
      </c>
      <c r="W36" s="71">
        <f t="shared" ca="1" si="20"/>
        <v>0</v>
      </c>
      <c r="X36" s="297"/>
      <c r="Y36" s="297"/>
      <c r="Z36" s="297"/>
      <c r="AA36" s="297"/>
      <c r="AB36" s="297"/>
      <c r="AC36" s="297"/>
      <c r="AD36" s="297">
        <v>9.1999999999999993</v>
      </c>
      <c r="AE36" s="297"/>
      <c r="AF36" s="297"/>
      <c r="AG36" s="297"/>
      <c r="AH36" s="28"/>
      <c r="AI36" s="57">
        <f t="shared" si="21"/>
        <v>0</v>
      </c>
      <c r="AJ36" s="58">
        <f t="shared" si="22"/>
        <v>9.1999999999999993</v>
      </c>
      <c r="AK36" s="58">
        <f t="shared" si="0"/>
        <v>0.184</v>
      </c>
      <c r="AL36" s="59">
        <f t="shared" si="23"/>
        <v>0</v>
      </c>
      <c r="AM36" s="59">
        <f t="shared" si="58"/>
        <v>0</v>
      </c>
      <c r="AN36" s="72" t="str">
        <f t="shared" si="25"/>
        <v/>
      </c>
      <c r="AO36" s="206">
        <f t="shared" ca="1" si="1"/>
        <v>0</v>
      </c>
      <c r="AP36" s="75">
        <f t="shared" ca="1" si="2"/>
        <v>0</v>
      </c>
      <c r="AQ36" s="174">
        <f t="shared" ca="1" si="26"/>
        <v>0</v>
      </c>
      <c r="AR36" s="175">
        <f t="shared" ca="1" si="27"/>
        <v>0</v>
      </c>
      <c r="AS36" s="175">
        <f t="shared" ca="1" si="28"/>
        <v>0</v>
      </c>
      <c r="AT36" s="175">
        <f t="shared" ca="1" si="29"/>
        <v>0</v>
      </c>
      <c r="AU36" s="174">
        <f t="shared" ca="1" si="30"/>
        <v>0</v>
      </c>
      <c r="AV36" s="174">
        <f t="shared" ca="1" si="50"/>
        <v>0</v>
      </c>
      <c r="AW36" s="174">
        <f t="shared" ca="1" si="51"/>
        <v>0</v>
      </c>
      <c r="AX36" s="174">
        <f t="shared" ca="1" si="31"/>
        <v>0</v>
      </c>
      <c r="AY36" s="175">
        <f t="shared" ca="1" si="32"/>
        <v>0</v>
      </c>
      <c r="AZ36" s="175">
        <f t="shared" ca="1" si="3"/>
        <v>0</v>
      </c>
      <c r="BB36" s="87" t="e">
        <f t="shared" ca="1" si="33"/>
        <v>#NUM!</v>
      </c>
      <c r="BC36" s="73" t="e">
        <f t="shared" ca="1" si="34"/>
        <v>#NUM!</v>
      </c>
      <c r="BD36" s="73" t="e">
        <f t="shared" ca="1" si="35"/>
        <v>#NUM!</v>
      </c>
      <c r="BE36" s="73" t="e">
        <f t="shared" ca="1" si="36"/>
        <v>#NUM!</v>
      </c>
      <c r="BF36" s="73" t="e">
        <f t="shared" ca="1" si="37"/>
        <v>#NUM!</v>
      </c>
      <c r="BG36" s="73" t="e">
        <f t="shared" ca="1" si="38"/>
        <v>#DIV/0!</v>
      </c>
      <c r="BH36" s="73">
        <f t="shared" ca="1" si="39"/>
        <v>-99</v>
      </c>
      <c r="BI36" s="88">
        <f t="shared" ca="1" si="40"/>
        <v>0</v>
      </c>
      <c r="BJ36" s="73" t="e">
        <f t="shared" ca="1" si="41"/>
        <v>#DIV/0!</v>
      </c>
      <c r="BK36" s="73" t="e">
        <f t="shared" ca="1" si="42"/>
        <v>#NUM!</v>
      </c>
      <c r="BM36" s="93" t="e">
        <f t="shared" ca="1" si="4"/>
        <v>#DIV/0!</v>
      </c>
      <c r="BN36" s="90" t="e">
        <f t="shared" ca="1" si="5"/>
        <v>#DIV/0!</v>
      </c>
      <c r="BO36" s="90" t="e">
        <f t="shared" ca="1" si="6"/>
        <v>#DIV/0!</v>
      </c>
      <c r="BP36" s="91" t="e">
        <f t="shared" ca="1" si="55"/>
        <v>#DIV/0!</v>
      </c>
      <c r="BQ36" s="92">
        <f t="shared" ca="1" si="43"/>
        <v>-99</v>
      </c>
      <c r="BR36" s="93" t="e">
        <f t="shared" ca="1" si="8"/>
        <v>#DIV/0!</v>
      </c>
      <c r="BS36" s="90" t="e">
        <f t="shared" ca="1" si="9"/>
        <v>#DIV/0!</v>
      </c>
      <c r="BT36" s="90" t="e">
        <f t="shared" ca="1" si="10"/>
        <v>#DIV/0!</v>
      </c>
      <c r="BU36" s="91" t="e">
        <f t="shared" ca="1" si="56"/>
        <v>#DIV/0!</v>
      </c>
      <c r="BV36" s="92">
        <f t="shared" ca="1" si="44"/>
        <v>-99</v>
      </c>
      <c r="BW36" s="93" t="e">
        <f t="shared" ca="1" si="12"/>
        <v>#DIV/0!</v>
      </c>
      <c r="BX36" s="90" t="e">
        <f t="shared" ca="1" si="13"/>
        <v>#DIV/0!</v>
      </c>
      <c r="BY36" s="90" t="e">
        <f t="shared" ca="1" si="14"/>
        <v>#DIV/0!</v>
      </c>
      <c r="BZ36" s="91" t="e">
        <f t="shared" ca="1" si="57"/>
        <v>#DIV/0!</v>
      </c>
      <c r="CA36" s="92">
        <f t="shared" ca="1" si="45"/>
        <v>-99</v>
      </c>
      <c r="CB36" s="197">
        <f t="shared" ca="1" si="46"/>
        <v>0</v>
      </c>
      <c r="CC36" s="197">
        <f t="shared" ca="1" si="47"/>
        <v>0</v>
      </c>
      <c r="CD36" s="197">
        <f t="shared" ca="1" si="48"/>
        <v>0</v>
      </c>
      <c r="CE36" s="93" t="e">
        <f t="shared" ca="1" si="52"/>
        <v>#DIV/0!</v>
      </c>
      <c r="CF36" s="90" t="e">
        <f t="shared" ca="1" si="53"/>
        <v>#DIV/0!</v>
      </c>
      <c r="CG36" s="90" t="e">
        <f t="shared" ca="1" si="54"/>
        <v>#DIV/0!</v>
      </c>
      <c r="CH36" s="91" t="e">
        <f t="shared" ca="1" si="16"/>
        <v>#DIV/0!</v>
      </c>
      <c r="CI36" s="92">
        <f t="shared" ca="1" si="49"/>
        <v>-99</v>
      </c>
    </row>
    <row r="37" spans="1:87" ht="15" x14ac:dyDescent="0.25">
      <c r="A37" s="296" t="s">
        <v>257</v>
      </c>
      <c r="B37" s="18"/>
      <c r="C37" s="18"/>
      <c r="D37" s="100"/>
      <c r="E37" s="179"/>
      <c r="F37" s="19"/>
      <c r="G37" s="20"/>
      <c r="H37" s="20"/>
      <c r="I37" s="297"/>
      <c r="J37" s="297"/>
      <c r="K37" s="297"/>
      <c r="L37" s="297"/>
      <c r="M37" s="297"/>
      <c r="N37" s="297"/>
      <c r="O37" s="297">
        <v>9.4</v>
      </c>
      <c r="P37" s="297"/>
      <c r="Q37" s="297"/>
      <c r="R37" s="297"/>
      <c r="S37" s="28"/>
      <c r="T37" s="71" t="str">
        <f t="shared" ca="1" si="17"/>
        <v/>
      </c>
      <c r="U37" s="71">
        <f t="shared" ca="1" si="18"/>
        <v>0</v>
      </c>
      <c r="V37" s="71">
        <f t="shared" ca="1" si="19"/>
        <v>0</v>
      </c>
      <c r="W37" s="71">
        <f t="shared" ca="1" si="20"/>
        <v>0</v>
      </c>
      <c r="X37" s="297"/>
      <c r="Y37" s="297"/>
      <c r="Z37" s="297"/>
      <c r="AA37" s="297"/>
      <c r="AB37" s="297"/>
      <c r="AC37" s="297"/>
      <c r="AD37" s="297">
        <v>9.4</v>
      </c>
      <c r="AE37" s="297"/>
      <c r="AF37" s="297"/>
      <c r="AG37" s="297"/>
      <c r="AH37" s="28"/>
      <c r="AI37" s="57">
        <f t="shared" si="21"/>
        <v>0</v>
      </c>
      <c r="AJ37" s="58">
        <f t="shared" si="22"/>
        <v>9.4</v>
      </c>
      <c r="AK37" s="58">
        <f t="shared" si="0"/>
        <v>0.188</v>
      </c>
      <c r="AL37" s="59">
        <f t="shared" si="23"/>
        <v>0</v>
      </c>
      <c r="AM37" s="59">
        <f t="shared" si="58"/>
        <v>0</v>
      </c>
      <c r="AN37" s="72" t="str">
        <f t="shared" si="25"/>
        <v/>
      </c>
      <c r="AO37" s="206">
        <f t="shared" ca="1" si="1"/>
        <v>0</v>
      </c>
      <c r="AP37" s="75">
        <f t="shared" ca="1" si="2"/>
        <v>0</v>
      </c>
      <c r="AQ37" s="174">
        <f t="shared" ca="1" si="26"/>
        <v>0</v>
      </c>
      <c r="AR37" s="175">
        <f t="shared" ca="1" si="27"/>
        <v>0</v>
      </c>
      <c r="AS37" s="175">
        <f t="shared" ca="1" si="28"/>
        <v>0</v>
      </c>
      <c r="AT37" s="175">
        <f t="shared" ca="1" si="29"/>
        <v>0</v>
      </c>
      <c r="AU37" s="174">
        <f t="shared" ca="1" si="30"/>
        <v>0</v>
      </c>
      <c r="AV37" s="174">
        <f t="shared" ca="1" si="50"/>
        <v>0</v>
      </c>
      <c r="AW37" s="174">
        <f t="shared" ca="1" si="51"/>
        <v>0</v>
      </c>
      <c r="AX37" s="174">
        <f t="shared" ca="1" si="31"/>
        <v>0</v>
      </c>
      <c r="AY37" s="175">
        <f t="shared" ca="1" si="32"/>
        <v>0</v>
      </c>
      <c r="AZ37" s="175">
        <f t="shared" ca="1" si="3"/>
        <v>0</v>
      </c>
      <c r="BB37" s="87" t="e">
        <f t="shared" ca="1" si="33"/>
        <v>#NUM!</v>
      </c>
      <c r="BC37" s="73" t="e">
        <f t="shared" ca="1" si="34"/>
        <v>#NUM!</v>
      </c>
      <c r="BD37" s="73" t="e">
        <f t="shared" ca="1" si="35"/>
        <v>#NUM!</v>
      </c>
      <c r="BE37" s="73" t="e">
        <f t="shared" ca="1" si="36"/>
        <v>#NUM!</v>
      </c>
      <c r="BF37" s="73" t="e">
        <f t="shared" ca="1" si="37"/>
        <v>#NUM!</v>
      </c>
      <c r="BG37" s="73" t="e">
        <f t="shared" ca="1" si="38"/>
        <v>#DIV/0!</v>
      </c>
      <c r="BH37" s="73">
        <f t="shared" ca="1" si="39"/>
        <v>-99</v>
      </c>
      <c r="BI37" s="88">
        <f t="shared" ca="1" si="40"/>
        <v>0</v>
      </c>
      <c r="BJ37" s="73" t="e">
        <f t="shared" ca="1" si="41"/>
        <v>#DIV/0!</v>
      </c>
      <c r="BK37" s="73" t="e">
        <f t="shared" ca="1" si="42"/>
        <v>#NUM!</v>
      </c>
      <c r="BM37" s="93" t="e">
        <f t="shared" ca="1" si="4"/>
        <v>#DIV/0!</v>
      </c>
      <c r="BN37" s="90" t="e">
        <f t="shared" ca="1" si="5"/>
        <v>#DIV/0!</v>
      </c>
      <c r="BO37" s="90" t="e">
        <f t="shared" ca="1" si="6"/>
        <v>#DIV/0!</v>
      </c>
      <c r="BP37" s="91" t="e">
        <f t="shared" ca="1" si="55"/>
        <v>#DIV/0!</v>
      </c>
      <c r="BQ37" s="92">
        <f t="shared" ca="1" si="43"/>
        <v>-99</v>
      </c>
      <c r="BR37" s="93" t="e">
        <f t="shared" ca="1" si="8"/>
        <v>#DIV/0!</v>
      </c>
      <c r="BS37" s="90" t="e">
        <f t="shared" ca="1" si="9"/>
        <v>#DIV/0!</v>
      </c>
      <c r="BT37" s="90" t="e">
        <f t="shared" ca="1" si="10"/>
        <v>#DIV/0!</v>
      </c>
      <c r="BU37" s="91" t="e">
        <f t="shared" ca="1" si="56"/>
        <v>#DIV/0!</v>
      </c>
      <c r="BV37" s="92">
        <f t="shared" ca="1" si="44"/>
        <v>-99</v>
      </c>
      <c r="BW37" s="93" t="e">
        <f t="shared" ca="1" si="12"/>
        <v>#DIV/0!</v>
      </c>
      <c r="BX37" s="90" t="e">
        <f t="shared" ca="1" si="13"/>
        <v>#DIV/0!</v>
      </c>
      <c r="BY37" s="90" t="e">
        <f t="shared" ca="1" si="14"/>
        <v>#DIV/0!</v>
      </c>
      <c r="BZ37" s="91" t="e">
        <f t="shared" ca="1" si="57"/>
        <v>#DIV/0!</v>
      </c>
      <c r="CA37" s="92">
        <f t="shared" ca="1" si="45"/>
        <v>-99</v>
      </c>
      <c r="CB37" s="197">
        <f t="shared" ca="1" si="46"/>
        <v>0</v>
      </c>
      <c r="CC37" s="197">
        <f t="shared" ca="1" si="47"/>
        <v>0</v>
      </c>
      <c r="CD37" s="197">
        <f t="shared" ca="1" si="48"/>
        <v>0</v>
      </c>
      <c r="CE37" s="93" t="e">
        <f t="shared" ca="1" si="52"/>
        <v>#DIV/0!</v>
      </c>
      <c r="CF37" s="90" t="e">
        <f t="shared" ca="1" si="53"/>
        <v>#DIV/0!</v>
      </c>
      <c r="CG37" s="90" t="e">
        <f t="shared" ca="1" si="54"/>
        <v>#DIV/0!</v>
      </c>
      <c r="CH37" s="91" t="e">
        <f t="shared" ca="1" si="16"/>
        <v>#DIV/0!</v>
      </c>
      <c r="CI37" s="92">
        <f t="shared" ca="1" si="49"/>
        <v>-99</v>
      </c>
    </row>
    <row r="38" spans="1:87" ht="15" x14ac:dyDescent="0.25">
      <c r="A38" s="296" t="s">
        <v>258</v>
      </c>
      <c r="B38" s="26"/>
      <c r="C38" s="21"/>
      <c r="D38" s="100"/>
      <c r="E38" s="25"/>
      <c r="F38" s="19"/>
      <c r="G38" s="23"/>
      <c r="H38" s="23"/>
      <c r="I38" s="297"/>
      <c r="J38" s="297"/>
      <c r="K38" s="297"/>
      <c r="L38" s="297"/>
      <c r="M38" s="297"/>
      <c r="N38" s="297"/>
      <c r="O38" s="297">
        <v>0.2</v>
      </c>
      <c r="P38" s="297"/>
      <c r="Q38" s="297"/>
      <c r="R38" s="297"/>
      <c r="S38" s="27"/>
      <c r="T38" s="71" t="str">
        <f t="shared" ca="1" si="17"/>
        <v/>
      </c>
      <c r="U38" s="71">
        <f t="shared" ca="1" si="18"/>
        <v>0</v>
      </c>
      <c r="V38" s="71">
        <f t="shared" ca="1" si="19"/>
        <v>0</v>
      </c>
      <c r="W38" s="71">
        <f t="shared" ca="1" si="20"/>
        <v>0</v>
      </c>
      <c r="X38" s="297"/>
      <c r="Y38" s="297"/>
      <c r="Z38" s="297"/>
      <c r="AA38" s="297"/>
      <c r="AB38" s="297"/>
      <c r="AC38" s="297"/>
      <c r="AD38" s="297">
        <v>0.2</v>
      </c>
      <c r="AE38" s="297"/>
      <c r="AF38" s="297"/>
      <c r="AG38" s="297"/>
      <c r="AH38" s="27"/>
      <c r="AI38" s="57">
        <f t="shared" si="21"/>
        <v>0</v>
      </c>
      <c r="AJ38" s="58">
        <f t="shared" si="22"/>
        <v>0.2</v>
      </c>
      <c r="AK38" s="58">
        <f t="shared" si="0"/>
        <v>4.0000000000000001E-3</v>
      </c>
      <c r="AL38" s="59">
        <f t="shared" si="23"/>
        <v>0</v>
      </c>
      <c r="AM38" s="59">
        <f t="shared" si="58"/>
        <v>0</v>
      </c>
      <c r="AN38" s="72" t="str">
        <f t="shared" si="25"/>
        <v/>
      </c>
      <c r="AO38" s="206">
        <f t="shared" ca="1" si="1"/>
        <v>0</v>
      </c>
      <c r="AP38" s="75">
        <f t="shared" ca="1" si="2"/>
        <v>0</v>
      </c>
      <c r="AQ38" s="174">
        <f t="shared" ca="1" si="26"/>
        <v>0</v>
      </c>
      <c r="AR38" s="175">
        <f t="shared" ca="1" si="27"/>
        <v>0</v>
      </c>
      <c r="AS38" s="175">
        <f t="shared" ca="1" si="28"/>
        <v>0</v>
      </c>
      <c r="AT38" s="175">
        <f t="shared" ca="1" si="29"/>
        <v>0</v>
      </c>
      <c r="AU38" s="174">
        <f t="shared" ca="1" si="30"/>
        <v>0</v>
      </c>
      <c r="AV38" s="174">
        <f t="shared" ca="1" si="50"/>
        <v>0</v>
      </c>
      <c r="AW38" s="174">
        <f t="shared" ca="1" si="51"/>
        <v>0</v>
      </c>
      <c r="AX38" s="174">
        <f t="shared" ca="1" si="31"/>
        <v>0</v>
      </c>
      <c r="AY38" s="175">
        <f t="shared" ca="1" si="32"/>
        <v>0</v>
      </c>
      <c r="AZ38" s="175">
        <f t="shared" ca="1" si="3"/>
        <v>0</v>
      </c>
      <c r="BB38" s="87" t="e">
        <f t="shared" ca="1" si="33"/>
        <v>#NUM!</v>
      </c>
      <c r="BC38" s="73" t="e">
        <f t="shared" ca="1" si="34"/>
        <v>#NUM!</v>
      </c>
      <c r="BD38" s="73" t="e">
        <f t="shared" ca="1" si="35"/>
        <v>#NUM!</v>
      </c>
      <c r="BE38" s="73" t="e">
        <f t="shared" ca="1" si="36"/>
        <v>#NUM!</v>
      </c>
      <c r="BF38" s="73" t="e">
        <f t="shared" ca="1" si="37"/>
        <v>#NUM!</v>
      </c>
      <c r="BG38" s="73" t="e">
        <f t="shared" ca="1" si="38"/>
        <v>#DIV/0!</v>
      </c>
      <c r="BH38" s="73">
        <f t="shared" ca="1" si="39"/>
        <v>-99</v>
      </c>
      <c r="BI38" s="88">
        <f t="shared" ca="1" si="40"/>
        <v>0</v>
      </c>
      <c r="BJ38" s="73" t="e">
        <f t="shared" ca="1" si="41"/>
        <v>#DIV/0!</v>
      </c>
      <c r="BK38" s="73" t="e">
        <f t="shared" ca="1" si="42"/>
        <v>#NUM!</v>
      </c>
      <c r="BM38" s="93" t="e">
        <f t="shared" ca="1" si="4"/>
        <v>#DIV/0!</v>
      </c>
      <c r="BN38" s="90" t="e">
        <f t="shared" ca="1" si="5"/>
        <v>#DIV/0!</v>
      </c>
      <c r="BO38" s="90" t="e">
        <f t="shared" ca="1" si="6"/>
        <v>#DIV/0!</v>
      </c>
      <c r="BP38" s="91" t="e">
        <f t="shared" ca="1" si="55"/>
        <v>#DIV/0!</v>
      </c>
      <c r="BQ38" s="92">
        <f t="shared" ca="1" si="43"/>
        <v>-99</v>
      </c>
      <c r="BR38" s="93" t="e">
        <f t="shared" ca="1" si="8"/>
        <v>#DIV/0!</v>
      </c>
      <c r="BS38" s="90" t="e">
        <f t="shared" ca="1" si="9"/>
        <v>#DIV/0!</v>
      </c>
      <c r="BT38" s="90" t="e">
        <f t="shared" ca="1" si="10"/>
        <v>#DIV/0!</v>
      </c>
      <c r="BU38" s="91" t="e">
        <f t="shared" ca="1" si="56"/>
        <v>#DIV/0!</v>
      </c>
      <c r="BV38" s="92">
        <f t="shared" ca="1" si="44"/>
        <v>-99</v>
      </c>
      <c r="BW38" s="93" t="e">
        <f t="shared" ca="1" si="12"/>
        <v>#DIV/0!</v>
      </c>
      <c r="BX38" s="90" t="e">
        <f t="shared" ca="1" si="13"/>
        <v>#DIV/0!</v>
      </c>
      <c r="BY38" s="90" t="e">
        <f t="shared" ca="1" si="14"/>
        <v>#DIV/0!</v>
      </c>
      <c r="BZ38" s="91" t="e">
        <f t="shared" ca="1" si="57"/>
        <v>#DIV/0!</v>
      </c>
      <c r="CA38" s="92">
        <f t="shared" ca="1" si="45"/>
        <v>-99</v>
      </c>
      <c r="CB38" s="197">
        <f t="shared" ca="1" si="46"/>
        <v>0</v>
      </c>
      <c r="CC38" s="197">
        <f t="shared" ca="1" si="47"/>
        <v>0</v>
      </c>
      <c r="CD38" s="197">
        <f t="shared" ca="1" si="48"/>
        <v>0</v>
      </c>
      <c r="CE38" s="93" t="e">
        <f t="shared" ca="1" si="52"/>
        <v>#DIV/0!</v>
      </c>
      <c r="CF38" s="90" t="e">
        <f t="shared" ca="1" si="53"/>
        <v>#DIV/0!</v>
      </c>
      <c r="CG38" s="90" t="e">
        <f t="shared" ca="1" si="54"/>
        <v>#DIV/0!</v>
      </c>
      <c r="CH38" s="91" t="e">
        <f t="shared" ca="1" si="16"/>
        <v>#DIV/0!</v>
      </c>
      <c r="CI38" s="92">
        <f t="shared" ca="1" si="49"/>
        <v>-99</v>
      </c>
    </row>
    <row r="39" spans="1:87" ht="15" x14ac:dyDescent="0.25">
      <c r="A39" s="296" t="s">
        <v>259</v>
      </c>
      <c r="B39" s="26"/>
      <c r="C39" s="21"/>
      <c r="D39" s="100"/>
      <c r="E39" s="25"/>
      <c r="F39" s="19"/>
      <c r="G39" s="23"/>
      <c r="H39" s="23"/>
      <c r="I39" s="297"/>
      <c r="J39" s="297"/>
      <c r="K39" s="297"/>
      <c r="L39" s="297"/>
      <c r="M39" s="297"/>
      <c r="N39" s="297"/>
      <c r="O39" s="297">
        <v>-0.5</v>
      </c>
      <c r="P39" s="297"/>
      <c r="Q39" s="297"/>
      <c r="R39" s="297"/>
      <c r="S39" s="27"/>
      <c r="T39" s="71" t="str">
        <f t="shared" ca="1" si="17"/>
        <v/>
      </c>
      <c r="U39" s="71">
        <f t="shared" ca="1" si="18"/>
        <v>0</v>
      </c>
      <c r="V39" s="71">
        <f t="shared" ca="1" si="19"/>
        <v>0</v>
      </c>
      <c r="W39" s="71">
        <f t="shared" ca="1" si="20"/>
        <v>0</v>
      </c>
      <c r="X39" s="297"/>
      <c r="Y39" s="297"/>
      <c r="Z39" s="297"/>
      <c r="AA39" s="297"/>
      <c r="AB39" s="297"/>
      <c r="AC39" s="297"/>
      <c r="AD39" s="297">
        <v>-0.5</v>
      </c>
      <c r="AE39" s="297"/>
      <c r="AF39" s="297"/>
      <c r="AG39" s="297"/>
      <c r="AH39" s="27"/>
      <c r="AI39" s="57">
        <f t="shared" si="21"/>
        <v>0</v>
      </c>
      <c r="AJ39" s="58">
        <f t="shared" si="22"/>
        <v>0.5</v>
      </c>
      <c r="AK39" s="58">
        <f t="shared" si="0"/>
        <v>0.01</v>
      </c>
      <c r="AL39" s="59">
        <f t="shared" si="23"/>
        <v>0</v>
      </c>
      <c r="AM39" s="59">
        <f t="shared" si="58"/>
        <v>0</v>
      </c>
      <c r="AN39" s="72" t="str">
        <f t="shared" si="25"/>
        <v/>
      </c>
      <c r="AO39" s="206">
        <f t="shared" ca="1" si="1"/>
        <v>0</v>
      </c>
      <c r="AP39" s="75">
        <f t="shared" ca="1" si="2"/>
        <v>0</v>
      </c>
      <c r="AQ39" s="174">
        <f t="shared" ca="1" si="26"/>
        <v>0</v>
      </c>
      <c r="AR39" s="175">
        <f t="shared" ca="1" si="27"/>
        <v>0</v>
      </c>
      <c r="AS39" s="175">
        <f t="shared" ca="1" si="28"/>
        <v>0</v>
      </c>
      <c r="AT39" s="175">
        <f t="shared" ca="1" si="29"/>
        <v>0</v>
      </c>
      <c r="AU39" s="174">
        <f t="shared" ca="1" si="30"/>
        <v>0</v>
      </c>
      <c r="AV39" s="174">
        <f t="shared" ca="1" si="50"/>
        <v>0</v>
      </c>
      <c r="AW39" s="174">
        <f t="shared" ca="1" si="51"/>
        <v>0</v>
      </c>
      <c r="AX39" s="174">
        <f t="shared" ca="1" si="31"/>
        <v>0</v>
      </c>
      <c r="AY39" s="175">
        <f t="shared" ca="1" si="32"/>
        <v>0</v>
      </c>
      <c r="AZ39" s="175">
        <f t="shared" ca="1" si="3"/>
        <v>0</v>
      </c>
      <c r="BB39" s="87" t="e">
        <f t="shared" ca="1" si="33"/>
        <v>#NUM!</v>
      </c>
      <c r="BC39" s="73" t="e">
        <f t="shared" ca="1" si="34"/>
        <v>#NUM!</v>
      </c>
      <c r="BD39" s="73" t="e">
        <f t="shared" ca="1" si="35"/>
        <v>#NUM!</v>
      </c>
      <c r="BE39" s="73" t="e">
        <f t="shared" ca="1" si="36"/>
        <v>#NUM!</v>
      </c>
      <c r="BF39" s="73" t="e">
        <f t="shared" ca="1" si="37"/>
        <v>#NUM!</v>
      </c>
      <c r="BG39" s="73" t="e">
        <f t="shared" ca="1" si="38"/>
        <v>#DIV/0!</v>
      </c>
      <c r="BH39" s="73">
        <f t="shared" ca="1" si="39"/>
        <v>-99</v>
      </c>
      <c r="BI39" s="88">
        <f t="shared" ca="1" si="40"/>
        <v>0</v>
      </c>
      <c r="BJ39" s="73" t="e">
        <f t="shared" ca="1" si="41"/>
        <v>#DIV/0!</v>
      </c>
      <c r="BK39" s="73" t="e">
        <f t="shared" ca="1" si="42"/>
        <v>#NUM!</v>
      </c>
      <c r="BM39" s="93" t="e">
        <f t="shared" ca="1" si="4"/>
        <v>#DIV/0!</v>
      </c>
      <c r="BN39" s="90" t="e">
        <f t="shared" ca="1" si="5"/>
        <v>#DIV/0!</v>
      </c>
      <c r="BO39" s="90" t="e">
        <f t="shared" ca="1" si="6"/>
        <v>#DIV/0!</v>
      </c>
      <c r="BP39" s="91" t="e">
        <f t="shared" ca="1" si="55"/>
        <v>#DIV/0!</v>
      </c>
      <c r="BQ39" s="92">
        <f t="shared" ca="1" si="43"/>
        <v>-99</v>
      </c>
      <c r="BR39" s="93" t="e">
        <f t="shared" ca="1" si="8"/>
        <v>#DIV/0!</v>
      </c>
      <c r="BS39" s="90" t="e">
        <f t="shared" ca="1" si="9"/>
        <v>#DIV/0!</v>
      </c>
      <c r="BT39" s="90" t="e">
        <f t="shared" ca="1" si="10"/>
        <v>#DIV/0!</v>
      </c>
      <c r="BU39" s="91" t="e">
        <f t="shared" ca="1" si="56"/>
        <v>#DIV/0!</v>
      </c>
      <c r="BV39" s="92">
        <f t="shared" ca="1" si="44"/>
        <v>-99</v>
      </c>
      <c r="BW39" s="93" t="e">
        <f t="shared" ca="1" si="12"/>
        <v>#DIV/0!</v>
      </c>
      <c r="BX39" s="90" t="e">
        <f t="shared" ca="1" si="13"/>
        <v>#DIV/0!</v>
      </c>
      <c r="BY39" s="90" t="e">
        <f t="shared" ca="1" si="14"/>
        <v>#DIV/0!</v>
      </c>
      <c r="BZ39" s="91" t="e">
        <f t="shared" ca="1" si="57"/>
        <v>#DIV/0!</v>
      </c>
      <c r="CA39" s="92">
        <f t="shared" ca="1" si="45"/>
        <v>-99</v>
      </c>
      <c r="CB39" s="197">
        <f t="shared" ca="1" si="46"/>
        <v>0</v>
      </c>
      <c r="CC39" s="197">
        <f t="shared" ca="1" si="47"/>
        <v>0</v>
      </c>
      <c r="CD39" s="197">
        <f t="shared" ca="1" si="48"/>
        <v>0</v>
      </c>
      <c r="CE39" s="93" t="e">
        <f t="shared" ca="1" si="52"/>
        <v>#DIV/0!</v>
      </c>
      <c r="CF39" s="90" t="e">
        <f t="shared" ca="1" si="53"/>
        <v>#DIV/0!</v>
      </c>
      <c r="CG39" s="90" t="e">
        <f t="shared" ca="1" si="54"/>
        <v>#DIV/0!</v>
      </c>
      <c r="CH39" s="91" t="e">
        <f t="shared" ca="1" si="16"/>
        <v>#DIV/0!</v>
      </c>
      <c r="CI39" s="92">
        <f t="shared" ca="1" si="49"/>
        <v>-99</v>
      </c>
    </row>
    <row r="40" spans="1:87" ht="15.75" thickBot="1" x14ac:dyDescent="0.3">
      <c r="A40" s="296" t="s">
        <v>260</v>
      </c>
      <c r="B40" s="29"/>
      <c r="C40" s="30"/>
      <c r="D40" s="101"/>
      <c r="E40" s="31"/>
      <c r="F40" s="32"/>
      <c r="G40" s="33"/>
      <c r="H40" s="33"/>
      <c r="I40" s="297">
        <v>95.8</v>
      </c>
      <c r="J40" s="297"/>
      <c r="K40" s="297"/>
      <c r="L40" s="297">
        <v>1.8</v>
      </c>
      <c r="M40" s="297">
        <v>37.5</v>
      </c>
      <c r="N40" s="297">
        <v>1084</v>
      </c>
      <c r="O40" s="297"/>
      <c r="P40" s="297"/>
      <c r="Q40" s="297"/>
      <c r="R40" s="297">
        <v>0.3</v>
      </c>
      <c r="S40" s="34"/>
      <c r="T40" s="71" t="str">
        <f t="shared" ca="1" si="17"/>
        <v/>
      </c>
      <c r="U40" s="71">
        <f t="shared" ca="1" si="18"/>
        <v>0</v>
      </c>
      <c r="V40" s="71">
        <f t="shared" ca="1" si="19"/>
        <v>0</v>
      </c>
      <c r="W40" s="71">
        <f t="shared" ca="1" si="20"/>
        <v>0</v>
      </c>
      <c r="X40" s="297">
        <v>95.8</v>
      </c>
      <c r="Y40" s="297"/>
      <c r="Z40" s="297"/>
      <c r="AA40" s="297">
        <v>1.8</v>
      </c>
      <c r="AB40" s="297">
        <v>37.5</v>
      </c>
      <c r="AC40" s="297">
        <v>1084</v>
      </c>
      <c r="AD40" s="297"/>
      <c r="AE40" s="297"/>
      <c r="AF40" s="297"/>
      <c r="AG40" s="297">
        <v>0.3</v>
      </c>
      <c r="AH40" s="34"/>
      <c r="AI40" s="57">
        <f t="shared" si="21"/>
        <v>1.4285714285714286</v>
      </c>
      <c r="AJ40" s="58">
        <f t="shared" si="22"/>
        <v>1219.3999999999999</v>
      </c>
      <c r="AK40" s="58">
        <f t="shared" si="0"/>
        <v>226.49786514285717</v>
      </c>
      <c r="AL40" s="59">
        <f t="shared" si="23"/>
        <v>2.9714285714285714E-2</v>
      </c>
      <c r="AM40" s="59">
        <f t="shared" si="58"/>
        <v>1.2308908803373747E-5</v>
      </c>
      <c r="AN40" s="72" t="str">
        <f t="shared" si="25"/>
        <v/>
      </c>
      <c r="AO40" s="206">
        <f t="shared" ca="1" si="1"/>
        <v>0</v>
      </c>
      <c r="AP40" s="75">
        <f t="shared" ca="1" si="2"/>
        <v>0</v>
      </c>
      <c r="AQ40" s="174">
        <f t="shared" ca="1" si="26"/>
        <v>0</v>
      </c>
      <c r="AR40" s="175">
        <f t="shared" ca="1" si="27"/>
        <v>0</v>
      </c>
      <c r="AS40" s="175">
        <f t="shared" ca="1" si="28"/>
        <v>0</v>
      </c>
      <c r="AT40" s="175">
        <f t="shared" ca="1" si="29"/>
        <v>0</v>
      </c>
      <c r="AU40" s="174">
        <f t="shared" ca="1" si="30"/>
        <v>0</v>
      </c>
      <c r="AV40" s="174">
        <f t="shared" ca="1" si="50"/>
        <v>0</v>
      </c>
      <c r="AW40" s="174">
        <f t="shared" ca="1" si="51"/>
        <v>0</v>
      </c>
      <c r="AX40" s="174">
        <f t="shared" ca="1" si="31"/>
        <v>0</v>
      </c>
      <c r="AY40" s="175">
        <f t="shared" ca="1" si="32"/>
        <v>0</v>
      </c>
      <c r="AZ40" s="175">
        <f t="shared" ca="1" si="3"/>
        <v>0</v>
      </c>
      <c r="BB40" s="87" t="e">
        <f t="shared" ca="1" si="33"/>
        <v>#NUM!</v>
      </c>
      <c r="BC40" s="73" t="e">
        <f t="shared" ca="1" si="34"/>
        <v>#NUM!</v>
      </c>
      <c r="BD40" s="73" t="e">
        <f t="shared" ca="1" si="35"/>
        <v>#NUM!</v>
      </c>
      <c r="BE40" s="73" t="e">
        <f t="shared" ca="1" si="36"/>
        <v>#NUM!</v>
      </c>
      <c r="BF40" s="73" t="e">
        <f t="shared" ca="1" si="37"/>
        <v>#NUM!</v>
      </c>
      <c r="BG40" s="73" t="e">
        <f t="shared" ca="1" si="38"/>
        <v>#DIV/0!</v>
      </c>
      <c r="BH40" s="73">
        <f t="shared" ca="1" si="39"/>
        <v>-99</v>
      </c>
      <c r="BI40" s="88">
        <f t="shared" ca="1" si="40"/>
        <v>0</v>
      </c>
      <c r="BJ40" s="73" t="e">
        <f t="shared" ca="1" si="41"/>
        <v>#DIV/0!</v>
      </c>
      <c r="BK40" s="73" t="e">
        <f t="shared" ca="1" si="42"/>
        <v>#NUM!</v>
      </c>
      <c r="BM40" s="93" t="e">
        <f t="shared" ca="1" si="4"/>
        <v>#DIV/0!</v>
      </c>
      <c r="BN40" s="90" t="e">
        <f t="shared" ca="1" si="5"/>
        <v>#DIV/0!</v>
      </c>
      <c r="BO40" s="90" t="e">
        <f t="shared" ca="1" si="6"/>
        <v>#DIV/0!</v>
      </c>
      <c r="BP40" s="91" t="e">
        <f t="shared" ca="1" si="55"/>
        <v>#DIV/0!</v>
      </c>
      <c r="BQ40" s="92">
        <f t="shared" ca="1" si="43"/>
        <v>-99</v>
      </c>
      <c r="BR40" s="93" t="e">
        <f t="shared" ca="1" si="8"/>
        <v>#DIV/0!</v>
      </c>
      <c r="BS40" s="90" t="e">
        <f t="shared" ca="1" si="9"/>
        <v>#DIV/0!</v>
      </c>
      <c r="BT40" s="90" t="e">
        <f t="shared" ca="1" si="10"/>
        <v>#DIV/0!</v>
      </c>
      <c r="BU40" s="91" t="e">
        <f t="shared" ca="1" si="56"/>
        <v>#DIV/0!</v>
      </c>
      <c r="BV40" s="92">
        <f t="shared" ca="1" si="44"/>
        <v>-99</v>
      </c>
      <c r="BW40" s="93" t="e">
        <f t="shared" ca="1" si="12"/>
        <v>#DIV/0!</v>
      </c>
      <c r="BX40" s="90" t="e">
        <f t="shared" ca="1" si="13"/>
        <v>#DIV/0!</v>
      </c>
      <c r="BY40" s="90" t="e">
        <f t="shared" ca="1" si="14"/>
        <v>#DIV/0!</v>
      </c>
      <c r="BZ40" s="91" t="e">
        <f t="shared" ca="1" si="57"/>
        <v>#DIV/0!</v>
      </c>
      <c r="CA40" s="92">
        <f t="shared" ca="1" si="45"/>
        <v>-99</v>
      </c>
      <c r="CB40" s="197">
        <f t="shared" ca="1" si="46"/>
        <v>0</v>
      </c>
      <c r="CC40" s="197">
        <f t="shared" ca="1" si="47"/>
        <v>0</v>
      </c>
      <c r="CD40" s="197">
        <f t="shared" ca="1" si="48"/>
        <v>0</v>
      </c>
      <c r="CE40" s="93" t="e">
        <f t="shared" ca="1" si="52"/>
        <v>#DIV/0!</v>
      </c>
      <c r="CF40" s="90" t="e">
        <f t="shared" ca="1" si="53"/>
        <v>#DIV/0!</v>
      </c>
      <c r="CG40" s="90" t="e">
        <f t="shared" ca="1" si="54"/>
        <v>#DIV/0!</v>
      </c>
      <c r="CH40" s="91" t="e">
        <f t="shared" ca="1" si="16"/>
        <v>#DIV/0!</v>
      </c>
      <c r="CI40" s="92">
        <f t="shared" ca="1" si="49"/>
        <v>-99</v>
      </c>
    </row>
    <row r="41" spans="1:87" ht="15" x14ac:dyDescent="0.25">
      <c r="A41" s="296" t="s">
        <v>261</v>
      </c>
      <c r="F41" s="4"/>
      <c r="G41" s="5"/>
      <c r="H41" s="5"/>
      <c r="I41" s="297"/>
      <c r="J41" s="297"/>
      <c r="K41" s="297"/>
      <c r="L41" s="297"/>
      <c r="M41" s="297"/>
      <c r="N41" s="297"/>
      <c r="O41" s="297">
        <v>1</v>
      </c>
      <c r="P41" s="297"/>
      <c r="Q41" s="297"/>
      <c r="R41" s="297"/>
      <c r="S41" s="5"/>
      <c r="T41" s="74"/>
      <c r="U41" s="74"/>
      <c r="V41" s="74"/>
      <c r="W41" s="74"/>
      <c r="X41" s="297"/>
      <c r="Y41" s="297"/>
      <c r="Z41" s="297"/>
      <c r="AA41" s="297"/>
      <c r="AB41" s="297"/>
      <c r="AC41" s="297"/>
      <c r="AD41" s="297">
        <v>1</v>
      </c>
      <c r="AE41" s="297"/>
      <c r="AF41" s="297"/>
      <c r="AG41" s="297"/>
      <c r="AH41" s="5"/>
      <c r="AI41" s="5"/>
      <c r="AJ41" s="58">
        <f t="shared" si="22"/>
        <v>1</v>
      </c>
      <c r="AK41" s="5"/>
      <c r="AL41" s="5"/>
      <c r="AM41" s="5"/>
      <c r="AN41" s="74"/>
      <c r="AO41" s="86"/>
      <c r="AP41" s="86"/>
      <c r="BB41" s="87"/>
      <c r="BC41" s="73"/>
      <c r="BD41" s="73"/>
      <c r="BE41" s="73"/>
      <c r="BF41" s="73"/>
      <c r="BG41" s="73"/>
      <c r="BH41" s="73"/>
      <c r="BI41" s="88"/>
    </row>
    <row r="42" spans="1:87" ht="15" x14ac:dyDescent="0.25">
      <c r="A42" s="296" t="s">
        <v>262</v>
      </c>
      <c r="E42" s="213"/>
      <c r="F42" s="226"/>
      <c r="G42" s="227"/>
      <c r="H42" s="227"/>
      <c r="I42" s="297"/>
      <c r="J42" s="297"/>
      <c r="K42" s="297"/>
      <c r="L42" s="297"/>
      <c r="M42" s="297"/>
      <c r="N42" s="297"/>
      <c r="O42" s="297">
        <v>1</v>
      </c>
      <c r="P42" s="245"/>
      <c r="Q42" s="245"/>
      <c r="R42" s="246"/>
      <c r="S42" s="5"/>
      <c r="T42" s="74"/>
      <c r="U42" s="74"/>
      <c r="V42" s="74"/>
      <c r="W42" s="74"/>
      <c r="X42" s="297"/>
      <c r="Y42" s="297"/>
      <c r="Z42" s="297"/>
      <c r="AA42" s="297"/>
      <c r="AB42" s="297"/>
      <c r="AC42" s="297"/>
      <c r="AD42" s="297">
        <v>1</v>
      </c>
      <c r="AE42" s="245"/>
      <c r="AF42" s="245"/>
      <c r="AG42" s="246"/>
      <c r="AH42" s="5"/>
      <c r="AI42" s="5"/>
      <c r="AJ42" s="58">
        <f t="shared" si="22"/>
        <v>1</v>
      </c>
      <c r="AK42" s="5"/>
      <c r="AL42" s="5"/>
      <c r="AM42" s="5"/>
      <c r="AN42" s="74"/>
      <c r="AO42" s="86"/>
      <c r="AP42" s="86"/>
      <c r="BB42" s="87"/>
      <c r="BC42" s="73"/>
      <c r="BD42" s="73"/>
      <c r="BE42" s="73"/>
      <c r="BF42" s="73"/>
      <c r="BG42" s="73"/>
      <c r="BH42" s="73"/>
      <c r="BI42" s="88"/>
    </row>
    <row r="43" spans="1:87" ht="15" x14ac:dyDescent="0.25">
      <c r="A43" s="296" t="s">
        <v>263</v>
      </c>
      <c r="E43" s="228"/>
      <c r="F43" s="232"/>
      <c r="G43" s="233"/>
      <c r="H43" s="233"/>
      <c r="I43" s="297"/>
      <c r="J43" s="297"/>
      <c r="K43" s="297"/>
      <c r="L43" s="297"/>
      <c r="M43" s="297"/>
      <c r="N43" s="297"/>
      <c r="O43" s="297">
        <v>0.6</v>
      </c>
      <c r="P43" s="234"/>
      <c r="Q43" s="234"/>
      <c r="R43" s="235"/>
      <c r="S43" s="5"/>
      <c r="T43" s="74"/>
      <c r="U43" s="74"/>
      <c r="V43" s="74"/>
      <c r="W43" s="74"/>
      <c r="X43" s="297"/>
      <c r="Y43" s="297"/>
      <c r="Z43" s="297"/>
      <c r="AA43" s="297"/>
      <c r="AB43" s="297"/>
      <c r="AC43" s="297"/>
      <c r="AD43" s="297">
        <v>0.6</v>
      </c>
      <c r="AE43" s="234"/>
      <c r="AF43" s="234"/>
      <c r="AG43" s="235"/>
      <c r="AH43" s="5"/>
      <c r="AI43" s="5"/>
      <c r="AJ43" s="5"/>
      <c r="AK43" s="5"/>
      <c r="AL43" s="5"/>
      <c r="AM43" s="5"/>
      <c r="AN43" s="74"/>
      <c r="AO43" s="86"/>
      <c r="AP43" s="86"/>
      <c r="BB43" s="87"/>
      <c r="BC43" s="73"/>
      <c r="BD43" s="73"/>
      <c r="BE43" s="73"/>
      <c r="BF43" s="73"/>
      <c r="BG43" s="73"/>
      <c r="BH43" s="73"/>
      <c r="BI43" s="88"/>
    </row>
    <row r="44" spans="1:87" ht="15" x14ac:dyDescent="0.25">
      <c r="A44" s="296" t="s">
        <v>264</v>
      </c>
      <c r="E44" s="223"/>
      <c r="F44" s="236"/>
      <c r="G44" s="229"/>
      <c r="H44" s="229"/>
      <c r="I44" s="297"/>
      <c r="J44" s="297"/>
      <c r="K44" s="297"/>
      <c r="L44" s="297"/>
      <c r="M44" s="297"/>
      <c r="N44" s="297"/>
      <c r="O44" s="297">
        <v>-0.1</v>
      </c>
      <c r="P44" s="230"/>
      <c r="Q44" s="230"/>
      <c r="R44" s="231"/>
      <c r="S44" s="241"/>
      <c r="T44" s="74"/>
      <c r="U44" s="74"/>
      <c r="V44" s="74"/>
      <c r="W44" s="74"/>
      <c r="X44" s="297"/>
      <c r="Y44" s="297"/>
      <c r="Z44" s="297"/>
      <c r="AA44" s="297"/>
      <c r="AB44" s="297"/>
      <c r="AC44" s="297"/>
      <c r="AD44" s="297">
        <v>-0.1</v>
      </c>
      <c r="AE44" s="230"/>
      <c r="AF44" s="230"/>
      <c r="AG44" s="231"/>
      <c r="AH44" s="241"/>
      <c r="AI44" s="5"/>
      <c r="AJ44" s="5"/>
      <c r="AK44" s="5"/>
      <c r="AL44" s="5"/>
      <c r="AM44" s="5"/>
      <c r="AN44" s="74"/>
      <c r="AO44" s="86"/>
      <c r="AP44" s="86"/>
      <c r="BB44" s="87"/>
      <c r="BC44" s="73"/>
      <c r="BD44" s="73"/>
      <c r="BE44" s="73"/>
      <c r="BF44" s="73"/>
      <c r="BG44" s="73"/>
      <c r="BH44" s="73"/>
      <c r="BI44" s="88"/>
    </row>
    <row r="45" spans="1:87" ht="15" x14ac:dyDescent="0.25">
      <c r="A45" s="296" t="s">
        <v>265</v>
      </c>
      <c r="E45" s="223"/>
      <c r="F45" s="236"/>
      <c r="G45" s="229"/>
      <c r="H45" s="229"/>
      <c r="I45" s="297"/>
      <c r="J45" s="297"/>
      <c r="K45" s="297"/>
      <c r="L45" s="297"/>
      <c r="M45" s="297"/>
      <c r="N45" s="297"/>
      <c r="O45" s="297">
        <v>-1</v>
      </c>
      <c r="P45" s="230"/>
      <c r="Q45" s="230"/>
      <c r="R45" s="231"/>
      <c r="S45" s="5"/>
      <c r="T45" s="74"/>
      <c r="U45" s="74"/>
      <c r="V45" s="74"/>
      <c r="W45" s="74"/>
      <c r="X45" s="297"/>
      <c r="Y45" s="297"/>
      <c r="Z45" s="297"/>
      <c r="AA45" s="297"/>
      <c r="AB45" s="297"/>
      <c r="AC45" s="297"/>
      <c r="AD45" s="297">
        <v>-1</v>
      </c>
      <c r="AE45" s="230"/>
      <c r="AF45" s="230"/>
      <c r="AG45" s="231"/>
      <c r="AH45" s="5"/>
      <c r="AI45" s="5"/>
      <c r="AJ45" s="5"/>
      <c r="AK45" s="5"/>
      <c r="AL45" s="5"/>
      <c r="AM45" s="5"/>
      <c r="AN45" s="74"/>
      <c r="AO45" s="86"/>
      <c r="AP45" s="86"/>
      <c r="BB45" s="87"/>
      <c r="BC45" s="73"/>
      <c r="BD45" s="73"/>
      <c r="BE45" s="73"/>
      <c r="BF45" s="73"/>
      <c r="BG45" s="73"/>
      <c r="BH45" s="73"/>
      <c r="BI45" s="88"/>
    </row>
    <row r="46" spans="1:87" ht="15" x14ac:dyDescent="0.25">
      <c r="A46" s="296" t="s">
        <v>266</v>
      </c>
      <c r="E46" s="223"/>
      <c r="F46" s="236"/>
      <c r="G46" s="229"/>
      <c r="H46" s="229"/>
      <c r="I46" s="297"/>
      <c r="J46" s="297"/>
      <c r="K46" s="297"/>
      <c r="L46" s="297"/>
      <c r="M46" s="297"/>
      <c r="N46" s="297"/>
      <c r="O46" s="297">
        <v>-0.5</v>
      </c>
      <c r="P46" s="230"/>
      <c r="Q46" s="230"/>
      <c r="R46" s="231"/>
      <c r="S46" s="5"/>
      <c r="T46" s="74"/>
      <c r="U46" s="74"/>
      <c r="V46" s="74"/>
      <c r="W46" s="74"/>
      <c r="X46" s="297"/>
      <c r="Y46" s="297"/>
      <c r="Z46" s="297"/>
      <c r="AA46" s="297"/>
      <c r="AB46" s="297"/>
      <c r="AC46" s="297"/>
      <c r="AD46" s="297">
        <v>-0.5</v>
      </c>
      <c r="AE46" s="230"/>
      <c r="AF46" s="230"/>
      <c r="AG46" s="231"/>
      <c r="AH46" s="5"/>
      <c r="AI46" s="5"/>
      <c r="AJ46" s="5"/>
      <c r="AK46" s="5"/>
      <c r="AL46" s="5"/>
      <c r="AM46" s="5"/>
      <c r="AN46" s="74"/>
      <c r="AO46" s="86"/>
      <c r="AP46" s="86"/>
      <c r="BB46" s="87"/>
      <c r="BC46" s="73"/>
      <c r="BD46" s="73"/>
      <c r="BE46" s="73"/>
      <c r="BF46" s="73"/>
      <c r="BG46" s="73"/>
      <c r="BH46" s="73"/>
      <c r="BI46" s="88"/>
    </row>
    <row r="47" spans="1:87" ht="15" x14ac:dyDescent="0.25">
      <c r="A47" s="296" t="s">
        <v>267</v>
      </c>
      <c r="E47" s="223"/>
      <c r="F47" s="236"/>
      <c r="G47" s="229"/>
      <c r="H47" s="229"/>
      <c r="I47" s="297"/>
      <c r="J47" s="297"/>
      <c r="K47" s="297"/>
      <c r="L47" s="297"/>
      <c r="M47" s="297"/>
      <c r="N47" s="297"/>
      <c r="O47" s="297">
        <v>-1</v>
      </c>
      <c r="P47" s="230"/>
      <c r="Q47" s="230"/>
      <c r="R47" s="231"/>
      <c r="S47" s="5"/>
      <c r="T47" s="74"/>
      <c r="U47" s="74"/>
      <c r="V47" s="74"/>
      <c r="W47" s="74"/>
      <c r="X47" s="297"/>
      <c r="Y47" s="297"/>
      <c r="Z47" s="297"/>
      <c r="AA47" s="297"/>
      <c r="AB47" s="297"/>
      <c r="AC47" s="297"/>
      <c r="AD47" s="297">
        <v>-1</v>
      </c>
      <c r="AE47" s="230"/>
      <c r="AF47" s="230"/>
      <c r="AG47" s="231"/>
      <c r="AH47" s="5"/>
      <c r="AI47" s="5"/>
      <c r="AJ47" s="5"/>
      <c r="AK47" s="5"/>
      <c r="AL47" s="5"/>
      <c r="AM47" s="5"/>
      <c r="AN47" s="74"/>
      <c r="AO47" s="86"/>
      <c r="AP47" s="86"/>
      <c r="BB47" s="87"/>
      <c r="BC47" s="73"/>
      <c r="BD47" s="73"/>
      <c r="BE47" s="73"/>
      <c r="BF47" s="73"/>
      <c r="BG47" s="73"/>
      <c r="BH47" s="73"/>
      <c r="BI47" s="88"/>
    </row>
    <row r="48" spans="1:87" ht="15" x14ac:dyDescent="0.25">
      <c r="A48" s="296" t="s">
        <v>268</v>
      </c>
      <c r="E48" s="223"/>
      <c r="F48" s="236"/>
      <c r="G48" s="229"/>
      <c r="H48" s="229"/>
      <c r="I48" s="297"/>
      <c r="J48" s="297"/>
      <c r="K48" s="297"/>
      <c r="L48" s="297"/>
      <c r="M48" s="297"/>
      <c r="N48" s="297"/>
      <c r="O48" s="297">
        <v>-0.1</v>
      </c>
      <c r="P48" s="230"/>
      <c r="Q48" s="230"/>
      <c r="R48" s="231"/>
      <c r="X48" s="297"/>
      <c r="Y48" s="297"/>
      <c r="Z48" s="297"/>
      <c r="AA48" s="297"/>
      <c r="AB48" s="297"/>
      <c r="AC48" s="297"/>
      <c r="AD48" s="297">
        <v>-0.1</v>
      </c>
      <c r="AE48" s="230"/>
      <c r="AF48" s="230"/>
      <c r="AG48" s="231"/>
      <c r="AH48" s="1"/>
      <c r="AO48" s="86"/>
      <c r="AP48" s="86"/>
      <c r="BB48" s="87"/>
      <c r="BC48" s="73"/>
      <c r="BD48" s="73"/>
      <c r="BE48" s="73"/>
      <c r="BF48" s="73"/>
      <c r="BG48" s="73"/>
      <c r="BH48" s="73"/>
      <c r="BI48" s="88"/>
    </row>
    <row r="49" spans="1:61" ht="15" x14ac:dyDescent="0.25">
      <c r="A49" s="296" t="s">
        <v>269</v>
      </c>
      <c r="E49" s="223"/>
      <c r="F49" s="236"/>
      <c r="G49" s="229"/>
      <c r="H49" s="229"/>
      <c r="I49" s="297"/>
      <c r="J49" s="297"/>
      <c r="K49" s="297"/>
      <c r="L49" s="297"/>
      <c r="M49" s="297"/>
      <c r="N49" s="297"/>
      <c r="O49" s="297">
        <v>-0.5</v>
      </c>
      <c r="P49" s="230"/>
      <c r="Q49" s="230"/>
      <c r="R49" s="231"/>
      <c r="X49" s="297"/>
      <c r="Y49" s="297"/>
      <c r="Z49" s="297"/>
      <c r="AA49" s="297"/>
      <c r="AB49" s="297"/>
      <c r="AC49" s="297"/>
      <c r="AD49" s="297">
        <v>-0.5</v>
      </c>
      <c r="AE49" s="230"/>
      <c r="AF49" s="230"/>
      <c r="AG49" s="231"/>
      <c r="AH49" s="1"/>
      <c r="AO49" s="86"/>
      <c r="AP49" s="86"/>
      <c r="BB49" s="87"/>
      <c r="BC49" s="73"/>
      <c r="BD49" s="73"/>
      <c r="BE49" s="73"/>
      <c r="BF49" s="73"/>
      <c r="BG49" s="73"/>
      <c r="BH49" s="73"/>
      <c r="BI49" s="88"/>
    </row>
    <row r="50" spans="1:61" ht="15" x14ac:dyDescent="0.25">
      <c r="A50" s="296" t="s">
        <v>270</v>
      </c>
      <c r="E50" s="223"/>
      <c r="F50" s="236"/>
      <c r="G50" s="229"/>
      <c r="H50" s="229"/>
      <c r="I50" s="297"/>
      <c r="J50" s="297"/>
      <c r="K50" s="297"/>
      <c r="L50" s="297"/>
      <c r="M50" s="297"/>
      <c r="N50" s="297"/>
      <c r="O50" s="297">
        <v>3.2</v>
      </c>
      <c r="P50" s="230"/>
      <c r="Q50" s="230"/>
      <c r="R50" s="231"/>
      <c r="X50" s="297"/>
      <c r="Y50" s="297"/>
      <c r="Z50" s="297"/>
      <c r="AA50" s="297"/>
      <c r="AB50" s="297"/>
      <c r="AC50" s="297"/>
      <c r="AD50" s="297">
        <v>3.2</v>
      </c>
      <c r="AE50" s="230"/>
      <c r="AF50" s="230"/>
      <c r="AG50" s="231"/>
      <c r="AH50" s="1"/>
      <c r="AO50" s="86"/>
      <c r="AP50" s="86"/>
      <c r="BB50" s="87"/>
      <c r="BC50" s="73"/>
      <c r="BD50" s="73"/>
      <c r="BE50" s="73"/>
      <c r="BF50" s="73"/>
      <c r="BG50" s="73"/>
      <c r="BH50" s="73"/>
      <c r="BI50" s="88"/>
    </row>
    <row r="51" spans="1:61" ht="15" x14ac:dyDescent="0.25">
      <c r="A51" s="296" t="s">
        <v>271</v>
      </c>
      <c r="C51" s="2"/>
      <c r="E51" s="223"/>
      <c r="F51" s="236"/>
      <c r="G51" s="229"/>
      <c r="H51" s="229"/>
      <c r="I51" s="297"/>
      <c r="J51" s="297"/>
      <c r="K51" s="297"/>
      <c r="L51" s="297"/>
      <c r="M51" s="297"/>
      <c r="N51" s="297"/>
      <c r="O51" s="297">
        <v>-1</v>
      </c>
      <c r="P51" s="230"/>
      <c r="Q51" s="230"/>
      <c r="R51" s="231"/>
      <c r="X51" s="297"/>
      <c r="Y51" s="297"/>
      <c r="Z51" s="297"/>
      <c r="AA51" s="297"/>
      <c r="AB51" s="297"/>
      <c r="AC51" s="297"/>
      <c r="AD51" s="297">
        <v>-1</v>
      </c>
      <c r="AE51" s="230"/>
      <c r="AF51" s="230"/>
      <c r="AG51" s="231"/>
      <c r="AH51" s="1"/>
      <c r="AO51" s="86"/>
      <c r="AP51" s="86"/>
      <c r="BB51" s="87"/>
      <c r="BC51" s="73"/>
      <c r="BD51" s="73"/>
      <c r="BE51" s="73"/>
      <c r="BF51" s="73"/>
      <c r="BG51" s="73"/>
      <c r="BH51" s="73"/>
    </row>
    <row r="52" spans="1:61" ht="15" x14ac:dyDescent="0.25">
      <c r="A52" s="296" t="s">
        <v>259</v>
      </c>
      <c r="C52" s="2"/>
      <c r="E52" s="223"/>
      <c r="F52" s="236"/>
      <c r="G52" s="229"/>
      <c r="H52" s="229"/>
      <c r="I52" s="297"/>
      <c r="J52" s="297"/>
      <c r="K52" s="297"/>
      <c r="L52" s="297"/>
      <c r="M52" s="297"/>
      <c r="N52" s="297"/>
      <c r="O52" s="297">
        <v>-0.1</v>
      </c>
      <c r="P52" s="230"/>
      <c r="Q52" s="230"/>
      <c r="R52" s="231"/>
      <c r="X52" s="297"/>
      <c r="Y52" s="297"/>
      <c r="Z52" s="297"/>
      <c r="AA52" s="297"/>
      <c r="AB52" s="297"/>
      <c r="AC52" s="297"/>
      <c r="AD52" s="297">
        <v>-0.1</v>
      </c>
      <c r="AE52" s="230"/>
      <c r="AF52" s="230"/>
      <c r="AG52" s="231"/>
      <c r="AH52" s="1"/>
      <c r="AO52" s="86"/>
      <c r="AP52" s="86"/>
      <c r="BB52" s="87"/>
      <c r="BC52" s="73"/>
      <c r="BD52" s="73"/>
      <c r="BE52" s="73"/>
      <c r="BF52" s="73"/>
      <c r="BG52" s="73"/>
      <c r="BH52" s="73"/>
    </row>
    <row r="53" spans="1:61" ht="15" x14ac:dyDescent="0.25">
      <c r="A53" s="296" t="s">
        <v>272</v>
      </c>
      <c r="C53" s="2"/>
      <c r="E53" s="223"/>
      <c r="F53" s="236"/>
      <c r="G53" s="229"/>
      <c r="H53" s="229"/>
      <c r="I53" s="297"/>
      <c r="J53" s="297"/>
      <c r="K53" s="297"/>
      <c r="L53" s="297"/>
      <c r="M53" s="297"/>
      <c r="N53" s="297"/>
      <c r="O53" s="297">
        <v>16</v>
      </c>
      <c r="P53" s="230"/>
      <c r="Q53" s="230"/>
      <c r="R53" s="231"/>
      <c r="X53" s="297"/>
      <c r="Y53" s="297"/>
      <c r="Z53" s="297"/>
      <c r="AA53" s="297"/>
      <c r="AB53" s="297"/>
      <c r="AC53" s="297"/>
      <c r="AD53" s="297">
        <v>16</v>
      </c>
      <c r="AE53" s="230"/>
      <c r="AF53" s="230"/>
      <c r="AG53" s="231"/>
      <c r="AH53" s="1"/>
      <c r="AO53" s="86"/>
      <c r="AP53" s="86"/>
      <c r="BB53" s="87"/>
      <c r="BC53" s="73"/>
      <c r="BD53" s="73"/>
      <c r="BE53" s="73"/>
      <c r="BF53" s="73"/>
      <c r="BG53" s="73"/>
      <c r="BH53" s="73"/>
    </row>
    <row r="54" spans="1:61" ht="15" x14ac:dyDescent="0.25">
      <c r="A54" s="296" t="s">
        <v>273</v>
      </c>
      <c r="C54" s="2"/>
      <c r="E54" s="223"/>
      <c r="F54" s="236"/>
      <c r="G54" s="229"/>
      <c r="H54" s="229"/>
      <c r="I54" s="297"/>
      <c r="J54" s="297"/>
      <c r="K54" s="297"/>
      <c r="L54" s="297"/>
      <c r="M54" s="297"/>
      <c r="N54" s="297"/>
      <c r="O54" s="297">
        <v>18</v>
      </c>
      <c r="P54" s="230"/>
      <c r="Q54" s="230"/>
      <c r="R54" s="231"/>
      <c r="X54" s="297"/>
      <c r="Y54" s="297"/>
      <c r="Z54" s="297"/>
      <c r="AA54" s="297"/>
      <c r="AB54" s="297"/>
      <c r="AC54" s="297"/>
      <c r="AD54" s="297">
        <v>18</v>
      </c>
      <c r="AE54" s="230"/>
      <c r="AF54" s="230"/>
      <c r="AG54" s="231"/>
      <c r="AH54" s="1"/>
      <c r="AO54" s="86"/>
      <c r="AP54" s="86"/>
      <c r="BB54" s="87"/>
      <c r="BC54" s="73"/>
      <c r="BD54" s="73"/>
      <c r="BE54" s="73"/>
      <c r="BF54" s="73"/>
      <c r="BG54" s="73"/>
      <c r="BH54" s="73"/>
    </row>
    <row r="55" spans="1:61" ht="15" x14ac:dyDescent="0.25">
      <c r="A55" s="296" t="s">
        <v>274</v>
      </c>
      <c r="C55" s="2"/>
      <c r="E55" s="223"/>
      <c r="F55" s="236"/>
      <c r="G55" s="229"/>
      <c r="H55" s="229"/>
      <c r="I55" s="297"/>
      <c r="J55" s="297"/>
      <c r="K55" s="297"/>
      <c r="L55" s="297"/>
      <c r="M55" s="297"/>
      <c r="N55" s="297"/>
      <c r="O55" s="297">
        <v>-1</v>
      </c>
      <c r="P55" s="230"/>
      <c r="Q55" s="230"/>
      <c r="R55" s="231"/>
      <c r="X55" s="297"/>
      <c r="Y55" s="297"/>
      <c r="Z55" s="297"/>
      <c r="AA55" s="297"/>
      <c r="AB55" s="297"/>
      <c r="AC55" s="297"/>
      <c r="AD55" s="297">
        <v>-1</v>
      </c>
      <c r="AE55" s="230"/>
      <c r="AF55" s="230"/>
      <c r="AG55" s="231"/>
      <c r="AH55" s="1"/>
      <c r="AO55" s="86"/>
      <c r="AP55" s="86"/>
      <c r="BB55" s="87"/>
      <c r="BC55" s="73"/>
      <c r="BD55" s="73"/>
      <c r="BE55" s="73"/>
      <c r="BF55" s="73"/>
      <c r="BG55" s="73"/>
      <c r="BH55" s="73"/>
    </row>
    <row r="56" spans="1:61" ht="15" x14ac:dyDescent="0.25">
      <c r="A56" s="296" t="s">
        <v>275</v>
      </c>
      <c r="C56" s="2"/>
      <c r="E56" s="223"/>
      <c r="F56" s="236"/>
      <c r="G56" s="229"/>
      <c r="H56" s="229"/>
      <c r="I56" s="297"/>
      <c r="J56" s="297"/>
      <c r="K56" s="297"/>
      <c r="L56" s="297"/>
      <c r="M56" s="297"/>
      <c r="N56" s="297"/>
      <c r="O56" s="297">
        <v>-1</v>
      </c>
      <c r="P56" s="230"/>
      <c r="Q56" s="230"/>
      <c r="R56" s="231"/>
      <c r="X56" s="297"/>
      <c r="Y56" s="297"/>
      <c r="Z56" s="297"/>
      <c r="AA56" s="297"/>
      <c r="AB56" s="297"/>
      <c r="AC56" s="297"/>
      <c r="AD56" s="297">
        <v>-1</v>
      </c>
      <c r="AE56" s="230"/>
      <c r="AF56" s="230"/>
      <c r="AG56" s="231"/>
      <c r="AH56" s="1"/>
      <c r="AO56" s="86"/>
      <c r="AP56" s="86"/>
      <c r="BB56" s="87"/>
      <c r="BC56" s="73"/>
      <c r="BD56" s="73"/>
      <c r="BE56" s="73"/>
      <c r="BF56" s="73"/>
      <c r="BG56" s="73"/>
      <c r="BH56" s="73"/>
    </row>
    <row r="57" spans="1:61" ht="15" x14ac:dyDescent="0.25">
      <c r="A57" s="296" t="s">
        <v>276</v>
      </c>
      <c r="C57" s="2"/>
      <c r="E57" s="223"/>
      <c r="F57" s="236"/>
      <c r="G57" s="229"/>
      <c r="H57" s="229"/>
      <c r="I57" s="297"/>
      <c r="J57" s="297"/>
      <c r="K57" s="297"/>
      <c r="L57" s="297"/>
      <c r="M57" s="297"/>
      <c r="N57" s="297"/>
      <c r="O57" s="297">
        <v>80</v>
      </c>
      <c r="P57" s="230"/>
      <c r="Q57" s="230"/>
      <c r="R57" s="231"/>
      <c r="X57" s="297"/>
      <c r="Y57" s="297"/>
      <c r="Z57" s="297"/>
      <c r="AA57" s="297"/>
      <c r="AB57" s="297"/>
      <c r="AC57" s="297"/>
      <c r="AD57" s="297">
        <v>80</v>
      </c>
      <c r="AE57" s="230"/>
      <c r="AF57" s="230"/>
      <c r="AG57" s="231"/>
      <c r="AH57" s="1"/>
      <c r="AO57" s="86"/>
      <c r="AP57" s="86"/>
      <c r="BB57" s="87"/>
      <c r="BC57" s="73"/>
      <c r="BD57" s="73"/>
      <c r="BE57" s="73"/>
      <c r="BF57" s="73"/>
      <c r="BG57" s="73"/>
      <c r="BH57" s="73"/>
    </row>
    <row r="58" spans="1:61" ht="15" x14ac:dyDescent="0.25">
      <c r="A58" s="296" t="s">
        <v>277</v>
      </c>
      <c r="C58" s="2"/>
      <c r="E58" s="223"/>
      <c r="F58" s="236"/>
      <c r="G58" s="229"/>
      <c r="H58" s="229"/>
      <c r="I58" s="297"/>
      <c r="J58" s="297"/>
      <c r="K58" s="297"/>
      <c r="L58" s="297"/>
      <c r="M58" s="297"/>
      <c r="N58" s="297"/>
      <c r="O58" s="297">
        <v>-1</v>
      </c>
      <c r="P58" s="230"/>
      <c r="Q58" s="230"/>
      <c r="R58" s="231"/>
      <c r="X58" s="297"/>
      <c r="Y58" s="297"/>
      <c r="Z58" s="297"/>
      <c r="AA58" s="297"/>
      <c r="AB58" s="297"/>
      <c r="AC58" s="297"/>
      <c r="AD58" s="297">
        <v>-1</v>
      </c>
      <c r="AE58" s="230"/>
      <c r="AF58" s="230"/>
      <c r="AG58" s="231"/>
      <c r="AH58" s="1"/>
    </row>
    <row r="59" spans="1:61" ht="15" x14ac:dyDescent="0.25">
      <c r="A59" s="296" t="s">
        <v>278</v>
      </c>
      <c r="C59" s="2"/>
      <c r="E59" s="223"/>
      <c r="F59" s="236"/>
      <c r="G59" s="229"/>
      <c r="H59" s="229"/>
      <c r="I59" s="297"/>
      <c r="J59" s="297"/>
      <c r="K59" s="297"/>
      <c r="L59" s="297"/>
      <c r="M59" s="297"/>
      <c r="N59" s="297"/>
      <c r="O59" s="297">
        <v>0.04</v>
      </c>
      <c r="P59" s="230"/>
      <c r="Q59" s="230"/>
      <c r="R59" s="231"/>
      <c r="X59" s="297"/>
      <c r="Y59" s="297"/>
      <c r="Z59" s="297"/>
      <c r="AA59" s="297"/>
      <c r="AB59" s="297"/>
      <c r="AC59" s="297"/>
      <c r="AD59" s="297">
        <v>0.04</v>
      </c>
      <c r="AE59" s="230"/>
      <c r="AF59" s="230"/>
      <c r="AG59" s="231"/>
      <c r="AH59" s="1"/>
    </row>
    <row r="60" spans="1:61" ht="15" x14ac:dyDescent="0.25">
      <c r="A60" s="296" t="s">
        <v>279</v>
      </c>
      <c r="C60" s="2"/>
      <c r="E60" s="223"/>
      <c r="F60" s="236"/>
      <c r="G60" s="229"/>
      <c r="H60" s="229"/>
      <c r="I60" s="297"/>
      <c r="J60" s="297"/>
      <c r="K60" s="297"/>
      <c r="L60" s="297"/>
      <c r="M60" s="297"/>
      <c r="N60" s="297"/>
      <c r="O60" s="297">
        <v>-0.5</v>
      </c>
      <c r="P60" s="230"/>
      <c r="Q60" s="230"/>
      <c r="R60" s="231"/>
      <c r="X60" s="297"/>
      <c r="Y60" s="297"/>
      <c r="Z60" s="297"/>
      <c r="AA60" s="297"/>
      <c r="AB60" s="297"/>
      <c r="AC60" s="297"/>
      <c r="AD60" s="297">
        <v>-0.5</v>
      </c>
      <c r="AE60" s="230"/>
      <c r="AF60" s="230"/>
      <c r="AG60" s="231"/>
      <c r="AH60" s="1"/>
    </row>
    <row r="61" spans="1:61" ht="15" x14ac:dyDescent="0.25">
      <c r="A61" s="296" t="s">
        <v>280</v>
      </c>
      <c r="C61" s="2"/>
      <c r="E61" s="223"/>
      <c r="F61" s="236"/>
      <c r="G61" s="229"/>
      <c r="H61" s="229"/>
      <c r="I61" s="297"/>
      <c r="J61" s="297"/>
      <c r="K61" s="297"/>
      <c r="L61" s="297"/>
      <c r="M61" s="297"/>
      <c r="N61" s="297"/>
      <c r="O61" s="297">
        <v>-1</v>
      </c>
      <c r="P61" s="230"/>
      <c r="Q61" s="230"/>
      <c r="R61" s="231"/>
      <c r="X61" s="297"/>
      <c r="Y61" s="297"/>
      <c r="Z61" s="297"/>
      <c r="AA61" s="297"/>
      <c r="AB61" s="297"/>
      <c r="AC61" s="297"/>
      <c r="AD61" s="297">
        <v>-1</v>
      </c>
      <c r="AE61" s="230"/>
      <c r="AF61" s="230"/>
      <c r="AG61" s="231"/>
      <c r="AH61" s="1"/>
    </row>
    <row r="62" spans="1:61" ht="15" x14ac:dyDescent="0.25">
      <c r="A62" s="296" t="s">
        <v>281</v>
      </c>
      <c r="C62" s="2"/>
      <c r="E62" s="223"/>
      <c r="F62" s="236"/>
      <c r="G62" s="229"/>
      <c r="H62" s="229"/>
      <c r="I62" s="297"/>
      <c r="J62" s="297"/>
      <c r="K62" s="297"/>
      <c r="L62" s="297"/>
      <c r="M62" s="297"/>
      <c r="N62" s="297"/>
      <c r="O62" s="297">
        <v>-0.5</v>
      </c>
      <c r="P62" s="230"/>
      <c r="Q62" s="230"/>
      <c r="R62" s="231"/>
      <c r="X62" s="297"/>
      <c r="Y62" s="297"/>
      <c r="Z62" s="297"/>
      <c r="AA62" s="297"/>
      <c r="AB62" s="297"/>
      <c r="AC62" s="297"/>
      <c r="AD62" s="297">
        <v>-0.5</v>
      </c>
      <c r="AE62" s="230"/>
      <c r="AF62" s="230"/>
      <c r="AG62" s="231"/>
      <c r="AH62" s="1"/>
    </row>
    <row r="63" spans="1:61" ht="15" x14ac:dyDescent="0.25">
      <c r="A63" s="296" t="s">
        <v>282</v>
      </c>
      <c r="C63" s="2"/>
      <c r="E63" s="223"/>
      <c r="F63" s="236"/>
      <c r="G63" s="229"/>
      <c r="H63" s="229"/>
      <c r="I63" s="297"/>
      <c r="J63" s="297"/>
      <c r="K63" s="297"/>
      <c r="L63" s="297"/>
      <c r="M63" s="297"/>
      <c r="N63" s="297"/>
      <c r="O63" s="297">
        <v>38</v>
      </c>
      <c r="P63" s="230"/>
      <c r="Q63" s="230"/>
      <c r="R63" s="231"/>
      <c r="X63" s="297"/>
      <c r="Y63" s="297"/>
      <c r="Z63" s="297"/>
      <c r="AA63" s="297"/>
      <c r="AB63" s="297"/>
      <c r="AC63" s="297"/>
      <c r="AD63" s="297">
        <v>38</v>
      </c>
      <c r="AE63" s="230"/>
      <c r="AF63" s="230"/>
      <c r="AG63" s="231"/>
      <c r="AH63" s="1"/>
    </row>
    <row r="64" spans="1:61" ht="15" x14ac:dyDescent="0.25">
      <c r="A64" s="296" t="s">
        <v>283</v>
      </c>
      <c r="C64" s="2"/>
      <c r="E64" s="223"/>
      <c r="F64" s="236"/>
      <c r="G64" s="229"/>
      <c r="H64" s="229"/>
      <c r="I64" s="297"/>
      <c r="J64" s="297"/>
      <c r="K64" s="297"/>
      <c r="L64" s="297"/>
      <c r="M64" s="297"/>
      <c r="N64" s="297"/>
      <c r="O64" s="297">
        <v>-0.5</v>
      </c>
      <c r="P64" s="230"/>
      <c r="Q64" s="230"/>
      <c r="R64" s="231"/>
      <c r="X64" s="297"/>
      <c r="Y64" s="297"/>
      <c r="Z64" s="297"/>
      <c r="AA64" s="297"/>
      <c r="AB64" s="297"/>
      <c r="AC64" s="297"/>
      <c r="AD64" s="297">
        <v>-0.5</v>
      </c>
      <c r="AE64" s="230"/>
      <c r="AF64" s="230"/>
      <c r="AG64" s="231"/>
      <c r="AH64" s="1"/>
    </row>
    <row r="65" spans="1:34" ht="15" x14ac:dyDescent="0.25">
      <c r="A65" s="296" t="s">
        <v>284</v>
      </c>
      <c r="C65" s="2"/>
      <c r="E65" s="223"/>
      <c r="F65" s="236"/>
      <c r="G65" s="229"/>
      <c r="H65" s="229"/>
      <c r="I65" s="297"/>
      <c r="J65" s="297"/>
      <c r="K65" s="297"/>
      <c r="L65" s="297"/>
      <c r="M65" s="297"/>
      <c r="N65" s="297"/>
      <c r="O65" s="297">
        <v>-1</v>
      </c>
      <c r="P65" s="230"/>
      <c r="Q65" s="230"/>
      <c r="R65" s="231"/>
      <c r="X65" s="297"/>
      <c r="Y65" s="297"/>
      <c r="Z65" s="297"/>
      <c r="AA65" s="297"/>
      <c r="AB65" s="297"/>
      <c r="AC65" s="297"/>
      <c r="AD65" s="297">
        <v>-1</v>
      </c>
      <c r="AE65" s="230"/>
      <c r="AF65" s="230"/>
      <c r="AG65" s="231"/>
      <c r="AH65" s="1"/>
    </row>
    <row r="66" spans="1:34" ht="15" x14ac:dyDescent="0.25">
      <c r="A66" s="296" t="s">
        <v>285</v>
      </c>
      <c r="C66" s="2"/>
      <c r="E66" s="223"/>
      <c r="F66" s="236"/>
      <c r="G66" s="229"/>
      <c r="H66" s="229"/>
      <c r="I66" s="297"/>
      <c r="J66" s="297"/>
      <c r="K66" s="297"/>
      <c r="L66" s="297"/>
      <c r="M66" s="297"/>
      <c r="N66" s="297"/>
      <c r="O66" s="297">
        <v>-1</v>
      </c>
      <c r="P66" s="230"/>
      <c r="Q66" s="230"/>
      <c r="R66" s="231"/>
      <c r="X66" s="297"/>
      <c r="Y66" s="297"/>
      <c r="Z66" s="297"/>
      <c r="AA66" s="297"/>
      <c r="AB66" s="297"/>
      <c r="AC66" s="297"/>
      <c r="AD66" s="297">
        <v>-1</v>
      </c>
      <c r="AE66" s="230"/>
      <c r="AF66" s="230"/>
      <c r="AG66" s="231"/>
      <c r="AH66" s="1"/>
    </row>
    <row r="67" spans="1:34" ht="15" x14ac:dyDescent="0.25">
      <c r="A67" s="296" t="s">
        <v>286</v>
      </c>
      <c r="C67" s="2"/>
      <c r="E67" s="223"/>
      <c r="F67" s="236"/>
      <c r="G67" s="229"/>
      <c r="H67" s="229"/>
      <c r="I67" s="297"/>
      <c r="J67" s="297"/>
      <c r="K67" s="297"/>
      <c r="L67" s="297"/>
      <c r="M67" s="297"/>
      <c r="N67" s="297"/>
      <c r="O67" s="297">
        <v>-1</v>
      </c>
      <c r="P67" s="230"/>
      <c r="Q67" s="230"/>
      <c r="R67" s="231"/>
      <c r="X67" s="297"/>
      <c r="Y67" s="297"/>
      <c r="Z67" s="297"/>
      <c r="AA67" s="297"/>
      <c r="AB67" s="297"/>
      <c r="AC67" s="297"/>
      <c r="AD67" s="297">
        <v>-1</v>
      </c>
      <c r="AE67" s="230"/>
      <c r="AF67" s="230"/>
      <c r="AG67" s="231"/>
      <c r="AH67" s="1"/>
    </row>
    <row r="68" spans="1:34" ht="15" x14ac:dyDescent="0.25">
      <c r="A68" s="296" t="s">
        <v>287</v>
      </c>
      <c r="C68" s="2"/>
      <c r="E68" s="223"/>
      <c r="F68" s="236"/>
      <c r="G68" s="229"/>
      <c r="H68" s="229"/>
      <c r="I68" s="297"/>
      <c r="J68" s="297"/>
      <c r="K68" s="297"/>
      <c r="L68" s="297"/>
      <c r="M68" s="297"/>
      <c r="N68" s="297"/>
      <c r="O68" s="297">
        <v>0.5</v>
      </c>
      <c r="P68" s="230"/>
      <c r="Q68" s="230"/>
      <c r="R68" s="231"/>
      <c r="X68" s="297"/>
      <c r="Y68" s="297"/>
      <c r="Z68" s="297"/>
      <c r="AA68" s="297"/>
      <c r="AB68" s="297"/>
      <c r="AC68" s="297"/>
      <c r="AD68" s="297">
        <v>0.5</v>
      </c>
      <c r="AE68" s="230"/>
      <c r="AF68" s="230"/>
      <c r="AG68" s="231"/>
      <c r="AH68" s="1"/>
    </row>
    <row r="69" spans="1:34" ht="15" x14ac:dyDescent="0.25">
      <c r="A69" s="296" t="s">
        <v>288</v>
      </c>
      <c r="E69" s="223"/>
      <c r="F69" s="236"/>
      <c r="G69" s="229"/>
      <c r="H69" s="229"/>
      <c r="I69" s="297"/>
      <c r="J69" s="297"/>
      <c r="K69" s="297"/>
      <c r="L69" s="297"/>
      <c r="M69" s="297"/>
      <c r="N69" s="297"/>
      <c r="O69" s="297">
        <v>1.9</v>
      </c>
      <c r="P69" s="230"/>
      <c r="Q69" s="230"/>
      <c r="R69" s="231"/>
      <c r="X69" s="297"/>
      <c r="Y69" s="297"/>
      <c r="Z69" s="297"/>
      <c r="AA69" s="297"/>
      <c r="AB69" s="297"/>
      <c r="AC69" s="297"/>
      <c r="AD69" s="297">
        <v>1.9</v>
      </c>
      <c r="AE69" s="230"/>
      <c r="AF69" s="230"/>
      <c r="AG69" s="231"/>
      <c r="AH69" s="1"/>
    </row>
    <row r="70" spans="1:34" ht="15" x14ac:dyDescent="0.25">
      <c r="A70" s="296" t="s">
        <v>289</v>
      </c>
      <c r="E70" s="223"/>
      <c r="F70" s="236"/>
      <c r="G70" s="229"/>
      <c r="H70" s="229"/>
      <c r="I70" s="297"/>
      <c r="J70" s="297"/>
      <c r="K70" s="297"/>
      <c r="L70" s="297"/>
      <c r="M70" s="297"/>
      <c r="N70" s="297"/>
      <c r="O70" s="297">
        <v>-0.5</v>
      </c>
      <c r="P70" s="230"/>
      <c r="Q70" s="230"/>
      <c r="R70" s="231"/>
      <c r="X70" s="297"/>
      <c r="Y70" s="297"/>
      <c r="Z70" s="297"/>
      <c r="AA70" s="297"/>
      <c r="AB70" s="297"/>
      <c r="AC70" s="297"/>
      <c r="AD70" s="297">
        <v>-0.5</v>
      </c>
      <c r="AE70" s="230"/>
      <c r="AF70" s="230"/>
      <c r="AG70" s="231"/>
      <c r="AH70" s="1"/>
    </row>
    <row r="71" spans="1:34" ht="15" x14ac:dyDescent="0.25">
      <c r="A71" s="296" t="s">
        <v>290</v>
      </c>
      <c r="E71" s="223"/>
      <c r="F71" s="236"/>
      <c r="G71" s="229"/>
      <c r="H71" s="229"/>
      <c r="I71" s="297"/>
      <c r="J71" s="297"/>
      <c r="K71" s="297"/>
      <c r="L71" s="297"/>
      <c r="M71" s="297"/>
      <c r="N71" s="297"/>
      <c r="O71" s="297">
        <v>1.8</v>
      </c>
      <c r="P71" s="230"/>
      <c r="Q71" s="230"/>
      <c r="R71" s="231"/>
      <c r="X71" s="297"/>
      <c r="Y71" s="297"/>
      <c r="Z71" s="297"/>
      <c r="AA71" s="297"/>
      <c r="AB71" s="297"/>
      <c r="AC71" s="297"/>
      <c r="AD71" s="297">
        <v>1.8</v>
      </c>
      <c r="AE71" s="230"/>
      <c r="AF71" s="230"/>
      <c r="AG71" s="231"/>
      <c r="AH71" s="1"/>
    </row>
    <row r="72" spans="1:34" ht="15" x14ac:dyDescent="0.25">
      <c r="A72" s="296" t="s">
        <v>291</v>
      </c>
      <c r="E72" s="223"/>
      <c r="F72" s="236"/>
      <c r="G72" s="229"/>
      <c r="H72" s="229"/>
      <c r="I72" s="297"/>
      <c r="J72" s="297"/>
      <c r="K72" s="297"/>
      <c r="L72" s="297"/>
      <c r="M72" s="297"/>
      <c r="N72" s="297"/>
      <c r="O72" s="297">
        <v>-0.5</v>
      </c>
      <c r="P72" s="230"/>
      <c r="Q72" s="230"/>
      <c r="R72" s="231"/>
      <c r="X72" s="297"/>
      <c r="Y72" s="297"/>
      <c r="Z72" s="297"/>
      <c r="AA72" s="297"/>
      <c r="AB72" s="297"/>
      <c r="AC72" s="297"/>
      <c r="AD72" s="297">
        <v>-0.5</v>
      </c>
      <c r="AE72" s="230"/>
      <c r="AF72" s="230"/>
      <c r="AG72" s="231"/>
      <c r="AH72" s="1"/>
    </row>
    <row r="73" spans="1:34" ht="15" x14ac:dyDescent="0.25">
      <c r="A73" s="296" t="s">
        <v>292</v>
      </c>
      <c r="E73" s="223"/>
      <c r="F73" s="237"/>
      <c r="G73" s="238"/>
      <c r="H73" s="238"/>
      <c r="I73" s="297"/>
      <c r="J73" s="297"/>
      <c r="K73" s="297"/>
      <c r="L73" s="297"/>
      <c r="M73" s="297"/>
      <c r="N73" s="297"/>
      <c r="O73" s="297">
        <v>-1</v>
      </c>
      <c r="P73" s="239"/>
      <c r="Q73" s="239"/>
      <c r="R73" s="240"/>
      <c r="X73" s="297"/>
      <c r="Y73" s="297"/>
      <c r="Z73" s="297"/>
      <c r="AA73" s="297"/>
      <c r="AB73" s="297"/>
      <c r="AC73" s="297"/>
      <c r="AD73" s="297">
        <v>-1</v>
      </c>
      <c r="AE73" s="239"/>
      <c r="AF73" s="239"/>
      <c r="AG73" s="240"/>
      <c r="AH73" s="1"/>
    </row>
    <row r="74" spans="1:34" ht="15" x14ac:dyDescent="0.25">
      <c r="A74" s="296" t="s">
        <v>293</v>
      </c>
      <c r="E74" s="210"/>
      <c r="F74" s="208"/>
      <c r="G74" s="208"/>
      <c r="H74" s="208"/>
      <c r="I74" s="297">
        <v>23</v>
      </c>
      <c r="J74" s="297"/>
      <c r="K74" s="297"/>
      <c r="L74" s="297"/>
      <c r="M74" s="297"/>
      <c r="N74" s="297"/>
      <c r="O74" s="297">
        <v>-0.1</v>
      </c>
      <c r="P74" s="208"/>
      <c r="Q74" s="208"/>
      <c r="R74" s="208"/>
      <c r="X74" s="297">
        <v>23</v>
      </c>
      <c r="Y74" s="297"/>
      <c r="Z74" s="297"/>
      <c r="AA74" s="297"/>
      <c r="AB74" s="297"/>
      <c r="AC74" s="297"/>
      <c r="AD74" s="297">
        <v>-0.1</v>
      </c>
      <c r="AE74" s="208"/>
      <c r="AF74" s="208"/>
      <c r="AG74" s="208"/>
      <c r="AH74" s="1"/>
    </row>
    <row r="75" spans="1:34" ht="15" x14ac:dyDescent="0.25">
      <c r="A75" s="296" t="s">
        <v>294</v>
      </c>
      <c r="E75" s="210"/>
      <c r="F75" s="208"/>
      <c r="G75" s="208"/>
      <c r="H75" s="208"/>
      <c r="I75" s="297">
        <v>125</v>
      </c>
      <c r="J75" s="297"/>
      <c r="K75" s="297"/>
      <c r="L75" s="297"/>
      <c r="M75" s="297"/>
      <c r="N75" s="297"/>
      <c r="O75" s="297">
        <v>-0.1</v>
      </c>
      <c r="P75" s="208"/>
      <c r="Q75" s="208"/>
      <c r="R75" s="208"/>
      <c r="X75" s="297">
        <v>125</v>
      </c>
      <c r="Y75" s="297"/>
      <c r="Z75" s="297"/>
      <c r="AA75" s="297"/>
      <c r="AB75" s="297"/>
      <c r="AC75" s="297"/>
      <c r="AD75" s="297">
        <v>-0.1</v>
      </c>
      <c r="AE75" s="208"/>
      <c r="AF75" s="208"/>
      <c r="AG75" s="208"/>
      <c r="AH75" s="1"/>
    </row>
    <row r="76" spans="1:34" ht="15" x14ac:dyDescent="0.25">
      <c r="A76" s="296" t="s">
        <v>295</v>
      </c>
      <c r="E76" s="210"/>
      <c r="F76" s="208"/>
      <c r="G76" s="208"/>
      <c r="H76" s="208"/>
      <c r="I76" s="297"/>
      <c r="J76" s="297"/>
      <c r="K76" s="297"/>
      <c r="L76" s="297"/>
      <c r="M76" s="297"/>
      <c r="N76" s="297"/>
      <c r="O76" s="297">
        <v>0.1</v>
      </c>
      <c r="P76" s="209"/>
      <c r="Q76" s="209"/>
      <c r="R76" s="185"/>
      <c r="X76" s="297"/>
      <c r="Y76" s="297"/>
      <c r="Z76" s="297"/>
      <c r="AA76" s="297"/>
      <c r="AB76" s="297"/>
      <c r="AC76" s="297"/>
      <c r="AD76" s="297">
        <v>0.1</v>
      </c>
      <c r="AE76" s="209"/>
      <c r="AF76" s="209"/>
      <c r="AG76" s="185"/>
      <c r="AH76" s="1"/>
    </row>
    <row r="77" spans="1:34" ht="15" x14ac:dyDescent="0.25">
      <c r="A77" s="296" t="s">
        <v>296</v>
      </c>
      <c r="B77" s="211"/>
      <c r="C77" s="61"/>
      <c r="D77" s="212"/>
      <c r="E77" s="61"/>
      <c r="F77" s="60"/>
      <c r="G77" s="213"/>
      <c r="H77" s="60"/>
      <c r="I77" s="297"/>
      <c r="J77" s="297"/>
      <c r="K77" s="297"/>
      <c r="L77" s="297"/>
      <c r="M77" s="297"/>
      <c r="N77" s="297"/>
      <c r="O77" s="297">
        <v>2.2000000000000002</v>
      </c>
      <c r="P77" s="247"/>
      <c r="Q77" s="247"/>
      <c r="R77" s="248"/>
      <c r="X77" s="297"/>
      <c r="Y77" s="297"/>
      <c r="Z77" s="297"/>
      <c r="AA77" s="297"/>
      <c r="AB77" s="297"/>
      <c r="AC77" s="297"/>
      <c r="AD77" s="297">
        <v>2.2000000000000002</v>
      </c>
      <c r="AE77" s="247"/>
      <c r="AF77" s="247"/>
      <c r="AG77" s="248"/>
      <c r="AH77" s="1"/>
    </row>
    <row r="78" spans="1:34" ht="15" x14ac:dyDescent="0.25">
      <c r="A78" s="296" t="s">
        <v>297</v>
      </c>
      <c r="B78" s="214"/>
      <c r="C78" s="214"/>
      <c r="D78" s="214"/>
      <c r="E78" s="215"/>
      <c r="F78" s="216"/>
      <c r="G78" s="216"/>
      <c r="H78" s="60"/>
      <c r="I78" s="297"/>
      <c r="J78" s="297"/>
      <c r="K78" s="297"/>
      <c r="L78" s="297"/>
      <c r="M78" s="297"/>
      <c r="N78" s="297"/>
      <c r="O78" s="297">
        <v>0.9</v>
      </c>
      <c r="P78" s="217"/>
      <c r="Q78" s="217"/>
      <c r="R78" s="217"/>
      <c r="X78" s="297"/>
      <c r="Y78" s="297"/>
      <c r="Z78" s="297"/>
      <c r="AA78" s="297"/>
      <c r="AB78" s="297"/>
      <c r="AC78" s="297"/>
      <c r="AD78" s="297">
        <v>0.9</v>
      </c>
      <c r="AE78" s="217"/>
      <c r="AF78" s="217"/>
      <c r="AG78" s="217"/>
      <c r="AH78" s="1"/>
    </row>
    <row r="79" spans="1:34" ht="15" x14ac:dyDescent="0.25">
      <c r="A79" s="296" t="s">
        <v>297</v>
      </c>
      <c r="B79" s="26"/>
      <c r="C79" s="21"/>
      <c r="D79" s="100"/>
      <c r="E79" s="220"/>
      <c r="H79" s="223"/>
      <c r="I79" s="297"/>
      <c r="J79" s="297"/>
      <c r="K79" s="297"/>
      <c r="L79" s="297"/>
      <c r="M79" s="297"/>
      <c r="N79" s="297"/>
      <c r="O79" s="297">
        <v>-0.5</v>
      </c>
      <c r="P79" s="218"/>
      <c r="Q79" s="218"/>
      <c r="R79" s="219"/>
      <c r="X79" s="297"/>
      <c r="Y79" s="297"/>
      <c r="Z79" s="297"/>
      <c r="AA79" s="297"/>
      <c r="AB79" s="297"/>
      <c r="AC79" s="297"/>
      <c r="AD79" s="297">
        <v>-0.5</v>
      </c>
      <c r="AE79" s="218"/>
      <c r="AF79" s="218"/>
      <c r="AG79" s="219"/>
      <c r="AH79" s="1"/>
    </row>
    <row r="80" spans="1:34" ht="15" x14ac:dyDescent="0.25">
      <c r="A80" s="296" t="s">
        <v>298</v>
      </c>
      <c r="B80" s="26"/>
      <c r="C80" s="21"/>
      <c r="D80" s="100"/>
      <c r="E80" s="220"/>
      <c r="H80" s="223"/>
      <c r="I80" s="297"/>
      <c r="J80" s="297"/>
      <c r="K80" s="297"/>
      <c r="L80" s="297"/>
      <c r="M80" s="297"/>
      <c r="N80" s="297"/>
      <c r="O80" s="297">
        <v>-0.5</v>
      </c>
      <c r="P80" s="21"/>
      <c r="Q80" s="21"/>
      <c r="R80" s="220"/>
      <c r="X80" s="297"/>
      <c r="Y80" s="297"/>
      <c r="Z80" s="297"/>
      <c r="AA80" s="297"/>
      <c r="AB80" s="297"/>
      <c r="AC80" s="297"/>
      <c r="AD80" s="297">
        <v>-0.5</v>
      </c>
      <c r="AE80" s="21"/>
      <c r="AF80" s="21"/>
      <c r="AG80" s="220"/>
      <c r="AH80" s="1"/>
    </row>
    <row r="81" spans="1:34" ht="15" x14ac:dyDescent="0.25">
      <c r="A81" s="296" t="s">
        <v>299</v>
      </c>
      <c r="B81" s="26"/>
      <c r="C81" s="21"/>
      <c r="D81" s="100"/>
      <c r="E81" s="220"/>
      <c r="H81" s="223"/>
      <c r="I81" s="297"/>
      <c r="J81" s="297"/>
      <c r="K81" s="297"/>
      <c r="L81" s="297"/>
      <c r="M81" s="297"/>
      <c r="N81" s="297"/>
      <c r="O81" s="297">
        <v>0.7</v>
      </c>
      <c r="P81" s="21"/>
      <c r="Q81" s="21"/>
      <c r="R81" s="220"/>
      <c r="X81" s="297"/>
      <c r="Y81" s="297"/>
      <c r="Z81" s="297"/>
      <c r="AA81" s="297"/>
      <c r="AB81" s="297"/>
      <c r="AC81" s="297"/>
      <c r="AD81" s="297">
        <v>0.7</v>
      </c>
      <c r="AE81" s="21"/>
      <c r="AF81" s="21"/>
      <c r="AG81" s="220"/>
      <c r="AH81" s="1"/>
    </row>
    <row r="82" spans="1:34" ht="15" x14ac:dyDescent="0.25">
      <c r="A82" s="296" t="s">
        <v>300</v>
      </c>
      <c r="B82" s="26"/>
      <c r="C82" s="21"/>
      <c r="D82" s="100"/>
      <c r="E82" s="220"/>
      <c r="H82" s="223"/>
      <c r="I82" s="297"/>
      <c r="J82" s="297"/>
      <c r="K82" s="297"/>
      <c r="L82" s="297"/>
      <c r="M82" s="297"/>
      <c r="N82" s="297"/>
      <c r="O82" s="297">
        <v>0.8</v>
      </c>
      <c r="P82" s="21"/>
      <c r="Q82" s="21"/>
      <c r="R82" s="220"/>
      <c r="X82" s="297"/>
      <c r="Y82" s="297"/>
      <c r="Z82" s="297"/>
      <c r="AA82" s="297"/>
      <c r="AB82" s="297"/>
      <c r="AC82" s="297"/>
      <c r="AD82" s="297">
        <v>0.8</v>
      </c>
      <c r="AE82" s="21"/>
      <c r="AF82" s="21"/>
      <c r="AG82" s="220"/>
      <c r="AH82" s="1"/>
    </row>
    <row r="83" spans="1:34" ht="15" x14ac:dyDescent="0.25">
      <c r="A83" s="296" t="s">
        <v>301</v>
      </c>
      <c r="B83" s="26"/>
      <c r="C83" s="21"/>
      <c r="D83" s="100"/>
      <c r="E83" s="220"/>
      <c r="H83" s="223"/>
      <c r="I83" s="297"/>
      <c r="J83" s="297"/>
      <c r="K83" s="297"/>
      <c r="L83" s="297"/>
      <c r="M83" s="297"/>
      <c r="N83" s="297"/>
      <c r="O83" s="297">
        <v>0.9</v>
      </c>
      <c r="P83" s="21"/>
      <c r="Q83" s="21"/>
      <c r="R83" s="220"/>
      <c r="X83" s="297"/>
      <c r="Y83" s="297"/>
      <c r="Z83" s="297"/>
      <c r="AA83" s="297"/>
      <c r="AB83" s="297"/>
      <c r="AC83" s="297"/>
      <c r="AD83" s="297">
        <v>0.9</v>
      </c>
      <c r="AE83" s="21"/>
      <c r="AF83" s="21"/>
      <c r="AG83" s="220"/>
      <c r="AH83" s="1"/>
    </row>
    <row r="84" spans="1:34" ht="15" x14ac:dyDescent="0.25">
      <c r="A84" s="296" t="s">
        <v>302</v>
      </c>
      <c r="B84" s="26"/>
      <c r="C84" s="21"/>
      <c r="D84" s="100"/>
      <c r="E84" s="220"/>
      <c r="H84" s="223"/>
      <c r="I84" s="297"/>
      <c r="J84" s="297"/>
      <c r="K84" s="297"/>
      <c r="L84" s="297"/>
      <c r="M84" s="297"/>
      <c r="N84" s="297"/>
      <c r="O84" s="297">
        <v>-0.5</v>
      </c>
      <c r="P84" s="21"/>
      <c r="Q84" s="21"/>
      <c r="R84" s="220"/>
      <c r="X84" s="297"/>
      <c r="Y84" s="297"/>
      <c r="Z84" s="297"/>
      <c r="AA84" s="297"/>
      <c r="AB84" s="297"/>
      <c r="AC84" s="297"/>
      <c r="AD84" s="297">
        <v>-0.5</v>
      </c>
      <c r="AE84" s="21"/>
      <c r="AF84" s="21"/>
      <c r="AG84" s="220"/>
      <c r="AH84" s="1"/>
    </row>
    <row r="85" spans="1:34" ht="15" x14ac:dyDescent="0.25">
      <c r="A85" s="296" t="s">
        <v>302</v>
      </c>
      <c r="B85" s="26"/>
      <c r="C85" s="21"/>
      <c r="D85" s="100"/>
      <c r="E85" s="220"/>
      <c r="H85" s="223"/>
      <c r="I85" s="297"/>
      <c r="J85" s="297"/>
      <c r="K85" s="297"/>
      <c r="L85" s="297"/>
      <c r="M85" s="297"/>
      <c r="N85" s="297"/>
      <c r="O85" s="297">
        <v>-0.5</v>
      </c>
      <c r="P85" s="21"/>
      <c r="Q85" s="21"/>
      <c r="R85" s="220"/>
      <c r="X85" s="297"/>
      <c r="Y85" s="297"/>
      <c r="Z85" s="297"/>
      <c r="AA85" s="297"/>
      <c r="AB85" s="297"/>
      <c r="AC85" s="297"/>
      <c r="AD85" s="297">
        <v>-0.5</v>
      </c>
      <c r="AE85" s="21"/>
      <c r="AF85" s="21"/>
      <c r="AG85" s="220"/>
      <c r="AH85" s="1"/>
    </row>
    <row r="86" spans="1:34" ht="15" x14ac:dyDescent="0.25">
      <c r="A86" s="296" t="s">
        <v>302</v>
      </c>
      <c r="B86" s="26"/>
      <c r="C86" s="21"/>
      <c r="D86" s="100"/>
      <c r="E86" s="220"/>
      <c r="H86" s="223"/>
      <c r="I86" s="297"/>
      <c r="J86" s="297"/>
      <c r="K86" s="297"/>
      <c r="L86" s="297"/>
      <c r="M86" s="297"/>
      <c r="N86" s="297"/>
      <c r="O86" s="297">
        <v>-0.5</v>
      </c>
      <c r="P86" s="21"/>
      <c r="Q86" s="21"/>
      <c r="R86" s="220"/>
      <c r="X86" s="297"/>
      <c r="Y86" s="297"/>
      <c r="Z86" s="297"/>
      <c r="AA86" s="297"/>
      <c r="AB86" s="297"/>
      <c r="AC86" s="297"/>
      <c r="AD86" s="297">
        <v>-0.5</v>
      </c>
      <c r="AE86" s="21"/>
      <c r="AF86" s="21"/>
      <c r="AG86" s="220"/>
      <c r="AH86" s="1"/>
    </row>
    <row r="87" spans="1:34" ht="15" x14ac:dyDescent="0.25">
      <c r="A87" s="296" t="s">
        <v>302</v>
      </c>
      <c r="B87" s="26"/>
      <c r="C87" s="21"/>
      <c r="D87" s="100"/>
      <c r="E87" s="220"/>
      <c r="H87" s="223"/>
      <c r="I87" s="297"/>
      <c r="J87" s="297"/>
      <c r="K87" s="297"/>
      <c r="L87" s="297"/>
      <c r="M87" s="297"/>
      <c r="N87" s="297"/>
      <c r="O87" s="297">
        <v>-0.5</v>
      </c>
      <c r="P87" s="21"/>
      <c r="Q87" s="21"/>
      <c r="R87" s="220"/>
      <c r="X87" s="297"/>
      <c r="Y87" s="297"/>
      <c r="Z87" s="297"/>
      <c r="AA87" s="297"/>
      <c r="AB87" s="297"/>
      <c r="AC87" s="297"/>
      <c r="AD87" s="297">
        <v>-0.5</v>
      </c>
      <c r="AE87" s="21"/>
      <c r="AF87" s="21"/>
      <c r="AG87" s="220"/>
      <c r="AH87" s="1"/>
    </row>
    <row r="88" spans="1:34" ht="15" x14ac:dyDescent="0.25">
      <c r="A88" s="296" t="s">
        <v>302</v>
      </c>
      <c r="B88" s="26"/>
      <c r="C88" s="21"/>
      <c r="D88" s="100"/>
      <c r="E88" s="220"/>
      <c r="H88" s="223"/>
      <c r="I88" s="297"/>
      <c r="J88" s="297"/>
      <c r="K88" s="297"/>
      <c r="L88" s="297"/>
      <c r="M88" s="297"/>
      <c r="N88" s="297"/>
      <c r="O88" s="297">
        <v>-0.5</v>
      </c>
      <c r="P88" s="21"/>
      <c r="Q88" s="21"/>
      <c r="R88" s="220"/>
      <c r="X88" s="297"/>
      <c r="Y88" s="297"/>
      <c r="Z88" s="297"/>
      <c r="AA88" s="297"/>
      <c r="AB88" s="297"/>
      <c r="AC88" s="297"/>
      <c r="AD88" s="297">
        <v>-0.5</v>
      </c>
      <c r="AE88" s="21"/>
      <c r="AF88" s="21"/>
      <c r="AG88" s="220"/>
      <c r="AH88" s="1"/>
    </row>
    <row r="89" spans="1:34" ht="15" x14ac:dyDescent="0.25">
      <c r="A89" s="296" t="s">
        <v>302</v>
      </c>
      <c r="B89" s="26"/>
      <c r="C89" s="21"/>
      <c r="D89" s="100"/>
      <c r="E89" s="220"/>
      <c r="H89" s="223"/>
      <c r="I89" s="297"/>
      <c r="J89" s="297"/>
      <c r="K89" s="297"/>
      <c r="L89" s="297"/>
      <c r="M89" s="297"/>
      <c r="N89" s="297"/>
      <c r="O89" s="297">
        <v>-0.5</v>
      </c>
      <c r="P89" s="21"/>
      <c r="Q89" s="21"/>
      <c r="R89" s="220"/>
      <c r="X89" s="297"/>
      <c r="Y89" s="297"/>
      <c r="Z89" s="297"/>
      <c r="AA89" s="297"/>
      <c r="AB89" s="297"/>
      <c r="AC89" s="297"/>
      <c r="AD89" s="297">
        <v>-0.5</v>
      </c>
      <c r="AE89" s="21"/>
      <c r="AF89" s="21"/>
      <c r="AG89" s="220"/>
      <c r="AH89" s="1"/>
    </row>
    <row r="90" spans="1:34" ht="15" x14ac:dyDescent="0.25">
      <c r="A90" s="296" t="s">
        <v>303</v>
      </c>
      <c r="B90" s="26"/>
      <c r="C90" s="21"/>
      <c r="D90" s="100"/>
      <c r="E90" s="220"/>
      <c r="H90" s="223"/>
      <c r="I90" s="297"/>
      <c r="J90" s="297"/>
      <c r="K90" s="297"/>
      <c r="L90" s="297"/>
      <c r="M90" s="297"/>
      <c r="N90" s="297"/>
      <c r="O90" s="297">
        <v>2.6</v>
      </c>
      <c r="P90" s="297"/>
      <c r="Q90" s="297"/>
      <c r="R90" s="297"/>
      <c r="X90" s="297"/>
      <c r="Y90" s="297"/>
      <c r="Z90" s="297"/>
      <c r="AA90" s="297"/>
      <c r="AB90" s="297"/>
      <c r="AC90" s="297"/>
      <c r="AD90" s="297">
        <v>2.6</v>
      </c>
      <c r="AE90" s="297"/>
      <c r="AF90" s="297"/>
      <c r="AG90" s="297"/>
      <c r="AH90" s="1"/>
    </row>
    <row r="91" spans="1:34" ht="15" x14ac:dyDescent="0.25">
      <c r="A91" s="296" t="s">
        <v>304</v>
      </c>
      <c r="B91" s="26"/>
      <c r="C91" s="21"/>
      <c r="D91" s="100"/>
      <c r="E91" s="220"/>
      <c r="H91" s="223"/>
      <c r="I91" s="297"/>
      <c r="J91" s="297"/>
      <c r="K91" s="297"/>
      <c r="L91" s="297"/>
      <c r="M91" s="297"/>
      <c r="N91" s="297"/>
      <c r="O91" s="297">
        <v>1.3</v>
      </c>
      <c r="P91" s="297"/>
      <c r="Q91" s="297"/>
      <c r="R91" s="297"/>
      <c r="X91" s="297"/>
      <c r="Y91" s="297"/>
      <c r="Z91" s="297"/>
      <c r="AA91" s="297"/>
      <c r="AB91" s="297"/>
      <c r="AC91" s="297"/>
      <c r="AD91" s="297">
        <v>1.3</v>
      </c>
      <c r="AE91" s="297"/>
      <c r="AF91" s="297"/>
      <c r="AG91" s="297"/>
      <c r="AH91" s="1"/>
    </row>
    <row r="92" spans="1:34" ht="15" x14ac:dyDescent="0.25">
      <c r="A92" s="296" t="s">
        <v>305</v>
      </c>
      <c r="B92" s="26"/>
      <c r="C92" s="21"/>
      <c r="D92" s="100"/>
      <c r="E92" s="220"/>
      <c r="H92" s="223"/>
      <c r="I92" s="297"/>
      <c r="J92" s="297"/>
      <c r="K92" s="297"/>
      <c r="L92" s="297"/>
      <c r="M92" s="297"/>
      <c r="N92" s="297"/>
      <c r="O92" s="297">
        <v>2.9</v>
      </c>
      <c r="P92" s="297"/>
      <c r="Q92" s="297"/>
      <c r="R92" s="297"/>
      <c r="X92" s="297"/>
      <c r="Y92" s="297"/>
      <c r="Z92" s="297"/>
      <c r="AA92" s="297"/>
      <c r="AB92" s="297"/>
      <c r="AC92" s="297"/>
      <c r="AD92" s="297">
        <v>2.9</v>
      </c>
      <c r="AE92" s="297"/>
      <c r="AF92" s="297"/>
      <c r="AG92" s="297"/>
      <c r="AH92" s="1"/>
    </row>
    <row r="93" spans="1:34" ht="15" x14ac:dyDescent="0.25">
      <c r="A93" s="296" t="s">
        <v>306</v>
      </c>
      <c r="B93" s="26"/>
      <c r="C93" s="21"/>
      <c r="D93" s="100"/>
      <c r="E93" s="220"/>
      <c r="H93" s="223"/>
      <c r="I93" s="297"/>
      <c r="J93" s="297"/>
      <c r="K93" s="297"/>
      <c r="L93" s="297"/>
      <c r="M93" s="297"/>
      <c r="N93" s="297"/>
      <c r="O93" s="297">
        <v>11</v>
      </c>
      <c r="P93" s="297"/>
      <c r="Q93" s="297"/>
      <c r="R93" s="297"/>
      <c r="X93" s="297"/>
      <c r="Y93" s="297"/>
      <c r="Z93" s="297"/>
      <c r="AA93" s="297"/>
      <c r="AB93" s="297"/>
      <c r="AC93" s="297"/>
      <c r="AD93" s="297">
        <v>11</v>
      </c>
      <c r="AE93" s="297"/>
      <c r="AF93" s="297"/>
      <c r="AG93" s="297"/>
      <c r="AH93" s="1"/>
    </row>
    <row r="94" spans="1:34" ht="15" x14ac:dyDescent="0.25">
      <c r="A94" s="296" t="s">
        <v>307</v>
      </c>
      <c r="B94" s="26"/>
      <c r="C94" s="21"/>
      <c r="D94" s="100"/>
      <c r="E94" s="220"/>
      <c r="H94" s="223"/>
      <c r="I94" s="297"/>
      <c r="J94" s="297"/>
      <c r="K94" s="297"/>
      <c r="L94" s="297"/>
      <c r="M94" s="297"/>
      <c r="N94" s="297"/>
      <c r="O94" s="297">
        <v>-0.5</v>
      </c>
      <c r="P94" s="297"/>
      <c r="Q94" s="297"/>
      <c r="R94" s="297"/>
      <c r="X94" s="297"/>
      <c r="Y94" s="297"/>
      <c r="Z94" s="297"/>
      <c r="AA94" s="297"/>
      <c r="AB94" s="297"/>
      <c r="AC94" s="297"/>
      <c r="AD94" s="297">
        <v>-0.5</v>
      </c>
      <c r="AE94" s="297"/>
      <c r="AF94" s="297"/>
      <c r="AG94" s="297"/>
      <c r="AH94" s="1"/>
    </row>
    <row r="95" spans="1:34" ht="15" x14ac:dyDescent="0.25">
      <c r="A95" s="296" t="s">
        <v>308</v>
      </c>
      <c r="B95" s="26"/>
      <c r="C95" s="21"/>
      <c r="D95" s="100"/>
      <c r="E95" s="220"/>
      <c r="H95" s="223"/>
      <c r="I95" s="297">
        <v>16</v>
      </c>
      <c r="J95" s="297"/>
      <c r="K95" s="297"/>
      <c r="L95" s="297"/>
      <c r="M95" s="297"/>
      <c r="N95" s="297"/>
      <c r="O95" s="297">
        <v>-0.1</v>
      </c>
      <c r="P95" s="297"/>
      <c r="Q95" s="297"/>
      <c r="R95" s="297"/>
      <c r="X95" s="297">
        <v>16</v>
      </c>
      <c r="Y95" s="297"/>
      <c r="Z95" s="297"/>
      <c r="AA95" s="297"/>
      <c r="AB95" s="297"/>
      <c r="AC95" s="297"/>
      <c r="AD95" s="297">
        <v>-0.1</v>
      </c>
      <c r="AE95" s="297"/>
      <c r="AF95" s="297"/>
      <c r="AG95" s="297"/>
      <c r="AH95" s="1"/>
    </row>
    <row r="96" spans="1:34" ht="15" x14ac:dyDescent="0.25">
      <c r="A96" s="296" t="s">
        <v>309</v>
      </c>
      <c r="B96" s="26"/>
      <c r="C96" s="21"/>
      <c r="D96" s="100"/>
      <c r="E96" s="220"/>
      <c r="H96" s="223"/>
      <c r="I96" s="297">
        <v>83.5</v>
      </c>
      <c r="J96" s="297"/>
      <c r="K96" s="297"/>
      <c r="L96" s="297">
        <v>1.9</v>
      </c>
      <c r="M96" s="297">
        <v>31</v>
      </c>
      <c r="N96" s="297">
        <v>882</v>
      </c>
      <c r="O96" s="297"/>
      <c r="P96" s="297"/>
      <c r="Q96" s="297"/>
      <c r="R96" s="297">
        <v>0.6</v>
      </c>
      <c r="X96" s="297">
        <v>83.5</v>
      </c>
      <c r="Y96" s="297"/>
      <c r="Z96" s="297"/>
      <c r="AA96" s="297">
        <v>1.9</v>
      </c>
      <c r="AB96" s="297">
        <v>31</v>
      </c>
      <c r="AC96" s="297">
        <v>882</v>
      </c>
      <c r="AD96" s="297"/>
      <c r="AE96" s="297"/>
      <c r="AF96" s="297"/>
      <c r="AG96" s="297">
        <v>0.6</v>
      </c>
      <c r="AH96" s="1"/>
    </row>
    <row r="97" spans="1:34" ht="15" x14ac:dyDescent="0.25">
      <c r="A97" s="296" t="s">
        <v>310</v>
      </c>
      <c r="B97" s="26"/>
      <c r="C97" s="21"/>
      <c r="D97" s="100"/>
      <c r="E97" s="220"/>
      <c r="H97" s="223"/>
      <c r="I97" s="297"/>
      <c r="J97" s="297"/>
      <c r="K97" s="297"/>
      <c r="L97" s="297"/>
      <c r="M97" s="297"/>
      <c r="N97" s="297"/>
      <c r="O97" s="297">
        <v>2.2999999999999998</v>
      </c>
      <c r="P97" s="297"/>
      <c r="Q97" s="297"/>
      <c r="R97" s="297"/>
      <c r="X97" s="297"/>
      <c r="Y97" s="297"/>
      <c r="Z97" s="297"/>
      <c r="AA97" s="297"/>
      <c r="AB97" s="297"/>
      <c r="AC97" s="297"/>
      <c r="AD97" s="297">
        <v>2.2999999999999998</v>
      </c>
      <c r="AE97" s="297"/>
      <c r="AF97" s="297"/>
      <c r="AG97" s="297"/>
      <c r="AH97" s="1"/>
    </row>
    <row r="98" spans="1:34" ht="15" x14ac:dyDescent="0.25">
      <c r="A98" s="296" t="s">
        <v>310</v>
      </c>
      <c r="B98" s="26"/>
      <c r="C98" s="21"/>
      <c r="D98" s="100"/>
      <c r="E98" s="220"/>
      <c r="H98" s="223"/>
      <c r="I98" s="297"/>
      <c r="J98" s="297"/>
      <c r="K98" s="297"/>
      <c r="L98" s="297"/>
      <c r="M98" s="297"/>
      <c r="N98" s="297"/>
      <c r="O98" s="297">
        <v>-0.5</v>
      </c>
      <c r="P98" s="297"/>
      <c r="Q98" s="297"/>
      <c r="R98" s="297"/>
      <c r="X98" s="297"/>
      <c r="Y98" s="297"/>
      <c r="Z98" s="297"/>
      <c r="AA98" s="297"/>
      <c r="AB98" s="297"/>
      <c r="AC98" s="297"/>
      <c r="AD98" s="297">
        <v>-0.5</v>
      </c>
      <c r="AE98" s="297"/>
      <c r="AF98" s="297"/>
      <c r="AG98" s="297"/>
      <c r="AH98" s="1"/>
    </row>
    <row r="99" spans="1:34" ht="15" x14ac:dyDescent="0.25">
      <c r="A99" s="296" t="s">
        <v>311</v>
      </c>
      <c r="B99" s="26"/>
      <c r="C99" s="21"/>
      <c r="D99" s="100"/>
      <c r="E99" s="220"/>
      <c r="H99" s="223"/>
      <c r="I99" s="297"/>
      <c r="J99" s="297"/>
      <c r="K99" s="297"/>
      <c r="L99" s="297"/>
      <c r="M99" s="297"/>
      <c r="N99" s="297"/>
      <c r="O99" s="297">
        <v>-0.5</v>
      </c>
      <c r="P99" s="297"/>
      <c r="Q99" s="297"/>
      <c r="R99" s="297"/>
      <c r="X99" s="297"/>
      <c r="Y99" s="297"/>
      <c r="Z99" s="297"/>
      <c r="AA99" s="297"/>
      <c r="AB99" s="297"/>
      <c r="AC99" s="297"/>
      <c r="AD99" s="297">
        <v>-0.5</v>
      </c>
      <c r="AE99" s="297"/>
      <c r="AF99" s="297"/>
      <c r="AG99" s="297"/>
      <c r="AH99" s="1"/>
    </row>
    <row r="100" spans="1:34" ht="15" x14ac:dyDescent="0.25">
      <c r="A100" s="296" t="s">
        <v>312</v>
      </c>
      <c r="B100" s="26"/>
      <c r="C100" s="21"/>
      <c r="D100" s="100"/>
      <c r="E100" s="220"/>
      <c r="H100" s="223"/>
      <c r="I100" s="297">
        <v>2.5</v>
      </c>
      <c r="J100" s="297"/>
      <c r="K100" s="297"/>
      <c r="L100" s="297">
        <v>2.2000000000000002</v>
      </c>
      <c r="M100" s="297">
        <v>491</v>
      </c>
      <c r="N100" s="297">
        <v>3.1</v>
      </c>
      <c r="O100" s="297"/>
      <c r="P100" s="297"/>
      <c r="Q100" s="297"/>
      <c r="R100" s="297">
        <v>0.9</v>
      </c>
      <c r="X100" s="297">
        <v>2.5</v>
      </c>
      <c r="Y100" s="297"/>
      <c r="Z100" s="297"/>
      <c r="AA100" s="297">
        <v>2.2000000000000002</v>
      </c>
      <c r="AB100" s="297">
        <v>491</v>
      </c>
      <c r="AC100" s="297">
        <v>3.1</v>
      </c>
      <c r="AD100" s="297"/>
      <c r="AE100" s="297"/>
      <c r="AF100" s="297"/>
      <c r="AG100" s="297">
        <v>0.9</v>
      </c>
      <c r="AH100" s="1"/>
    </row>
    <row r="101" spans="1:34" ht="15" x14ac:dyDescent="0.25">
      <c r="A101" s="296" t="s">
        <v>313</v>
      </c>
      <c r="B101" s="26"/>
      <c r="C101" s="21"/>
      <c r="D101" s="100"/>
      <c r="E101" s="220"/>
      <c r="H101" s="223"/>
      <c r="I101" s="297"/>
      <c r="J101" s="297"/>
      <c r="K101" s="297"/>
      <c r="L101" s="297"/>
      <c r="M101" s="297"/>
      <c r="N101" s="297"/>
      <c r="O101" s="297">
        <v>-1</v>
      </c>
      <c r="P101" s="297"/>
      <c r="Q101" s="297"/>
      <c r="R101" s="297"/>
      <c r="X101" s="297"/>
      <c r="Y101" s="297"/>
      <c r="Z101" s="297"/>
      <c r="AA101" s="297"/>
      <c r="AB101" s="297"/>
      <c r="AC101" s="297"/>
      <c r="AD101" s="297">
        <v>-1</v>
      </c>
      <c r="AE101" s="297"/>
      <c r="AF101" s="297"/>
      <c r="AG101" s="297"/>
      <c r="AH101" s="1"/>
    </row>
    <row r="102" spans="1:34" ht="15" x14ac:dyDescent="0.25">
      <c r="A102" s="296" t="s">
        <v>313</v>
      </c>
      <c r="B102" s="26"/>
      <c r="C102" s="21"/>
      <c r="D102" s="100"/>
      <c r="E102" s="220"/>
      <c r="H102" s="223"/>
      <c r="I102" s="297"/>
      <c r="J102" s="297"/>
      <c r="K102" s="297"/>
      <c r="L102" s="297"/>
      <c r="M102" s="297"/>
      <c r="N102" s="297"/>
      <c r="O102" s="297">
        <v>-1</v>
      </c>
      <c r="P102" s="297"/>
      <c r="Q102" s="297"/>
      <c r="R102" s="297"/>
      <c r="X102" s="297"/>
      <c r="Y102" s="297"/>
      <c r="Z102" s="297"/>
      <c r="AA102" s="297"/>
      <c r="AB102" s="297"/>
      <c r="AC102" s="297"/>
      <c r="AD102" s="297">
        <v>-1</v>
      </c>
      <c r="AE102" s="297"/>
      <c r="AF102" s="297"/>
      <c r="AG102" s="297"/>
      <c r="AH102" s="1"/>
    </row>
    <row r="103" spans="1:34" ht="15" x14ac:dyDescent="0.25">
      <c r="A103" s="296" t="s">
        <v>314</v>
      </c>
      <c r="B103" s="26"/>
      <c r="C103" s="21"/>
      <c r="D103" s="100"/>
      <c r="E103" s="220"/>
      <c r="H103" s="223"/>
      <c r="I103" s="297"/>
      <c r="J103" s="297"/>
      <c r="K103" s="297"/>
      <c r="L103" s="297"/>
      <c r="M103" s="297"/>
      <c r="N103" s="297"/>
      <c r="O103" s="297">
        <v>-0.5</v>
      </c>
      <c r="P103" s="297"/>
      <c r="Q103" s="297"/>
      <c r="R103" s="297"/>
      <c r="X103" s="297"/>
      <c r="Y103" s="297"/>
      <c r="Z103" s="297"/>
      <c r="AA103" s="297"/>
      <c r="AB103" s="297"/>
      <c r="AC103" s="297"/>
      <c r="AD103" s="297">
        <v>-0.5</v>
      </c>
      <c r="AE103" s="297"/>
      <c r="AF103" s="297"/>
      <c r="AG103" s="297"/>
      <c r="AH103" s="1"/>
    </row>
    <row r="104" spans="1:34" ht="15" x14ac:dyDescent="0.25">
      <c r="A104" s="296" t="s">
        <v>315</v>
      </c>
      <c r="B104" s="26"/>
      <c r="C104" s="21"/>
      <c r="D104" s="100"/>
      <c r="E104" s="220"/>
      <c r="H104" s="223"/>
      <c r="I104" s="297"/>
      <c r="J104" s="297"/>
      <c r="K104" s="297"/>
      <c r="L104" s="297"/>
      <c r="M104" s="297"/>
      <c r="N104" s="297"/>
      <c r="O104" s="297">
        <v>-1</v>
      </c>
      <c r="P104" s="297"/>
      <c r="Q104" s="297"/>
      <c r="R104" s="297"/>
      <c r="X104" s="297"/>
      <c r="Y104" s="297"/>
      <c r="Z104" s="297"/>
      <c r="AA104" s="297"/>
      <c r="AB104" s="297"/>
      <c r="AC104" s="297"/>
      <c r="AD104" s="297">
        <v>-1</v>
      </c>
      <c r="AE104" s="297"/>
      <c r="AF104" s="297"/>
      <c r="AG104" s="297"/>
      <c r="AH104" s="1"/>
    </row>
    <row r="105" spans="1:34" ht="15" x14ac:dyDescent="0.25">
      <c r="A105" s="296" t="s">
        <v>316</v>
      </c>
      <c r="B105" s="26"/>
      <c r="C105" s="21"/>
      <c r="D105" s="100"/>
      <c r="E105" s="220"/>
      <c r="H105" s="223"/>
      <c r="I105" s="297"/>
      <c r="J105" s="297"/>
      <c r="K105" s="297"/>
      <c r="L105" s="297"/>
      <c r="M105" s="297"/>
      <c r="N105" s="297"/>
      <c r="O105" s="297">
        <v>-0.5</v>
      </c>
      <c r="P105" s="297"/>
      <c r="Q105" s="297"/>
      <c r="R105" s="297"/>
      <c r="X105" s="297"/>
      <c r="Y105" s="297"/>
      <c r="Z105" s="297"/>
      <c r="AA105" s="297"/>
      <c r="AB105" s="297"/>
      <c r="AC105" s="297"/>
      <c r="AD105" s="297">
        <v>-0.5</v>
      </c>
      <c r="AE105" s="297"/>
      <c r="AF105" s="297"/>
      <c r="AG105" s="297"/>
      <c r="AH105" s="1"/>
    </row>
    <row r="106" spans="1:34" ht="15" x14ac:dyDescent="0.25">
      <c r="A106" s="296" t="s">
        <v>317</v>
      </c>
      <c r="B106" s="26"/>
      <c r="C106" s="21"/>
      <c r="D106" s="100"/>
      <c r="E106" s="220"/>
      <c r="H106" s="223"/>
      <c r="I106" s="297"/>
      <c r="J106" s="297"/>
      <c r="K106" s="297"/>
      <c r="L106" s="297"/>
      <c r="M106" s="297"/>
      <c r="N106" s="297"/>
      <c r="O106" s="297">
        <v>-0.5</v>
      </c>
      <c r="P106" s="297"/>
      <c r="Q106" s="297"/>
      <c r="R106" s="297"/>
      <c r="X106" s="297"/>
      <c r="Y106" s="297"/>
      <c r="Z106" s="297"/>
      <c r="AA106" s="297"/>
      <c r="AB106" s="297"/>
      <c r="AC106" s="297"/>
      <c r="AD106" s="297">
        <v>-0.5</v>
      </c>
      <c r="AE106" s="297"/>
      <c r="AF106" s="297"/>
      <c r="AG106" s="297"/>
      <c r="AH106" s="1"/>
    </row>
    <row r="107" spans="1:34" ht="15" x14ac:dyDescent="0.25">
      <c r="A107" s="296" t="s">
        <v>318</v>
      </c>
      <c r="B107" s="26"/>
      <c r="C107" s="21"/>
      <c r="D107" s="100"/>
      <c r="E107" s="220"/>
      <c r="H107" s="223"/>
      <c r="I107" s="297"/>
      <c r="J107" s="297"/>
      <c r="K107" s="297"/>
      <c r="L107" s="297"/>
      <c r="M107" s="297"/>
      <c r="N107" s="297"/>
      <c r="O107" s="297">
        <v>4.8</v>
      </c>
      <c r="P107" s="297"/>
      <c r="Q107" s="297"/>
      <c r="R107" s="297"/>
      <c r="X107" s="297"/>
      <c r="Y107" s="297"/>
      <c r="Z107" s="297"/>
      <c r="AA107" s="297"/>
      <c r="AB107" s="297"/>
      <c r="AC107" s="297"/>
      <c r="AD107" s="297">
        <v>4.8</v>
      </c>
      <c r="AE107" s="297"/>
      <c r="AF107" s="297"/>
      <c r="AG107" s="297"/>
      <c r="AH107" s="1"/>
    </row>
    <row r="108" spans="1:34" ht="15" x14ac:dyDescent="0.25">
      <c r="A108" s="296" t="s">
        <v>319</v>
      </c>
      <c r="B108" s="224"/>
      <c r="C108" s="221"/>
      <c r="D108" s="225"/>
      <c r="E108" s="222"/>
      <c r="H108" s="223"/>
      <c r="I108" s="297"/>
      <c r="J108" s="297"/>
      <c r="K108" s="297"/>
      <c r="L108" s="297"/>
      <c r="M108" s="297"/>
      <c r="N108" s="297"/>
      <c r="O108" s="297">
        <v>10</v>
      </c>
      <c r="P108" s="297"/>
      <c r="Q108" s="297"/>
      <c r="R108" s="297"/>
      <c r="X108" s="297"/>
      <c r="Y108" s="297"/>
      <c r="Z108" s="297"/>
      <c r="AA108" s="297"/>
      <c r="AB108" s="297"/>
      <c r="AC108" s="297"/>
      <c r="AD108" s="297">
        <v>10</v>
      </c>
      <c r="AE108" s="297"/>
      <c r="AF108" s="297"/>
      <c r="AG108" s="297"/>
      <c r="AH108" s="1"/>
    </row>
    <row r="109" spans="1:34" ht="15" x14ac:dyDescent="0.25">
      <c r="A109" s="296" t="s">
        <v>320</v>
      </c>
      <c r="I109" s="297"/>
      <c r="J109" s="297"/>
      <c r="K109" s="297"/>
      <c r="L109" s="297"/>
      <c r="M109" s="297"/>
      <c r="N109" s="297"/>
      <c r="O109" s="297">
        <v>4.5999999999999996</v>
      </c>
      <c r="P109" s="297"/>
      <c r="Q109" s="297"/>
      <c r="R109" s="297"/>
      <c r="X109" s="297"/>
      <c r="Y109" s="297"/>
      <c r="Z109" s="297"/>
      <c r="AA109" s="297"/>
      <c r="AB109" s="297"/>
      <c r="AC109" s="297"/>
      <c r="AD109" s="297">
        <v>4.5999999999999996</v>
      </c>
      <c r="AE109" s="297"/>
      <c r="AF109" s="297"/>
      <c r="AG109" s="297"/>
      <c r="AH109" s="1"/>
    </row>
    <row r="110" spans="1:34" ht="15" x14ac:dyDescent="0.25">
      <c r="A110" s="296" t="s">
        <v>321</v>
      </c>
      <c r="I110" s="297"/>
      <c r="J110" s="297"/>
      <c r="K110" s="297"/>
      <c r="L110" s="297"/>
      <c r="M110" s="297"/>
      <c r="N110" s="297"/>
      <c r="O110" s="297">
        <v>0.8</v>
      </c>
      <c r="P110" s="297"/>
      <c r="Q110" s="297"/>
      <c r="R110" s="297"/>
      <c r="X110" s="297"/>
      <c r="Y110" s="297"/>
      <c r="Z110" s="297"/>
      <c r="AA110" s="297"/>
      <c r="AB110" s="297"/>
      <c r="AC110" s="297"/>
      <c r="AD110" s="297">
        <v>0.8</v>
      </c>
      <c r="AE110" s="297"/>
      <c r="AF110" s="297"/>
      <c r="AG110" s="297"/>
      <c r="AH110" s="1"/>
    </row>
    <row r="111" spans="1:34" ht="15" x14ac:dyDescent="0.25">
      <c r="A111" s="296" t="s">
        <v>322</v>
      </c>
      <c r="I111" s="297"/>
      <c r="J111" s="297"/>
      <c r="K111" s="297"/>
      <c r="L111" s="297"/>
      <c r="M111" s="297"/>
      <c r="N111" s="297"/>
      <c r="O111" s="297">
        <v>-1</v>
      </c>
      <c r="P111" s="297"/>
      <c r="Q111" s="297"/>
      <c r="R111" s="297"/>
      <c r="X111" s="297"/>
      <c r="Y111" s="297"/>
      <c r="Z111" s="297"/>
      <c r="AA111" s="297"/>
      <c r="AB111" s="297"/>
      <c r="AC111" s="297"/>
      <c r="AD111" s="297">
        <v>-1</v>
      </c>
      <c r="AE111" s="297"/>
      <c r="AF111" s="297"/>
      <c r="AG111" s="297"/>
      <c r="AH111" s="1"/>
    </row>
    <row r="112" spans="1:34" ht="15" x14ac:dyDescent="0.25">
      <c r="A112" s="296" t="s">
        <v>323</v>
      </c>
      <c r="I112" s="297"/>
      <c r="J112" s="297"/>
      <c r="K112" s="297"/>
      <c r="L112" s="297"/>
      <c r="M112" s="297"/>
      <c r="N112" s="297"/>
      <c r="O112" s="297">
        <v>1.8</v>
      </c>
      <c r="P112" s="297"/>
      <c r="Q112" s="297"/>
      <c r="R112" s="297"/>
      <c r="X112" s="297"/>
      <c r="Y112" s="297"/>
      <c r="Z112" s="297"/>
      <c r="AA112" s="297"/>
      <c r="AB112" s="297"/>
      <c r="AC112" s="297"/>
      <c r="AD112" s="297">
        <v>1.8</v>
      </c>
      <c r="AE112" s="297"/>
      <c r="AF112" s="297"/>
      <c r="AG112" s="297"/>
      <c r="AH112" s="1"/>
    </row>
    <row r="113" spans="1:34" ht="15" x14ac:dyDescent="0.25">
      <c r="A113" s="296" t="s">
        <v>324</v>
      </c>
      <c r="I113" s="297"/>
      <c r="J113" s="297"/>
      <c r="K113" s="297"/>
      <c r="L113" s="297"/>
      <c r="M113" s="297"/>
      <c r="N113" s="297"/>
      <c r="O113" s="297">
        <v>-0.5</v>
      </c>
      <c r="P113" s="297"/>
      <c r="Q113" s="297"/>
      <c r="R113" s="297"/>
      <c r="X113" s="297"/>
      <c r="Y113" s="297"/>
      <c r="Z113" s="297"/>
      <c r="AA113" s="297"/>
      <c r="AB113" s="297"/>
      <c r="AC113" s="297"/>
      <c r="AD113" s="297">
        <v>-0.5</v>
      </c>
      <c r="AE113" s="297"/>
      <c r="AF113" s="297"/>
      <c r="AG113" s="297"/>
      <c r="AH113" s="1"/>
    </row>
    <row r="114" spans="1:34" ht="15" x14ac:dyDescent="0.25">
      <c r="A114" s="296" t="s">
        <v>312</v>
      </c>
      <c r="I114" s="297"/>
      <c r="J114" s="297"/>
      <c r="K114" s="297"/>
      <c r="L114" s="297"/>
      <c r="M114" s="297"/>
      <c r="N114" s="297"/>
      <c r="O114" s="297">
        <v>-0.5</v>
      </c>
      <c r="P114" s="297"/>
      <c r="Q114" s="297"/>
      <c r="R114" s="297"/>
      <c r="X114" s="297"/>
      <c r="Y114" s="297"/>
      <c r="Z114" s="297"/>
      <c r="AA114" s="297"/>
      <c r="AB114" s="297"/>
      <c r="AC114" s="297"/>
      <c r="AD114" s="297">
        <v>-0.5</v>
      </c>
      <c r="AE114" s="297"/>
      <c r="AF114" s="297"/>
      <c r="AG114" s="297"/>
      <c r="AH114" s="1"/>
    </row>
    <row r="115" spans="1:34" ht="15" x14ac:dyDescent="0.25">
      <c r="A115" s="296" t="s">
        <v>325</v>
      </c>
      <c r="I115" s="297"/>
      <c r="J115" s="297"/>
      <c r="K115" s="297"/>
      <c r="L115" s="297"/>
      <c r="M115" s="297"/>
      <c r="N115" s="297"/>
      <c r="O115" s="297">
        <v>1.4</v>
      </c>
      <c r="P115" s="297"/>
      <c r="Q115" s="297"/>
      <c r="R115" s="297"/>
      <c r="X115" s="297"/>
      <c r="Y115" s="297"/>
      <c r="Z115" s="297"/>
      <c r="AA115" s="297"/>
      <c r="AB115" s="297"/>
      <c r="AC115" s="297"/>
      <c r="AD115" s="297">
        <v>1.4</v>
      </c>
      <c r="AE115" s="297"/>
      <c r="AF115" s="297"/>
      <c r="AG115" s="297"/>
      <c r="AH115" s="1"/>
    </row>
    <row r="116" spans="1:34" ht="15" x14ac:dyDescent="0.25">
      <c r="A116" s="296" t="s">
        <v>326</v>
      </c>
      <c r="I116" s="297"/>
      <c r="J116" s="297"/>
      <c r="K116" s="297"/>
      <c r="L116" s="297"/>
      <c r="M116" s="297"/>
      <c r="N116" s="297"/>
      <c r="O116" s="297">
        <v>-1</v>
      </c>
      <c r="P116" s="297"/>
      <c r="Q116" s="297"/>
      <c r="R116" s="297"/>
      <c r="X116" s="297"/>
      <c r="Y116" s="297"/>
      <c r="Z116" s="297"/>
      <c r="AA116" s="297"/>
      <c r="AB116" s="297"/>
      <c r="AC116" s="297"/>
      <c r="AD116" s="297">
        <v>-1</v>
      </c>
      <c r="AE116" s="297"/>
      <c r="AF116" s="297"/>
      <c r="AG116" s="297"/>
      <c r="AH116" s="1"/>
    </row>
    <row r="117" spans="1:34" ht="15" x14ac:dyDescent="0.25">
      <c r="A117" s="296" t="s">
        <v>327</v>
      </c>
      <c r="I117" s="297"/>
      <c r="J117" s="297"/>
      <c r="K117" s="297"/>
      <c r="L117" s="297"/>
      <c r="M117" s="297"/>
      <c r="N117" s="297"/>
      <c r="O117" s="297">
        <v>-1</v>
      </c>
      <c r="P117" s="297"/>
      <c r="Q117" s="297"/>
      <c r="R117" s="297"/>
      <c r="X117" s="297"/>
      <c r="Y117" s="297"/>
      <c r="Z117" s="297"/>
      <c r="AA117" s="297"/>
      <c r="AB117" s="297"/>
      <c r="AC117" s="297"/>
      <c r="AD117" s="297">
        <v>-1</v>
      </c>
      <c r="AE117" s="297"/>
      <c r="AF117" s="297"/>
      <c r="AG117" s="297"/>
      <c r="AH117" s="1"/>
    </row>
    <row r="118" spans="1:34" ht="15" x14ac:dyDescent="0.25">
      <c r="A118" s="296" t="s">
        <v>328</v>
      </c>
      <c r="I118" s="297"/>
      <c r="J118" s="297"/>
      <c r="K118" s="297"/>
      <c r="L118" s="297"/>
      <c r="M118" s="297"/>
      <c r="N118" s="297"/>
      <c r="O118" s="297">
        <v>-1</v>
      </c>
      <c r="P118" s="297"/>
      <c r="Q118" s="297"/>
      <c r="R118" s="297"/>
      <c r="X118" s="297"/>
      <c r="Y118" s="297"/>
      <c r="Z118" s="297"/>
      <c r="AA118" s="297"/>
      <c r="AB118" s="297"/>
      <c r="AC118" s="297"/>
      <c r="AD118" s="297">
        <v>-1</v>
      </c>
      <c r="AE118" s="297"/>
      <c r="AF118" s="297"/>
      <c r="AG118" s="297"/>
      <c r="AH118" s="1"/>
    </row>
    <row r="119" spans="1:34" ht="15" x14ac:dyDescent="0.25">
      <c r="A119" s="296" t="s">
        <v>329</v>
      </c>
      <c r="I119" s="297"/>
      <c r="J119" s="297"/>
      <c r="K119" s="297"/>
      <c r="L119" s="297"/>
      <c r="M119" s="297"/>
      <c r="N119" s="297"/>
      <c r="O119" s="297">
        <v>-0.5</v>
      </c>
      <c r="P119" s="297"/>
      <c r="Q119" s="297"/>
      <c r="R119" s="297"/>
      <c r="X119" s="297"/>
      <c r="Y119" s="297"/>
      <c r="Z119" s="297"/>
      <c r="AA119" s="297"/>
      <c r="AB119" s="297"/>
      <c r="AC119" s="297"/>
      <c r="AD119" s="297">
        <v>-0.5</v>
      </c>
      <c r="AE119" s="297"/>
      <c r="AF119" s="297"/>
      <c r="AG119" s="297"/>
      <c r="AH119" s="1"/>
    </row>
    <row r="120" spans="1:34" ht="15" x14ac:dyDescent="0.25">
      <c r="A120" s="296" t="s">
        <v>329</v>
      </c>
      <c r="I120" s="297"/>
      <c r="J120" s="297"/>
      <c r="K120" s="297"/>
      <c r="L120" s="297"/>
      <c r="M120" s="297"/>
      <c r="N120" s="297"/>
      <c r="O120" s="297">
        <v>0.5</v>
      </c>
      <c r="P120" s="297"/>
      <c r="Q120" s="297"/>
      <c r="R120" s="297"/>
      <c r="X120" s="297"/>
      <c r="Y120" s="297"/>
      <c r="Z120" s="297"/>
      <c r="AA120" s="297"/>
      <c r="AB120" s="297"/>
      <c r="AC120" s="297"/>
      <c r="AD120" s="297">
        <v>0.5</v>
      </c>
      <c r="AE120" s="297"/>
      <c r="AF120" s="297"/>
      <c r="AG120" s="297"/>
      <c r="AH120" s="1"/>
    </row>
    <row r="121" spans="1:34" ht="15" x14ac:dyDescent="0.25">
      <c r="A121" s="296" t="s">
        <v>330</v>
      </c>
      <c r="I121" s="297">
        <v>2.8</v>
      </c>
      <c r="J121" s="297"/>
      <c r="K121" s="297"/>
      <c r="L121" s="297">
        <v>5.5</v>
      </c>
      <c r="M121" s="297">
        <v>126.7</v>
      </c>
      <c r="N121" s="297">
        <v>757</v>
      </c>
      <c r="O121" s="297"/>
      <c r="P121" s="297"/>
      <c r="Q121" s="297"/>
      <c r="R121" s="297">
        <v>0.4</v>
      </c>
      <c r="X121" s="297">
        <v>2.8</v>
      </c>
      <c r="Y121" s="297"/>
      <c r="Z121" s="297"/>
      <c r="AA121" s="297">
        <v>5.5</v>
      </c>
      <c r="AB121" s="297">
        <v>126.7</v>
      </c>
      <c r="AC121" s="297">
        <v>757</v>
      </c>
      <c r="AD121" s="297"/>
      <c r="AE121" s="297"/>
      <c r="AF121" s="297"/>
      <c r="AG121" s="297">
        <v>0.4</v>
      </c>
      <c r="AH121" s="1"/>
    </row>
    <row r="122" spans="1:34" ht="15" x14ac:dyDescent="0.25">
      <c r="A122" s="296" t="s">
        <v>331</v>
      </c>
      <c r="I122" s="297"/>
      <c r="J122" s="297"/>
      <c r="K122" s="297"/>
      <c r="L122" s="297"/>
      <c r="M122" s="297"/>
      <c r="N122" s="297"/>
      <c r="O122" s="297">
        <v>14</v>
      </c>
      <c r="X122" s="297"/>
      <c r="Y122" s="297"/>
      <c r="Z122" s="297"/>
      <c r="AA122" s="297"/>
      <c r="AB122" s="297"/>
      <c r="AC122" s="297"/>
      <c r="AD122" s="297">
        <v>14</v>
      </c>
      <c r="AE122" s="1"/>
      <c r="AF122" s="1"/>
      <c r="AG122" s="1"/>
      <c r="AH122" s="1"/>
    </row>
    <row r="123" spans="1:34" ht="15" x14ac:dyDescent="0.25">
      <c r="A123" s="296" t="s">
        <v>332</v>
      </c>
      <c r="I123" s="297"/>
      <c r="J123" s="297"/>
      <c r="K123" s="297"/>
      <c r="L123" s="297"/>
      <c r="M123" s="297"/>
      <c r="N123" s="297"/>
      <c r="O123" s="297">
        <v>-1</v>
      </c>
      <c r="X123" s="297"/>
      <c r="Y123" s="297"/>
      <c r="Z123" s="297"/>
      <c r="AA123" s="297"/>
      <c r="AB123" s="297"/>
      <c r="AC123" s="297"/>
      <c r="AD123" s="297">
        <v>-1</v>
      </c>
      <c r="AE123" s="1"/>
      <c r="AF123" s="1"/>
      <c r="AG123" s="1"/>
      <c r="AH123" s="1"/>
    </row>
    <row r="124" spans="1:34" ht="15" x14ac:dyDescent="0.25">
      <c r="A124" s="296" t="s">
        <v>333</v>
      </c>
      <c r="I124" s="297"/>
      <c r="J124" s="297"/>
      <c r="K124" s="297"/>
      <c r="L124" s="297"/>
      <c r="M124" s="297"/>
      <c r="N124" s="297"/>
      <c r="O124" s="297">
        <v>0.9</v>
      </c>
      <c r="X124" s="297"/>
      <c r="Y124" s="297"/>
      <c r="Z124" s="297"/>
      <c r="AA124" s="297"/>
      <c r="AB124" s="297"/>
      <c r="AC124" s="297"/>
      <c r="AD124" s="297">
        <v>0.9</v>
      </c>
      <c r="AE124" s="1"/>
      <c r="AF124" s="1"/>
      <c r="AG124" s="1"/>
      <c r="AH124" s="1"/>
    </row>
    <row r="125" spans="1:34" ht="15" x14ac:dyDescent="0.25">
      <c r="A125" s="296" t="s">
        <v>334</v>
      </c>
      <c r="I125" s="297"/>
      <c r="J125" s="297"/>
      <c r="K125" s="297"/>
      <c r="L125" s="297"/>
      <c r="M125" s="297"/>
      <c r="N125" s="297"/>
      <c r="O125" s="297">
        <v>200</v>
      </c>
      <c r="X125" s="297"/>
      <c r="Y125" s="297"/>
      <c r="Z125" s="297"/>
      <c r="AA125" s="297"/>
      <c r="AB125" s="297"/>
      <c r="AC125" s="297"/>
      <c r="AD125" s="297">
        <v>200</v>
      </c>
      <c r="AE125" s="1"/>
      <c r="AF125" s="1"/>
      <c r="AG125" s="1"/>
      <c r="AH125" s="1"/>
    </row>
    <row r="126" spans="1:34" ht="15" x14ac:dyDescent="0.25">
      <c r="A126" s="296" t="s">
        <v>335</v>
      </c>
      <c r="I126" s="297"/>
      <c r="J126" s="297"/>
      <c r="K126" s="297"/>
      <c r="L126" s="297"/>
      <c r="M126" s="297"/>
      <c r="N126" s="297"/>
      <c r="O126" s="297">
        <v>0.5</v>
      </c>
      <c r="X126" s="297"/>
      <c r="Y126" s="297"/>
      <c r="Z126" s="297"/>
      <c r="AA126" s="297"/>
      <c r="AB126" s="297"/>
      <c r="AC126" s="297"/>
      <c r="AD126" s="297">
        <v>0.5</v>
      </c>
      <c r="AE126" s="1"/>
      <c r="AF126" s="1"/>
      <c r="AG126" s="1"/>
      <c r="AH126" s="1"/>
    </row>
    <row r="127" spans="1:34" ht="15" x14ac:dyDescent="0.25">
      <c r="A127" s="296" t="s">
        <v>336</v>
      </c>
      <c r="I127" s="297"/>
      <c r="J127" s="297"/>
      <c r="K127" s="297"/>
      <c r="L127" s="297"/>
      <c r="M127" s="297"/>
      <c r="N127" s="297"/>
      <c r="O127" s="297">
        <v>0.9</v>
      </c>
      <c r="X127" s="297"/>
      <c r="Y127" s="297"/>
      <c r="Z127" s="297"/>
      <c r="AA127" s="297"/>
      <c r="AB127" s="297"/>
      <c r="AC127" s="297"/>
      <c r="AD127" s="297">
        <v>0.9</v>
      </c>
      <c r="AE127" s="1"/>
      <c r="AF127" s="1"/>
      <c r="AG127" s="1"/>
      <c r="AH127" s="1"/>
    </row>
    <row r="128" spans="1:34" ht="15" x14ac:dyDescent="0.25">
      <c r="A128" s="296" t="s">
        <v>337</v>
      </c>
      <c r="I128" s="297"/>
      <c r="J128" s="297"/>
      <c r="K128" s="297"/>
      <c r="L128" s="297"/>
      <c r="M128" s="297"/>
      <c r="N128" s="297"/>
      <c r="O128" s="297">
        <v>-1</v>
      </c>
      <c r="X128" s="297"/>
      <c r="Y128" s="297"/>
      <c r="Z128" s="297"/>
      <c r="AA128" s="297"/>
      <c r="AB128" s="297"/>
      <c r="AC128" s="297"/>
      <c r="AD128" s="297">
        <v>-1</v>
      </c>
      <c r="AE128" s="1"/>
      <c r="AF128" s="1"/>
      <c r="AG128" s="1"/>
      <c r="AH128" s="1"/>
    </row>
    <row r="129" spans="1:34" ht="15" x14ac:dyDescent="0.25">
      <c r="A129" s="296" t="s">
        <v>338</v>
      </c>
      <c r="I129" s="297"/>
      <c r="J129" s="297"/>
      <c r="K129" s="297"/>
      <c r="L129" s="297"/>
      <c r="M129" s="297"/>
      <c r="N129" s="297"/>
      <c r="O129" s="297">
        <v>67</v>
      </c>
      <c r="X129" s="297"/>
      <c r="Y129" s="297"/>
      <c r="Z129" s="297"/>
      <c r="AA129" s="297"/>
      <c r="AB129" s="297"/>
      <c r="AC129" s="297"/>
      <c r="AD129" s="297">
        <v>67</v>
      </c>
      <c r="AE129" s="1"/>
      <c r="AF129" s="1"/>
      <c r="AG129" s="1"/>
      <c r="AH129" s="1"/>
    </row>
    <row r="130" spans="1:34" ht="15" x14ac:dyDescent="0.25">
      <c r="A130" s="296" t="s">
        <v>339</v>
      </c>
      <c r="I130" s="297"/>
      <c r="J130" s="297"/>
      <c r="K130" s="297"/>
      <c r="L130" s="297"/>
      <c r="M130" s="297"/>
      <c r="N130" s="297"/>
      <c r="O130" s="297">
        <v>57</v>
      </c>
      <c r="X130" s="297"/>
      <c r="Y130" s="297"/>
      <c r="Z130" s="297"/>
      <c r="AA130" s="297"/>
      <c r="AB130" s="297"/>
      <c r="AC130" s="297"/>
      <c r="AD130" s="297">
        <v>57</v>
      </c>
      <c r="AE130" s="1"/>
      <c r="AF130" s="1"/>
      <c r="AG130" s="1"/>
      <c r="AH130" s="1"/>
    </row>
    <row r="131" spans="1:34" ht="15" x14ac:dyDescent="0.25">
      <c r="A131" s="296" t="s">
        <v>340</v>
      </c>
      <c r="I131" s="297"/>
      <c r="J131" s="297"/>
      <c r="K131" s="297"/>
      <c r="L131" s="297"/>
      <c r="M131" s="297"/>
      <c r="N131" s="297"/>
      <c r="O131" s="297">
        <v>110</v>
      </c>
      <c r="X131" s="297"/>
      <c r="Y131" s="297"/>
      <c r="Z131" s="297"/>
      <c r="AA131" s="297"/>
      <c r="AB131" s="297"/>
      <c r="AC131" s="297"/>
      <c r="AD131" s="297">
        <v>110</v>
      </c>
      <c r="AE131" s="1"/>
      <c r="AF131" s="1"/>
      <c r="AG131" s="1"/>
      <c r="AH131" s="1"/>
    </row>
    <row r="132" spans="1:34" ht="15" x14ac:dyDescent="0.25">
      <c r="A132" s="296" t="s">
        <v>341</v>
      </c>
      <c r="I132" s="297"/>
      <c r="J132" s="297"/>
      <c r="K132" s="297"/>
      <c r="L132" s="297"/>
      <c r="M132" s="297"/>
      <c r="N132" s="297"/>
      <c r="O132" s="297">
        <v>-1</v>
      </c>
      <c r="X132" s="297"/>
      <c r="Y132" s="297"/>
      <c r="Z132" s="297"/>
      <c r="AA132" s="297"/>
      <c r="AB132" s="297"/>
      <c r="AC132" s="297"/>
      <c r="AD132" s="297">
        <v>-1</v>
      </c>
      <c r="AE132" s="1"/>
      <c r="AF132" s="1"/>
      <c r="AG132" s="1"/>
      <c r="AH132" s="1"/>
    </row>
    <row r="133" spans="1:34" ht="15" x14ac:dyDescent="0.25">
      <c r="A133" s="296" t="s">
        <v>342</v>
      </c>
      <c r="I133" s="297"/>
      <c r="J133" s="297"/>
      <c r="K133" s="297"/>
      <c r="L133" s="297"/>
      <c r="M133" s="297"/>
      <c r="N133" s="297"/>
      <c r="O133" s="297">
        <v>-1</v>
      </c>
      <c r="X133" s="297"/>
      <c r="Y133" s="297"/>
      <c r="Z133" s="297"/>
      <c r="AA133" s="297"/>
      <c r="AB133" s="297"/>
      <c r="AC133" s="297"/>
      <c r="AD133" s="297">
        <v>-1</v>
      </c>
      <c r="AE133" s="1"/>
      <c r="AF133" s="1"/>
      <c r="AG133" s="1"/>
      <c r="AH133" s="1"/>
    </row>
    <row r="134" spans="1:34" ht="15" x14ac:dyDescent="0.25">
      <c r="A134" s="296" t="s">
        <v>343</v>
      </c>
      <c r="I134" s="297"/>
      <c r="J134" s="297"/>
      <c r="K134" s="297"/>
      <c r="L134" s="297"/>
      <c r="M134" s="297"/>
      <c r="N134" s="297"/>
      <c r="O134" s="297">
        <v>-5</v>
      </c>
      <c r="X134" s="297"/>
      <c r="Y134" s="297"/>
      <c r="Z134" s="297"/>
      <c r="AA134" s="297"/>
      <c r="AB134" s="297"/>
      <c r="AC134" s="297"/>
      <c r="AD134" s="297">
        <v>-5</v>
      </c>
      <c r="AE134" s="1"/>
      <c r="AF134" s="1"/>
      <c r="AG134" s="1"/>
      <c r="AH134" s="1"/>
    </row>
    <row r="135" spans="1:34" ht="15" x14ac:dyDescent="0.25">
      <c r="A135" s="296" t="s">
        <v>344</v>
      </c>
      <c r="I135" s="297"/>
      <c r="J135" s="297"/>
      <c r="K135" s="297"/>
      <c r="L135" s="297"/>
      <c r="M135" s="297"/>
      <c r="N135" s="297"/>
      <c r="O135" s="297">
        <v>0.5</v>
      </c>
      <c r="X135" s="297"/>
      <c r="Y135" s="297"/>
      <c r="Z135" s="297"/>
      <c r="AA135" s="297"/>
      <c r="AB135" s="297"/>
      <c r="AC135" s="297"/>
      <c r="AD135" s="297">
        <v>0.5</v>
      </c>
      <c r="AE135" s="1"/>
      <c r="AF135" s="1"/>
      <c r="AG135" s="1"/>
      <c r="AH135" s="1"/>
    </row>
    <row r="136" spans="1:34" ht="15" x14ac:dyDescent="0.25">
      <c r="A136" s="296" t="s">
        <v>345</v>
      </c>
      <c r="I136" s="297"/>
      <c r="J136" s="297"/>
      <c r="K136" s="297"/>
      <c r="L136" s="297"/>
      <c r="M136" s="297"/>
      <c r="N136" s="297"/>
      <c r="O136" s="297">
        <v>0.5</v>
      </c>
      <c r="X136" s="297"/>
      <c r="Y136" s="297"/>
      <c r="Z136" s="297"/>
      <c r="AA136" s="297"/>
      <c r="AB136" s="297"/>
      <c r="AC136" s="297"/>
      <c r="AD136" s="297">
        <v>0.5</v>
      </c>
      <c r="AE136" s="1"/>
      <c r="AF136" s="1"/>
      <c r="AG136" s="1"/>
      <c r="AH136" s="1"/>
    </row>
    <row r="137" spans="1:34" ht="15" x14ac:dyDescent="0.25">
      <c r="A137" s="296" t="s">
        <v>346</v>
      </c>
      <c r="I137" s="297"/>
      <c r="J137" s="297"/>
      <c r="K137" s="297"/>
      <c r="L137" s="297"/>
      <c r="M137" s="297"/>
      <c r="N137" s="297"/>
      <c r="O137" s="297">
        <v>1</v>
      </c>
      <c r="X137" s="297"/>
      <c r="Y137" s="297"/>
      <c r="Z137" s="297"/>
      <c r="AA137" s="297"/>
      <c r="AB137" s="297"/>
      <c r="AC137" s="297"/>
      <c r="AD137" s="297">
        <v>1</v>
      </c>
      <c r="AE137" s="1"/>
      <c r="AF137" s="1"/>
      <c r="AG137" s="1"/>
      <c r="AH137" s="1"/>
    </row>
    <row r="138" spans="1:34" ht="15" x14ac:dyDescent="0.25">
      <c r="A138" s="296" t="s">
        <v>347</v>
      </c>
      <c r="I138" s="297">
        <v>148.69999999999999</v>
      </c>
      <c r="J138" s="297"/>
      <c r="K138" s="297"/>
      <c r="L138" s="297">
        <v>6.7</v>
      </c>
      <c r="M138" s="297">
        <v>179.5</v>
      </c>
      <c r="N138" s="297">
        <v>1633</v>
      </c>
      <c r="O138" s="297"/>
      <c r="P138" s="297"/>
      <c r="Q138" s="297"/>
      <c r="R138" s="297">
        <v>0.7</v>
      </c>
      <c r="X138" s="297">
        <v>148.69999999999999</v>
      </c>
      <c r="Y138" s="297"/>
      <c r="Z138" s="297"/>
      <c r="AA138" s="297">
        <v>6.7</v>
      </c>
      <c r="AB138" s="297">
        <v>179.5</v>
      </c>
      <c r="AC138" s="297">
        <v>1633</v>
      </c>
      <c r="AD138" s="297"/>
      <c r="AE138" s="297"/>
      <c r="AF138" s="297"/>
      <c r="AG138" s="297">
        <v>0.7</v>
      </c>
      <c r="AH138" s="1"/>
    </row>
    <row r="139" spans="1:34" ht="15" x14ac:dyDescent="0.25">
      <c r="A139" s="296" t="s">
        <v>348</v>
      </c>
      <c r="I139" s="297"/>
      <c r="J139" s="297"/>
      <c r="K139" s="297"/>
      <c r="L139" s="297"/>
      <c r="M139" s="297"/>
      <c r="N139" s="297"/>
      <c r="O139" s="297">
        <v>84</v>
      </c>
      <c r="P139" s="297"/>
      <c r="Q139" s="297"/>
      <c r="R139" s="297"/>
      <c r="X139" s="297"/>
      <c r="Y139" s="297"/>
      <c r="Z139" s="297"/>
      <c r="AA139" s="297"/>
      <c r="AB139" s="297"/>
      <c r="AC139" s="297"/>
      <c r="AD139" s="297">
        <v>84</v>
      </c>
      <c r="AE139" s="297"/>
      <c r="AF139" s="297"/>
      <c r="AG139" s="297"/>
      <c r="AH139" s="1"/>
    </row>
    <row r="140" spans="1:34" ht="15" x14ac:dyDescent="0.25">
      <c r="A140" s="296" t="s">
        <v>349</v>
      </c>
      <c r="I140" s="297"/>
      <c r="J140" s="297"/>
      <c r="K140" s="297"/>
      <c r="L140" s="297"/>
      <c r="M140" s="297"/>
      <c r="N140" s="297"/>
      <c r="O140" s="297">
        <v>0.9</v>
      </c>
      <c r="P140" s="297"/>
      <c r="Q140" s="297"/>
      <c r="R140" s="297"/>
      <c r="X140" s="297"/>
      <c r="Y140" s="297"/>
      <c r="Z140" s="297"/>
      <c r="AA140" s="297"/>
      <c r="AB140" s="297"/>
      <c r="AC140" s="297"/>
      <c r="AD140" s="297">
        <v>0.9</v>
      </c>
      <c r="AE140" s="297"/>
      <c r="AF140" s="297"/>
      <c r="AG140" s="297"/>
      <c r="AH140" s="1"/>
    </row>
    <row r="141" spans="1:34" ht="15" x14ac:dyDescent="0.25">
      <c r="A141" s="296" t="s">
        <v>350</v>
      </c>
      <c r="I141" s="297"/>
      <c r="J141" s="297"/>
      <c r="K141" s="297"/>
      <c r="L141" s="297"/>
      <c r="M141" s="297"/>
      <c r="N141" s="297"/>
      <c r="O141" s="297">
        <v>0.3</v>
      </c>
      <c r="P141" s="297"/>
      <c r="Q141" s="297"/>
      <c r="R141" s="297"/>
      <c r="X141" s="297"/>
      <c r="Y141" s="297"/>
      <c r="Z141" s="297"/>
      <c r="AA141" s="297"/>
      <c r="AB141" s="297"/>
      <c r="AC141" s="297"/>
      <c r="AD141" s="297">
        <v>0.3</v>
      </c>
      <c r="AE141" s="297"/>
      <c r="AF141" s="297"/>
      <c r="AG141" s="297"/>
      <c r="AH141" s="1"/>
    </row>
    <row r="142" spans="1:34" ht="15" x14ac:dyDescent="0.25">
      <c r="A142" s="296" t="s">
        <v>350</v>
      </c>
      <c r="I142" s="297"/>
      <c r="J142" s="297"/>
      <c r="K142" s="297"/>
      <c r="L142" s="297"/>
      <c r="M142" s="297"/>
      <c r="N142" s="297"/>
      <c r="O142" s="297">
        <v>0.1</v>
      </c>
      <c r="P142" s="297"/>
      <c r="Q142" s="297"/>
      <c r="R142" s="297"/>
      <c r="X142" s="297"/>
      <c r="Y142" s="297"/>
      <c r="Z142" s="297"/>
      <c r="AA142" s="297"/>
      <c r="AB142" s="297"/>
      <c r="AC142" s="297"/>
      <c r="AD142" s="297">
        <v>0.1</v>
      </c>
      <c r="AE142" s="297"/>
      <c r="AF142" s="297"/>
      <c r="AG142" s="297"/>
      <c r="AH142" s="1"/>
    </row>
    <row r="143" spans="1:34" ht="15" x14ac:dyDescent="0.25">
      <c r="A143" s="296" t="s">
        <v>351</v>
      </c>
      <c r="I143" s="297"/>
      <c r="J143" s="297"/>
      <c r="K143" s="297"/>
      <c r="L143" s="297"/>
      <c r="M143" s="297"/>
      <c r="N143" s="297"/>
      <c r="O143" s="297">
        <v>-1</v>
      </c>
      <c r="P143" s="297"/>
      <c r="Q143" s="297"/>
      <c r="R143" s="297"/>
      <c r="X143" s="297"/>
      <c r="Y143" s="297"/>
      <c r="Z143" s="297"/>
      <c r="AA143" s="297"/>
      <c r="AB143" s="297"/>
      <c r="AC143" s="297"/>
      <c r="AD143" s="297">
        <v>-1</v>
      </c>
      <c r="AE143" s="297"/>
      <c r="AF143" s="297"/>
      <c r="AG143" s="297"/>
      <c r="AH143" s="1"/>
    </row>
    <row r="144" spans="1:34" ht="15" x14ac:dyDescent="0.25">
      <c r="A144" s="296" t="s">
        <v>352</v>
      </c>
      <c r="I144" s="297"/>
      <c r="J144" s="297"/>
      <c r="K144" s="297"/>
      <c r="L144" s="297"/>
      <c r="M144" s="297"/>
      <c r="N144" s="297"/>
      <c r="O144" s="297">
        <v>-0.5</v>
      </c>
      <c r="P144" s="297"/>
      <c r="Q144" s="297"/>
      <c r="R144" s="297"/>
      <c r="X144" s="297"/>
      <c r="Y144" s="297"/>
      <c r="Z144" s="297"/>
      <c r="AA144" s="297"/>
      <c r="AB144" s="297"/>
      <c r="AC144" s="297"/>
      <c r="AD144" s="297">
        <v>-0.5</v>
      </c>
      <c r="AE144" s="297"/>
      <c r="AF144" s="297"/>
      <c r="AG144" s="297"/>
      <c r="AH144" s="1"/>
    </row>
    <row r="145" spans="1:34" ht="15" x14ac:dyDescent="0.25">
      <c r="A145" s="296" t="s">
        <v>353</v>
      </c>
      <c r="I145" s="297"/>
      <c r="J145" s="297"/>
      <c r="K145" s="297"/>
      <c r="L145" s="297"/>
      <c r="M145" s="297"/>
      <c r="N145" s="297"/>
      <c r="O145" s="297">
        <v>-1</v>
      </c>
      <c r="P145" s="297"/>
      <c r="Q145" s="297"/>
      <c r="R145" s="297"/>
      <c r="X145" s="297"/>
      <c r="Y145" s="297"/>
      <c r="Z145" s="297"/>
      <c r="AA145" s="297"/>
      <c r="AB145" s="297"/>
      <c r="AC145" s="297"/>
      <c r="AD145" s="297">
        <v>-1</v>
      </c>
      <c r="AE145" s="297"/>
      <c r="AF145" s="297"/>
      <c r="AG145" s="297"/>
      <c r="AH145" s="1"/>
    </row>
    <row r="146" spans="1:34" ht="15" x14ac:dyDescent="0.25">
      <c r="A146" s="296" t="s">
        <v>295</v>
      </c>
      <c r="I146" s="297"/>
      <c r="J146" s="297"/>
      <c r="K146" s="297"/>
      <c r="L146" s="297"/>
      <c r="M146" s="297"/>
      <c r="N146" s="297"/>
      <c r="O146" s="297">
        <v>-0.5</v>
      </c>
      <c r="P146" s="297"/>
      <c r="Q146" s="297"/>
      <c r="R146" s="297"/>
      <c r="X146" s="297"/>
      <c r="Y146" s="297"/>
      <c r="Z146" s="297"/>
      <c r="AA146" s="297"/>
      <c r="AB146" s="297"/>
      <c r="AC146" s="297"/>
      <c r="AD146" s="297">
        <v>-0.5</v>
      </c>
      <c r="AE146" s="297"/>
      <c r="AF146" s="297"/>
      <c r="AG146" s="297"/>
      <c r="AH146" s="1"/>
    </row>
  </sheetData>
  <mergeCells count="17">
    <mergeCell ref="CB7:CI7"/>
    <mergeCell ref="BW7:CA7"/>
    <mergeCell ref="BM7:BQ7"/>
    <mergeCell ref="BR7:BV7"/>
    <mergeCell ref="F1:G1"/>
    <mergeCell ref="H1:I1"/>
    <mergeCell ref="J1:K1"/>
    <mergeCell ref="L1:M1"/>
    <mergeCell ref="N1:P1"/>
    <mergeCell ref="BB9:BK9"/>
    <mergeCell ref="A8:D8"/>
    <mergeCell ref="F8:H8"/>
    <mergeCell ref="F9:H9"/>
    <mergeCell ref="CB8:CD8"/>
    <mergeCell ref="AQ9:AZ9"/>
    <mergeCell ref="I9:R9"/>
    <mergeCell ref="I8:S8"/>
  </mergeCells>
  <phoneticPr fontId="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20" zoomScale="75" workbookViewId="0">
      <selection activeCell="B31" sqref="B31"/>
    </sheetView>
  </sheetViews>
  <sheetFormatPr defaultRowHeight="12.75" x14ac:dyDescent="0.2"/>
  <cols>
    <col min="1" max="1" width="4.5703125" customWidth="1"/>
  </cols>
  <sheetData>
    <row r="1" spans="1:14" s="107" customFormat="1" ht="18" x14ac:dyDescent="0.25">
      <c r="A1" s="107" t="s">
        <v>189</v>
      </c>
    </row>
    <row r="3" spans="1:14" ht="52.5" customHeight="1" x14ac:dyDescent="0.2">
      <c r="A3" s="277" t="s">
        <v>190</v>
      </c>
      <c r="B3" s="277"/>
      <c r="C3" s="277"/>
      <c r="D3" s="277"/>
      <c r="E3" s="277"/>
      <c r="F3" s="277"/>
      <c r="G3" s="277"/>
      <c r="H3" s="277"/>
      <c r="I3" s="277"/>
      <c r="J3" s="277"/>
      <c r="K3" s="277"/>
      <c r="L3" s="277"/>
      <c r="M3" s="277"/>
      <c r="N3" s="277"/>
    </row>
    <row r="4" spans="1:14" s="108" customFormat="1" ht="49.5" customHeight="1" x14ac:dyDescent="0.2">
      <c r="A4" s="277" t="s">
        <v>191</v>
      </c>
      <c r="B4" s="277"/>
      <c r="C4" s="277"/>
      <c r="D4" s="277"/>
      <c r="E4" s="277"/>
      <c r="F4" s="277"/>
      <c r="G4" s="277"/>
      <c r="H4" s="277"/>
      <c r="I4" s="277"/>
      <c r="J4" s="277"/>
      <c r="K4" s="277"/>
      <c r="L4" s="277"/>
      <c r="M4" s="277"/>
      <c r="N4" s="277"/>
    </row>
    <row r="5" spans="1:14" s="108" customFormat="1" ht="48.75" customHeight="1" x14ac:dyDescent="0.2">
      <c r="A5" s="277" t="s">
        <v>192</v>
      </c>
      <c r="B5" s="277"/>
      <c r="C5" s="277"/>
      <c r="D5" s="277"/>
      <c r="E5" s="277"/>
      <c r="F5" s="277"/>
      <c r="G5" s="277"/>
      <c r="H5" s="277"/>
      <c r="I5" s="277"/>
      <c r="J5" s="277"/>
      <c r="K5" s="277"/>
      <c r="L5" s="277"/>
      <c r="M5" s="277"/>
      <c r="N5" s="277"/>
    </row>
    <row r="6" spans="1:14" s="108" customFormat="1" ht="21.75" customHeight="1" x14ac:dyDescent="0.2">
      <c r="A6" s="277" t="s">
        <v>172</v>
      </c>
      <c r="B6" s="277"/>
      <c r="C6" s="277"/>
      <c r="D6" s="277"/>
      <c r="E6" s="277"/>
      <c r="F6" s="277"/>
      <c r="G6" s="277"/>
      <c r="H6" s="277"/>
      <c r="I6" s="277"/>
      <c r="J6" s="277"/>
      <c r="K6" s="277"/>
      <c r="L6" s="277"/>
      <c r="M6" s="277"/>
      <c r="N6" s="277"/>
    </row>
    <row r="7" spans="1:14" s="108" customFormat="1" ht="36" customHeight="1" x14ac:dyDescent="0.2">
      <c r="A7" s="109" t="s">
        <v>173</v>
      </c>
      <c r="B7" s="277" t="s">
        <v>193</v>
      </c>
      <c r="C7" s="277"/>
      <c r="D7" s="277"/>
      <c r="E7" s="277"/>
      <c r="F7" s="277"/>
      <c r="G7" s="277"/>
      <c r="H7" s="277"/>
      <c r="I7" s="277"/>
      <c r="J7" s="277"/>
      <c r="K7" s="277"/>
      <c r="L7" s="277"/>
      <c r="M7" s="277"/>
      <c r="N7" s="277"/>
    </row>
    <row r="8" spans="1:14" s="108" customFormat="1" ht="25.5" customHeight="1" x14ac:dyDescent="0.2">
      <c r="A8" s="109" t="s">
        <v>174</v>
      </c>
      <c r="B8" s="278" t="s">
        <v>179</v>
      </c>
      <c r="C8" s="277"/>
      <c r="D8" s="277"/>
      <c r="E8" s="277"/>
      <c r="F8" s="277"/>
      <c r="G8" s="277"/>
      <c r="H8" s="277"/>
      <c r="I8" s="277"/>
      <c r="J8" s="277"/>
      <c r="K8" s="277"/>
      <c r="L8" s="277"/>
      <c r="M8" s="277"/>
      <c r="N8" s="277"/>
    </row>
    <row r="9" spans="1:14" s="108" customFormat="1" ht="99" customHeight="1" x14ac:dyDescent="0.2">
      <c r="A9" s="109" t="s">
        <v>175</v>
      </c>
      <c r="B9" s="277" t="s">
        <v>194</v>
      </c>
      <c r="C9" s="277"/>
      <c r="D9" s="277"/>
      <c r="E9" s="277"/>
      <c r="F9" s="277"/>
      <c r="G9" s="277"/>
      <c r="H9" s="277"/>
      <c r="I9" s="277"/>
      <c r="J9" s="277"/>
      <c r="K9" s="277"/>
      <c r="L9" s="277"/>
      <c r="M9" s="277"/>
      <c r="N9" s="277"/>
    </row>
    <row r="10" spans="1:14" s="108" customFormat="1" ht="90" customHeight="1" x14ac:dyDescent="0.2">
      <c r="A10" s="109" t="s">
        <v>176</v>
      </c>
      <c r="B10" s="277" t="s">
        <v>195</v>
      </c>
      <c r="C10" s="277"/>
      <c r="D10" s="277"/>
      <c r="E10" s="277"/>
      <c r="F10" s="277"/>
      <c r="G10" s="277"/>
      <c r="H10" s="277"/>
      <c r="I10" s="277"/>
      <c r="J10" s="277"/>
      <c r="K10" s="277"/>
      <c r="L10" s="277"/>
      <c r="M10" s="277"/>
      <c r="N10" s="277"/>
    </row>
    <row r="11" spans="1:14" s="108" customFormat="1" ht="77.25" customHeight="1" x14ac:dyDescent="0.2">
      <c r="A11" s="109" t="s">
        <v>177</v>
      </c>
      <c r="B11" s="277" t="s">
        <v>196</v>
      </c>
      <c r="C11" s="277"/>
      <c r="D11" s="277"/>
      <c r="E11" s="277"/>
      <c r="F11" s="277"/>
      <c r="G11" s="277"/>
      <c r="H11" s="277"/>
      <c r="I11" s="277"/>
      <c r="J11" s="277"/>
      <c r="K11" s="277"/>
      <c r="L11" s="277"/>
      <c r="M11" s="277"/>
      <c r="N11" s="277"/>
    </row>
    <row r="12" spans="1:14" s="108" customFormat="1" ht="83.25" customHeight="1" x14ac:dyDescent="0.2">
      <c r="A12" s="109" t="s">
        <v>178</v>
      </c>
      <c r="B12" s="277" t="s">
        <v>197</v>
      </c>
      <c r="C12" s="277"/>
      <c r="D12" s="277"/>
      <c r="E12" s="277"/>
      <c r="F12" s="277"/>
      <c r="G12" s="277"/>
      <c r="H12" s="277"/>
      <c r="I12" s="277"/>
      <c r="J12" s="277"/>
      <c r="K12" s="277"/>
      <c r="L12" s="277"/>
      <c r="M12" s="277"/>
      <c r="N12" s="277"/>
    </row>
    <row r="13" spans="1:14" s="108" customFormat="1" ht="107.25" customHeight="1" x14ac:dyDescent="0.2">
      <c r="A13" s="109" t="s">
        <v>180</v>
      </c>
      <c r="B13" s="277" t="s">
        <v>199</v>
      </c>
      <c r="C13" s="277"/>
      <c r="D13" s="277"/>
      <c r="E13" s="277"/>
      <c r="F13" s="277"/>
      <c r="G13" s="277"/>
      <c r="H13" s="277"/>
      <c r="I13" s="277"/>
      <c r="J13" s="277"/>
      <c r="K13" s="277"/>
      <c r="L13" s="277"/>
      <c r="M13" s="277"/>
      <c r="N13" s="277"/>
    </row>
    <row r="15" spans="1:14" s="108" customFormat="1" ht="15" x14ac:dyDescent="0.2">
      <c r="A15" s="108" t="s">
        <v>181</v>
      </c>
      <c r="B15" s="111"/>
      <c r="C15" s="112"/>
      <c r="D15" s="112"/>
      <c r="E15" s="112"/>
      <c r="F15" s="112"/>
      <c r="G15" s="112"/>
      <c r="H15" s="112"/>
      <c r="I15" s="112"/>
      <c r="J15" s="112"/>
      <c r="K15" s="112"/>
      <c r="L15" s="112"/>
      <c r="M15" s="112"/>
      <c r="N15" s="112"/>
    </row>
    <row r="16" spans="1:14" s="108" customFormat="1" ht="36" customHeight="1" x14ac:dyDescent="0.2">
      <c r="A16" s="109" t="s">
        <v>173</v>
      </c>
      <c r="B16" s="277" t="s">
        <v>182</v>
      </c>
      <c r="C16" s="277"/>
      <c r="D16" s="277"/>
      <c r="E16" s="277"/>
      <c r="F16" s="277"/>
      <c r="G16" s="277"/>
      <c r="H16" s="277"/>
      <c r="I16" s="277"/>
      <c r="J16" s="277"/>
      <c r="K16" s="277"/>
      <c r="L16" s="277"/>
      <c r="M16" s="277"/>
      <c r="N16" s="277"/>
    </row>
    <row r="17" spans="1:14" s="108" customFormat="1" ht="21.75" customHeight="1" x14ac:dyDescent="0.2">
      <c r="A17" s="109" t="s">
        <v>174</v>
      </c>
      <c r="B17" s="277" t="s">
        <v>183</v>
      </c>
      <c r="C17" s="277"/>
      <c r="D17" s="277"/>
      <c r="E17" s="277"/>
      <c r="F17" s="277"/>
      <c r="G17" s="277"/>
      <c r="H17" s="277"/>
      <c r="I17" s="277"/>
      <c r="J17" s="277"/>
      <c r="K17" s="277"/>
      <c r="L17" s="277"/>
      <c r="M17" s="277"/>
      <c r="N17" s="277"/>
    </row>
    <row r="18" spans="1:14" s="108" customFormat="1" ht="51.75" customHeight="1" x14ac:dyDescent="0.2">
      <c r="A18" s="109" t="s">
        <v>175</v>
      </c>
      <c r="B18" s="277" t="s">
        <v>184</v>
      </c>
      <c r="C18" s="277"/>
      <c r="D18" s="277"/>
      <c r="E18" s="277"/>
      <c r="F18" s="277"/>
      <c r="G18" s="277"/>
      <c r="H18" s="277"/>
      <c r="I18" s="277"/>
      <c r="J18" s="277"/>
      <c r="K18" s="277"/>
      <c r="L18" s="277"/>
      <c r="M18" s="277"/>
      <c r="N18" s="277"/>
    </row>
    <row r="19" spans="1:14" s="108" customFormat="1" ht="64.5" customHeight="1" x14ac:dyDescent="0.2">
      <c r="A19" s="109" t="s">
        <v>176</v>
      </c>
      <c r="B19" s="277" t="s">
        <v>202</v>
      </c>
      <c r="C19" s="277"/>
      <c r="D19" s="277"/>
      <c r="E19" s="277"/>
      <c r="F19" s="277"/>
      <c r="G19" s="277"/>
      <c r="H19" s="277"/>
      <c r="I19" s="277"/>
      <c r="J19" s="277"/>
      <c r="K19" s="277"/>
      <c r="L19" s="277"/>
      <c r="M19" s="277"/>
      <c r="N19" s="277"/>
    </row>
    <row r="20" spans="1:14" s="108" customFormat="1" ht="96.75" customHeight="1" x14ac:dyDescent="0.2">
      <c r="A20" s="109" t="s">
        <v>177</v>
      </c>
      <c r="B20" s="277" t="s">
        <v>203</v>
      </c>
      <c r="C20" s="277"/>
      <c r="D20" s="277"/>
      <c r="E20" s="277"/>
      <c r="F20" s="277"/>
      <c r="G20" s="277"/>
      <c r="H20" s="277"/>
      <c r="I20" s="277"/>
      <c r="J20" s="277"/>
      <c r="K20" s="277"/>
      <c r="L20" s="277"/>
      <c r="M20" s="277"/>
      <c r="N20" s="277"/>
    </row>
    <row r="21" spans="1:14" s="108" customFormat="1" ht="39.75" customHeight="1" x14ac:dyDescent="0.2">
      <c r="A21" s="109" t="s">
        <v>178</v>
      </c>
      <c r="B21" s="277" t="s">
        <v>206</v>
      </c>
      <c r="C21" s="277"/>
      <c r="D21" s="277"/>
      <c r="E21" s="277"/>
      <c r="F21" s="277"/>
      <c r="G21" s="277"/>
      <c r="H21" s="277"/>
      <c r="I21" s="277"/>
      <c r="J21" s="277"/>
      <c r="K21" s="277"/>
      <c r="L21" s="277"/>
      <c r="M21" s="277"/>
      <c r="N21" s="277"/>
    </row>
    <row r="22" spans="1:14" s="108" customFormat="1" ht="20.100000000000001" customHeight="1" x14ac:dyDescent="0.2"/>
    <row r="23" spans="1:14" s="108" customFormat="1" ht="20.100000000000001" customHeight="1" x14ac:dyDescent="0.25">
      <c r="A23" s="107" t="s">
        <v>217</v>
      </c>
    </row>
    <row r="24" spans="1:14" s="108" customFormat="1" ht="32.25" customHeight="1" x14ac:dyDescent="0.2">
      <c r="A24" s="285">
        <v>2</v>
      </c>
      <c r="B24" s="288" t="s">
        <v>218</v>
      </c>
      <c r="C24" s="289"/>
      <c r="D24" s="289"/>
      <c r="E24" s="289"/>
      <c r="F24" s="289"/>
      <c r="G24" s="289"/>
      <c r="H24" s="289"/>
      <c r="I24" s="289"/>
      <c r="J24" s="289"/>
      <c r="K24" s="289"/>
      <c r="L24" s="289"/>
      <c r="M24" s="289"/>
      <c r="N24" s="290"/>
    </row>
    <row r="25" spans="1:14" s="108" customFormat="1" ht="20.25" customHeight="1" x14ac:dyDescent="0.2">
      <c r="A25" s="286"/>
      <c r="B25" s="279" t="s">
        <v>219</v>
      </c>
      <c r="C25" s="280"/>
      <c r="D25" s="280"/>
      <c r="E25" s="280"/>
      <c r="F25" s="280"/>
      <c r="G25" s="280"/>
      <c r="H25" s="280"/>
      <c r="I25" s="280"/>
      <c r="J25" s="280"/>
      <c r="K25" s="280"/>
      <c r="L25" s="280"/>
      <c r="M25" s="280"/>
      <c r="N25" s="281"/>
    </row>
    <row r="26" spans="1:14" s="108" customFormat="1" ht="19.5" customHeight="1" x14ac:dyDescent="0.2">
      <c r="A26" s="286"/>
      <c r="B26" s="279" t="s">
        <v>220</v>
      </c>
      <c r="C26" s="280"/>
      <c r="D26" s="280"/>
      <c r="E26" s="280"/>
      <c r="F26" s="280"/>
      <c r="G26" s="280"/>
      <c r="H26" s="280"/>
      <c r="I26" s="280"/>
      <c r="J26" s="280"/>
      <c r="K26" s="280"/>
      <c r="L26" s="280"/>
      <c r="M26" s="280"/>
      <c r="N26" s="281"/>
    </row>
    <row r="27" spans="1:14" ht="20.100000000000001" customHeight="1" x14ac:dyDescent="0.2">
      <c r="A27" s="286"/>
      <c r="B27" s="279" t="s">
        <v>221</v>
      </c>
      <c r="C27" s="280"/>
      <c r="D27" s="280"/>
      <c r="E27" s="280"/>
      <c r="F27" s="280"/>
      <c r="G27" s="280"/>
      <c r="H27" s="280"/>
      <c r="I27" s="280"/>
      <c r="J27" s="280"/>
      <c r="K27" s="280"/>
      <c r="L27" s="280"/>
      <c r="M27" s="280"/>
      <c r="N27" s="281"/>
    </row>
    <row r="28" spans="1:14" ht="19.5" customHeight="1" x14ac:dyDescent="0.2">
      <c r="A28" s="286"/>
      <c r="B28" s="279" t="s">
        <v>223</v>
      </c>
      <c r="C28" s="280"/>
      <c r="D28" s="280"/>
      <c r="E28" s="280"/>
      <c r="F28" s="280"/>
      <c r="G28" s="280"/>
      <c r="H28" s="280"/>
      <c r="I28" s="280"/>
      <c r="J28" s="280"/>
      <c r="K28" s="280"/>
      <c r="L28" s="280"/>
      <c r="M28" s="280"/>
      <c r="N28" s="281"/>
    </row>
    <row r="29" spans="1:14" ht="61.5" customHeight="1" x14ac:dyDescent="0.2">
      <c r="A29" s="286"/>
      <c r="B29" s="279" t="s">
        <v>222</v>
      </c>
      <c r="C29" s="280"/>
      <c r="D29" s="280"/>
      <c r="E29" s="280"/>
      <c r="F29" s="280"/>
      <c r="G29" s="280"/>
      <c r="H29" s="280"/>
      <c r="I29" s="280"/>
      <c r="J29" s="280"/>
      <c r="K29" s="280"/>
      <c r="L29" s="280"/>
      <c r="M29" s="280"/>
      <c r="N29" s="281"/>
    </row>
    <row r="30" spans="1:14" ht="18.75" customHeight="1" x14ac:dyDescent="0.2">
      <c r="A30" s="287"/>
      <c r="B30" s="282" t="s">
        <v>225</v>
      </c>
      <c r="C30" s="283"/>
      <c r="D30" s="283"/>
      <c r="E30" s="283"/>
      <c r="F30" s="283"/>
      <c r="G30" s="283"/>
      <c r="H30" s="283"/>
      <c r="I30" s="283"/>
      <c r="J30" s="283"/>
      <c r="K30" s="283"/>
      <c r="L30" s="283"/>
      <c r="M30" s="283"/>
      <c r="N30" s="284"/>
    </row>
    <row r="31" spans="1:14" ht="24.75" customHeight="1" x14ac:dyDescent="0.2">
      <c r="A31">
        <v>3</v>
      </c>
      <c r="B31" t="s">
        <v>227</v>
      </c>
    </row>
  </sheetData>
  <mergeCells count="25">
    <mergeCell ref="B7:N7"/>
    <mergeCell ref="B29:N29"/>
    <mergeCell ref="B30:N30"/>
    <mergeCell ref="A24:A30"/>
    <mergeCell ref="B24:N24"/>
    <mergeCell ref="B25:N25"/>
    <mergeCell ref="B26:N26"/>
    <mergeCell ref="B27:N27"/>
    <mergeCell ref="B28:N28"/>
    <mergeCell ref="A3:N3"/>
    <mergeCell ref="B19:N19"/>
    <mergeCell ref="B20:N20"/>
    <mergeCell ref="B21:N21"/>
    <mergeCell ref="B18:N18"/>
    <mergeCell ref="B11:N11"/>
    <mergeCell ref="B12:N12"/>
    <mergeCell ref="B13:N13"/>
    <mergeCell ref="B8:N8"/>
    <mergeCell ref="B9:N9"/>
    <mergeCell ref="B10:N10"/>
    <mergeCell ref="B17:N17"/>
    <mergeCell ref="B16:N16"/>
    <mergeCell ref="A4:N4"/>
    <mergeCell ref="A5:N5"/>
    <mergeCell ref="A6:N6"/>
  </mergeCells>
  <phoneticPr fontId="0" type="noConversion"/>
  <pageMargins left="0.75" right="0.75" top="1" bottom="1" header="0.5" footer="0.5"/>
  <pageSetup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7"/>
  <sheetViews>
    <sheetView topLeftCell="A94" zoomScale="75" workbookViewId="0">
      <pane ySplit="4545" topLeftCell="A182"/>
      <selection activeCell="A103" sqref="A103"/>
      <selection pane="bottomLeft" activeCell="U169" sqref="U169"/>
    </sheetView>
  </sheetViews>
  <sheetFormatPr defaultRowHeight="12.75" x14ac:dyDescent="0.2"/>
  <cols>
    <col min="1" max="2" width="9.140625" style="137"/>
    <col min="3" max="3" width="9.85546875" style="137" customWidth="1"/>
    <col min="4" max="4" width="9.140625" style="137"/>
    <col min="5" max="5" width="10" style="137" customWidth="1"/>
    <col min="6" max="11" width="9.140625" style="137"/>
    <col min="12" max="13" width="10.5703125" style="137" customWidth="1"/>
    <col min="14" max="16" width="9.140625" style="137"/>
    <col min="17" max="16384" width="9.140625" style="138"/>
  </cols>
  <sheetData>
    <row r="1" spans="1:15" x14ac:dyDescent="0.2">
      <c r="A1" s="136" t="s">
        <v>35</v>
      </c>
    </row>
    <row r="2" spans="1:15" x14ac:dyDescent="0.2">
      <c r="A2" s="137" t="s">
        <v>4</v>
      </c>
    </row>
    <row r="3" spans="1:15" x14ac:dyDescent="0.2">
      <c r="A3" s="137" t="s">
        <v>5</v>
      </c>
      <c r="C3" s="137" t="s">
        <v>118</v>
      </c>
      <c r="J3" s="137" t="s">
        <v>36</v>
      </c>
    </row>
    <row r="4" spans="1:15" x14ac:dyDescent="0.2">
      <c r="A4" s="137" t="s">
        <v>6</v>
      </c>
      <c r="C4" s="137" t="s">
        <v>119</v>
      </c>
    </row>
    <row r="5" spans="1:15" x14ac:dyDescent="0.2">
      <c r="A5" s="137" t="s">
        <v>214</v>
      </c>
      <c r="C5" s="137" t="s">
        <v>215</v>
      </c>
    </row>
    <row r="6" spans="1:15" x14ac:dyDescent="0.2">
      <c r="G6" s="139" t="s">
        <v>7</v>
      </c>
      <c r="H6" s="139"/>
      <c r="I6" s="139"/>
      <c r="J6" s="139"/>
      <c r="K6" s="139"/>
      <c r="L6" s="139"/>
      <c r="M6" s="294" t="s">
        <v>216</v>
      </c>
      <c r="N6" s="294"/>
      <c r="O6" s="294"/>
    </row>
    <row r="7" spans="1:15" x14ac:dyDescent="0.2">
      <c r="A7" s="137" t="s">
        <v>0</v>
      </c>
      <c r="B7" s="137" t="s">
        <v>3</v>
      </c>
      <c r="C7" s="137" t="s">
        <v>120</v>
      </c>
      <c r="D7" s="137" t="s">
        <v>121</v>
      </c>
      <c r="E7" s="137" t="s">
        <v>45</v>
      </c>
      <c r="F7" s="137" t="s">
        <v>8</v>
      </c>
      <c r="G7" s="137">
        <v>1</v>
      </c>
      <c r="H7" s="137">
        <v>0.3</v>
      </c>
      <c r="I7" s="137">
        <v>0.1</v>
      </c>
      <c r="J7" s="137">
        <v>0.01</v>
      </c>
      <c r="K7" s="137">
        <v>1E-3</v>
      </c>
      <c r="L7" s="137">
        <v>0</v>
      </c>
      <c r="M7" s="137">
        <v>1E-3</v>
      </c>
      <c r="N7" s="137">
        <v>0.01</v>
      </c>
      <c r="O7" s="137">
        <v>0.1</v>
      </c>
    </row>
    <row r="8" spans="1:15" x14ac:dyDescent="0.2">
      <c r="A8" s="137">
        <v>200</v>
      </c>
      <c r="B8" s="137">
        <f t="shared" ref="B8:B14" si="0">A8+273</f>
        <v>473</v>
      </c>
      <c r="C8" s="140">
        <f>10^(4.7593-0.01092*$A8)</f>
        <v>376.09711325976934</v>
      </c>
      <c r="D8" s="140">
        <f>10^(6.2283-0.01403*$A8)</f>
        <v>2644.2346992115899</v>
      </c>
      <c r="E8" s="140">
        <f>10^(6.0783-0.01383*$A8)</f>
        <v>2052.5795609525312</v>
      </c>
      <c r="F8" s="137">
        <f>9.76-5075/($A8+273)-4*LOG($A8+273)</f>
        <v>-11.668831455128837</v>
      </c>
      <c r="G8" s="141">
        <f t="shared" ref="G8:L14" si="1">LOG(G$7+(1-G$7)/$C8)+4*LOG(G$7+(1-G$7)/$D8)-LOG(G$7+(1-G$7)/$E8)+$F8</f>
        <v>-11.668831455128837</v>
      </c>
      <c r="H8" s="141">
        <f t="shared" si="1"/>
        <v>-13.756621533584269</v>
      </c>
      <c r="I8" s="141">
        <f t="shared" si="1"/>
        <v>-15.654558618274443</v>
      </c>
      <c r="J8" s="141">
        <f t="shared" si="1"/>
        <v>-19.523954611393165</v>
      </c>
      <c r="K8" s="141">
        <f>LOG(K$7+(1-K$7)/$C8)+4*LOG(K$7+(1-K$7)/$D8)-LOG(K$7+(1-K$7)/$E8)+$F8</f>
        <v>-22.721274183617489</v>
      </c>
      <c r="L8" s="141">
        <f t="shared" si="1"/>
        <v>-24.621031455128836</v>
      </c>
      <c r="M8" s="141">
        <f>$L8-(LOG(1+M$7*($C8-1))+4*LOG(1+M$7*($D8-1))-LOG(1+M$7*($E8-1)))</f>
        <v>-26.520788726640188</v>
      </c>
      <c r="N8" s="141">
        <f>$L8-(LOG(1+N$7*($C8-1))+4*LOG(1+N$7*($D8-1))-LOG(1+N$7*($E8-1)))</f>
        <v>-29.718108298864507</v>
      </c>
      <c r="O8" s="141">
        <f t="shared" ref="N8:O14" si="2">$L8-(LOG(1+O$7*($C8-1))+4*LOG(1+O$7*($D8-1))-LOG(1+O$7*($E8-1)))</f>
        <v>-33.587504291983237</v>
      </c>
    </row>
    <row r="9" spans="1:15" x14ac:dyDescent="0.2">
      <c r="A9" s="137">
        <v>225</v>
      </c>
      <c r="B9" s="137">
        <f t="shared" si="0"/>
        <v>498</v>
      </c>
      <c r="C9" s="140">
        <f t="shared" ref="C9:C14" si="3">10^(4.7593-0.01092*A9)</f>
        <v>200.58571459359496</v>
      </c>
      <c r="D9" s="140">
        <f t="shared" ref="D9:D14" si="4">10^(6.2283-0.01403*A9)</f>
        <v>1179.0982641340704</v>
      </c>
      <c r="E9" s="140">
        <f t="shared" ref="E9:E14" si="5">10^(6.0783-0.01383*A9)</f>
        <v>925.8699737049501</v>
      </c>
      <c r="F9" s="137">
        <f>9.76-5075/($A9+273)-4*LOG($A9+273)</f>
        <v>-11.219680423247706</v>
      </c>
      <c r="G9" s="141">
        <f t="shared" si="1"/>
        <v>-11.219680423247706</v>
      </c>
      <c r="H9" s="141">
        <f t="shared" si="1"/>
        <v>-13.303831372137275</v>
      </c>
      <c r="I9" s="141">
        <f t="shared" si="1"/>
        <v>-15.191610511369088</v>
      </c>
      <c r="J9" s="141">
        <f t="shared" si="1"/>
        <v>-18.949521112055187</v>
      </c>
      <c r="K9" s="141">
        <f t="shared" si="1"/>
        <v>-21.694690660303575</v>
      </c>
      <c r="L9" s="141">
        <f t="shared" si="1"/>
        <v>-22.841630423247707</v>
      </c>
      <c r="M9" s="141">
        <f t="shared" ref="M9:M14" si="6">$L9-(LOG(1+M$7*($C9-1))+4*LOG(1+M$7*($D9-1))-LOG(1+M$7*($E9-1)))</f>
        <v>-23.98857018619184</v>
      </c>
      <c r="N9" s="141">
        <f t="shared" si="2"/>
        <v>-26.733739734440224</v>
      </c>
      <c r="O9" s="141">
        <f t="shared" si="2"/>
        <v>-30.491650335126327</v>
      </c>
    </row>
    <row r="10" spans="1:15" x14ac:dyDescent="0.2">
      <c r="A10" s="137">
        <v>250</v>
      </c>
      <c r="B10" s="137">
        <f t="shared" si="0"/>
        <v>523</v>
      </c>
      <c r="C10" s="140">
        <f t="shared" si="3"/>
        <v>106.97936112908468</v>
      </c>
      <c r="D10" s="140">
        <f t="shared" si="4"/>
        <v>525.77508225669396</v>
      </c>
      <c r="E10" s="140">
        <f t="shared" si="5"/>
        <v>417.63799295097363</v>
      </c>
      <c r="F10" s="137">
        <f>9.76-5075/$B10-4*LOG($B10)</f>
        <v>-10.81763964265839</v>
      </c>
      <c r="G10" s="141">
        <f t="shared" si="1"/>
        <v>-10.81763964265839</v>
      </c>
      <c r="H10" s="141">
        <f t="shared" si="1"/>
        <v>-12.894511311435886</v>
      </c>
      <c r="I10" s="141">
        <f t="shared" si="1"/>
        <v>-14.762333805387252</v>
      </c>
      <c r="J10" s="141">
        <f t="shared" si="1"/>
        <v>-18.325807474943758</v>
      </c>
      <c r="K10" s="141">
        <f t="shared" si="1"/>
        <v>-20.484028360465587</v>
      </c>
      <c r="L10" s="141">
        <f t="shared" si="1"/>
        <v>-21.109339642658391</v>
      </c>
      <c r="M10" s="141">
        <f t="shared" si="6"/>
        <v>-21.734650924851191</v>
      </c>
      <c r="N10" s="141">
        <f t="shared" si="2"/>
        <v>-23.892871810373023</v>
      </c>
      <c r="O10" s="141">
        <f t="shared" si="2"/>
        <v>-27.456345479929528</v>
      </c>
    </row>
    <row r="11" spans="1:15" x14ac:dyDescent="0.2">
      <c r="A11" s="137">
        <v>275</v>
      </c>
      <c r="B11" s="137">
        <f t="shared" si="0"/>
        <v>548</v>
      </c>
      <c r="C11" s="140">
        <f t="shared" si="3"/>
        <v>57.055826387112866</v>
      </c>
      <c r="D11" s="140">
        <f t="shared" si="4"/>
        <v>234.44987201728316</v>
      </c>
      <c r="E11" s="140">
        <f t="shared" si="5"/>
        <v>188.38659650896162</v>
      </c>
      <c r="F11" s="137">
        <f>9.76-5075/$B11-4*LOG($B11)</f>
        <v>-10.456071139046966</v>
      </c>
      <c r="G11" s="141">
        <f t="shared" si="1"/>
        <v>-10.456071139046966</v>
      </c>
      <c r="H11" s="141">
        <f t="shared" si="1"/>
        <v>-12.51832143649778</v>
      </c>
      <c r="I11" s="141">
        <f t="shared" si="1"/>
        <v>-14.347289465286359</v>
      </c>
      <c r="J11" s="141">
        <f t="shared" si="1"/>
        <v>-17.590585440081654</v>
      </c>
      <c r="K11" s="141">
        <f t="shared" si="1"/>
        <v>-19.103940387281305</v>
      </c>
      <c r="L11" s="141">
        <f t="shared" si="1"/>
        <v>-19.417521139046965</v>
      </c>
      <c r="M11" s="141">
        <f t="shared" si="6"/>
        <v>-19.731101890812621</v>
      </c>
      <c r="N11" s="141">
        <f t="shared" si="2"/>
        <v>-21.244456838012276</v>
      </c>
      <c r="O11" s="141">
        <f t="shared" si="2"/>
        <v>-24.487752812807571</v>
      </c>
    </row>
    <row r="12" spans="1:15" x14ac:dyDescent="0.2">
      <c r="A12" s="137">
        <v>300</v>
      </c>
      <c r="B12" s="137">
        <f t="shared" si="0"/>
        <v>573</v>
      </c>
      <c r="C12" s="140">
        <f t="shared" si="3"/>
        <v>30.429863203130687</v>
      </c>
      <c r="D12" s="140">
        <f t="shared" si="4"/>
        <v>104.54421356941471</v>
      </c>
      <c r="E12" s="140">
        <f t="shared" si="5"/>
        <v>84.976727077597261</v>
      </c>
      <c r="F12" s="137">
        <f>9.76-5075/$B12-4*LOG($B12)</f>
        <v>-10.129512030626977</v>
      </c>
      <c r="G12" s="141">
        <f t="shared" si="1"/>
        <v>-10.129512030626977</v>
      </c>
      <c r="H12" s="141">
        <f t="shared" si="1"/>
        <v>-12.162359124865398</v>
      </c>
      <c r="I12" s="141">
        <f t="shared" si="1"/>
        <v>-13.917247049515639</v>
      </c>
      <c r="J12" s="141">
        <f t="shared" si="1"/>
        <v>-16.678805384591165</v>
      </c>
      <c r="K12" s="141">
        <f t="shared" si="1"/>
        <v>-17.611976274375731</v>
      </c>
      <c r="L12" s="141">
        <f t="shared" si="1"/>
        <v>-17.760712030626976</v>
      </c>
      <c r="M12" s="141">
        <f t="shared" si="6"/>
        <v>-17.909447786878221</v>
      </c>
      <c r="N12" s="141">
        <f t="shared" si="2"/>
        <v>-18.842618676662788</v>
      </c>
      <c r="O12" s="141">
        <f t="shared" si="2"/>
        <v>-21.604177011738312</v>
      </c>
    </row>
    <row r="13" spans="1:15" x14ac:dyDescent="0.2">
      <c r="A13" s="137">
        <v>325</v>
      </c>
      <c r="B13" s="137">
        <f t="shared" si="0"/>
        <v>598</v>
      </c>
      <c r="C13" s="140">
        <f t="shared" si="3"/>
        <v>16.2293079111443</v>
      </c>
      <c r="D13" s="140">
        <f t="shared" si="4"/>
        <v>46.617609541888406</v>
      </c>
      <c r="E13" s="140">
        <f t="shared" si="5"/>
        <v>38.33098680392019</v>
      </c>
      <c r="F13" s="137">
        <f>9.76-5075/$B13-4*LOG($B13)</f>
        <v>-9.8334268095322379</v>
      </c>
      <c r="G13" s="141">
        <f t="shared" si="1"/>
        <v>-9.8334268095322379</v>
      </c>
      <c r="H13" s="141">
        <f t="shared" si="1"/>
        <v>-11.807421289405006</v>
      </c>
      <c r="I13" s="141">
        <f t="shared" si="1"/>
        <v>-13.426767756165228</v>
      </c>
      <c r="J13" s="141">
        <f t="shared" si="1"/>
        <v>-15.557726807233337</v>
      </c>
      <c r="K13" s="141">
        <f t="shared" si="1"/>
        <v>-16.06623845928295</v>
      </c>
      <c r="L13" s="141">
        <f t="shared" si="1"/>
        <v>-16.134376809532238</v>
      </c>
      <c r="M13" s="141">
        <f t="shared" si="6"/>
        <v>-16.202515159781527</v>
      </c>
      <c r="N13" s="141">
        <f t="shared" si="2"/>
        <v>-16.71102681183114</v>
      </c>
      <c r="O13" s="141">
        <f t="shared" si="2"/>
        <v>-18.84198586289925</v>
      </c>
    </row>
    <row r="14" spans="1:15" x14ac:dyDescent="0.2">
      <c r="A14" s="137">
        <v>350</v>
      </c>
      <c r="B14" s="137">
        <f t="shared" si="0"/>
        <v>623</v>
      </c>
      <c r="C14" s="140">
        <f t="shared" si="3"/>
        <v>8.6556562386265696</v>
      </c>
      <c r="D14" s="140">
        <f t="shared" si="4"/>
        <v>20.787391718787124</v>
      </c>
      <c r="E14" s="140">
        <f t="shared" si="5"/>
        <v>17.290199327406771</v>
      </c>
      <c r="F14" s="137">
        <f>9.76-5075/$B14-4*LOG($B14)</f>
        <v>-9.5640196023670168</v>
      </c>
      <c r="G14" s="141">
        <f t="shared" si="1"/>
        <v>-9.5640196023670168</v>
      </c>
      <c r="H14" s="141">
        <f t="shared" si="1"/>
        <v>-11.422048218010929</v>
      </c>
      <c r="I14" s="141">
        <f t="shared" si="1"/>
        <v>-12.811499710293015</v>
      </c>
      <c r="J14" s="141">
        <f t="shared" si="1"/>
        <v>-14.25458143034415</v>
      </c>
      <c r="K14" s="141">
        <f t="shared" si="1"/>
        <v>-14.504386639947171</v>
      </c>
      <c r="L14" s="141">
        <f>LOG(L$7+(1-L$7)/$C14)+4*LOG(L$7+(1-L$7)/$D14)-LOG(L$7+(1-L$7)/$E14)+$F14</f>
        <v>-14.534719602367019</v>
      </c>
      <c r="M14" s="141">
        <f t="shared" si="6"/>
        <v>-14.565052564786868</v>
      </c>
      <c r="N14" s="141">
        <f t="shared" si="2"/>
        <v>-14.814857774389889</v>
      </c>
      <c r="O14" s="141">
        <f t="shared" si="2"/>
        <v>-16.257939494441022</v>
      </c>
    </row>
    <row r="15" spans="1:15" x14ac:dyDescent="0.2">
      <c r="C15" s="140"/>
      <c r="D15" s="140"/>
      <c r="E15" s="140"/>
      <c r="G15" s="141"/>
      <c r="H15" s="141"/>
      <c r="I15" s="141"/>
      <c r="J15" s="141"/>
      <c r="K15" s="141"/>
      <c r="L15" s="141"/>
    </row>
    <row r="16" spans="1:15" x14ac:dyDescent="0.2">
      <c r="C16" s="140"/>
      <c r="D16" s="140"/>
      <c r="E16" s="140"/>
      <c r="G16" s="141"/>
      <c r="H16" s="141"/>
      <c r="I16" s="141"/>
      <c r="J16" s="141"/>
      <c r="K16" s="141"/>
      <c r="L16" s="141"/>
    </row>
    <row r="17" spans="1:15" x14ac:dyDescent="0.2">
      <c r="C17" s="140"/>
      <c r="D17" s="140"/>
      <c r="E17" s="140"/>
      <c r="G17" s="141"/>
      <c r="H17" s="141"/>
      <c r="I17" s="141"/>
      <c r="J17" s="141"/>
      <c r="K17" s="141"/>
      <c r="L17" s="141"/>
    </row>
    <row r="18" spans="1:15" x14ac:dyDescent="0.2">
      <c r="C18" s="140"/>
      <c r="D18" s="140"/>
      <c r="E18" s="140"/>
      <c r="G18" s="141"/>
      <c r="H18" s="141"/>
      <c r="I18" s="141"/>
      <c r="J18" s="141"/>
      <c r="K18" s="141"/>
      <c r="L18" s="141"/>
    </row>
    <row r="19" spans="1:15" x14ac:dyDescent="0.2">
      <c r="C19" s="140"/>
      <c r="D19" s="140"/>
      <c r="E19" s="140"/>
      <c r="G19" s="141"/>
      <c r="H19" s="141"/>
      <c r="I19" s="141"/>
      <c r="J19" s="141"/>
      <c r="K19" s="141"/>
      <c r="L19" s="141"/>
    </row>
    <row r="20" spans="1:15" x14ac:dyDescent="0.2">
      <c r="C20" s="140"/>
      <c r="D20" s="140"/>
      <c r="E20" s="140"/>
      <c r="G20" s="141"/>
      <c r="H20" s="141"/>
      <c r="I20" s="141"/>
      <c r="J20" s="141"/>
      <c r="K20" s="141"/>
      <c r="L20" s="141"/>
    </row>
    <row r="21" spans="1:15" x14ac:dyDescent="0.2">
      <c r="A21" s="136" t="s">
        <v>9</v>
      </c>
      <c r="O21" s="136"/>
    </row>
    <row r="22" spans="1:15" x14ac:dyDescent="0.2">
      <c r="A22" s="137" t="s">
        <v>10</v>
      </c>
      <c r="C22" s="137" t="s">
        <v>11</v>
      </c>
    </row>
    <row r="23" spans="1:15" x14ac:dyDescent="0.2">
      <c r="A23" s="137" t="s">
        <v>12</v>
      </c>
      <c r="C23" s="137" t="s">
        <v>122</v>
      </c>
    </row>
    <row r="24" spans="1:15" x14ac:dyDescent="0.2">
      <c r="A24" s="137" t="s">
        <v>13</v>
      </c>
      <c r="C24" s="137" t="s">
        <v>123</v>
      </c>
    </row>
    <row r="26" spans="1:15" x14ac:dyDescent="0.2">
      <c r="G26" s="139" t="s">
        <v>7</v>
      </c>
      <c r="H26" s="139"/>
      <c r="I26" s="139"/>
      <c r="J26" s="139"/>
      <c r="K26" s="139"/>
      <c r="L26" s="139"/>
      <c r="M26" s="294" t="s">
        <v>216</v>
      </c>
      <c r="N26" s="294"/>
      <c r="O26" s="294"/>
    </row>
    <row r="27" spans="1:15" x14ac:dyDescent="0.2">
      <c r="A27" s="137" t="s">
        <v>0</v>
      </c>
      <c r="B27" s="137" t="s">
        <v>3</v>
      </c>
      <c r="C27" s="137" t="s">
        <v>124</v>
      </c>
      <c r="D27" s="137" t="s">
        <v>121</v>
      </c>
      <c r="E27" s="137" t="s">
        <v>125</v>
      </c>
      <c r="F27" s="137" t="s">
        <v>8</v>
      </c>
      <c r="G27" s="137">
        <f t="shared" ref="G27:L27" si="7">G$7</f>
        <v>1</v>
      </c>
      <c r="H27" s="137">
        <f t="shared" si="7"/>
        <v>0.3</v>
      </c>
      <c r="I27" s="137">
        <f t="shared" si="7"/>
        <v>0.1</v>
      </c>
      <c r="J27" s="137">
        <f t="shared" si="7"/>
        <v>0.01</v>
      </c>
      <c r="K27" s="137">
        <f t="shared" si="7"/>
        <v>1E-3</v>
      </c>
      <c r="L27" s="137">
        <f t="shared" si="7"/>
        <v>0</v>
      </c>
      <c r="M27" s="137">
        <v>1E-3</v>
      </c>
      <c r="N27" s="137">
        <v>0.01</v>
      </c>
      <c r="O27" s="137">
        <v>0.1</v>
      </c>
    </row>
    <row r="28" spans="1:15" x14ac:dyDescent="0.2">
      <c r="A28" s="137">
        <v>200</v>
      </c>
      <c r="B28" s="137">
        <f t="shared" ref="B28:B34" si="8">A28+273</f>
        <v>473</v>
      </c>
      <c r="C28" s="140">
        <f>10^(6.4426-0.01416*$A28)</f>
        <v>4079.4348341609571</v>
      </c>
      <c r="D28" s="140">
        <f t="shared" ref="D28:D34" si="9">10^(6.2283-0.01403*A28)</f>
        <v>2644.2346992115899</v>
      </c>
      <c r="E28" s="140">
        <f>10^(1.4113-0.00292*$A28)</f>
        <v>6.718928197763022</v>
      </c>
      <c r="F28" s="141">
        <f>5.79 - 1228/($A28+273)-2*LOG($A28+273)</f>
        <v>-2.1559167846468705</v>
      </c>
      <c r="G28" s="141">
        <f t="shared" ref="G28:L34" si="10">LOG(G$27+(1-G$27)/$C28)+3*LOG(G$27+(1-G$27)/$D28)-2*LOG(G$27+(1-G$27)/$E28)+$F28</f>
        <v>-2.1559167846468705</v>
      </c>
      <c r="H28" s="141">
        <f t="shared" si="10"/>
        <v>-3.4591909390594657</v>
      </c>
      <c r="I28" s="141">
        <f t="shared" si="10"/>
        <v>-4.888778559844317</v>
      </c>
      <c r="J28" s="141">
        <f t="shared" si="10"/>
        <v>-8.4913197576398396</v>
      </c>
      <c r="K28" s="141">
        <f t="shared" si="10"/>
        <v>-11.993578699472696</v>
      </c>
      <c r="L28" s="141">
        <f t="shared" si="10"/>
        <v>-14.378816784646872</v>
      </c>
      <c r="M28" s="141">
        <f>$L28-(LOG(1+M$27*($C28-1))+3*LOG(1+M$27*($D28-1))-LOG(1+M$27*($E28-1)))</f>
        <v>-16.766531493693524</v>
      </c>
      <c r="N28" s="141">
        <f t="shared" ref="N28:O34" si="11">$L28-(LOG(1+N$27*($C28-1))+3*LOG(1+N$27*($D28-1))-LOG(1+N$27*($E28-1)))</f>
        <v>-20.290466563160901</v>
      </c>
      <c r="O28" s="141">
        <f t="shared" si="11"/>
        <v>-24.065277939596438</v>
      </c>
    </row>
    <row r="29" spans="1:15" x14ac:dyDescent="0.2">
      <c r="A29" s="137">
        <v>225</v>
      </c>
      <c r="B29" s="137">
        <f t="shared" si="8"/>
        <v>498</v>
      </c>
      <c r="C29" s="140">
        <f t="shared" ref="C29:C34" si="12">10^(6.4426-0.01416*A29)</f>
        <v>1805.5104234107002</v>
      </c>
      <c r="D29" s="140">
        <f t="shared" si="9"/>
        <v>1179.0982641340704</v>
      </c>
      <c r="E29" s="140">
        <f t="shared" ref="E29:E34" si="13">10^(1.4113-0.00292*A29)</f>
        <v>5.6793678677200354</v>
      </c>
      <c r="F29" s="141">
        <f t="shared" ref="F29:F34" si="14">5.79 - 1228/B29-2*LOG(B29)</f>
        <v>-2.0703221393346962</v>
      </c>
      <c r="G29" s="141">
        <f t="shared" si="10"/>
        <v>-2.0703221393346962</v>
      </c>
      <c r="H29" s="141">
        <f t="shared" si="10"/>
        <v>-3.4119008862115314</v>
      </c>
      <c r="I29" s="141">
        <f t="shared" si="10"/>
        <v>-4.8830702961589054</v>
      </c>
      <c r="J29" s="141">
        <f t="shared" si="10"/>
        <v>-8.4732182331805621</v>
      </c>
      <c r="K29" s="141">
        <f t="shared" si="10"/>
        <v>-11.574937641477042</v>
      </c>
      <c r="L29" s="141">
        <f t="shared" si="10"/>
        <v>-13.032972139334698</v>
      </c>
      <c r="M29" s="141">
        <f t="shared" ref="M29:M34" si="15">$L29-(LOG(1+M$27*($C29-1))+3*LOG(1+M$27*($D29-1))-LOG(1+M$27*($E29-1)))</f>
        <v>-14.493034120856075</v>
      </c>
      <c r="N29" s="141">
        <f t="shared" si="11"/>
        <v>-17.612587136869841</v>
      </c>
      <c r="O29" s="141">
        <f t="shared" si="11"/>
        <v>-21.349581336627875</v>
      </c>
    </row>
    <row r="30" spans="1:15" x14ac:dyDescent="0.2">
      <c r="A30" s="137">
        <v>250</v>
      </c>
      <c r="B30" s="137">
        <f t="shared" si="8"/>
        <v>523</v>
      </c>
      <c r="C30" s="140">
        <f t="shared" si="12"/>
        <v>799.09791958109827</v>
      </c>
      <c r="D30" s="140">
        <f t="shared" si="9"/>
        <v>525.77508225669396</v>
      </c>
      <c r="E30" s="140">
        <f t="shared" si="13"/>
        <v>4.8006495124668493</v>
      </c>
      <c r="F30" s="141">
        <f t="shared" si="14"/>
        <v>-1.9949957295509919</v>
      </c>
      <c r="G30" s="141">
        <f t="shared" si="10"/>
        <v>-1.9949957295509919</v>
      </c>
      <c r="H30" s="141">
        <f t="shared" si="10"/>
        <v>-3.3777818026647042</v>
      </c>
      <c r="I30" s="141">
        <f t="shared" si="10"/>
        <v>-4.8852173042350504</v>
      </c>
      <c r="J30" s="141">
        <f t="shared" si="10"/>
        <v>-8.3893010801810917</v>
      </c>
      <c r="K30" s="141">
        <f t="shared" si="10"/>
        <v>-10.896259977267377</v>
      </c>
      <c r="L30" s="141">
        <f t="shared" si="10"/>
        <v>-11.697395729550989</v>
      </c>
      <c r="M30" s="141">
        <f t="shared" si="15"/>
        <v>-12.500178954192386</v>
      </c>
      <c r="N30" s="141">
        <f t="shared" si="11"/>
        <v>-15.021690449955463</v>
      </c>
      <c r="O30" s="141">
        <f t="shared" si="11"/>
        <v>-18.649473681343693</v>
      </c>
    </row>
    <row r="31" spans="1:15" x14ac:dyDescent="0.2">
      <c r="A31" s="137">
        <v>275</v>
      </c>
      <c r="B31" s="137">
        <f t="shared" si="8"/>
        <v>548</v>
      </c>
      <c r="C31" s="140">
        <f t="shared" si="12"/>
        <v>353.67144758575921</v>
      </c>
      <c r="D31" s="140">
        <f t="shared" si="9"/>
        <v>234.44987201728316</v>
      </c>
      <c r="E31" s="140">
        <f t="shared" si="13"/>
        <v>4.0578874759172878</v>
      </c>
      <c r="F31" s="141">
        <f t="shared" si="14"/>
        <v>-1.9284370293774975</v>
      </c>
      <c r="G31" s="141">
        <f t="shared" si="10"/>
        <v>-1.9284370293774975</v>
      </c>
      <c r="H31" s="141">
        <f t="shared" si="10"/>
        <v>-3.353003647964071</v>
      </c>
      <c r="I31" s="141">
        <f t="shared" si="10"/>
        <v>-4.8835908555471246</v>
      </c>
      <c r="J31" s="141">
        <f t="shared" si="10"/>
        <v>-8.1718747338289788</v>
      </c>
      <c r="K31" s="141">
        <f t="shared" si="10"/>
        <v>-9.9686821882842978</v>
      </c>
      <c r="L31" s="141">
        <f t="shared" si="10"/>
        <v>-10.370587029377496</v>
      </c>
      <c r="M31" s="141">
        <f t="shared" si="15"/>
        <v>-10.773817867784148</v>
      </c>
      <c r="N31" s="141">
        <f t="shared" si="11"/>
        <v>-12.582380560790687</v>
      </c>
      <c r="O31" s="141">
        <f t="shared" si="11"/>
        <v>-15.973456125034993</v>
      </c>
    </row>
    <row r="32" spans="1:15" x14ac:dyDescent="0.2">
      <c r="A32" s="137">
        <v>300</v>
      </c>
      <c r="B32" s="137">
        <f t="shared" si="8"/>
        <v>573</v>
      </c>
      <c r="C32" s="140">
        <f t="shared" si="12"/>
        <v>156.53087033811511</v>
      </c>
      <c r="D32" s="140">
        <f t="shared" si="9"/>
        <v>104.54421356941471</v>
      </c>
      <c r="E32" s="140">
        <f t="shared" si="13"/>
        <v>3.430046439433768</v>
      </c>
      <c r="F32" s="141">
        <f t="shared" si="14"/>
        <v>-1.8694157011773624</v>
      </c>
      <c r="G32" s="141">
        <f t="shared" si="10"/>
        <v>-1.8694157011773624</v>
      </c>
      <c r="H32" s="141">
        <f t="shared" si="10"/>
        <v>-3.3307421861202782</v>
      </c>
      <c r="I32" s="141">
        <f t="shared" si="10"/>
        <v>-4.8558871851279539</v>
      </c>
      <c r="J32" s="141">
        <f t="shared" si="10"/>
        <v>-7.738750784424238</v>
      </c>
      <c r="K32" s="141">
        <f t="shared" si="10"/>
        <v>-8.8622730863610002</v>
      </c>
      <c r="L32" s="141">
        <f t="shared" si="10"/>
        <v>-9.0513157011773586</v>
      </c>
      <c r="M32" s="141">
        <f t="shared" si="15"/>
        <v>-9.2414123915449391</v>
      </c>
      <c r="N32" s="141">
        <f t="shared" si="11"/>
        <v>-10.374307987546731</v>
      </c>
      <c r="O32" s="141">
        <f t="shared" si="11"/>
        <v>-13.341216968422888</v>
      </c>
    </row>
    <row r="33" spans="1:15" x14ac:dyDescent="0.2">
      <c r="A33" s="137">
        <v>325</v>
      </c>
      <c r="B33" s="137">
        <f t="shared" si="8"/>
        <v>598</v>
      </c>
      <c r="C33" s="140">
        <f t="shared" si="12"/>
        <v>69.278743127451676</v>
      </c>
      <c r="D33" s="140">
        <f t="shared" si="9"/>
        <v>46.617609541888406</v>
      </c>
      <c r="E33" s="140">
        <f t="shared" si="13"/>
        <v>2.8993456931707393</v>
      </c>
      <c r="F33" s="141">
        <f t="shared" si="14"/>
        <v>-1.8169140736624403</v>
      </c>
      <c r="G33" s="141">
        <f t="shared" si="10"/>
        <v>-1.8169140736624403</v>
      </c>
      <c r="H33" s="141">
        <f t="shared" si="10"/>
        <v>-3.2975003049103746</v>
      </c>
      <c r="I33" s="141">
        <f t="shared" si="10"/>
        <v>-4.7603294364457325</v>
      </c>
      <c r="J33" s="141">
        <f t="shared" si="10"/>
        <v>-7.0392359125807129</v>
      </c>
      <c r="K33" s="141">
        <f t="shared" si="10"/>
        <v>-7.6534090067149814</v>
      </c>
      <c r="L33" s="141">
        <f t="shared" si="10"/>
        <v>-7.7385640736624399</v>
      </c>
      <c r="M33" s="141">
        <f t="shared" si="15"/>
        <v>-7.8245432335924496</v>
      </c>
      <c r="N33" s="141">
        <f t="shared" si="11"/>
        <v>-8.446063630107238</v>
      </c>
      <c r="O33" s="141">
        <f t="shared" si="11"/>
        <v>-10.792321792468497</v>
      </c>
    </row>
    <row r="34" spans="1:15" x14ac:dyDescent="0.2">
      <c r="A34" s="137">
        <v>350</v>
      </c>
      <c r="B34" s="137">
        <f t="shared" si="8"/>
        <v>623</v>
      </c>
      <c r="C34" s="140">
        <f t="shared" si="12"/>
        <v>30.66196616010733</v>
      </c>
      <c r="D34" s="140">
        <f t="shared" si="9"/>
        <v>20.787391718787124</v>
      </c>
      <c r="E34" s="140">
        <f t="shared" si="13"/>
        <v>2.4507555792438223</v>
      </c>
      <c r="F34" s="141">
        <f t="shared" si="14"/>
        <v>-1.7700836374595914</v>
      </c>
      <c r="G34" s="141">
        <f t="shared" si="10"/>
        <v>-1.7700836374595914</v>
      </c>
      <c r="H34" s="141">
        <f t="shared" si="10"/>
        <v>-3.2263831906335612</v>
      </c>
      <c r="I34" s="141">
        <f t="shared" si="10"/>
        <v>-4.528680257062037</v>
      </c>
      <c r="J34" s="141">
        <f t="shared" si="10"/>
        <v>-6.0959482806714389</v>
      </c>
      <c r="K34" s="141">
        <f t="shared" si="10"/>
        <v>-6.3945192489661595</v>
      </c>
      <c r="L34" s="141">
        <f t="shared" si="10"/>
        <v>-6.431483637459591</v>
      </c>
      <c r="M34" s="141">
        <f t="shared" si="15"/>
        <v>-6.4690776245092154</v>
      </c>
      <c r="N34" s="141">
        <f t="shared" si="11"/>
        <v>-6.7732742801432222</v>
      </c>
      <c r="O34" s="141">
        <f>$L34-(LOG(1+O$27*($C34-1))+3*LOG(1+O$27*($D34-1))-LOG(1+O$27*($E34-1)))</f>
        <v>-8.3931211624430695</v>
      </c>
    </row>
    <row r="35" spans="1:15" x14ac:dyDescent="0.2">
      <c r="C35" s="140"/>
      <c r="D35" s="140"/>
      <c r="E35" s="140"/>
      <c r="F35" s="141"/>
      <c r="G35" s="141"/>
      <c r="H35" s="141"/>
      <c r="I35" s="141"/>
      <c r="J35" s="141"/>
      <c r="K35" s="141"/>
      <c r="L35" s="141"/>
      <c r="M35" s="141"/>
    </row>
    <row r="36" spans="1:15" x14ac:dyDescent="0.2">
      <c r="C36" s="140"/>
      <c r="D36" s="140"/>
      <c r="E36" s="140"/>
      <c r="F36" s="141"/>
      <c r="G36" s="141"/>
      <c r="H36" s="141"/>
      <c r="I36" s="141"/>
      <c r="J36" s="141"/>
      <c r="K36" s="141"/>
      <c r="L36" s="141"/>
      <c r="M36" s="141"/>
    </row>
    <row r="37" spans="1:15" x14ac:dyDescent="0.2">
      <c r="C37" s="140"/>
      <c r="D37" s="140"/>
      <c r="E37" s="140"/>
      <c r="F37" s="141"/>
      <c r="G37" s="141"/>
      <c r="H37" s="141"/>
      <c r="I37" s="141"/>
      <c r="J37" s="141"/>
      <c r="K37" s="141"/>
      <c r="L37" s="141"/>
      <c r="M37" s="141"/>
    </row>
    <row r="38" spans="1:15" x14ac:dyDescent="0.2">
      <c r="C38" s="140"/>
      <c r="D38" s="140"/>
      <c r="E38" s="140"/>
      <c r="F38" s="141"/>
      <c r="G38" s="141"/>
      <c r="H38" s="141"/>
      <c r="I38" s="141"/>
      <c r="J38" s="141"/>
      <c r="K38" s="141"/>
      <c r="L38" s="141"/>
      <c r="M38" s="141"/>
    </row>
    <row r="39" spans="1:15" x14ac:dyDescent="0.2">
      <c r="C39" s="140"/>
      <c r="D39" s="140"/>
      <c r="E39" s="140"/>
      <c r="F39" s="141"/>
      <c r="G39" s="141"/>
      <c r="H39" s="141"/>
      <c r="I39" s="141"/>
      <c r="J39" s="141"/>
      <c r="K39" s="141"/>
      <c r="L39" s="141"/>
      <c r="M39" s="141"/>
    </row>
    <row r="40" spans="1:15" x14ac:dyDescent="0.2">
      <c r="C40" s="140"/>
      <c r="D40" s="140"/>
      <c r="E40" s="140"/>
      <c r="F40" s="141"/>
      <c r="G40" s="141"/>
      <c r="H40" s="141"/>
      <c r="I40" s="141"/>
      <c r="J40" s="141"/>
      <c r="K40" s="141"/>
      <c r="L40" s="141"/>
      <c r="M40" s="141"/>
    </row>
    <row r="41" spans="1:15" x14ac:dyDescent="0.2">
      <c r="A41" s="136" t="s">
        <v>14</v>
      </c>
      <c r="C41" s="140"/>
      <c r="D41" s="140"/>
      <c r="E41" s="140"/>
      <c r="F41" s="141"/>
      <c r="G41" s="141"/>
      <c r="H41" s="141"/>
      <c r="I41" s="141"/>
      <c r="J41" s="141"/>
      <c r="K41" s="141"/>
      <c r="L41" s="141"/>
      <c r="M41" s="141"/>
    </row>
    <row r="42" spans="1:15" x14ac:dyDescent="0.2">
      <c r="A42" s="137" t="s">
        <v>39</v>
      </c>
    </row>
    <row r="43" spans="1:15" x14ac:dyDescent="0.2">
      <c r="C43" s="137" t="s">
        <v>126</v>
      </c>
    </row>
    <row r="46" spans="1:15" x14ac:dyDescent="0.2">
      <c r="C46" s="140"/>
      <c r="G46" s="139" t="s">
        <v>7</v>
      </c>
      <c r="H46" s="139"/>
      <c r="I46" s="139"/>
      <c r="J46" s="139"/>
      <c r="K46" s="139"/>
      <c r="L46" s="139"/>
      <c r="M46" s="294" t="s">
        <v>216</v>
      </c>
      <c r="N46" s="294"/>
      <c r="O46" s="294"/>
    </row>
    <row r="47" spans="1:15" x14ac:dyDescent="0.2">
      <c r="A47" s="137" t="s">
        <v>0</v>
      </c>
      <c r="B47" s="137" t="s">
        <v>3</v>
      </c>
      <c r="C47" s="137" t="s">
        <v>127</v>
      </c>
      <c r="F47" s="137" t="s">
        <v>8</v>
      </c>
      <c r="G47" s="137">
        <f t="shared" ref="G47:L47" si="16">G$7</f>
        <v>1</v>
      </c>
      <c r="H47" s="137">
        <f t="shared" si="16"/>
        <v>0.3</v>
      </c>
      <c r="I47" s="137">
        <f t="shared" si="16"/>
        <v>0.1</v>
      </c>
      <c r="J47" s="137">
        <f t="shared" si="16"/>
        <v>0.01</v>
      </c>
      <c r="K47" s="137">
        <f t="shared" si="16"/>
        <v>1E-3</v>
      </c>
      <c r="L47" s="137">
        <f t="shared" si="16"/>
        <v>0</v>
      </c>
      <c r="M47" s="137">
        <v>1E-3</v>
      </c>
      <c r="N47" s="137">
        <v>0.01</v>
      </c>
      <c r="O47" s="137">
        <v>0.1</v>
      </c>
    </row>
    <row r="48" spans="1:15" x14ac:dyDescent="0.2">
      <c r="A48" s="137">
        <v>200</v>
      </c>
      <c r="B48" s="137">
        <f t="shared" ref="B48:B54" si="17">A48+273</f>
        <v>473</v>
      </c>
      <c r="C48" s="140">
        <f>10^(4.0547-0.00981*$A48)</f>
        <v>123.79411516551075</v>
      </c>
      <c r="D48" s="140"/>
      <c r="E48" s="140"/>
      <c r="F48" s="141">
        <f>3.045 - 1904/($A48+273)-LOG($A48+273)</f>
        <v>-3.6552311195961629</v>
      </c>
      <c r="G48" s="141">
        <f t="shared" ref="G48:L54" si="18">LOG(G$27+(1-G$27)/$C48)+$F48</f>
        <v>-3.6552311195961629</v>
      </c>
      <c r="H48" s="141">
        <f t="shared" si="18"/>
        <v>-4.1700002546367649</v>
      </c>
      <c r="I48" s="141">
        <f t="shared" si="18"/>
        <v>-4.6247522901046354</v>
      </c>
      <c r="J48" s="141">
        <f t="shared" si="18"/>
        <v>-5.4000274043013796</v>
      </c>
      <c r="K48" s="141">
        <f t="shared" si="18"/>
        <v>-5.6976309918698185</v>
      </c>
      <c r="L48" s="141">
        <f t="shared" si="18"/>
        <v>-5.7479311195961635</v>
      </c>
      <c r="M48" s="141">
        <f>$L48-LOG(1+M$47*($C48-1))</f>
        <v>-5.7982312473225095</v>
      </c>
      <c r="N48" s="141">
        <f>$L48-LOG(1+N$47*($C48-1))</f>
        <v>-6.0958348348909484</v>
      </c>
      <c r="O48" s="141">
        <f>$L48-LOG(1+O$47*($C48-1))</f>
        <v>-6.8711099490876926</v>
      </c>
    </row>
    <row r="49" spans="1:15" x14ac:dyDescent="0.2">
      <c r="A49" s="137">
        <v>225</v>
      </c>
      <c r="B49" s="137">
        <f t="shared" si="17"/>
        <v>498</v>
      </c>
      <c r="C49" s="140">
        <f t="shared" ref="C49:C54" si="19">10^(4.0547-0.00981*A49)</f>
        <v>70.380119516490552</v>
      </c>
      <c r="D49" s="140"/>
      <c r="E49" s="140"/>
      <c r="F49" s="141">
        <f t="shared" ref="F49:F54" si="20">3.045 - 1904/B49-LOG(B49)</f>
        <v>-3.4755225154504807</v>
      </c>
      <c r="G49" s="141">
        <f t="shared" si="18"/>
        <v>-3.4755225154504807</v>
      </c>
      <c r="H49" s="141">
        <f t="shared" si="18"/>
        <v>-3.9842364928161369</v>
      </c>
      <c r="I49" s="141">
        <f t="shared" si="18"/>
        <v>-4.4232607669953197</v>
      </c>
      <c r="J49" s="141">
        <f t="shared" si="18"/>
        <v>-5.094110080476808</v>
      </c>
      <c r="K49" s="141">
        <f t="shared" si="18"/>
        <v>-5.2938404094326916</v>
      </c>
      <c r="L49" s="141">
        <f t="shared" si="18"/>
        <v>-5.3229725154504814</v>
      </c>
      <c r="M49" s="141">
        <f t="shared" ref="M49:N54" si="21">$L49-LOG(1+M$47*($C49-1))</f>
        <v>-5.3521046214682713</v>
      </c>
      <c r="N49" s="141">
        <f t="shared" si="21"/>
        <v>-5.5518349504241549</v>
      </c>
      <c r="O49" s="141">
        <f t="shared" ref="O49:O54" si="22">$L49-LOG(1+O$47*($C49-1))</f>
        <v>-6.2226842639056432</v>
      </c>
    </row>
    <row r="50" spans="1:15" x14ac:dyDescent="0.2">
      <c r="A50" s="137">
        <v>250</v>
      </c>
      <c r="B50" s="137">
        <f t="shared" si="17"/>
        <v>523</v>
      </c>
      <c r="C50" s="140">
        <f t="shared" si="19"/>
        <v>40.01289735406997</v>
      </c>
      <c r="D50" s="140"/>
      <c r="E50" s="140"/>
      <c r="F50" s="141">
        <f t="shared" si="20"/>
        <v>-3.3140370617162227</v>
      </c>
      <c r="G50" s="141">
        <f t="shared" si="18"/>
        <v>-3.3140370617162227</v>
      </c>
      <c r="H50" s="141">
        <f t="shared" si="18"/>
        <v>-3.8123010479264097</v>
      </c>
      <c r="I50" s="141">
        <f t="shared" si="18"/>
        <v>-4.2259266855106299</v>
      </c>
      <c r="J50" s="141">
        <f t="shared" si="18"/>
        <v>-4.7731819665710562</v>
      </c>
      <c r="K50" s="141">
        <f t="shared" si="18"/>
        <v>-4.8996161231918283</v>
      </c>
      <c r="L50" s="141">
        <f t="shared" si="18"/>
        <v>-4.9162370617162239</v>
      </c>
      <c r="M50" s="141">
        <f t="shared" si="21"/>
        <v>-4.9328580002406186</v>
      </c>
      <c r="N50" s="141">
        <f t="shared" si="21"/>
        <v>-5.0592921568613907</v>
      </c>
      <c r="O50" s="141">
        <f t="shared" si="22"/>
        <v>-5.6065474379218179</v>
      </c>
    </row>
    <row r="51" spans="1:15" x14ac:dyDescent="0.2">
      <c r="A51" s="137">
        <v>275</v>
      </c>
      <c r="B51" s="137">
        <f t="shared" si="17"/>
        <v>548</v>
      </c>
      <c r="C51" s="140">
        <f t="shared" si="19"/>
        <v>22.748355155779553</v>
      </c>
      <c r="D51" s="140"/>
      <c r="E51" s="140"/>
      <c r="F51" s="141">
        <f t="shared" si="20"/>
        <v>-3.168233113228895</v>
      </c>
      <c r="G51" s="141">
        <f t="shared" si="18"/>
        <v>-3.168233113228895</v>
      </c>
      <c r="H51" s="141">
        <f t="shared" si="18"/>
        <v>-3.6487050888377497</v>
      </c>
      <c r="I51" s="141">
        <f t="shared" si="18"/>
        <v>-4.0234618832945372</v>
      </c>
      <c r="J51" s="141">
        <f t="shared" si="18"/>
        <v>-4.4397200107064458</v>
      </c>
      <c r="K51" s="141">
        <f t="shared" si="18"/>
        <v>-4.5158391659862911</v>
      </c>
      <c r="L51" s="141">
        <f t="shared" si="18"/>
        <v>-4.5251831132288958</v>
      </c>
      <c r="M51" s="141">
        <f t="shared" si="21"/>
        <v>-4.5345270604715004</v>
      </c>
      <c r="N51" s="141">
        <f t="shared" si="21"/>
        <v>-4.6106462157513457</v>
      </c>
      <c r="O51" s="141">
        <f t="shared" si="22"/>
        <v>-5.0269043431632543</v>
      </c>
    </row>
    <row r="52" spans="1:15" x14ac:dyDescent="0.2">
      <c r="A52" s="137">
        <v>300</v>
      </c>
      <c r="B52" s="137">
        <f t="shared" si="17"/>
        <v>573</v>
      </c>
      <c r="C52" s="140">
        <f t="shared" si="19"/>
        <v>12.933021513395733</v>
      </c>
      <c r="D52" s="140"/>
      <c r="E52" s="140"/>
      <c r="F52" s="141">
        <f t="shared" si="20"/>
        <v>-3.0360167511122413</v>
      </c>
      <c r="G52" s="141">
        <f t="shared" si="18"/>
        <v>-3.0360167511122413</v>
      </c>
      <c r="H52" s="141">
        <f t="shared" si="18"/>
        <v>-3.4868601436145688</v>
      </c>
      <c r="I52" s="141">
        <f t="shared" si="18"/>
        <v>-3.8066182865024878</v>
      </c>
      <c r="J52" s="141">
        <f t="shared" si="18"/>
        <v>-4.0987585238738315</v>
      </c>
      <c r="K52" s="141">
        <f t="shared" si="18"/>
        <v>-4.1425649830252382</v>
      </c>
      <c r="L52" s="141">
        <f t="shared" si="18"/>
        <v>-4.1477167511122426</v>
      </c>
      <c r="M52" s="141">
        <f t="shared" si="21"/>
        <v>-4.152868519199246</v>
      </c>
      <c r="N52" s="141">
        <f t="shared" si="21"/>
        <v>-4.1966749783506536</v>
      </c>
      <c r="O52" s="141">
        <f t="shared" si="22"/>
        <v>-4.4888152157219974</v>
      </c>
    </row>
    <row r="53" spans="1:15" x14ac:dyDescent="0.2">
      <c r="A53" s="137">
        <v>325</v>
      </c>
      <c r="B53" s="137">
        <f t="shared" si="17"/>
        <v>598</v>
      </c>
      <c r="C53" s="140">
        <f t="shared" si="19"/>
        <v>7.3527533890054126</v>
      </c>
      <c r="D53" s="140"/>
      <c r="E53" s="140"/>
      <c r="F53" s="141">
        <f t="shared" si="20"/>
        <v>-2.9156476722827254</v>
      </c>
      <c r="G53" s="141">
        <f t="shared" si="18"/>
        <v>-2.9156476722827254</v>
      </c>
      <c r="H53" s="141">
        <f t="shared" si="18"/>
        <v>-3.3188280644709027</v>
      </c>
      <c r="I53" s="141">
        <f t="shared" si="18"/>
        <v>-3.5685067849514809</v>
      </c>
      <c r="J53" s="141">
        <f t="shared" si="18"/>
        <v>-3.7553489343564137</v>
      </c>
      <c r="K53" s="141">
        <f t="shared" si="18"/>
        <v>-3.7793474331164503</v>
      </c>
      <c r="L53" s="141">
        <f t="shared" si="18"/>
        <v>-3.7820976722827262</v>
      </c>
      <c r="M53" s="141">
        <f t="shared" si="21"/>
        <v>-3.7848479114490021</v>
      </c>
      <c r="N53" s="141">
        <f t="shared" si="21"/>
        <v>-3.8088464102090387</v>
      </c>
      <c r="O53" s="141">
        <f t="shared" si="22"/>
        <v>-3.9956885596139715</v>
      </c>
    </row>
    <row r="54" spans="1:15" x14ac:dyDescent="0.2">
      <c r="A54" s="137">
        <v>350</v>
      </c>
      <c r="B54" s="137">
        <f t="shared" si="17"/>
        <v>623</v>
      </c>
      <c r="C54" s="140">
        <f t="shared" si="19"/>
        <v>4.1802282895403335</v>
      </c>
      <c r="D54" s="140"/>
      <c r="E54" s="140"/>
      <c r="F54" s="141">
        <f t="shared" si="20"/>
        <v>-2.8056678219400686</v>
      </c>
      <c r="G54" s="141">
        <f t="shared" si="18"/>
        <v>-2.8056678219400686</v>
      </c>
      <c r="H54" s="141">
        <f t="shared" si="18"/>
        <v>-3.1359280409887087</v>
      </c>
      <c r="I54" s="141">
        <f t="shared" si="18"/>
        <v>-3.306944889373352</v>
      </c>
      <c r="J54" s="141">
        <f t="shared" si="18"/>
        <v>-3.4132713375113477</v>
      </c>
      <c r="K54" s="141">
        <f t="shared" si="18"/>
        <v>-3.4254888578925908</v>
      </c>
      <c r="L54" s="141">
        <f t="shared" si="18"/>
        <v>-3.4268678219400694</v>
      </c>
      <c r="M54" s="141">
        <f t="shared" si="21"/>
        <v>-3.4282467859875481</v>
      </c>
      <c r="N54" s="141">
        <f t="shared" si="21"/>
        <v>-3.4404643063687912</v>
      </c>
      <c r="O54" s="141">
        <f t="shared" si="22"/>
        <v>-3.5467907545067869</v>
      </c>
    </row>
    <row r="55" spans="1:15" x14ac:dyDescent="0.2">
      <c r="C55" s="140"/>
      <c r="D55" s="140"/>
      <c r="E55" s="140"/>
      <c r="F55" s="141"/>
      <c r="G55" s="141"/>
      <c r="H55" s="141"/>
      <c r="I55" s="141"/>
      <c r="J55" s="141"/>
      <c r="K55" s="141"/>
      <c r="L55" s="141"/>
    </row>
    <row r="56" spans="1:15" x14ac:dyDescent="0.2">
      <c r="C56" s="140"/>
      <c r="D56" s="140"/>
      <c r="E56" s="140"/>
      <c r="F56" s="141"/>
      <c r="G56" s="141"/>
      <c r="H56" s="141"/>
      <c r="I56" s="141"/>
      <c r="J56" s="141"/>
      <c r="K56" s="141"/>
      <c r="L56" s="141"/>
    </row>
    <row r="57" spans="1:15" x14ac:dyDescent="0.2">
      <c r="C57" s="140"/>
      <c r="D57" s="140"/>
      <c r="E57" s="140"/>
      <c r="F57" s="141"/>
      <c r="G57" s="141"/>
      <c r="H57" s="141"/>
      <c r="I57" s="141"/>
      <c r="J57" s="141"/>
      <c r="K57" s="141"/>
      <c r="L57" s="141"/>
    </row>
    <row r="58" spans="1:15" x14ac:dyDescent="0.2">
      <c r="C58" s="140"/>
      <c r="D58" s="140"/>
      <c r="E58" s="140"/>
      <c r="F58" s="141"/>
      <c r="G58" s="141"/>
      <c r="H58" s="141"/>
      <c r="I58" s="141"/>
      <c r="J58" s="141"/>
      <c r="K58" s="141"/>
      <c r="L58" s="141"/>
    </row>
    <row r="59" spans="1:15" x14ac:dyDescent="0.2">
      <c r="C59" s="140"/>
      <c r="D59" s="140"/>
      <c r="E59" s="140"/>
      <c r="F59" s="141"/>
      <c r="G59" s="141"/>
      <c r="H59" s="141"/>
      <c r="I59" s="141"/>
      <c r="J59" s="141"/>
      <c r="K59" s="141"/>
      <c r="L59" s="141"/>
    </row>
    <row r="60" spans="1:15" x14ac:dyDescent="0.2">
      <c r="C60" s="140"/>
      <c r="D60" s="140"/>
      <c r="E60" s="140"/>
      <c r="F60" s="141"/>
      <c r="G60" s="141"/>
      <c r="H60" s="141"/>
      <c r="I60" s="141"/>
      <c r="J60" s="141"/>
      <c r="K60" s="141"/>
      <c r="L60" s="141"/>
    </row>
    <row r="61" spans="1:15" x14ac:dyDescent="0.2">
      <c r="A61" s="136" t="s">
        <v>15</v>
      </c>
      <c r="D61" s="137" t="s">
        <v>41</v>
      </c>
    </row>
    <row r="62" spans="1:15" x14ac:dyDescent="0.2">
      <c r="A62" s="137" t="s">
        <v>16</v>
      </c>
      <c r="E62" s="137" t="s">
        <v>138</v>
      </c>
    </row>
    <row r="63" spans="1:15" x14ac:dyDescent="0.2">
      <c r="C63" s="137" t="s">
        <v>137</v>
      </c>
      <c r="H63" s="138"/>
    </row>
    <row r="66" spans="1:15" x14ac:dyDescent="0.2">
      <c r="C66" s="140"/>
      <c r="G66" s="139" t="s">
        <v>7</v>
      </c>
      <c r="H66" s="139"/>
      <c r="I66" s="139"/>
      <c r="J66" s="139"/>
      <c r="K66" s="139"/>
      <c r="L66" s="139"/>
      <c r="M66" s="294" t="s">
        <v>216</v>
      </c>
      <c r="N66" s="294"/>
      <c r="O66" s="294"/>
    </row>
    <row r="67" spans="1:15" x14ac:dyDescent="0.2">
      <c r="A67" s="137" t="s">
        <v>0</v>
      </c>
      <c r="B67" s="137" t="s">
        <v>3</v>
      </c>
      <c r="C67" s="137" t="s">
        <v>120</v>
      </c>
      <c r="F67" s="137" t="s">
        <v>8</v>
      </c>
      <c r="G67" s="137">
        <f t="shared" ref="G67:L67" si="23">G$7</f>
        <v>1</v>
      </c>
      <c r="H67" s="137">
        <f t="shared" si="23"/>
        <v>0.3</v>
      </c>
      <c r="I67" s="137">
        <f t="shared" si="23"/>
        <v>0.1</v>
      </c>
      <c r="J67" s="137">
        <f t="shared" si="23"/>
        <v>0.01</v>
      </c>
      <c r="K67" s="137">
        <f t="shared" si="23"/>
        <v>1E-3</v>
      </c>
      <c r="L67" s="137">
        <f t="shared" si="23"/>
        <v>0</v>
      </c>
      <c r="M67" s="137">
        <v>1E-3</v>
      </c>
      <c r="N67" s="137">
        <v>0.01</v>
      </c>
      <c r="O67" s="137">
        <v>0.1</v>
      </c>
    </row>
    <row r="68" spans="1:15" x14ac:dyDescent="0.2">
      <c r="A68" s="137">
        <v>200</v>
      </c>
      <c r="B68" s="137">
        <f t="shared" ref="B68:B74" si="24">A68+273</f>
        <v>473</v>
      </c>
      <c r="C68" s="140">
        <f>10^(4.7593-0.01092*$A68)</f>
        <v>376.09711325976934</v>
      </c>
      <c r="D68" s="140"/>
      <c r="E68" s="140"/>
      <c r="F68" s="141">
        <f>-11.371+0.0168*$B68 + 2086/($B68)-LOG($B68)</f>
        <v>-1.6893131491944722</v>
      </c>
      <c r="G68" s="141">
        <f t="shared" ref="G68:L74" si="25">LOG(G$27+(1-G$27)/$C68)+$F68</f>
        <v>-1.6893131491944722</v>
      </c>
      <c r="H68" s="141">
        <f t="shared" si="25"/>
        <v>-2.2095058242095269</v>
      </c>
      <c r="I68" s="141">
        <f t="shared" si="25"/>
        <v>-2.6790428860899231</v>
      </c>
      <c r="J68" s="141">
        <f t="shared" si="25"/>
        <v>-3.5878307575863841</v>
      </c>
      <c r="K68" s="141">
        <f t="shared" si="25"/>
        <v>-4.1262797788365422</v>
      </c>
      <c r="L68" s="141">
        <f t="shared" si="25"/>
        <v>-4.2646131491944725</v>
      </c>
      <c r="M68" s="141">
        <f>$L68-LOG(1+M$67*($C68-1))</f>
        <v>-4.4029465195524029</v>
      </c>
      <c r="N68" s="141">
        <f t="shared" ref="N68:O74" si="26">$L68-LOG(1+N$67*($C68-1))</f>
        <v>-4.9413955408025609</v>
      </c>
      <c r="O68" s="141">
        <f t="shared" si="26"/>
        <v>-5.8501834122990219</v>
      </c>
    </row>
    <row r="69" spans="1:15" x14ac:dyDescent="0.2">
      <c r="A69" s="137">
        <v>225</v>
      </c>
      <c r="B69" s="137">
        <f t="shared" si="24"/>
        <v>498</v>
      </c>
      <c r="C69" s="140">
        <f t="shared" ref="C69:C74" si="27">10^(4.7593-0.01092*A69)</f>
        <v>200.58571459359496</v>
      </c>
      <c r="D69" s="140"/>
      <c r="E69" s="140"/>
      <c r="F69" s="141">
        <f t="shared" ref="F69:F74" si="28">-11.371+0.0168*$B69 + 2086/($B69)-LOG($B69)</f>
        <v>-1.5130743226793983</v>
      </c>
      <c r="G69" s="141">
        <f t="shared" si="25"/>
        <v>-1.5130743226793983</v>
      </c>
      <c r="H69" s="141">
        <f t="shared" si="25"/>
        <v>-2.0309302519698562</v>
      </c>
      <c r="I69" s="141">
        <f t="shared" si="25"/>
        <v>-2.4940126449621944</v>
      </c>
      <c r="J69" s="141">
        <f t="shared" si="25"/>
        <v>-3.3388532220000613</v>
      </c>
      <c r="K69" s="141">
        <f t="shared" si="25"/>
        <v>-3.7363430374076092</v>
      </c>
      <c r="L69" s="141">
        <f t="shared" si="25"/>
        <v>-3.8153743226793986</v>
      </c>
      <c r="M69" s="141">
        <f t="shared" ref="M69:M74" si="29">$L69-LOG(1+M$67*($C69-1))</f>
        <v>-3.8944056079511875</v>
      </c>
      <c r="N69" s="141">
        <f t="shared" si="26"/>
        <v>-4.2918954233587359</v>
      </c>
      <c r="O69" s="141">
        <f t="shared" si="26"/>
        <v>-5.1367360003966027</v>
      </c>
    </row>
    <row r="70" spans="1:15" x14ac:dyDescent="0.2">
      <c r="A70" s="137">
        <v>250</v>
      </c>
      <c r="B70" s="137">
        <f t="shared" si="24"/>
        <v>523</v>
      </c>
      <c r="C70" s="140">
        <f t="shared" si="27"/>
        <v>106.97936112908468</v>
      </c>
      <c r="D70" s="140"/>
      <c r="E70" s="140"/>
      <c r="F70" s="141">
        <f t="shared" si="28"/>
        <v>-1.3145739642018839</v>
      </c>
      <c r="G70" s="141">
        <f t="shared" si="25"/>
        <v>-1.3145739642018839</v>
      </c>
      <c r="H70" s="141">
        <f t="shared" si="25"/>
        <v>-1.8280821100682292</v>
      </c>
      <c r="I70" s="141">
        <f t="shared" si="25"/>
        <v>-2.2794932520890261</v>
      </c>
      <c r="J70" s="141">
        <f t="shared" si="25"/>
        <v>-3.0300502574094015</v>
      </c>
      <c r="K70" s="141">
        <f t="shared" si="25"/>
        <v>-3.300126941601544</v>
      </c>
      <c r="L70" s="141">
        <f t="shared" si="25"/>
        <v>-3.3438739642018835</v>
      </c>
      <c r="M70" s="141">
        <f t="shared" si="29"/>
        <v>-3.3876209868022231</v>
      </c>
      <c r="N70" s="141">
        <f t="shared" si="26"/>
        <v>-3.6576976709943656</v>
      </c>
      <c r="O70" s="141">
        <f t="shared" si="26"/>
        <v>-4.4082546763147405</v>
      </c>
    </row>
    <row r="71" spans="1:15" x14ac:dyDescent="0.2">
      <c r="A71" s="137">
        <v>275</v>
      </c>
      <c r="B71" s="137">
        <f t="shared" si="24"/>
        <v>548</v>
      </c>
      <c r="C71" s="140">
        <f t="shared" si="27"/>
        <v>57.055826387112866</v>
      </c>
      <c r="D71" s="140"/>
      <c r="E71" s="140"/>
      <c r="F71" s="141">
        <f t="shared" si="28"/>
        <v>-1.0968112154186778</v>
      </c>
      <c r="G71" s="141">
        <f t="shared" si="25"/>
        <v>-1.0968112154186778</v>
      </c>
      <c r="H71" s="141">
        <f t="shared" si="25"/>
        <v>-1.602282780081955</v>
      </c>
      <c r="I71" s="141">
        <f t="shared" si="25"/>
        <v>-2.0332000852747174</v>
      </c>
      <c r="J71" s="141">
        <f t="shared" si="25"/>
        <v>-2.6598312276109439</v>
      </c>
      <c r="K71" s="141">
        <f t="shared" si="25"/>
        <v>-2.8294243384604476</v>
      </c>
      <c r="L71" s="141">
        <f t="shared" si="25"/>
        <v>-2.8531112154186777</v>
      </c>
      <c r="M71" s="141">
        <f t="shared" si="29"/>
        <v>-2.8767980923769079</v>
      </c>
      <c r="N71" s="141">
        <f t="shared" si="26"/>
        <v>-3.0463912032264115</v>
      </c>
      <c r="O71" s="141">
        <f t="shared" si="26"/>
        <v>-3.6730223455626381</v>
      </c>
    </row>
    <row r="72" spans="1:15" x14ac:dyDescent="0.2">
      <c r="A72" s="137">
        <v>300</v>
      </c>
      <c r="B72" s="137">
        <f t="shared" si="24"/>
        <v>573</v>
      </c>
      <c r="C72" s="140">
        <f t="shared" si="27"/>
        <v>30.429863203130687</v>
      </c>
      <c r="D72" s="140"/>
      <c r="E72" s="140"/>
      <c r="F72" s="141">
        <f t="shared" si="28"/>
        <v>-0.8622659657719276</v>
      </c>
      <c r="G72" s="141">
        <f t="shared" si="25"/>
        <v>-0.8622659657719276</v>
      </c>
      <c r="H72" s="141">
        <f t="shared" si="25"/>
        <v>-1.353058444019327</v>
      </c>
      <c r="I72" s="141">
        <f t="shared" si="25"/>
        <v>-1.7497406954252717</v>
      </c>
      <c r="J72" s="141">
        <f t="shared" si="25"/>
        <v>-2.2335314736123033</v>
      </c>
      <c r="K72" s="141">
        <f t="shared" si="25"/>
        <v>-2.3329692030271847</v>
      </c>
      <c r="L72" s="141">
        <f t="shared" si="25"/>
        <v>-2.3455659657719279</v>
      </c>
      <c r="M72" s="141">
        <f t="shared" si="29"/>
        <v>-2.3581627285166711</v>
      </c>
      <c r="N72" s="141">
        <f t="shared" si="26"/>
        <v>-2.457600457931552</v>
      </c>
      <c r="O72" s="141">
        <f t="shared" si="26"/>
        <v>-2.9413912361185841</v>
      </c>
    </row>
    <row r="73" spans="1:15" x14ac:dyDescent="0.2">
      <c r="A73" s="137">
        <v>325</v>
      </c>
      <c r="B73" s="137">
        <f t="shared" si="24"/>
        <v>598</v>
      </c>
      <c r="C73" s="140">
        <f t="shared" si="27"/>
        <v>16.2293079111443</v>
      </c>
      <c r="D73" s="140"/>
      <c r="E73" s="140"/>
      <c r="F73" s="141">
        <f t="shared" si="28"/>
        <v>-0.61300686960714001</v>
      </c>
      <c r="G73" s="141">
        <f t="shared" si="25"/>
        <v>-0.61300686960714001</v>
      </c>
      <c r="H73" s="141">
        <f t="shared" si="25"/>
        <v>-1.0775458436355443</v>
      </c>
      <c r="I73" s="141">
        <f t="shared" si="25"/>
        <v>-1.4214015324662435</v>
      </c>
      <c r="J73" s="141">
        <f t="shared" si="25"/>
        <v>-1.7617439161686577</v>
      </c>
      <c r="K73" s="141">
        <f t="shared" si="25"/>
        <v>-1.8167427230102839</v>
      </c>
      <c r="L73" s="141">
        <f t="shared" si="25"/>
        <v>-1.8233068696071399</v>
      </c>
      <c r="M73" s="141">
        <f t="shared" si="29"/>
        <v>-1.8298710162039959</v>
      </c>
      <c r="N73" s="141">
        <f t="shared" si="26"/>
        <v>-1.884869823045622</v>
      </c>
      <c r="O73" s="141">
        <f t="shared" si="26"/>
        <v>-2.2252122067480364</v>
      </c>
    </row>
    <row r="74" spans="1:15" x14ac:dyDescent="0.2">
      <c r="A74" s="137">
        <v>350</v>
      </c>
      <c r="B74" s="137">
        <f t="shared" si="24"/>
        <v>623</v>
      </c>
      <c r="C74" s="140">
        <f t="shared" si="27"/>
        <v>8.6556562386265696</v>
      </c>
      <c r="D74" s="140"/>
      <c r="E74" s="140"/>
      <c r="F74" s="141">
        <f t="shared" si="28"/>
        <v>-0.3507734399175968</v>
      </c>
      <c r="G74" s="141">
        <f t="shared" si="25"/>
        <v>-0.3507734399175968</v>
      </c>
      <c r="H74" s="141">
        <f t="shared" si="25"/>
        <v>-0.76999442393879947</v>
      </c>
      <c r="I74" s="141">
        <f t="shared" si="25"/>
        <v>-1.0411895755365945</v>
      </c>
      <c r="J74" s="141">
        <f t="shared" si="25"/>
        <v>-1.2560365872844166</v>
      </c>
      <c r="K74" s="141">
        <f t="shared" si="25"/>
        <v>-1.2847612928722101</v>
      </c>
      <c r="L74" s="141">
        <f t="shared" si="25"/>
        <v>-1.2880734399175968</v>
      </c>
      <c r="M74" s="141">
        <f t="shared" si="29"/>
        <v>-1.2913855869629836</v>
      </c>
      <c r="N74" s="141">
        <f t="shared" si="26"/>
        <v>-1.3201102925507771</v>
      </c>
      <c r="O74" s="141">
        <f>$L74-LOG(1+O$67*($C74-1))</f>
        <v>-1.5349573042985991</v>
      </c>
    </row>
    <row r="81" spans="1:15" x14ac:dyDescent="0.2">
      <c r="A81" s="136" t="s">
        <v>231</v>
      </c>
      <c r="D81" s="137" t="s">
        <v>41</v>
      </c>
      <c r="E81" s="244" t="s">
        <v>232</v>
      </c>
      <c r="F81" s="244"/>
      <c r="G81" s="244"/>
    </row>
    <row r="82" spans="1:15" x14ac:dyDescent="0.2">
      <c r="A82" s="137" t="s">
        <v>16</v>
      </c>
      <c r="E82" s="137" t="s">
        <v>138</v>
      </c>
    </row>
    <row r="83" spans="1:15" x14ac:dyDescent="0.2">
      <c r="C83" s="137" t="s">
        <v>137</v>
      </c>
      <c r="H83" s="138"/>
    </row>
    <row r="86" spans="1:15" x14ac:dyDescent="0.2">
      <c r="C86" s="140"/>
      <c r="G86" s="139" t="s">
        <v>7</v>
      </c>
      <c r="H86" s="139"/>
      <c r="I86" s="139"/>
      <c r="J86" s="139"/>
      <c r="K86" s="139"/>
      <c r="L86" s="139"/>
      <c r="M86" s="294" t="s">
        <v>216</v>
      </c>
      <c r="N86" s="294"/>
      <c r="O86" s="294"/>
    </row>
    <row r="87" spans="1:15" x14ac:dyDescent="0.2">
      <c r="A87" s="137" t="s">
        <v>0</v>
      </c>
      <c r="B87" s="137" t="s">
        <v>3</v>
      </c>
      <c r="C87" s="137" t="s">
        <v>120</v>
      </c>
      <c r="F87" s="137" t="s">
        <v>8</v>
      </c>
      <c r="G87" s="137">
        <f t="shared" ref="G87:L87" si="30">G$7</f>
        <v>1</v>
      </c>
      <c r="H87" s="137">
        <f t="shared" si="30"/>
        <v>0.3</v>
      </c>
      <c r="I87" s="137">
        <f t="shared" si="30"/>
        <v>0.1</v>
      </c>
      <c r="J87" s="137">
        <f t="shared" si="30"/>
        <v>0.01</v>
      </c>
      <c r="K87" s="137">
        <f t="shared" si="30"/>
        <v>1E-3</v>
      </c>
      <c r="L87" s="137">
        <f t="shared" si="30"/>
        <v>0</v>
      </c>
      <c r="M87" s="137">
        <v>1E-3</v>
      </c>
      <c r="N87" s="137">
        <v>0.01</v>
      </c>
      <c r="O87" s="137">
        <v>0.1</v>
      </c>
    </row>
    <row r="88" spans="1:15" x14ac:dyDescent="0.2">
      <c r="A88" s="137">
        <v>200</v>
      </c>
      <c r="B88" s="137">
        <f t="shared" ref="B88:B94" si="31">A88+273</f>
        <v>473</v>
      </c>
      <c r="C88" s="140">
        <f>10^(4.7593-0.01092*$A88)</f>
        <v>376.09711325976934</v>
      </c>
      <c r="D88" s="140"/>
      <c r="E88" s="140"/>
      <c r="F88" s="141">
        <f>-11.371+0.0168*$B88 + 2086/($B88)-LOG($B88)</f>
        <v>-1.6893131491944722</v>
      </c>
      <c r="G88" s="141">
        <f t="shared" ref="G88:L94" si="32">LOG(G$27+(1-G$27)/$C88)+$F88</f>
        <v>-1.6893131491944722</v>
      </c>
      <c r="H88" s="141">
        <f t="shared" si="32"/>
        <v>-2.2095058242095269</v>
      </c>
      <c r="I88" s="141">
        <f t="shared" si="32"/>
        <v>-2.6790428860899231</v>
      </c>
      <c r="J88" s="141">
        <f t="shared" si="32"/>
        <v>-3.5878307575863841</v>
      </c>
      <c r="K88" s="141">
        <f t="shared" si="32"/>
        <v>-4.1262797788365422</v>
      </c>
      <c r="L88" s="141">
        <f t="shared" si="32"/>
        <v>-4.2646131491944725</v>
      </c>
      <c r="M88" s="141">
        <f>$L88-LOG(1+M$67*($C88-1))</f>
        <v>-4.4029465195524029</v>
      </c>
      <c r="N88" s="141">
        <f t="shared" ref="N88:O94" si="33">$L88-LOG(1+N$67*($C88-1))</f>
        <v>-4.9413955408025609</v>
      </c>
      <c r="O88" s="141">
        <f t="shared" si="33"/>
        <v>-5.8501834122990219</v>
      </c>
    </row>
    <row r="89" spans="1:15" x14ac:dyDescent="0.2">
      <c r="A89" s="137">
        <v>225</v>
      </c>
      <c r="B89" s="137">
        <f t="shared" si="31"/>
        <v>498</v>
      </c>
      <c r="C89" s="140">
        <f t="shared" ref="C89:C94" si="34">10^(4.7593-0.01092*A89)</f>
        <v>200.58571459359496</v>
      </c>
      <c r="D89" s="140"/>
      <c r="E89" s="140"/>
      <c r="F89" s="141">
        <f t="shared" ref="F89:F94" si="35">-11.371+0.0168*$B89 + 2086/($B89)-LOG($B89)</f>
        <v>-1.5130743226793983</v>
      </c>
      <c r="G89" s="141">
        <f t="shared" si="32"/>
        <v>-1.5130743226793983</v>
      </c>
      <c r="H89" s="141">
        <f t="shared" si="32"/>
        <v>-2.0309302519698562</v>
      </c>
      <c r="I89" s="141">
        <f t="shared" si="32"/>
        <v>-2.4940126449621944</v>
      </c>
      <c r="J89" s="141">
        <f t="shared" si="32"/>
        <v>-3.3388532220000613</v>
      </c>
      <c r="K89" s="141">
        <f t="shared" si="32"/>
        <v>-3.7363430374076092</v>
      </c>
      <c r="L89" s="141">
        <f t="shared" si="32"/>
        <v>-3.8153743226793986</v>
      </c>
      <c r="M89" s="141">
        <f t="shared" ref="M89:M94" si="36">$L89-LOG(1+M$67*($C89-1))</f>
        <v>-3.8944056079511875</v>
      </c>
      <c r="N89" s="141">
        <f t="shared" si="33"/>
        <v>-4.2918954233587359</v>
      </c>
      <c r="O89" s="141">
        <f t="shared" si="33"/>
        <v>-5.1367360003966027</v>
      </c>
    </row>
    <row r="90" spans="1:15" x14ac:dyDescent="0.2">
      <c r="A90" s="137">
        <v>250</v>
      </c>
      <c r="B90" s="137">
        <f t="shared" si="31"/>
        <v>523</v>
      </c>
      <c r="C90" s="140">
        <f t="shared" si="34"/>
        <v>106.97936112908468</v>
      </c>
      <c r="D90" s="140"/>
      <c r="E90" s="140"/>
      <c r="F90" s="141">
        <f t="shared" si="35"/>
        <v>-1.3145739642018839</v>
      </c>
      <c r="G90" s="141">
        <f t="shared" si="32"/>
        <v>-1.3145739642018839</v>
      </c>
      <c r="H90" s="141">
        <f t="shared" si="32"/>
        <v>-1.8280821100682292</v>
      </c>
      <c r="I90" s="141">
        <f t="shared" si="32"/>
        <v>-2.2794932520890261</v>
      </c>
      <c r="J90" s="141">
        <f t="shared" si="32"/>
        <v>-3.0300502574094015</v>
      </c>
      <c r="K90" s="141">
        <f t="shared" si="32"/>
        <v>-3.300126941601544</v>
      </c>
      <c r="L90" s="141">
        <f t="shared" si="32"/>
        <v>-3.3438739642018835</v>
      </c>
      <c r="M90" s="141">
        <f t="shared" si="36"/>
        <v>-3.3876209868022231</v>
      </c>
      <c r="N90" s="141">
        <f t="shared" si="33"/>
        <v>-3.6576976709943656</v>
      </c>
      <c r="O90" s="141">
        <f t="shared" si="33"/>
        <v>-4.4082546763147405</v>
      </c>
    </row>
    <row r="91" spans="1:15" x14ac:dyDescent="0.2">
      <c r="A91" s="137">
        <v>275</v>
      </c>
      <c r="B91" s="137">
        <f t="shared" si="31"/>
        <v>548</v>
      </c>
      <c r="C91" s="140">
        <f t="shared" si="34"/>
        <v>57.055826387112866</v>
      </c>
      <c r="D91" s="140"/>
      <c r="E91" s="140"/>
      <c r="F91" s="141">
        <f t="shared" si="35"/>
        <v>-1.0968112154186778</v>
      </c>
      <c r="G91" s="141">
        <f t="shared" si="32"/>
        <v>-1.0968112154186778</v>
      </c>
      <c r="H91" s="141">
        <f t="shared" si="32"/>
        <v>-1.602282780081955</v>
      </c>
      <c r="I91" s="141">
        <f t="shared" si="32"/>
        <v>-2.0332000852747174</v>
      </c>
      <c r="J91" s="141">
        <f t="shared" si="32"/>
        <v>-2.6598312276109439</v>
      </c>
      <c r="K91" s="141">
        <f t="shared" si="32"/>
        <v>-2.8294243384604476</v>
      </c>
      <c r="L91" s="141">
        <f t="shared" si="32"/>
        <v>-2.8531112154186777</v>
      </c>
      <c r="M91" s="141">
        <f t="shared" si="36"/>
        <v>-2.8767980923769079</v>
      </c>
      <c r="N91" s="141">
        <f t="shared" si="33"/>
        <v>-3.0463912032264115</v>
      </c>
      <c r="O91" s="141">
        <f t="shared" si="33"/>
        <v>-3.6730223455626381</v>
      </c>
    </row>
    <row r="92" spans="1:15" x14ac:dyDescent="0.2">
      <c r="A92" s="137">
        <v>300</v>
      </c>
      <c r="B92" s="137">
        <f t="shared" si="31"/>
        <v>573</v>
      </c>
      <c r="C92" s="140">
        <f t="shared" si="34"/>
        <v>30.429863203130687</v>
      </c>
      <c r="D92" s="140"/>
      <c r="E92" s="140"/>
      <c r="F92" s="141">
        <f t="shared" si="35"/>
        <v>-0.8622659657719276</v>
      </c>
      <c r="G92" s="141">
        <f t="shared" si="32"/>
        <v>-0.8622659657719276</v>
      </c>
      <c r="H92" s="141">
        <f t="shared" si="32"/>
        <v>-1.353058444019327</v>
      </c>
      <c r="I92" s="141">
        <f t="shared" si="32"/>
        <v>-1.7497406954252717</v>
      </c>
      <c r="J92" s="141">
        <f t="shared" si="32"/>
        <v>-2.2335314736123033</v>
      </c>
      <c r="K92" s="141">
        <f t="shared" si="32"/>
        <v>-2.3329692030271847</v>
      </c>
      <c r="L92" s="141">
        <f t="shared" si="32"/>
        <v>-2.3455659657719279</v>
      </c>
      <c r="M92" s="141">
        <f t="shared" si="36"/>
        <v>-2.3581627285166711</v>
      </c>
      <c r="N92" s="141">
        <f t="shared" si="33"/>
        <v>-2.457600457931552</v>
      </c>
      <c r="O92" s="141">
        <f t="shared" si="33"/>
        <v>-2.9413912361185841</v>
      </c>
    </row>
    <row r="93" spans="1:15" x14ac:dyDescent="0.2">
      <c r="A93" s="137">
        <v>325</v>
      </c>
      <c r="B93" s="137">
        <f t="shared" si="31"/>
        <v>598</v>
      </c>
      <c r="C93" s="140">
        <f t="shared" si="34"/>
        <v>16.2293079111443</v>
      </c>
      <c r="D93" s="140"/>
      <c r="E93" s="140"/>
      <c r="F93" s="141">
        <f t="shared" si="35"/>
        <v>-0.61300686960714001</v>
      </c>
      <c r="G93" s="141">
        <f t="shared" si="32"/>
        <v>-0.61300686960714001</v>
      </c>
      <c r="H93" s="141">
        <f t="shared" si="32"/>
        <v>-1.0775458436355443</v>
      </c>
      <c r="I93" s="141">
        <f t="shared" si="32"/>
        <v>-1.4214015324662435</v>
      </c>
      <c r="J93" s="141">
        <f t="shared" si="32"/>
        <v>-1.7617439161686577</v>
      </c>
      <c r="K93" s="141">
        <f t="shared" si="32"/>
        <v>-1.8167427230102839</v>
      </c>
      <c r="L93" s="141">
        <f t="shared" si="32"/>
        <v>-1.8233068696071399</v>
      </c>
      <c r="M93" s="141">
        <f t="shared" si="36"/>
        <v>-1.8298710162039959</v>
      </c>
      <c r="N93" s="141">
        <f t="shared" si="33"/>
        <v>-1.884869823045622</v>
      </c>
      <c r="O93" s="141">
        <f t="shared" si="33"/>
        <v>-2.2252122067480364</v>
      </c>
    </row>
    <row r="94" spans="1:15" x14ac:dyDescent="0.2">
      <c r="A94" s="137">
        <v>350</v>
      </c>
      <c r="B94" s="137">
        <f t="shared" si="31"/>
        <v>623</v>
      </c>
      <c r="C94" s="140">
        <f t="shared" si="34"/>
        <v>8.6556562386265696</v>
      </c>
      <c r="D94" s="140"/>
      <c r="E94" s="140"/>
      <c r="F94" s="141">
        <f t="shared" si="35"/>
        <v>-0.3507734399175968</v>
      </c>
      <c r="G94" s="141">
        <f t="shared" si="32"/>
        <v>-0.3507734399175968</v>
      </c>
      <c r="H94" s="141">
        <f t="shared" si="32"/>
        <v>-0.76999442393879947</v>
      </c>
      <c r="I94" s="141">
        <f t="shared" si="32"/>
        <v>-1.0411895755365945</v>
      </c>
      <c r="J94" s="141">
        <f t="shared" si="32"/>
        <v>-1.2560365872844166</v>
      </c>
      <c r="K94" s="141">
        <f t="shared" si="32"/>
        <v>-1.2847612928722101</v>
      </c>
      <c r="L94" s="141">
        <f t="shared" si="32"/>
        <v>-1.2880734399175968</v>
      </c>
      <c r="M94" s="141">
        <f t="shared" si="36"/>
        <v>-1.2913855869629836</v>
      </c>
      <c r="N94" s="141">
        <f t="shared" si="33"/>
        <v>-1.3201102925507771</v>
      </c>
      <c r="O94" s="141">
        <f>$L94-LOG(1+O$67*($C94-1))</f>
        <v>-1.5349573042985991</v>
      </c>
    </row>
    <row r="101" spans="1:15" x14ac:dyDescent="0.2">
      <c r="A101" s="136" t="s">
        <v>40</v>
      </c>
      <c r="C101" s="140"/>
      <c r="D101" s="140"/>
      <c r="F101" s="141"/>
      <c r="G101" s="141"/>
      <c r="H101" s="141"/>
      <c r="I101" s="141"/>
      <c r="J101" s="141"/>
      <c r="K101" s="141"/>
      <c r="L101" s="141"/>
      <c r="M101" s="141"/>
    </row>
    <row r="102" spans="1:15" x14ac:dyDescent="0.2">
      <c r="A102" s="137" t="s">
        <v>233</v>
      </c>
    </row>
    <row r="103" spans="1:15" x14ac:dyDescent="0.2">
      <c r="C103" s="137" t="s">
        <v>38</v>
      </c>
    </row>
    <row r="104" spans="1:15" x14ac:dyDescent="0.2">
      <c r="C104" s="137" t="s">
        <v>128</v>
      </c>
      <c r="I104" s="140" t="s">
        <v>37</v>
      </c>
    </row>
    <row r="105" spans="1:15" x14ac:dyDescent="0.2">
      <c r="C105" s="137" t="s">
        <v>25</v>
      </c>
    </row>
    <row r="106" spans="1:15" x14ac:dyDescent="0.2">
      <c r="C106" s="140"/>
      <c r="G106" s="139" t="s">
        <v>7</v>
      </c>
      <c r="H106" s="139"/>
      <c r="I106" s="139"/>
      <c r="J106" s="139"/>
      <c r="K106" s="139"/>
      <c r="L106" s="139"/>
      <c r="M106" s="294" t="s">
        <v>216</v>
      </c>
      <c r="N106" s="294"/>
      <c r="O106" s="294"/>
    </row>
    <row r="107" spans="1:15" x14ac:dyDescent="0.2">
      <c r="A107" s="137" t="s">
        <v>0</v>
      </c>
      <c r="B107" s="137" t="s">
        <v>3</v>
      </c>
      <c r="C107" s="137" t="s">
        <v>127</v>
      </c>
      <c r="D107" s="137" t="s">
        <v>121</v>
      </c>
      <c r="F107" s="137" t="s">
        <v>8</v>
      </c>
      <c r="G107" s="137">
        <f t="shared" ref="G107:L107" si="37">G$7</f>
        <v>1</v>
      </c>
      <c r="H107" s="137">
        <f t="shared" si="37"/>
        <v>0.3</v>
      </c>
      <c r="I107" s="137">
        <f t="shared" si="37"/>
        <v>0.1</v>
      </c>
      <c r="J107" s="137">
        <f t="shared" si="37"/>
        <v>0.01</v>
      </c>
      <c r="K107" s="137">
        <f t="shared" si="37"/>
        <v>1E-3</v>
      </c>
      <c r="L107" s="137">
        <f t="shared" si="37"/>
        <v>0</v>
      </c>
      <c r="M107" s="137">
        <v>1E-3</v>
      </c>
      <c r="N107" s="137">
        <v>0.01</v>
      </c>
      <c r="O107" s="137">
        <v>0.1</v>
      </c>
    </row>
    <row r="108" spans="1:15" x14ac:dyDescent="0.2">
      <c r="A108" s="137">
        <v>200</v>
      </c>
      <c r="B108" s="137">
        <f t="shared" ref="B108:B114" si="38">A108+273</f>
        <v>473</v>
      </c>
      <c r="C108" s="140">
        <f t="shared" ref="C108:C114" si="39">10^(4.0547-0.00981*A108)</f>
        <v>123.79411516551075</v>
      </c>
      <c r="D108" s="140">
        <f t="shared" ref="D108:D114" si="40">10^(6.2283-0.01403*A108)</f>
        <v>2644.2346992115899</v>
      </c>
      <c r="E108" s="140"/>
      <c r="F108" s="141">
        <f>9.7 - 5969/($A108+273)-2*LOG($A108+273)</f>
        <v>-8.2691725986003597</v>
      </c>
      <c r="G108" s="141">
        <f>3*LOG(G$27+(1-G$27)/$C108)-LOG(G$27+(1-G$27)/$D108)+$F108</f>
        <v>-8.2691725986003597</v>
      </c>
      <c r="H108" s="141">
        <f t="shared" ref="H108:L114" si="41">3*LOG(H$27+(1-H$27)/$C108)-LOG(H$27+(1-H$27)/$D108)+$F108</f>
        <v>-9.2909843208647462</v>
      </c>
      <c r="I108" s="141">
        <f t="shared" si="41"/>
        <v>-10.179211778526568</v>
      </c>
      <c r="J108" s="141">
        <f t="shared" si="41"/>
        <v>-11.519524418254221</v>
      </c>
      <c r="K108" s="141">
        <f t="shared" si="41"/>
        <v>-11.535559365057225</v>
      </c>
      <c r="L108" s="141">
        <f t="shared" si="41"/>
        <v>-11.124972598600364</v>
      </c>
      <c r="M108" s="141">
        <f>$L108-(3*LOG(1+M$107*($C108-1))-LOG(1+M$107*($D108-1)))</f>
        <v>-10.714385832143503</v>
      </c>
      <c r="N108" s="141">
        <f t="shared" ref="N108:O114" si="42">$L108-(3*LOG(1+N$107*($C108-1))-LOG(1+N$107*($D108-1)))</f>
        <v>-10.730420778946504</v>
      </c>
      <c r="O108" s="141">
        <f>$L108-(3*LOG(1+O$107*($C108-1))-LOG(1+O$107*($D108-1)))</f>
        <v>-12.070733418674157</v>
      </c>
    </row>
    <row r="109" spans="1:15" x14ac:dyDescent="0.2">
      <c r="A109" s="137">
        <v>225</v>
      </c>
      <c r="B109" s="137">
        <f t="shared" si="38"/>
        <v>498</v>
      </c>
      <c r="C109" s="140">
        <f t="shared" si="39"/>
        <v>70.380119516490552</v>
      </c>
      <c r="D109" s="140">
        <f t="shared" si="40"/>
        <v>1179.0982641340704</v>
      </c>
      <c r="E109" s="140"/>
      <c r="F109" s="141">
        <f t="shared" ref="F109:F114" si="43">9.7 - 5969/($A109+273)-2*LOG($A109+273)</f>
        <v>-7.6804024606198382</v>
      </c>
      <c r="G109" s="141">
        <f t="shared" ref="G109:G114" si="44">3*LOG(G$27+(1-G$27)/$C109)-LOG(G$27+(1-G$27)/$D109)+$F109</f>
        <v>-7.6804024606198382</v>
      </c>
      <c r="H109" s="141">
        <f t="shared" si="41"/>
        <v>-8.6845242293486393</v>
      </c>
      <c r="I109" s="141">
        <f t="shared" si="41"/>
        <v>-9.5269195766119559</v>
      </c>
      <c r="J109" s="141">
        <f t="shared" si="41"/>
        <v>-10.571179400703237</v>
      </c>
      <c r="K109" s="141">
        <f t="shared" si="41"/>
        <v>-10.401883611470403</v>
      </c>
      <c r="L109" s="141">
        <f t="shared" si="41"/>
        <v>-10.151202460619841</v>
      </c>
      <c r="M109" s="141">
        <f t="shared" ref="M109:M114" si="45">$L109-(3*LOG(1+M$107*($C109-1))-LOG(1+M$107*($D109-1)))</f>
        <v>-9.9005213097692781</v>
      </c>
      <c r="N109" s="141">
        <f t="shared" si="42"/>
        <v>-9.7312255205364462</v>
      </c>
      <c r="O109" s="141">
        <f t="shared" si="42"/>
        <v>-10.775485344627725</v>
      </c>
    </row>
    <row r="110" spans="1:15" x14ac:dyDescent="0.2">
      <c r="A110" s="137">
        <v>250</v>
      </c>
      <c r="B110" s="137">
        <f t="shared" si="38"/>
        <v>523</v>
      </c>
      <c r="C110" s="140">
        <f t="shared" si="39"/>
        <v>40.01289735406997</v>
      </c>
      <c r="D110" s="140">
        <f t="shared" si="40"/>
        <v>525.77508225669396</v>
      </c>
      <c r="E110" s="140"/>
      <c r="F110" s="141">
        <f t="shared" si="43"/>
        <v>-7.150005289780438</v>
      </c>
      <c r="G110" s="141">
        <f t="shared" si="44"/>
        <v>-7.150005289780438</v>
      </c>
      <c r="H110" s="141">
        <f t="shared" si="41"/>
        <v>-8.1238415913068849</v>
      </c>
      <c r="I110" s="141">
        <f t="shared" si="41"/>
        <v>-8.8930453243562031</v>
      </c>
      <c r="J110" s="141">
        <f t="shared" si="41"/>
        <v>-9.6023637047048762</v>
      </c>
      <c r="K110" s="141">
        <f t="shared" si="41"/>
        <v>-9.3691482603564111</v>
      </c>
      <c r="L110" s="141">
        <f t="shared" si="41"/>
        <v>-9.2358052897804406</v>
      </c>
      <c r="M110" s="141">
        <f t="shared" si="45"/>
        <v>-9.10246231920447</v>
      </c>
      <c r="N110" s="141">
        <f t="shared" si="42"/>
        <v>-8.8692468748560049</v>
      </c>
      <c r="O110" s="141">
        <f t="shared" si="42"/>
        <v>-9.5785652552046798</v>
      </c>
    </row>
    <row r="111" spans="1:15" x14ac:dyDescent="0.2">
      <c r="A111" s="137">
        <v>275</v>
      </c>
      <c r="B111" s="137">
        <f t="shared" si="38"/>
        <v>548</v>
      </c>
      <c r="C111" s="140">
        <f t="shared" si="39"/>
        <v>22.748355155779553</v>
      </c>
      <c r="D111" s="140">
        <f t="shared" si="40"/>
        <v>234.44987201728316</v>
      </c>
      <c r="E111" s="140"/>
      <c r="F111" s="141">
        <f t="shared" si="43"/>
        <v>-6.6698968833920969</v>
      </c>
      <c r="G111" s="141">
        <f t="shared" si="44"/>
        <v>-6.6698968833920969</v>
      </c>
      <c r="H111" s="141">
        <f t="shared" si="41"/>
        <v>-7.5927349602771441</v>
      </c>
      <c r="I111" s="141">
        <f t="shared" si="41"/>
        <v>-8.2519427441603916</v>
      </c>
      <c r="J111" s="141">
        <f t="shared" si="41"/>
        <v>-8.6373381308911661</v>
      </c>
      <c r="K111" s="141">
        <f t="shared" si="41"/>
        <v>-8.4337865459167496</v>
      </c>
      <c r="L111" s="141">
        <f t="shared" si="41"/>
        <v>-8.3706968833920996</v>
      </c>
      <c r="M111" s="141">
        <f t="shared" si="45"/>
        <v>-8.3076072208674514</v>
      </c>
      <c r="N111" s="141">
        <f t="shared" si="42"/>
        <v>-8.1040556358930331</v>
      </c>
      <c r="O111" s="141">
        <f t="shared" si="42"/>
        <v>-8.4894510226238076</v>
      </c>
    </row>
    <row r="112" spans="1:15" x14ac:dyDescent="0.2">
      <c r="A112" s="137">
        <v>300</v>
      </c>
      <c r="B112" s="137">
        <f t="shared" si="38"/>
        <v>573</v>
      </c>
      <c r="C112" s="140">
        <f t="shared" si="39"/>
        <v>12.933021513395733</v>
      </c>
      <c r="D112" s="140">
        <f t="shared" si="40"/>
        <v>104.54421356941471</v>
      </c>
      <c r="E112" s="140"/>
      <c r="F112" s="141">
        <f t="shared" si="43"/>
        <v>-6.2334122107759669</v>
      </c>
      <c r="G112" s="141">
        <f t="shared" si="44"/>
        <v>-6.2334122107759669</v>
      </c>
      <c r="H112" s="141">
        <f t="shared" si="41"/>
        <v>-7.0726501201435656</v>
      </c>
      <c r="I112" s="141">
        <f t="shared" si="41"/>
        <v>-7.5810818235878328</v>
      </c>
      <c r="J112" s="141">
        <f t="shared" si="41"/>
        <v>-7.7109962896666335</v>
      </c>
      <c r="K112" s="141">
        <f t="shared" si="41"/>
        <v>-7.5765466443973697</v>
      </c>
      <c r="L112" s="141">
        <f t="shared" si="41"/>
        <v>-7.5492122107759707</v>
      </c>
      <c r="M112" s="141">
        <f t="shared" si="45"/>
        <v>-7.5218777771545708</v>
      </c>
      <c r="N112" s="141">
        <f t="shared" si="42"/>
        <v>-7.387428131885307</v>
      </c>
      <c r="O112" s="141">
        <f t="shared" si="42"/>
        <v>-7.5173425979641078</v>
      </c>
    </row>
    <row r="113" spans="1:23" x14ac:dyDescent="0.2">
      <c r="A113" s="137">
        <v>325</v>
      </c>
      <c r="B113" s="137">
        <f t="shared" si="38"/>
        <v>598</v>
      </c>
      <c r="C113" s="140">
        <f t="shared" si="39"/>
        <v>7.3527533890054126</v>
      </c>
      <c r="D113" s="140">
        <f t="shared" si="40"/>
        <v>46.617609541888406</v>
      </c>
      <c r="E113" s="140"/>
      <c r="F113" s="141">
        <f t="shared" si="43"/>
        <v>-5.8350077191473906</v>
      </c>
      <c r="G113" s="141">
        <f t="shared" si="44"/>
        <v>-5.8350077191473906</v>
      </c>
      <c r="H113" s="141">
        <f t="shared" si="41"/>
        <v>-6.5428812118733406</v>
      </c>
      <c r="I113" s="141">
        <f t="shared" si="41"/>
        <v>-6.8702473760025988</v>
      </c>
      <c r="J113" s="141">
        <f t="shared" si="41"/>
        <v>-6.8487754027660257</v>
      </c>
      <c r="K113" s="141">
        <f t="shared" si="41"/>
        <v>-6.7769298903588426</v>
      </c>
      <c r="L113" s="141">
        <f t="shared" si="41"/>
        <v>-6.7658077191473938</v>
      </c>
      <c r="M113" s="141">
        <f t="shared" si="45"/>
        <v>-6.7546855479359449</v>
      </c>
      <c r="N113" s="141">
        <f t="shared" si="42"/>
        <v>-6.6828400355287609</v>
      </c>
      <c r="O113" s="141">
        <f t="shared" si="42"/>
        <v>-6.6613680622921878</v>
      </c>
    </row>
    <row r="114" spans="1:23" x14ac:dyDescent="0.2">
      <c r="A114" s="137">
        <v>350</v>
      </c>
      <c r="B114" s="137">
        <f t="shared" si="38"/>
        <v>623</v>
      </c>
      <c r="C114" s="140">
        <f t="shared" si="39"/>
        <v>4.1802282895403335</v>
      </c>
      <c r="D114" s="140">
        <f t="shared" si="40"/>
        <v>20.787391718787124</v>
      </c>
      <c r="E114" s="140"/>
      <c r="F114" s="141">
        <f t="shared" si="43"/>
        <v>-5.4700354833664937</v>
      </c>
      <c r="G114" s="141">
        <f t="shared" si="44"/>
        <v>-5.4700354833664937</v>
      </c>
      <c r="H114" s="141">
        <f t="shared" si="41"/>
        <v>-5.9841388444095305</v>
      </c>
      <c r="I114" s="141">
        <f t="shared" si="41"/>
        <v>-6.1300991623043233</v>
      </c>
      <c r="J114" s="141">
        <f t="shared" si="41"/>
        <v>-6.0534571386584899</v>
      </c>
      <c r="K114" s="141">
        <f t="shared" si="41"/>
        <v>-6.0202082294293469</v>
      </c>
      <c r="L114" s="141">
        <f t="shared" si="41"/>
        <v>-6.0158354833664962</v>
      </c>
      <c r="M114" s="141">
        <f t="shared" si="45"/>
        <v>-6.0114627373036456</v>
      </c>
      <c r="N114" s="141">
        <f t="shared" si="42"/>
        <v>-5.9782138280745025</v>
      </c>
      <c r="O114" s="141">
        <f t="shared" si="42"/>
        <v>-5.9015718044286691</v>
      </c>
    </row>
    <row r="121" spans="1:23" x14ac:dyDescent="0.2">
      <c r="A121" s="136" t="s">
        <v>83</v>
      </c>
    </row>
    <row r="122" spans="1:23" x14ac:dyDescent="0.2">
      <c r="A122" s="137" t="s">
        <v>43</v>
      </c>
      <c r="C122" s="137" t="s">
        <v>42</v>
      </c>
      <c r="G122" s="137" t="s">
        <v>17</v>
      </c>
      <c r="H122" s="137" t="s">
        <v>46</v>
      </c>
    </row>
    <row r="124" spans="1:23" x14ac:dyDescent="0.2">
      <c r="G124" s="142"/>
      <c r="H124" s="142"/>
      <c r="I124" s="142"/>
      <c r="J124" s="137" t="s">
        <v>134</v>
      </c>
      <c r="K124" s="142"/>
      <c r="L124" s="142"/>
      <c r="M124" s="142"/>
      <c r="N124" s="142"/>
      <c r="O124" s="142"/>
      <c r="P124" s="142"/>
    </row>
    <row r="125" spans="1:23" x14ac:dyDescent="0.2">
      <c r="E125" s="142" t="s">
        <v>48</v>
      </c>
      <c r="F125" s="137">
        <f>J125+4</f>
        <v>1.2000000000000002</v>
      </c>
      <c r="G125" s="137">
        <f>J125+3</f>
        <v>0.20000000000000018</v>
      </c>
      <c r="H125" s="137">
        <f>J125+2</f>
        <v>-0.79999999999999982</v>
      </c>
      <c r="I125" s="137">
        <f>J125+1</f>
        <v>-1.7999999999999998</v>
      </c>
      <c r="J125" s="143">
        <f>input!S4</f>
        <v>-2.8</v>
      </c>
      <c r="K125" s="144">
        <f>input!S4</f>
        <v>-2.8</v>
      </c>
      <c r="L125" s="137">
        <f>K125-1</f>
        <v>-3.8</v>
      </c>
      <c r="M125" s="137">
        <f>K125-2</f>
        <v>-4.8</v>
      </c>
      <c r="N125" s="137">
        <f>K125-3</f>
        <v>-5.8</v>
      </c>
      <c r="O125" s="137">
        <f>K125-5</f>
        <v>-7.8</v>
      </c>
      <c r="P125" s="137">
        <f>K125-6</f>
        <v>-8.8000000000000007</v>
      </c>
      <c r="S125" s="145"/>
      <c r="V125" s="145"/>
    </row>
    <row r="126" spans="1:23" x14ac:dyDescent="0.2">
      <c r="F126" s="137" t="s">
        <v>52</v>
      </c>
    </row>
    <row r="127" spans="1:23" x14ac:dyDescent="0.2">
      <c r="A127" s="142" t="s">
        <v>0</v>
      </c>
      <c r="B127" s="142" t="s">
        <v>3</v>
      </c>
      <c r="C127" s="142" t="s">
        <v>120</v>
      </c>
      <c r="D127" s="142" t="s">
        <v>44</v>
      </c>
      <c r="E127" s="142" t="s">
        <v>45</v>
      </c>
      <c r="F127" s="146" t="s">
        <v>50</v>
      </c>
      <c r="G127" s="146" t="s">
        <v>50</v>
      </c>
      <c r="H127" s="146" t="s">
        <v>50</v>
      </c>
      <c r="I127" s="146" t="s">
        <v>50</v>
      </c>
      <c r="J127" s="146" t="s">
        <v>50</v>
      </c>
      <c r="K127" s="146" t="s">
        <v>51</v>
      </c>
      <c r="L127" s="146" t="s">
        <v>51</v>
      </c>
      <c r="M127" s="146" t="s">
        <v>51</v>
      </c>
      <c r="N127" s="146" t="s">
        <v>51</v>
      </c>
      <c r="O127" s="146" t="s">
        <v>51</v>
      </c>
      <c r="P127" s="146" t="s">
        <v>51</v>
      </c>
      <c r="Q127" s="147"/>
      <c r="S127" s="147"/>
      <c r="T127" s="147"/>
      <c r="V127" s="147"/>
      <c r="W127" s="147"/>
    </row>
    <row r="128" spans="1:23" x14ac:dyDescent="0.2">
      <c r="A128" s="137">
        <v>100</v>
      </c>
      <c r="B128" s="137">
        <f t="shared" ref="B128:B134" si="46">A128+273</f>
        <v>373</v>
      </c>
      <c r="C128" s="140">
        <f>10^(4.7593-0.01092*$A128)</f>
        <v>4648.3626185930125</v>
      </c>
      <c r="D128" s="140">
        <f>10^(6.3173-0.01388*A128)</f>
        <v>84976.727077597461</v>
      </c>
      <c r="E128" s="140">
        <f>10^(6.0783-0.01383*$A128)</f>
        <v>49579.255390630286</v>
      </c>
      <c r="F128" s="141">
        <f t="shared" ref="F128:I134" si="47">F$125+2.485-2248/$B128</f>
        <v>-2.3418096514745304</v>
      </c>
      <c r="G128" s="141">
        <f t="shared" si="47"/>
        <v>-3.3418096514745304</v>
      </c>
      <c r="H128" s="141">
        <f t="shared" si="47"/>
        <v>-4.3418096514745308</v>
      </c>
      <c r="I128" s="141">
        <f t="shared" si="47"/>
        <v>-5.3418096514745308</v>
      </c>
      <c r="J128" s="141">
        <f t="shared" ref="J128:J134" si="48">$K$125+2.485-2248/$B128</f>
        <v>-6.3418096514745308</v>
      </c>
      <c r="K128" s="141">
        <f t="shared" ref="K128:K134" si="49">J128+LOG($C128/$D128)</f>
        <v>-7.6038096514745313</v>
      </c>
      <c r="L128" s="141">
        <f t="shared" ref="L128:P134" si="50">L$125+2.485-2248/$B128+LOG($C128/$D128)</f>
        <v>-8.6038096514745313</v>
      </c>
      <c r="M128" s="141">
        <f t="shared" si="50"/>
        <v>-9.6038096514745313</v>
      </c>
      <c r="N128" s="141">
        <f t="shared" si="50"/>
        <v>-10.603809651474531</v>
      </c>
      <c r="O128" s="141">
        <f t="shared" si="50"/>
        <v>-12.603809651474531</v>
      </c>
      <c r="P128" s="141">
        <f t="shared" si="50"/>
        <v>-13.603809651474531</v>
      </c>
      <c r="Q128" s="148"/>
      <c r="S128" s="148"/>
      <c r="T128" s="148"/>
      <c r="V128" s="148"/>
      <c r="W128" s="148"/>
    </row>
    <row r="129" spans="1:23" x14ac:dyDescent="0.2">
      <c r="A129" s="137">
        <v>150</v>
      </c>
      <c r="B129" s="137">
        <f t="shared" si="46"/>
        <v>423</v>
      </c>
      <c r="C129" s="140">
        <f t="shared" ref="C129:C134" si="51">10^(4.7593-0.01092*$A129)</f>
        <v>1322.2086681902574</v>
      </c>
      <c r="D129" s="140">
        <f t="shared" ref="D129:D134" si="52">10^(6.3173-0.01388*A129)</f>
        <v>17190.954861928891</v>
      </c>
      <c r="E129" s="140">
        <f t="shared" ref="E129:E134" si="53">10^(6.0783-0.01383*$A129)</f>
        <v>10087.882149492711</v>
      </c>
      <c r="F129" s="141">
        <f t="shared" si="47"/>
        <v>-1.6294208037825055</v>
      </c>
      <c r="G129" s="141">
        <f t="shared" si="47"/>
        <v>-2.6294208037825055</v>
      </c>
      <c r="H129" s="141">
        <f t="shared" si="47"/>
        <v>-3.6294208037825055</v>
      </c>
      <c r="I129" s="141">
        <f t="shared" si="47"/>
        <v>-4.6294208037825051</v>
      </c>
      <c r="J129" s="141">
        <f t="shared" si="48"/>
        <v>-5.6294208037825051</v>
      </c>
      <c r="K129" s="141">
        <f t="shared" si="49"/>
        <v>-6.7434208037825059</v>
      </c>
      <c r="L129" s="141">
        <f t="shared" si="50"/>
        <v>-7.7434208037825059</v>
      </c>
      <c r="M129" s="141">
        <f t="shared" si="50"/>
        <v>-8.7434208037825059</v>
      </c>
      <c r="N129" s="141">
        <f t="shared" si="50"/>
        <v>-9.7434208037825059</v>
      </c>
      <c r="O129" s="141">
        <f t="shared" si="50"/>
        <v>-11.743420803782506</v>
      </c>
      <c r="P129" s="141">
        <f t="shared" si="50"/>
        <v>-12.743420803782508</v>
      </c>
      <c r="Q129" s="148"/>
      <c r="S129" s="148"/>
      <c r="T129" s="148"/>
      <c r="V129" s="148"/>
      <c r="W129" s="148"/>
    </row>
    <row r="130" spans="1:23" x14ac:dyDescent="0.2">
      <c r="A130" s="137">
        <v>200</v>
      </c>
      <c r="B130" s="137">
        <f t="shared" si="46"/>
        <v>473</v>
      </c>
      <c r="C130" s="140">
        <f t="shared" si="51"/>
        <v>376.09711325976934</v>
      </c>
      <c r="D130" s="140">
        <f t="shared" si="52"/>
        <v>3477.7631385474633</v>
      </c>
      <c r="E130" s="140">
        <f t="shared" si="53"/>
        <v>2052.5795609525312</v>
      </c>
      <c r="F130" s="141">
        <f t="shared" si="47"/>
        <v>-1.0676427061310778</v>
      </c>
      <c r="G130" s="141">
        <f t="shared" si="47"/>
        <v>-2.0676427061310778</v>
      </c>
      <c r="H130" s="141">
        <f t="shared" si="47"/>
        <v>-3.0676427061310778</v>
      </c>
      <c r="I130" s="141">
        <f t="shared" si="47"/>
        <v>-4.0676427061310783</v>
      </c>
      <c r="J130" s="141">
        <f t="shared" si="48"/>
        <v>-5.0676427061310783</v>
      </c>
      <c r="K130" s="141">
        <f t="shared" si="49"/>
        <v>-6.0336427061310793</v>
      </c>
      <c r="L130" s="141">
        <f t="shared" si="50"/>
        <v>-7.0336427061310793</v>
      </c>
      <c r="M130" s="141">
        <f t="shared" si="50"/>
        <v>-8.0336427061310793</v>
      </c>
      <c r="N130" s="141">
        <f t="shared" si="50"/>
        <v>-9.0336427061310793</v>
      </c>
      <c r="O130" s="141">
        <f t="shared" si="50"/>
        <v>-11.033642706131079</v>
      </c>
      <c r="P130" s="141">
        <f t="shared" si="50"/>
        <v>-12.033642706131079</v>
      </c>
      <c r="Q130" s="148"/>
      <c r="S130" s="148"/>
      <c r="T130" s="148"/>
      <c r="V130" s="148"/>
      <c r="W130" s="148"/>
    </row>
    <row r="131" spans="1:23" x14ac:dyDescent="0.2">
      <c r="A131" s="137">
        <v>250</v>
      </c>
      <c r="B131" s="137">
        <f t="shared" si="46"/>
        <v>523</v>
      </c>
      <c r="C131" s="140">
        <f t="shared" si="51"/>
        <v>106.97936112908468</v>
      </c>
      <c r="D131" s="140">
        <f t="shared" si="52"/>
        <v>703.55815281818468</v>
      </c>
      <c r="E131" s="140">
        <f t="shared" si="53"/>
        <v>417.63799295097363</v>
      </c>
      <c r="F131" s="141">
        <f t="shared" si="47"/>
        <v>-0.61327915869980876</v>
      </c>
      <c r="G131" s="141">
        <f t="shared" si="47"/>
        <v>-1.6132791586998088</v>
      </c>
      <c r="H131" s="141">
        <f t="shared" si="47"/>
        <v>-2.6132791586998088</v>
      </c>
      <c r="I131" s="141">
        <f t="shared" si="47"/>
        <v>-3.6132791586998088</v>
      </c>
      <c r="J131" s="141">
        <f t="shared" si="48"/>
        <v>-4.6132791586998092</v>
      </c>
      <c r="K131" s="141">
        <f t="shared" si="49"/>
        <v>-5.4312791586998097</v>
      </c>
      <c r="L131" s="141">
        <f t="shared" si="50"/>
        <v>-6.4312791586998097</v>
      </c>
      <c r="M131" s="141">
        <f t="shared" si="50"/>
        <v>-7.4312791586998097</v>
      </c>
      <c r="N131" s="141">
        <f t="shared" si="50"/>
        <v>-8.4312791586998106</v>
      </c>
      <c r="O131" s="141">
        <f t="shared" si="50"/>
        <v>-10.431279158699809</v>
      </c>
      <c r="P131" s="141">
        <f t="shared" si="50"/>
        <v>-11.431279158699812</v>
      </c>
      <c r="Q131" s="148"/>
      <c r="S131" s="148"/>
      <c r="T131" s="148"/>
      <c r="V131" s="148"/>
      <c r="W131" s="148"/>
    </row>
    <row r="132" spans="1:23" x14ac:dyDescent="0.2">
      <c r="A132" s="137">
        <v>300</v>
      </c>
      <c r="B132" s="137">
        <f t="shared" si="46"/>
        <v>573</v>
      </c>
      <c r="C132" s="140">
        <f t="shared" si="51"/>
        <v>30.429863203130687</v>
      </c>
      <c r="D132" s="140">
        <f t="shared" si="52"/>
        <v>142.33116364666475</v>
      </c>
      <c r="E132" s="140">
        <f t="shared" si="53"/>
        <v>84.976727077597261</v>
      </c>
      <c r="F132" s="141">
        <f t="shared" si="47"/>
        <v>-0.23821116928446751</v>
      </c>
      <c r="G132" s="141">
        <f t="shared" si="47"/>
        <v>-1.2382111692844675</v>
      </c>
      <c r="H132" s="141">
        <f t="shared" si="47"/>
        <v>-2.2382111692844675</v>
      </c>
      <c r="I132" s="141">
        <f t="shared" si="47"/>
        <v>-3.2382111692844675</v>
      </c>
      <c r="J132" s="141">
        <f t="shared" si="48"/>
        <v>-4.2382111692844671</v>
      </c>
      <c r="K132" s="141">
        <f t="shared" si="49"/>
        <v>-4.9082111692844679</v>
      </c>
      <c r="L132" s="141">
        <f t="shared" si="50"/>
        <v>-5.9082111692844679</v>
      </c>
      <c r="M132" s="141">
        <f t="shared" si="50"/>
        <v>-6.9082111692844679</v>
      </c>
      <c r="N132" s="141">
        <f t="shared" si="50"/>
        <v>-7.9082111692844679</v>
      </c>
      <c r="O132" s="141">
        <f t="shared" si="50"/>
        <v>-9.9082111692844688</v>
      </c>
      <c r="P132" s="141">
        <f t="shared" si="50"/>
        <v>-10.908211169284471</v>
      </c>
      <c r="Q132" s="148"/>
      <c r="S132" s="148"/>
      <c r="T132" s="148"/>
      <c r="V132" s="148"/>
      <c r="W132" s="148"/>
    </row>
    <row r="133" spans="1:23" x14ac:dyDescent="0.2">
      <c r="A133" s="137">
        <v>350</v>
      </c>
      <c r="B133" s="137">
        <f t="shared" si="46"/>
        <v>623</v>
      </c>
      <c r="C133" s="140">
        <f t="shared" si="51"/>
        <v>8.6556562386265696</v>
      </c>
      <c r="D133" s="140">
        <f t="shared" si="52"/>
        <v>28.793867378079831</v>
      </c>
      <c r="E133" s="140">
        <f t="shared" si="53"/>
        <v>17.290199327406771</v>
      </c>
      <c r="F133" s="141">
        <f t="shared" si="47"/>
        <v>7.6653290529695273E-2</v>
      </c>
      <c r="G133" s="141">
        <f t="shared" si="47"/>
        <v>-0.92334670947030473</v>
      </c>
      <c r="H133" s="141">
        <f t="shared" si="47"/>
        <v>-1.9233467094703047</v>
      </c>
      <c r="I133" s="141">
        <f t="shared" si="47"/>
        <v>-2.9233467094703047</v>
      </c>
      <c r="J133" s="141">
        <f t="shared" si="48"/>
        <v>-3.9233467094703047</v>
      </c>
      <c r="K133" s="141">
        <f t="shared" si="49"/>
        <v>-4.4453467094703054</v>
      </c>
      <c r="L133" s="141">
        <f t="shared" si="50"/>
        <v>-5.4453467094703063</v>
      </c>
      <c r="M133" s="141">
        <f t="shared" si="50"/>
        <v>-6.4453467094703063</v>
      </c>
      <c r="N133" s="141">
        <f t="shared" si="50"/>
        <v>-7.4453467094703063</v>
      </c>
      <c r="O133" s="141">
        <f t="shared" si="50"/>
        <v>-9.4453467094703054</v>
      </c>
      <c r="P133" s="141">
        <f t="shared" si="50"/>
        <v>-10.445346709470305</v>
      </c>
      <c r="Q133" s="148"/>
      <c r="S133" s="148"/>
      <c r="T133" s="148"/>
      <c r="V133" s="148"/>
      <c r="W133" s="148"/>
    </row>
    <row r="134" spans="1:23" x14ac:dyDescent="0.2">
      <c r="A134" s="137">
        <v>400</v>
      </c>
      <c r="B134" s="137">
        <f t="shared" si="46"/>
        <v>673</v>
      </c>
      <c r="C134" s="140">
        <f t="shared" si="51"/>
        <v>2.4620677530212198</v>
      </c>
      <c r="D134" s="140">
        <f t="shared" si="52"/>
        <v>5.8250545934174136</v>
      </c>
      <c r="E134" s="140">
        <f t="shared" si="53"/>
        <v>3.5180337377370221</v>
      </c>
      <c r="F134" s="141">
        <f t="shared" si="47"/>
        <v>0.34473254086181271</v>
      </c>
      <c r="G134" s="141">
        <f t="shared" si="47"/>
        <v>-0.65526745913818729</v>
      </c>
      <c r="H134" s="141">
        <f t="shared" si="47"/>
        <v>-1.6552674591381873</v>
      </c>
      <c r="I134" s="141">
        <f t="shared" si="47"/>
        <v>-2.6552674591381873</v>
      </c>
      <c r="J134" s="141">
        <f t="shared" si="48"/>
        <v>-3.6552674591381873</v>
      </c>
      <c r="K134" s="141">
        <f t="shared" si="49"/>
        <v>-4.0292674591381878</v>
      </c>
      <c r="L134" s="141">
        <f t="shared" si="50"/>
        <v>-5.0292674591381878</v>
      </c>
      <c r="M134" s="141">
        <f t="shared" si="50"/>
        <v>-6.0292674591381878</v>
      </c>
      <c r="N134" s="141">
        <f t="shared" si="50"/>
        <v>-7.0292674591381878</v>
      </c>
      <c r="O134" s="141">
        <f t="shared" si="50"/>
        <v>-9.0292674591381878</v>
      </c>
      <c r="P134" s="141">
        <f t="shared" si="50"/>
        <v>-10.02926745913819</v>
      </c>
      <c r="Q134" s="148"/>
      <c r="S134" s="148"/>
      <c r="T134" s="148"/>
      <c r="V134" s="148"/>
      <c r="W134" s="148"/>
    </row>
    <row r="135" spans="1:23" x14ac:dyDescent="0.2">
      <c r="C135" s="140"/>
      <c r="D135" s="140"/>
      <c r="E135" s="140"/>
      <c r="F135" s="141"/>
      <c r="G135" s="141"/>
      <c r="H135" s="141"/>
      <c r="I135" s="141"/>
      <c r="J135" s="141"/>
      <c r="K135" s="141"/>
      <c r="L135" s="141"/>
      <c r="M135" s="141"/>
      <c r="N135" s="141"/>
      <c r="O135" s="141"/>
      <c r="P135" s="141"/>
      <c r="Q135" s="148"/>
      <c r="S135" s="148"/>
      <c r="T135" s="148"/>
      <c r="V135" s="148"/>
      <c r="W135" s="148"/>
    </row>
    <row r="136" spans="1:23" x14ac:dyDescent="0.2">
      <c r="C136" s="140"/>
      <c r="D136" s="140"/>
      <c r="E136" s="140"/>
      <c r="F136" s="141"/>
      <c r="G136" s="141"/>
      <c r="H136" s="141"/>
      <c r="I136" s="141"/>
      <c r="J136" s="141"/>
      <c r="K136" s="141"/>
      <c r="L136" s="141"/>
      <c r="M136" s="141"/>
      <c r="N136" s="141"/>
      <c r="O136" s="141"/>
      <c r="P136" s="141"/>
      <c r="Q136" s="148"/>
      <c r="S136" s="148"/>
      <c r="T136" s="148"/>
      <c r="V136" s="148"/>
      <c r="W136" s="148"/>
    </row>
    <row r="137" spans="1:23" x14ac:dyDescent="0.2">
      <c r="C137" s="140"/>
      <c r="D137" s="140"/>
      <c r="E137" s="140"/>
      <c r="F137" s="141"/>
      <c r="G137" s="141"/>
      <c r="H137" s="141"/>
      <c r="I137" s="141"/>
      <c r="J137" s="141"/>
      <c r="K137" s="141"/>
      <c r="L137" s="141"/>
      <c r="M137" s="141"/>
      <c r="N137" s="141"/>
      <c r="O137" s="141"/>
      <c r="P137" s="141"/>
      <c r="Q137" s="148"/>
      <c r="S137" s="148"/>
      <c r="T137" s="148"/>
      <c r="V137" s="148"/>
      <c r="W137" s="148"/>
    </row>
    <row r="138" spans="1:23" x14ac:dyDescent="0.2">
      <c r="C138" s="140"/>
      <c r="D138" s="140"/>
      <c r="E138" s="140"/>
      <c r="F138" s="141"/>
      <c r="G138" s="141"/>
      <c r="H138" s="141"/>
      <c r="I138" s="141"/>
      <c r="J138" s="141"/>
      <c r="K138" s="141"/>
      <c r="L138" s="141"/>
      <c r="M138" s="141"/>
      <c r="N138" s="141"/>
      <c r="O138" s="141"/>
      <c r="P138" s="141"/>
      <c r="Q138" s="148"/>
      <c r="S138" s="148"/>
      <c r="T138" s="148"/>
      <c r="V138" s="148"/>
      <c r="W138" s="148"/>
    </row>
    <row r="139" spans="1:23" x14ac:dyDescent="0.2">
      <c r="C139" s="140"/>
      <c r="D139" s="140"/>
      <c r="E139" s="140"/>
      <c r="F139" s="141"/>
      <c r="G139" s="141"/>
      <c r="H139" s="141"/>
      <c r="I139" s="141"/>
      <c r="J139" s="141"/>
      <c r="K139" s="141"/>
      <c r="L139" s="141"/>
      <c r="M139" s="141"/>
      <c r="N139" s="141"/>
      <c r="O139" s="141"/>
      <c r="P139" s="141"/>
      <c r="Q139" s="148"/>
      <c r="S139" s="148"/>
      <c r="T139" s="148"/>
      <c r="V139" s="148"/>
      <c r="W139" s="148"/>
    </row>
    <row r="140" spans="1:23" x14ac:dyDescent="0.2">
      <c r="C140" s="140"/>
      <c r="D140" s="140"/>
      <c r="E140" s="140"/>
      <c r="F140" s="141"/>
      <c r="G140" s="141"/>
      <c r="H140" s="141"/>
      <c r="I140" s="141"/>
      <c r="J140" s="141"/>
      <c r="K140" s="141"/>
      <c r="L140" s="141"/>
      <c r="M140" s="141"/>
      <c r="N140" s="141"/>
      <c r="O140" s="141"/>
      <c r="P140" s="141"/>
      <c r="Q140" s="148"/>
      <c r="S140" s="148"/>
      <c r="T140" s="148"/>
      <c r="V140" s="148"/>
      <c r="W140" s="148"/>
    </row>
    <row r="141" spans="1:23" x14ac:dyDescent="0.2">
      <c r="A141" s="136" t="s">
        <v>84</v>
      </c>
      <c r="Q141" s="148"/>
      <c r="S141" s="148"/>
      <c r="T141" s="148"/>
      <c r="V141" s="148"/>
      <c r="W141" s="148"/>
    </row>
    <row r="142" spans="1:23" x14ac:dyDescent="0.2">
      <c r="A142" s="137" t="s">
        <v>43</v>
      </c>
      <c r="C142" s="137" t="s">
        <v>49</v>
      </c>
      <c r="G142" s="137" t="s">
        <v>17</v>
      </c>
      <c r="H142" s="137" t="s">
        <v>47</v>
      </c>
      <c r="Q142" s="148"/>
      <c r="S142" s="148"/>
      <c r="T142" s="148"/>
      <c r="V142" s="148"/>
      <c r="W142" s="148"/>
    </row>
    <row r="143" spans="1:23" x14ac:dyDescent="0.2">
      <c r="Q143" s="148"/>
      <c r="S143" s="148"/>
      <c r="T143" s="148"/>
      <c r="V143" s="148"/>
      <c r="W143" s="148"/>
    </row>
    <row r="144" spans="1:23" x14ac:dyDescent="0.2">
      <c r="G144" s="142"/>
      <c r="H144" s="142"/>
      <c r="I144" s="142"/>
      <c r="K144" s="142"/>
      <c r="L144" s="142"/>
      <c r="M144" s="142"/>
      <c r="N144" s="142"/>
      <c r="O144" s="142"/>
      <c r="P144" s="142"/>
      <c r="Q144" s="148"/>
      <c r="S144" s="148"/>
      <c r="T144" s="148"/>
      <c r="V144" s="148"/>
      <c r="W144" s="148"/>
    </row>
    <row r="145" spans="1:23" x14ac:dyDescent="0.2">
      <c r="E145" s="142" t="s">
        <v>48</v>
      </c>
      <c r="F145" s="137">
        <f t="shared" ref="F145:P145" si="54">F125</f>
        <v>1.2000000000000002</v>
      </c>
      <c r="G145" s="137">
        <f t="shared" si="54"/>
        <v>0.20000000000000018</v>
      </c>
      <c r="H145" s="137">
        <f t="shared" si="54"/>
        <v>-0.79999999999999982</v>
      </c>
      <c r="I145" s="137">
        <f t="shared" si="54"/>
        <v>-1.7999999999999998</v>
      </c>
      <c r="J145" s="143">
        <f t="shared" si="54"/>
        <v>-2.8</v>
      </c>
      <c r="K145" s="144">
        <f t="shared" si="54"/>
        <v>-2.8</v>
      </c>
      <c r="L145" s="137">
        <f t="shared" si="54"/>
        <v>-3.8</v>
      </c>
      <c r="M145" s="137">
        <f t="shared" si="54"/>
        <v>-4.8</v>
      </c>
      <c r="N145" s="137">
        <f t="shared" si="54"/>
        <v>-5.8</v>
      </c>
      <c r="O145" s="137">
        <f t="shared" si="54"/>
        <v>-7.8</v>
      </c>
      <c r="P145" s="137">
        <f t="shared" si="54"/>
        <v>-8.8000000000000007</v>
      </c>
    </row>
    <row r="146" spans="1:23" x14ac:dyDescent="0.2">
      <c r="F146" s="137" t="s">
        <v>53</v>
      </c>
    </row>
    <row r="147" spans="1:23" x14ac:dyDescent="0.2">
      <c r="A147" s="142" t="s">
        <v>0</v>
      </c>
      <c r="B147" s="142" t="s">
        <v>3</v>
      </c>
      <c r="C147" s="142" t="s">
        <v>120</v>
      </c>
      <c r="D147" s="142"/>
      <c r="E147" s="142" t="s">
        <v>45</v>
      </c>
      <c r="F147" s="146" t="s">
        <v>50</v>
      </c>
      <c r="G147" s="146" t="s">
        <v>50</v>
      </c>
      <c r="H147" s="146" t="s">
        <v>50</v>
      </c>
      <c r="I147" s="146" t="s">
        <v>50</v>
      </c>
      <c r="J147" s="146" t="s">
        <v>50</v>
      </c>
      <c r="K147" s="146" t="s">
        <v>51</v>
      </c>
      <c r="L147" s="146" t="s">
        <v>51</v>
      </c>
      <c r="M147" s="146" t="s">
        <v>51</v>
      </c>
      <c r="N147" s="146" t="s">
        <v>51</v>
      </c>
      <c r="O147" s="146" t="s">
        <v>51</v>
      </c>
      <c r="P147" s="146" t="s">
        <v>51</v>
      </c>
      <c r="Q147" s="147"/>
      <c r="S147" s="147"/>
      <c r="T147" s="147"/>
      <c r="V147" s="147"/>
      <c r="W147" s="147"/>
    </row>
    <row r="148" spans="1:23" x14ac:dyDescent="0.2">
      <c r="A148" s="137">
        <v>100</v>
      </c>
      <c r="B148" s="137">
        <f t="shared" ref="B148:B154" si="55">A148+273</f>
        <v>373</v>
      </c>
      <c r="C148" s="140">
        <f>10^(4.7593-0.01092*$A148)</f>
        <v>4648.3626185930125</v>
      </c>
      <c r="D148" s="140"/>
      <c r="E148" s="140">
        <f>10^(6.0783-0.01383*$A148)</f>
        <v>49579.255390630286</v>
      </c>
      <c r="F148" s="141">
        <f t="shared" ref="F148:G154" si="56">4*F$125+0.135+5181/$B128</f>
        <v>18.825080428954422</v>
      </c>
      <c r="G148" s="141">
        <f t="shared" si="56"/>
        <v>14.825080428954424</v>
      </c>
      <c r="H148" s="141">
        <f t="shared" ref="H148:I154" si="57">4*H$125+0.135+5181/$B128</f>
        <v>10.825080428954424</v>
      </c>
      <c r="I148" s="141">
        <f t="shared" si="57"/>
        <v>6.8250804289544238</v>
      </c>
      <c r="J148" s="141">
        <f>4*$J$145+0.135+5181/$B148</f>
        <v>2.8250804289544238</v>
      </c>
      <c r="K148" s="141">
        <f>J148+LOG($C148/$E148)</f>
        <v>1.797080428954424</v>
      </c>
      <c r="L148" s="141">
        <f t="shared" ref="L148:P154" si="58">4*L$125+0.135+5181/$B128+LOG($C128/$E128)</f>
        <v>-2.2029195710455758</v>
      </c>
      <c r="M148" s="141">
        <f t="shared" si="58"/>
        <v>-6.202919571045574</v>
      </c>
      <c r="N148" s="141">
        <f t="shared" si="58"/>
        <v>-10.202919571045575</v>
      </c>
      <c r="O148" s="141">
        <f t="shared" si="58"/>
        <v>-18.202919571045573</v>
      </c>
      <c r="P148" s="141">
        <f t="shared" si="58"/>
        <v>-22.20291957104558</v>
      </c>
      <c r="Q148" s="148"/>
      <c r="S148" s="148"/>
      <c r="T148" s="148"/>
      <c r="V148" s="148"/>
      <c r="W148" s="148"/>
    </row>
    <row r="149" spans="1:23" x14ac:dyDescent="0.2">
      <c r="A149" s="137">
        <v>150</v>
      </c>
      <c r="B149" s="137">
        <f t="shared" si="55"/>
        <v>423</v>
      </c>
      <c r="C149" s="140">
        <f t="shared" ref="C149:C154" si="59">10^(4.7593-0.01092*$A149)</f>
        <v>1322.2086681902574</v>
      </c>
      <c r="D149" s="140"/>
      <c r="E149" s="140">
        <f>10^(6.0783-0.01383*$A149)</f>
        <v>10087.882149492711</v>
      </c>
      <c r="F149" s="141">
        <f t="shared" si="56"/>
        <v>17.183226950354609</v>
      </c>
      <c r="G149" s="141">
        <f t="shared" si="56"/>
        <v>13.18322695035461</v>
      </c>
      <c r="H149" s="141">
        <f t="shared" si="57"/>
        <v>9.1832269503546105</v>
      </c>
      <c r="I149" s="141">
        <f t="shared" si="57"/>
        <v>5.1832269503546105</v>
      </c>
      <c r="J149" s="141">
        <f t="shared" ref="J149:J154" si="60">4*$J$145+0.135+5181/$B149</f>
        <v>1.1832269503546105</v>
      </c>
      <c r="K149" s="141">
        <f t="shared" ref="K149:K154" si="61">J149+LOG($C149/$E149)</f>
        <v>0.30072695035460995</v>
      </c>
      <c r="L149" s="141">
        <f t="shared" si="58"/>
        <v>-3.6992730496453898</v>
      </c>
      <c r="M149" s="141">
        <f t="shared" si="58"/>
        <v>-7.6992730496453881</v>
      </c>
      <c r="N149" s="141">
        <f t="shared" si="58"/>
        <v>-11.699273049645388</v>
      </c>
      <c r="O149" s="141">
        <f t="shared" si="58"/>
        <v>-19.699273049645388</v>
      </c>
      <c r="P149" s="141">
        <f t="shared" si="58"/>
        <v>-23.699273049645395</v>
      </c>
      <c r="Q149" s="148"/>
      <c r="S149" s="148"/>
      <c r="T149" s="148"/>
      <c r="V149" s="148"/>
      <c r="W149" s="148"/>
    </row>
    <row r="150" spans="1:23" x14ac:dyDescent="0.2">
      <c r="A150" s="137">
        <v>200</v>
      </c>
      <c r="B150" s="137">
        <f t="shared" si="55"/>
        <v>473</v>
      </c>
      <c r="C150" s="140">
        <f t="shared" si="59"/>
        <v>376.09711325976934</v>
      </c>
      <c r="D150" s="140"/>
      <c r="E150" s="140">
        <f t="shared" ref="E150:E154" si="62">10^(6.0783-0.01383*$A150)</f>
        <v>2052.5795609525312</v>
      </c>
      <c r="F150" s="141">
        <f t="shared" si="56"/>
        <v>15.888488372093024</v>
      </c>
      <c r="G150" s="141">
        <f t="shared" si="56"/>
        <v>11.888488372093024</v>
      </c>
      <c r="H150" s="141">
        <f t="shared" si="57"/>
        <v>7.8884883720930237</v>
      </c>
      <c r="I150" s="141">
        <f t="shared" si="57"/>
        <v>3.8884883720930237</v>
      </c>
      <c r="J150" s="141">
        <f t="shared" si="60"/>
        <v>-0.11151162790697633</v>
      </c>
      <c r="K150" s="141">
        <f t="shared" si="61"/>
        <v>-0.84851162790697621</v>
      </c>
      <c r="L150" s="141">
        <f t="shared" si="58"/>
        <v>-4.8485116279069764</v>
      </c>
      <c r="M150" s="141">
        <f t="shared" si="58"/>
        <v>-8.8485116279069747</v>
      </c>
      <c r="N150" s="141">
        <f t="shared" si="58"/>
        <v>-12.848511627906975</v>
      </c>
      <c r="O150" s="141">
        <f t="shared" si="58"/>
        <v>-20.848511627906973</v>
      </c>
      <c r="P150" s="141">
        <f t="shared" si="58"/>
        <v>-24.84851162790698</v>
      </c>
      <c r="Q150" s="148"/>
      <c r="S150" s="148"/>
      <c r="T150" s="148"/>
      <c r="V150" s="148"/>
      <c r="W150" s="148"/>
    </row>
    <row r="151" spans="1:23" x14ac:dyDescent="0.2">
      <c r="A151" s="137">
        <v>250</v>
      </c>
      <c r="B151" s="137">
        <f t="shared" si="55"/>
        <v>523</v>
      </c>
      <c r="C151" s="140">
        <f t="shared" si="59"/>
        <v>106.97936112908468</v>
      </c>
      <c r="D151" s="140"/>
      <c r="E151" s="140">
        <f t="shared" si="62"/>
        <v>417.63799295097363</v>
      </c>
      <c r="F151" s="141">
        <f t="shared" si="56"/>
        <v>14.841309751434036</v>
      </c>
      <c r="G151" s="141">
        <f t="shared" si="56"/>
        <v>10.841309751434036</v>
      </c>
      <c r="H151" s="141">
        <f t="shared" si="57"/>
        <v>6.8413097514340357</v>
      </c>
      <c r="I151" s="141">
        <f t="shared" si="57"/>
        <v>2.8413097514340357</v>
      </c>
      <c r="J151" s="141">
        <f t="shared" si="60"/>
        <v>-1.1586902485659643</v>
      </c>
      <c r="K151" s="141">
        <f t="shared" si="61"/>
        <v>-1.7501902485659642</v>
      </c>
      <c r="L151" s="141">
        <f t="shared" si="58"/>
        <v>-5.7501902485659642</v>
      </c>
      <c r="M151" s="141">
        <f t="shared" si="58"/>
        <v>-9.7501902485659624</v>
      </c>
      <c r="N151" s="141">
        <f t="shared" si="58"/>
        <v>-13.750190248565962</v>
      </c>
      <c r="O151" s="141">
        <f t="shared" si="58"/>
        <v>-21.750190248565961</v>
      </c>
      <c r="P151" s="141">
        <f t="shared" si="58"/>
        <v>-25.750190248565968</v>
      </c>
      <c r="Q151" s="148"/>
      <c r="S151" s="148"/>
      <c r="T151" s="148"/>
      <c r="V151" s="148"/>
      <c r="W151" s="148"/>
    </row>
    <row r="152" spans="1:23" x14ac:dyDescent="0.2">
      <c r="A152" s="137">
        <v>300</v>
      </c>
      <c r="B152" s="137">
        <f t="shared" si="55"/>
        <v>573</v>
      </c>
      <c r="C152" s="140">
        <f t="shared" si="59"/>
        <v>30.429863203130687</v>
      </c>
      <c r="D152" s="140"/>
      <c r="E152" s="140">
        <f t="shared" si="62"/>
        <v>84.976727077597261</v>
      </c>
      <c r="F152" s="141">
        <f t="shared" si="56"/>
        <v>13.976884816753927</v>
      </c>
      <c r="G152" s="141">
        <f t="shared" si="56"/>
        <v>9.9768848167539268</v>
      </c>
      <c r="H152" s="141">
        <f t="shared" si="57"/>
        <v>5.9768848167539268</v>
      </c>
      <c r="I152" s="141">
        <f t="shared" si="57"/>
        <v>1.9768848167539268</v>
      </c>
      <c r="J152" s="141">
        <f t="shared" si="60"/>
        <v>-2.0231151832460732</v>
      </c>
      <c r="K152" s="141">
        <f t="shared" si="61"/>
        <v>-2.4691151832460729</v>
      </c>
      <c r="L152" s="141">
        <f t="shared" si="58"/>
        <v>-6.4691151832460729</v>
      </c>
      <c r="M152" s="141">
        <f t="shared" si="58"/>
        <v>-10.469115183246071</v>
      </c>
      <c r="N152" s="141">
        <f t="shared" si="58"/>
        <v>-14.469115183246071</v>
      </c>
      <c r="O152" s="141">
        <f t="shared" si="58"/>
        <v>-22.469115183246071</v>
      </c>
      <c r="P152" s="141">
        <f t="shared" si="58"/>
        <v>-26.469115183246078</v>
      </c>
      <c r="Q152" s="148"/>
      <c r="S152" s="148"/>
      <c r="T152" s="148"/>
      <c r="V152" s="148"/>
      <c r="W152" s="148"/>
    </row>
    <row r="153" spans="1:23" x14ac:dyDescent="0.2">
      <c r="A153" s="137">
        <v>350</v>
      </c>
      <c r="B153" s="137">
        <f t="shared" si="55"/>
        <v>623</v>
      </c>
      <c r="C153" s="140">
        <f t="shared" si="59"/>
        <v>8.6556562386265696</v>
      </c>
      <c r="D153" s="140"/>
      <c r="E153" s="140">
        <f t="shared" si="62"/>
        <v>17.290199327406771</v>
      </c>
      <c r="F153" s="141">
        <f t="shared" si="56"/>
        <v>13.251211878009631</v>
      </c>
      <c r="G153" s="141">
        <f t="shared" si="56"/>
        <v>9.2512118780096309</v>
      </c>
      <c r="H153" s="141">
        <f t="shared" si="57"/>
        <v>5.2512118780096309</v>
      </c>
      <c r="I153" s="141">
        <f t="shared" si="57"/>
        <v>1.2512118780096309</v>
      </c>
      <c r="J153" s="141">
        <f t="shared" si="60"/>
        <v>-2.7487881219903691</v>
      </c>
      <c r="K153" s="141">
        <f t="shared" si="61"/>
        <v>-3.0492881219903682</v>
      </c>
      <c r="L153" s="141">
        <f t="shared" si="58"/>
        <v>-7.0492881219903687</v>
      </c>
      <c r="M153" s="141">
        <f t="shared" si="58"/>
        <v>-11.049288121990367</v>
      </c>
      <c r="N153" s="141">
        <f t="shared" si="58"/>
        <v>-15.049288121990367</v>
      </c>
      <c r="O153" s="141">
        <f t="shared" si="58"/>
        <v>-23.049288121990365</v>
      </c>
      <c r="P153" s="141">
        <f t="shared" si="58"/>
        <v>-27.049288121990372</v>
      </c>
      <c r="Q153" s="148"/>
      <c r="S153" s="148"/>
      <c r="T153" s="148"/>
      <c r="V153" s="148"/>
      <c r="W153" s="148"/>
    </row>
    <row r="154" spans="1:23" x14ac:dyDescent="0.2">
      <c r="A154" s="137">
        <v>400</v>
      </c>
      <c r="B154" s="137">
        <f t="shared" si="55"/>
        <v>673</v>
      </c>
      <c r="C154" s="140">
        <f t="shared" si="59"/>
        <v>2.4620677530212198</v>
      </c>
      <c r="D154" s="140"/>
      <c r="E154" s="140">
        <f t="shared" si="62"/>
        <v>3.5180337377370221</v>
      </c>
      <c r="F154" s="141">
        <f t="shared" si="56"/>
        <v>12.633365527488856</v>
      </c>
      <c r="G154" s="141">
        <f t="shared" si="56"/>
        <v>8.6333655274888574</v>
      </c>
      <c r="H154" s="141">
        <f t="shared" si="57"/>
        <v>4.6333655274888566</v>
      </c>
      <c r="I154" s="141">
        <f t="shared" si="57"/>
        <v>0.63336552748885655</v>
      </c>
      <c r="J154" s="141">
        <f t="shared" si="60"/>
        <v>-3.3666344725111434</v>
      </c>
      <c r="K154" s="141">
        <f t="shared" si="61"/>
        <v>-3.5216344725111428</v>
      </c>
      <c r="L154" s="141">
        <f t="shared" si="58"/>
        <v>-7.5216344725111428</v>
      </c>
      <c r="M154" s="141">
        <f t="shared" si="58"/>
        <v>-11.52163447251114</v>
      </c>
      <c r="N154" s="141">
        <f t="shared" si="58"/>
        <v>-15.52163447251114</v>
      </c>
      <c r="O154" s="141">
        <f t="shared" si="58"/>
        <v>-23.521634472511142</v>
      </c>
      <c r="P154" s="141">
        <f t="shared" si="58"/>
        <v>-27.521634472511149</v>
      </c>
      <c r="Q154" s="148"/>
      <c r="S154" s="148"/>
      <c r="T154" s="148"/>
      <c r="V154" s="148"/>
      <c r="W154" s="148"/>
    </row>
    <row r="155" spans="1:23" x14ac:dyDescent="0.2">
      <c r="F155" s="141"/>
      <c r="G155" s="141"/>
      <c r="H155" s="141"/>
      <c r="I155" s="141"/>
      <c r="J155" s="141"/>
      <c r="K155" s="141"/>
      <c r="L155" s="141"/>
      <c r="M155" s="141"/>
      <c r="N155" s="141"/>
      <c r="O155" s="141"/>
      <c r="P155" s="141"/>
      <c r="Q155" s="148"/>
      <c r="S155" s="148"/>
      <c r="T155" s="148"/>
      <c r="V155" s="148"/>
      <c r="W155" s="148"/>
    </row>
    <row r="156" spans="1:23" x14ac:dyDescent="0.2">
      <c r="F156" s="141"/>
      <c r="G156" s="141"/>
      <c r="H156" s="141"/>
      <c r="I156" s="141"/>
      <c r="J156" s="141"/>
      <c r="K156" s="141"/>
      <c r="L156" s="141"/>
      <c r="M156" s="141"/>
      <c r="N156" s="141"/>
      <c r="O156" s="141"/>
      <c r="P156" s="141"/>
      <c r="Q156" s="148"/>
      <c r="S156" s="148"/>
      <c r="T156" s="148"/>
      <c r="V156" s="148"/>
      <c r="W156" s="148"/>
    </row>
    <row r="157" spans="1:23" x14ac:dyDescent="0.2">
      <c r="F157" s="141"/>
      <c r="G157" s="141"/>
      <c r="H157" s="141"/>
      <c r="I157" s="141"/>
      <c r="J157" s="141"/>
      <c r="K157" s="141"/>
      <c r="L157" s="141"/>
      <c r="M157" s="141"/>
      <c r="N157" s="141"/>
      <c r="O157" s="141"/>
      <c r="P157" s="141"/>
      <c r="Q157" s="148"/>
      <c r="S157" s="148"/>
      <c r="T157" s="148"/>
      <c r="V157" s="148"/>
      <c r="W157" s="148"/>
    </row>
    <row r="158" spans="1:23" x14ac:dyDescent="0.2">
      <c r="F158" s="141"/>
      <c r="G158" s="141"/>
      <c r="H158" s="141"/>
      <c r="I158" s="141"/>
      <c r="J158" s="141"/>
      <c r="K158" s="141"/>
      <c r="L158" s="141"/>
      <c r="M158" s="141"/>
      <c r="N158" s="141"/>
      <c r="O158" s="141"/>
      <c r="P158" s="141"/>
      <c r="Q158" s="148"/>
      <c r="S158" s="148"/>
      <c r="T158" s="148"/>
      <c r="V158" s="148"/>
      <c r="W158" s="148"/>
    </row>
    <row r="159" spans="1:23" x14ac:dyDescent="0.2">
      <c r="F159" s="141"/>
      <c r="G159" s="141"/>
      <c r="H159" s="141"/>
      <c r="I159" s="141"/>
      <c r="J159" s="141"/>
      <c r="K159" s="141"/>
      <c r="L159" s="141"/>
      <c r="M159" s="141"/>
      <c r="N159" s="141"/>
      <c r="O159" s="141"/>
      <c r="P159" s="141"/>
      <c r="Q159" s="148"/>
      <c r="S159" s="148"/>
      <c r="T159" s="148"/>
      <c r="V159" s="148"/>
      <c r="W159" s="148"/>
    </row>
    <row r="161" spans="1:25" x14ac:dyDescent="0.2">
      <c r="A161" s="136" t="s">
        <v>135</v>
      </c>
      <c r="C161" s="138" t="s">
        <v>144</v>
      </c>
      <c r="F161" s="137" t="s">
        <v>136</v>
      </c>
    </row>
    <row r="162" spans="1:25" x14ac:dyDescent="0.2">
      <c r="A162" s="138"/>
      <c r="B162" s="137" t="s">
        <v>49</v>
      </c>
    </row>
    <row r="163" spans="1:25" x14ac:dyDescent="0.2">
      <c r="B163" s="138" t="s">
        <v>140</v>
      </c>
    </row>
    <row r="164" spans="1:25" x14ac:dyDescent="0.2">
      <c r="B164" s="137" t="s">
        <v>139</v>
      </c>
      <c r="F164" s="138"/>
      <c r="G164" s="138"/>
    </row>
    <row r="165" spans="1:25" x14ac:dyDescent="0.2">
      <c r="D165" s="142" t="s">
        <v>48</v>
      </c>
      <c r="E165" s="149">
        <f>input!I6</f>
        <v>-2.8</v>
      </c>
      <c r="N165" s="137" t="s">
        <v>149</v>
      </c>
      <c r="S165" s="145"/>
      <c r="V165" s="145"/>
    </row>
    <row r="166" spans="1:25" x14ac:dyDescent="0.2">
      <c r="F166" s="138"/>
      <c r="G166" s="138"/>
      <c r="H166" s="291" t="s">
        <v>143</v>
      </c>
      <c r="I166" s="292"/>
      <c r="J166" s="291" t="s">
        <v>53</v>
      </c>
      <c r="K166" s="292"/>
      <c r="L166" s="293" t="s">
        <v>145</v>
      </c>
      <c r="M166" s="294"/>
      <c r="N166" s="147">
        <f>input!I3</f>
        <v>200</v>
      </c>
      <c r="O166" s="147">
        <f>input!I4</f>
        <v>1</v>
      </c>
      <c r="P166" s="147">
        <f>input!I5</f>
        <v>10</v>
      </c>
      <c r="S166" s="293" t="s">
        <v>150</v>
      </c>
      <c r="T166" s="294"/>
      <c r="U166" s="147">
        <f>N166</f>
        <v>200</v>
      </c>
      <c r="V166" s="147">
        <f>O166</f>
        <v>1</v>
      </c>
      <c r="W166" s="147">
        <f>P166</f>
        <v>10</v>
      </c>
    </row>
    <row r="167" spans="1:25" x14ac:dyDescent="0.2">
      <c r="A167" s="142" t="s">
        <v>0</v>
      </c>
      <c r="B167" s="142" t="s">
        <v>3</v>
      </c>
      <c r="C167" s="142" t="s">
        <v>120</v>
      </c>
      <c r="D167" s="142" t="s">
        <v>127</v>
      </c>
      <c r="E167" s="142" t="s">
        <v>45</v>
      </c>
      <c r="F167" s="147" t="s">
        <v>141</v>
      </c>
      <c r="G167" s="147" t="s">
        <v>142</v>
      </c>
      <c r="H167" s="150" t="s">
        <v>50</v>
      </c>
      <c r="I167" s="151" t="s">
        <v>51</v>
      </c>
      <c r="J167" s="150" t="s">
        <v>50</v>
      </c>
      <c r="K167" s="151" t="s">
        <v>51</v>
      </c>
      <c r="L167" s="145" t="s">
        <v>21</v>
      </c>
      <c r="M167" s="145" t="s">
        <v>19</v>
      </c>
      <c r="N167" s="147" t="s">
        <v>146</v>
      </c>
      <c r="O167" s="147" t="s">
        <v>148</v>
      </c>
      <c r="P167" s="147" t="s">
        <v>147</v>
      </c>
      <c r="Q167" s="142" t="s">
        <v>89</v>
      </c>
      <c r="R167" s="142" t="s">
        <v>90</v>
      </c>
      <c r="S167" s="145" t="s">
        <v>21</v>
      </c>
      <c r="T167" s="145" t="s">
        <v>19</v>
      </c>
      <c r="U167" s="147" t="s">
        <v>146</v>
      </c>
      <c r="V167" s="147" t="s">
        <v>148</v>
      </c>
      <c r="W167" s="147" t="s">
        <v>147</v>
      </c>
      <c r="X167" s="142" t="s">
        <v>89</v>
      </c>
      <c r="Y167" s="142" t="s">
        <v>90</v>
      </c>
    </row>
    <row r="168" spans="1:25" x14ac:dyDescent="0.2">
      <c r="A168" s="137">
        <v>200</v>
      </c>
      <c r="B168" s="137">
        <f t="shared" ref="B168:B178" si="63">A168+273</f>
        <v>473</v>
      </c>
      <c r="C168" s="140">
        <f>10^(4.7593-0.01092*$A168)</f>
        <v>376.09711325976934</v>
      </c>
      <c r="D168" s="140">
        <f>10^(4.0547-0.00981*A168)</f>
        <v>123.79411516551075</v>
      </c>
      <c r="E168" s="140">
        <f>10^(6.0783-0.01383*$A168)</f>
        <v>2052.5795609525312</v>
      </c>
      <c r="F168" s="148">
        <f>($E$165/3)+4.07-1997/B168-LOG(B168)</f>
        <v>-3.7601817890817153</v>
      </c>
      <c r="G168" s="148">
        <f>-11.371+0.0168*B168+2086/B168-LOG(B168)</f>
        <v>-1.6893131491944722</v>
      </c>
      <c r="H168" s="152">
        <f>F168-G168</f>
        <v>-2.0708686398872431</v>
      </c>
      <c r="I168" s="153">
        <f>H168+LOG($C168/$D168)</f>
        <v>-1.5882686398872439</v>
      </c>
      <c r="J168" s="152">
        <f t="shared" ref="J168:J176" si="64">(4*$E$165+0.135+5181/$B168)</f>
        <v>-0.11151162790697633</v>
      </c>
      <c r="K168" s="153">
        <f>J168+LOG($C168/$E168)</f>
        <v>-0.84851162790697621</v>
      </c>
      <c r="L168" s="154">
        <f>10^J168</f>
        <v>0.77354996728112291</v>
      </c>
      <c r="M168" s="155">
        <f>10^H168</f>
        <v>8.494373636665168E-3</v>
      </c>
      <c r="N168" s="156">
        <f>(L168*$N$166)/(L168*$N$166+$O$166+M168*$P$166)</f>
        <v>0.99303607834813357</v>
      </c>
      <c r="O168" s="156">
        <f>$O$166/(L168*$N$166+$O$166+M168*$P$166)</f>
        <v>6.4186938164994137E-3</v>
      </c>
      <c r="P168" s="156">
        <f>(M168*$P$166)/(L168*$N$166+$O$166+M168*$P$166)</f>
        <v>5.452278353669835E-4</v>
      </c>
      <c r="Q168" s="157">
        <f>0.5774*N168+1.1547*P168</f>
        <v>0.57400860621971062</v>
      </c>
      <c r="R168" s="158">
        <f>N168</f>
        <v>0.99303607834813357</v>
      </c>
      <c r="S168" s="154">
        <f t="shared" ref="S168:S176" si="65">10^K168</f>
        <v>0.14173867614739805</v>
      </c>
      <c r="T168" s="155">
        <f t="shared" ref="T168:T176" si="66">10^I168</f>
        <v>2.5806633856774071E-2</v>
      </c>
      <c r="U168" s="156">
        <f t="shared" ref="U168:U176" si="67">(S168*$N$166)/(S168*$N$166+$O$166+T168*$P$166)</f>
        <v>0.95750608759313127</v>
      </c>
      <c r="V168" s="156">
        <f t="shared" ref="V168:V176" si="68">$O$166/(S168*$N$166+$O$166+T168*$P$166)</f>
        <v>3.3777163496200351E-2</v>
      </c>
      <c r="W168" s="156">
        <f t="shared" ref="W168:W176" si="69">(T168*$P$166)/(S168*$N$166+$O$166+T168*$P$166)</f>
        <v>8.7167489106683704E-3</v>
      </c>
      <c r="X168" s="157">
        <f t="shared" ref="X168:X176" si="70">0.5774*U168+1.1547*W168</f>
        <v>0.56292924494342278</v>
      </c>
      <c r="Y168" s="158">
        <f t="shared" ref="Y168:Y176" si="71">U168</f>
        <v>0.95750608759313127</v>
      </c>
    </row>
    <row r="169" spans="1:25" x14ac:dyDescent="0.2">
      <c r="A169" s="137">
        <v>225</v>
      </c>
      <c r="B169" s="137">
        <f t="shared" si="63"/>
        <v>498</v>
      </c>
      <c r="C169" s="140">
        <f t="shared" ref="C169:C178" si="72">10^(4.7593-0.01092*$A169)</f>
        <v>200.58571459359496</v>
      </c>
      <c r="D169" s="140">
        <f t="shared" ref="D169:D174" si="73">10^(4.0547-0.00981*A169)</f>
        <v>70.380119516490552</v>
      </c>
      <c r="E169" s="140">
        <f t="shared" ref="E169:E178" si="74">10^(6.0783-0.01383*$A169)</f>
        <v>925.8699737049501</v>
      </c>
      <c r="F169" s="148">
        <f t="shared" ref="F169:F174" si="75">($E$165/3)+4.07-1997/B169-LOG(B169)</f>
        <v>-3.5706028367356208</v>
      </c>
      <c r="G169" s="148">
        <f t="shared" ref="G169:G174" si="76">-11.371+0.0168*B169+2086/B169-LOG(B169)</f>
        <v>-1.5130743226793983</v>
      </c>
      <c r="H169" s="152">
        <f t="shared" ref="H169:H174" si="77">F169-G169</f>
        <v>-2.0575285140562225</v>
      </c>
      <c r="I169" s="153">
        <f t="shared" ref="I169:I178" si="78">H169+LOG($C169/$D169)</f>
        <v>-1.6026785140562232</v>
      </c>
      <c r="J169" s="152">
        <f t="shared" si="64"/>
        <v>-0.66138554216867362</v>
      </c>
      <c r="K169" s="153">
        <f t="shared" ref="K169:K178" si="79">J169+LOG($C169/$E169)</f>
        <v>-1.3256355421686732</v>
      </c>
      <c r="L169" s="159">
        <f t="shared" ref="L169:L174" si="80">10^J169</f>
        <v>0.21807930670614528</v>
      </c>
      <c r="M169" s="160">
        <f t="shared" ref="M169:M174" si="81">10^H169</f>
        <v>8.7593420537319857E-3</v>
      </c>
      <c r="N169" s="161">
        <f t="shared" ref="N169:N174" si="82">(L169*$N$166)/(L169*$N$166+$O$166+M169*$P$166)</f>
        <v>0.97567093133330929</v>
      </c>
      <c r="O169" s="161">
        <f t="shared" ref="O169:O174" si="83">$O$166/(L169*$N$166+$O$166+M169*$P$166)</f>
        <v>2.2369635754757644E-2</v>
      </c>
      <c r="P169" s="161">
        <f t="shared" ref="P169:P174" si="84">(M169*$P$166)/(L169*$N$166+$O$166+M169*$P$166)</f>
        <v>1.9594329119331532E-3</v>
      </c>
      <c r="Q169" s="162">
        <f t="shared" ref="Q169:Q174" si="85">0.5774*N169+1.1547*P169</f>
        <v>0.56561495293526198</v>
      </c>
      <c r="R169" s="163">
        <f t="shared" ref="R169:R174" si="86">N169</f>
        <v>0.97567093133330929</v>
      </c>
      <c r="S169" s="159">
        <f t="shared" si="65"/>
        <v>4.7245936055884924E-2</v>
      </c>
      <c r="T169" s="160">
        <f t="shared" si="66"/>
        <v>2.4964420311987142E-2</v>
      </c>
      <c r="U169" s="161">
        <f t="shared" si="67"/>
        <v>0.88319806577660709</v>
      </c>
      <c r="V169" s="161">
        <f t="shared" si="68"/>
        <v>9.3468151920190021E-2</v>
      </c>
      <c r="W169" s="161">
        <f t="shared" si="69"/>
        <v>2.3333782303202918E-2</v>
      </c>
      <c r="X169" s="162">
        <f t="shared" si="70"/>
        <v>0.53690208160492137</v>
      </c>
      <c r="Y169" s="163">
        <f t="shared" si="71"/>
        <v>0.88319806577660709</v>
      </c>
    </row>
    <row r="170" spans="1:25" x14ac:dyDescent="0.2">
      <c r="A170" s="137">
        <v>250</v>
      </c>
      <c r="B170" s="137">
        <f t="shared" si="63"/>
        <v>523</v>
      </c>
      <c r="C170" s="140">
        <f t="shared" si="72"/>
        <v>106.97936112908468</v>
      </c>
      <c r="D170" s="140">
        <f t="shared" si="73"/>
        <v>40.01289735406997</v>
      </c>
      <c r="E170" s="140">
        <f t="shared" si="74"/>
        <v>417.63799295097363</v>
      </c>
      <c r="F170" s="148">
        <f t="shared" si="75"/>
        <v>-3.4001906627359797</v>
      </c>
      <c r="G170" s="148">
        <f t="shared" si="76"/>
        <v>-1.3145739642018839</v>
      </c>
      <c r="H170" s="152">
        <f t="shared" si="77"/>
        <v>-2.0856166985340958</v>
      </c>
      <c r="I170" s="153">
        <f t="shared" si="78"/>
        <v>-1.6585166985340969</v>
      </c>
      <c r="J170" s="152">
        <f t="shared" si="64"/>
        <v>-1.1586902485659643</v>
      </c>
      <c r="K170" s="153">
        <f t="shared" si="79"/>
        <v>-1.7501902485659642</v>
      </c>
      <c r="L170" s="159">
        <f t="shared" si="80"/>
        <v>6.9392055384800838E-2</v>
      </c>
      <c r="M170" s="160">
        <f t="shared" si="81"/>
        <v>8.2107589327780877E-3</v>
      </c>
      <c r="N170" s="161">
        <f t="shared" si="82"/>
        <v>0.9276691127182507</v>
      </c>
      <c r="O170" s="161">
        <f t="shared" si="83"/>
        <v>6.6842602339275928E-2</v>
      </c>
      <c r="P170" s="161">
        <f t="shared" si="84"/>
        <v>5.4882849424734339E-3</v>
      </c>
      <c r="Q170" s="162">
        <f t="shared" si="85"/>
        <v>0.5419734683065921</v>
      </c>
      <c r="R170" s="163">
        <f t="shared" si="86"/>
        <v>0.9276691127182507</v>
      </c>
      <c r="S170" s="159">
        <f t="shared" si="65"/>
        <v>1.7775005813160046E-2</v>
      </c>
      <c r="T170" s="160">
        <f t="shared" si="66"/>
        <v>2.1952465407361437E-2</v>
      </c>
      <c r="U170" s="161">
        <f t="shared" si="67"/>
        <v>0.74457680178278418</v>
      </c>
      <c r="V170" s="161">
        <f t="shared" si="68"/>
        <v>0.20944488277790699</v>
      </c>
      <c r="W170" s="161">
        <f t="shared" si="69"/>
        <v>4.5978315439308748E-2</v>
      </c>
      <c r="X170" s="162">
        <f t="shared" si="70"/>
        <v>0.48300980618714945</v>
      </c>
      <c r="Y170" s="163">
        <f t="shared" si="71"/>
        <v>0.74457680178278418</v>
      </c>
    </row>
    <row r="171" spans="1:25" x14ac:dyDescent="0.2">
      <c r="A171" s="137">
        <v>275</v>
      </c>
      <c r="B171" s="137">
        <f t="shared" si="63"/>
        <v>548</v>
      </c>
      <c r="C171" s="140">
        <f t="shared" si="72"/>
        <v>57.055826387112866</v>
      </c>
      <c r="D171" s="140">
        <f t="shared" si="73"/>
        <v>22.748355155779553</v>
      </c>
      <c r="E171" s="140">
        <f t="shared" si="74"/>
        <v>188.38659650896162</v>
      </c>
      <c r="F171" s="148">
        <f t="shared" si="75"/>
        <v>-3.2462744757593081</v>
      </c>
      <c r="G171" s="148">
        <f t="shared" si="76"/>
        <v>-1.0968112154186778</v>
      </c>
      <c r="H171" s="152">
        <f t="shared" si="77"/>
        <v>-2.1494632603406303</v>
      </c>
      <c r="I171" s="153">
        <f t="shared" si="78"/>
        <v>-1.7501132603406311</v>
      </c>
      <c r="J171" s="152">
        <f t="shared" si="64"/>
        <v>-1.6106204379562037</v>
      </c>
      <c r="K171" s="153">
        <f t="shared" si="79"/>
        <v>-2.1293704379562031</v>
      </c>
      <c r="L171" s="159">
        <f t="shared" si="80"/>
        <v>2.4512045948141506E-2</v>
      </c>
      <c r="M171" s="160">
        <f t="shared" si="81"/>
        <v>7.0882126749493768E-3</v>
      </c>
      <c r="N171" s="161">
        <f t="shared" si="82"/>
        <v>0.82072159718490389</v>
      </c>
      <c r="O171" s="161">
        <f t="shared" si="83"/>
        <v>0.1674118918757842</v>
      </c>
      <c r="P171" s="161">
        <f t="shared" si="84"/>
        <v>1.186651093931188E-2</v>
      </c>
      <c r="Q171" s="162">
        <f t="shared" si="85"/>
        <v>0.48758691039618696</v>
      </c>
      <c r="R171" s="163">
        <f t="shared" si="86"/>
        <v>0.82072159718490389</v>
      </c>
      <c r="S171" s="159">
        <f t="shared" si="65"/>
        <v>7.4238563885491993E-3</v>
      </c>
      <c r="T171" s="160">
        <f t="shared" si="66"/>
        <v>1.7778157102233166E-2</v>
      </c>
      <c r="U171" s="161">
        <f t="shared" si="67"/>
        <v>0.55764950484150722</v>
      </c>
      <c r="V171" s="161">
        <f t="shared" si="68"/>
        <v>0.37557939947602176</v>
      </c>
      <c r="W171" s="161">
        <f t="shared" si="69"/>
        <v>6.6771095682471041E-2</v>
      </c>
      <c r="X171" s="162">
        <f t="shared" si="70"/>
        <v>0.39908740828003564</v>
      </c>
      <c r="Y171" s="163">
        <f t="shared" si="71"/>
        <v>0.55764950484150722</v>
      </c>
    </row>
    <row r="172" spans="1:25" x14ac:dyDescent="0.2">
      <c r="A172" s="137">
        <v>300</v>
      </c>
      <c r="B172" s="137">
        <f t="shared" si="63"/>
        <v>573</v>
      </c>
      <c r="C172" s="140">
        <f t="shared" si="72"/>
        <v>30.429863203130687</v>
      </c>
      <c r="D172" s="140">
        <f t="shared" si="73"/>
        <v>12.933021513395733</v>
      </c>
      <c r="E172" s="140">
        <f t="shared" si="74"/>
        <v>84.976727077597261</v>
      </c>
      <c r="F172" s="148">
        <f t="shared" si="75"/>
        <v>-3.1066537493670401</v>
      </c>
      <c r="G172" s="148">
        <f t="shared" si="76"/>
        <v>-0.8622659657719276</v>
      </c>
      <c r="H172" s="152">
        <f t="shared" si="77"/>
        <v>-2.2443877835951125</v>
      </c>
      <c r="I172" s="153">
        <f t="shared" si="78"/>
        <v>-1.8727877835951134</v>
      </c>
      <c r="J172" s="152">
        <f t="shared" si="64"/>
        <v>-2.0231151832460732</v>
      </c>
      <c r="K172" s="153">
        <f t="shared" si="79"/>
        <v>-2.4691151832460729</v>
      </c>
      <c r="L172" s="159">
        <f t="shared" si="80"/>
        <v>9.4816695784424795E-3</v>
      </c>
      <c r="M172" s="160">
        <f t="shared" si="81"/>
        <v>5.696553971300887E-3</v>
      </c>
      <c r="N172" s="161">
        <f t="shared" si="82"/>
        <v>0.64210688564620577</v>
      </c>
      <c r="O172" s="161">
        <f t="shared" si="83"/>
        <v>0.3386043356257108</v>
      </c>
      <c r="P172" s="161">
        <f t="shared" si="84"/>
        <v>1.9288778728083412E-2</v>
      </c>
      <c r="Q172" s="162">
        <f t="shared" si="85"/>
        <v>0.39302526856943715</v>
      </c>
      <c r="R172" s="163">
        <f t="shared" si="86"/>
        <v>0.64210688564620577</v>
      </c>
      <c r="S172" s="159">
        <f t="shared" si="65"/>
        <v>3.3953520938247079E-3</v>
      </c>
      <c r="T172" s="160">
        <f t="shared" si="66"/>
        <v>1.3403314754900046E-2</v>
      </c>
      <c r="U172" s="161">
        <f t="shared" si="67"/>
        <v>0.37453482050421344</v>
      </c>
      <c r="V172" s="161">
        <f t="shared" si="68"/>
        <v>0.55154047379268578</v>
      </c>
      <c r="W172" s="161">
        <f t="shared" si="69"/>
        <v>7.3924705703100696E-2</v>
      </c>
      <c r="X172" s="162">
        <f t="shared" si="70"/>
        <v>0.3016172630345032</v>
      </c>
      <c r="Y172" s="163">
        <f t="shared" si="71"/>
        <v>0.37453482050421344</v>
      </c>
    </row>
    <row r="173" spans="1:25" x14ac:dyDescent="0.2">
      <c r="A173" s="137">
        <v>325</v>
      </c>
      <c r="B173" s="137">
        <f t="shared" si="63"/>
        <v>598</v>
      </c>
      <c r="C173" s="140">
        <f t="shared" si="72"/>
        <v>16.2293079111443</v>
      </c>
      <c r="D173" s="140">
        <f t="shared" si="73"/>
        <v>7.3527533890054126</v>
      </c>
      <c r="E173" s="140">
        <f t="shared" si="74"/>
        <v>38.33098680392019</v>
      </c>
      <c r="F173" s="148">
        <f t="shared" si="75"/>
        <v>-2.9794994002648876</v>
      </c>
      <c r="G173" s="148">
        <f t="shared" si="76"/>
        <v>-0.61300686960714001</v>
      </c>
      <c r="H173" s="152">
        <f t="shared" si="77"/>
        <v>-2.3664925306577476</v>
      </c>
      <c r="I173" s="153">
        <f t="shared" si="78"/>
        <v>-2.0226425306577487</v>
      </c>
      <c r="J173" s="152">
        <f t="shared" si="64"/>
        <v>-2.401120401337792</v>
      </c>
      <c r="K173" s="153">
        <f t="shared" si="79"/>
        <v>-2.7743704013377921</v>
      </c>
      <c r="L173" s="159">
        <f t="shared" si="80"/>
        <v>3.9708144960053484E-3</v>
      </c>
      <c r="M173" s="160">
        <f t="shared" si="81"/>
        <v>4.3003862971366042E-3</v>
      </c>
      <c r="N173" s="161">
        <f t="shared" si="82"/>
        <v>0.4322758910911158</v>
      </c>
      <c r="O173" s="161">
        <f t="shared" si="83"/>
        <v>0.54431640098774026</v>
      </c>
      <c r="P173" s="161">
        <f t="shared" si="84"/>
        <v>2.3407707921143914E-2</v>
      </c>
      <c r="Q173" s="162">
        <f t="shared" si="85"/>
        <v>0.27662497985255519</v>
      </c>
      <c r="R173" s="163">
        <f t="shared" si="86"/>
        <v>0.4322758910911158</v>
      </c>
      <c r="S173" s="159">
        <f t="shared" si="65"/>
        <v>1.6812395528287135E-3</v>
      </c>
      <c r="T173" s="160">
        <f t="shared" si="66"/>
        <v>9.4919943129680093E-3</v>
      </c>
      <c r="U173" s="161">
        <f t="shared" si="67"/>
        <v>0.23494652265806276</v>
      </c>
      <c r="V173" s="161">
        <f t="shared" si="68"/>
        <v>0.69873005980248715</v>
      </c>
      <c r="W173" s="161">
        <f t="shared" si="69"/>
        <v>6.632341753945005E-2</v>
      </c>
      <c r="X173" s="162">
        <f t="shared" si="70"/>
        <v>0.21224177241556841</v>
      </c>
      <c r="Y173" s="163">
        <f t="shared" si="71"/>
        <v>0.23494652265806276</v>
      </c>
    </row>
    <row r="174" spans="1:25" x14ac:dyDescent="0.2">
      <c r="A174" s="137">
        <v>350</v>
      </c>
      <c r="B174" s="137">
        <f t="shared" si="63"/>
        <v>623</v>
      </c>
      <c r="C174" s="140">
        <f t="shared" si="72"/>
        <v>8.6556562386265696</v>
      </c>
      <c r="D174" s="140">
        <f t="shared" si="73"/>
        <v>4.1802282895403335</v>
      </c>
      <c r="E174" s="140">
        <f t="shared" si="74"/>
        <v>17.290199327406771</v>
      </c>
      <c r="F174" s="141">
        <f t="shared" si="75"/>
        <v>-2.8632788438769325</v>
      </c>
      <c r="G174" s="141">
        <f t="shared" si="76"/>
        <v>-0.3507734399175968</v>
      </c>
      <c r="H174" s="141">
        <f t="shared" si="77"/>
        <v>-2.5125054039593357</v>
      </c>
      <c r="I174" s="141">
        <f t="shared" si="78"/>
        <v>-2.1964054039593366</v>
      </c>
      <c r="J174" s="141">
        <f t="shared" si="64"/>
        <v>-2.7487881219903691</v>
      </c>
      <c r="K174" s="141">
        <f t="shared" si="79"/>
        <v>-3.0492881219903682</v>
      </c>
      <c r="L174" s="160">
        <f t="shared" si="80"/>
        <v>1.7832485436417246E-3</v>
      </c>
      <c r="M174" s="160">
        <f t="shared" si="81"/>
        <v>3.0725191334398513E-3</v>
      </c>
      <c r="N174" s="161">
        <f t="shared" si="82"/>
        <v>0.25706801291577036</v>
      </c>
      <c r="O174" s="161">
        <f t="shared" si="83"/>
        <v>0.72078570828604116</v>
      </c>
      <c r="P174" s="161">
        <f t="shared" si="84"/>
        <v>2.2146278798188566E-2</v>
      </c>
      <c r="Q174" s="162">
        <f t="shared" si="85"/>
        <v>0.17400337878583413</v>
      </c>
      <c r="R174" s="162">
        <f t="shared" si="86"/>
        <v>0.25706801291577036</v>
      </c>
      <c r="S174" s="160">
        <f t="shared" si="65"/>
        <v>8.927130387287014E-4</v>
      </c>
      <c r="T174" s="160">
        <f t="shared" si="66"/>
        <v>6.3620136422220539E-3</v>
      </c>
      <c r="U174" s="161">
        <f t="shared" si="67"/>
        <v>0.14373527831518862</v>
      </c>
      <c r="V174" s="161">
        <f t="shared" si="68"/>
        <v>0.80504749051206737</v>
      </c>
      <c r="W174" s="161">
        <f t="shared" si="69"/>
        <v>5.1217231172744022E-2</v>
      </c>
      <c r="X174" s="162">
        <f t="shared" si="70"/>
        <v>0.14213328653435744</v>
      </c>
      <c r="Y174" s="162">
        <f t="shared" si="71"/>
        <v>0.14373527831518862</v>
      </c>
    </row>
    <row r="175" spans="1:25" x14ac:dyDescent="0.2">
      <c r="A175" s="137">
        <v>375</v>
      </c>
      <c r="B175" s="137">
        <f t="shared" si="63"/>
        <v>648</v>
      </c>
      <c r="C175" s="140">
        <f t="shared" si="72"/>
        <v>4.6163635154046743</v>
      </c>
      <c r="D175" s="140">
        <f>10^(4.0547-0.00981*A175)</f>
        <v>2.3765666585258631</v>
      </c>
      <c r="E175" s="140">
        <f t="shared" si="74"/>
        <v>7.799198969510587</v>
      </c>
      <c r="F175" s="141">
        <f>($E$165/3)+4.07-1997/B175-LOG(B175)</f>
        <v>-2.7566984626607161</v>
      </c>
      <c r="G175" s="141">
        <f>-11.371+0.0168*B175+2086/B175-LOG(B175)</f>
        <v>-7.7039203401457979E-2</v>
      </c>
      <c r="H175" s="141">
        <f>F175-G175</f>
        <v>-2.6796592592592581</v>
      </c>
      <c r="I175" s="141">
        <f t="shared" si="78"/>
        <v>-2.3913092592592591</v>
      </c>
      <c r="J175" s="141">
        <f t="shared" si="64"/>
        <v>-3.0696296296296293</v>
      </c>
      <c r="K175" s="141">
        <f t="shared" si="79"/>
        <v>-3.2973796296296287</v>
      </c>
      <c r="L175" s="160">
        <f>10^J175</f>
        <v>8.5186420622898834E-4</v>
      </c>
      <c r="M175" s="160">
        <f>10^H175</f>
        <v>2.0909360035443825E-3</v>
      </c>
      <c r="N175" s="161">
        <f>(L175*$N$166)/(L175*$N$166+$O$166+M175*$P$166)</f>
        <v>0.14301635755370068</v>
      </c>
      <c r="O175" s="161">
        <f>$O$166/(L175*$N$166+$O$166+M175*$P$166)</f>
        <v>0.83943166356761256</v>
      </c>
      <c r="P175" s="161">
        <f>(M175*$P$166)/(L175*$N$166+$O$166+M175*$P$166)</f>
        <v>1.7551978878686765E-2</v>
      </c>
      <c r="Q175" s="162">
        <f>0.5774*N175+1.1547*P175</f>
        <v>0.10284491486272639</v>
      </c>
      <c r="R175" s="162">
        <f>N175</f>
        <v>0.14301635755370068</v>
      </c>
      <c r="S175" s="160">
        <f t="shared" si="65"/>
        <v>5.0422035097297138E-4</v>
      </c>
      <c r="T175" s="160">
        <f t="shared" si="66"/>
        <v>4.0615400561899726E-3</v>
      </c>
      <c r="U175" s="161">
        <f t="shared" si="67"/>
        <v>8.8346606058435528E-2</v>
      </c>
      <c r="V175" s="161">
        <f t="shared" si="68"/>
        <v>0.8760714029883665</v>
      </c>
      <c r="W175" s="161">
        <f t="shared" si="69"/>
        <v>3.558199095319798E-2</v>
      </c>
      <c r="X175" s="162">
        <f t="shared" si="70"/>
        <v>9.2097855291798383E-2</v>
      </c>
      <c r="Y175" s="162">
        <f t="shared" si="71"/>
        <v>8.8346606058435528E-2</v>
      </c>
    </row>
    <row r="176" spans="1:25" x14ac:dyDescent="0.2">
      <c r="A176" s="137">
        <v>400</v>
      </c>
      <c r="B176" s="137">
        <f t="shared" si="63"/>
        <v>673</v>
      </c>
      <c r="C176" s="140">
        <f t="shared" si="72"/>
        <v>2.4620677530212198</v>
      </c>
      <c r="D176" s="140">
        <f>10^(4.0547-0.00981*A176)</f>
        <v>1.3511389070662114</v>
      </c>
      <c r="E176" s="140">
        <f t="shared" si="74"/>
        <v>3.5180337377370221</v>
      </c>
      <c r="F176" s="141">
        <f>($E$165/3)+4.07-1997/B176-LOG(B176)</f>
        <v>-2.6586589473344273</v>
      </c>
      <c r="G176" s="141">
        <f>-11.371+0.0168*B176+2086/B176-LOG(B176)</f>
        <v>0.20693917054571065</v>
      </c>
      <c r="H176" s="141">
        <f>F176-G176</f>
        <v>-2.865598117880138</v>
      </c>
      <c r="I176" s="141">
        <f t="shared" si="78"/>
        <v>-2.6049981178801387</v>
      </c>
      <c r="J176" s="141">
        <f t="shared" si="64"/>
        <v>-3.3666344725111434</v>
      </c>
      <c r="K176" s="141">
        <f t="shared" si="79"/>
        <v>-3.5216344725111428</v>
      </c>
      <c r="L176" s="160">
        <f>10^J176</f>
        <v>4.2989810177988374E-4</v>
      </c>
      <c r="M176" s="160">
        <f>10^H176</f>
        <v>1.3627051025932335E-3</v>
      </c>
      <c r="N176" s="161">
        <f>(L176*$N$166)/(L176*$N$166+$O$166+M176*$P$166)</f>
        <v>7.8191250193056339E-2</v>
      </c>
      <c r="O176" s="161">
        <f>$O$166/(L176*$N$166+$O$166+M176*$P$166)</f>
        <v>0.90941609034007542</v>
      </c>
      <c r="P176" s="161">
        <f>(M176*$P$166)/(L176*$N$166+$O$166+M176*$P$166)</f>
        <v>1.2392659466868097E-2</v>
      </c>
      <c r="Q176" s="162">
        <f>0.5774*N176+1.1547*P176</f>
        <v>5.9457431747863325E-2</v>
      </c>
      <c r="R176" s="162">
        <f>N176</f>
        <v>7.8191250193056339E-2</v>
      </c>
      <c r="S176" s="160">
        <f t="shared" si="65"/>
        <v>3.0086074562722285E-4</v>
      </c>
      <c r="T176" s="160">
        <f t="shared" si="66"/>
        <v>2.4831438665749725E-3</v>
      </c>
      <c r="U176" s="161">
        <f t="shared" si="67"/>
        <v>5.5458018574796202E-2</v>
      </c>
      <c r="V176" s="161">
        <f t="shared" si="68"/>
        <v>0.92165593851699501</v>
      </c>
      <c r="W176" s="161">
        <f t="shared" si="69"/>
        <v>2.288604290820876E-2</v>
      </c>
      <c r="X176" s="162">
        <f t="shared" si="70"/>
        <v>5.8447973671195988E-2</v>
      </c>
      <c r="Y176" s="162">
        <f t="shared" si="71"/>
        <v>5.5458018574796202E-2</v>
      </c>
    </row>
    <row r="177" spans="1:25" x14ac:dyDescent="0.2">
      <c r="A177" s="137" t="s">
        <v>152</v>
      </c>
    </row>
    <row r="178" spans="1:25" x14ac:dyDescent="0.2">
      <c r="A178" s="137">
        <f>input!I7</f>
        <v>200</v>
      </c>
      <c r="B178" s="137">
        <f t="shared" si="63"/>
        <v>473</v>
      </c>
      <c r="C178" s="140">
        <f t="shared" si="72"/>
        <v>376.09711325976934</v>
      </c>
      <c r="D178" s="140">
        <f>10^(4.0547-0.00981*A178)</f>
        <v>123.79411516551075</v>
      </c>
      <c r="E178" s="140">
        <f t="shared" si="74"/>
        <v>2052.5795609525312</v>
      </c>
      <c r="F178" s="141">
        <f>($E$165/3)+4.07-1997/B178-LOG(B178)</f>
        <v>-3.7601817890817153</v>
      </c>
      <c r="G178" s="141">
        <f>-11.371+0.0168*B178+2086/B178-LOG(B178)</f>
        <v>-1.6893131491944722</v>
      </c>
      <c r="H178" s="141">
        <f>F178-G178</f>
        <v>-2.0708686398872431</v>
      </c>
      <c r="I178" s="141">
        <f t="shared" si="78"/>
        <v>-1.5882686398872439</v>
      </c>
      <c r="J178" s="141">
        <f>(4*$E$165+0.135+5181/$B178)</f>
        <v>-0.11151162790697633</v>
      </c>
      <c r="K178" s="141">
        <f t="shared" si="79"/>
        <v>-0.84851162790697621</v>
      </c>
      <c r="L178" s="160">
        <f>10^J178</f>
        <v>0.77354996728112291</v>
      </c>
      <c r="M178" s="160">
        <f>10^H178</f>
        <v>8.494373636665168E-3</v>
      </c>
      <c r="N178" s="161">
        <f>(L178*$N$166)/(L178*$N$166+$O$166+M178*$P$166)</f>
        <v>0.99303607834813357</v>
      </c>
      <c r="O178" s="161">
        <f>$O$166/(L178*$N$166+$O$166+M178*$P$166)</f>
        <v>6.4186938164994137E-3</v>
      </c>
      <c r="P178" s="161">
        <f>(M178*$P$166)/(L178*$N$166+$O$166+M178*$P$166)</f>
        <v>5.452278353669835E-4</v>
      </c>
      <c r="Q178" s="162">
        <f>0.5774*N178+1.1547*P178</f>
        <v>0.57400860621971062</v>
      </c>
      <c r="R178" s="162">
        <f>N178</f>
        <v>0.99303607834813357</v>
      </c>
      <c r="S178" s="160">
        <f>10^K178</f>
        <v>0.14173867614739805</v>
      </c>
      <c r="T178" s="160">
        <f>10^I178</f>
        <v>2.5806633856774071E-2</v>
      </c>
      <c r="U178" s="161">
        <f>(S178*$N$166)/(S178*$N$166+$O$166+T178*$P$166)</f>
        <v>0.95750608759313127</v>
      </c>
      <c r="V178" s="161">
        <f>$O$166/(S178*$N$166+$O$166+T178*$P$166)</f>
        <v>3.3777163496200351E-2</v>
      </c>
      <c r="W178" s="161">
        <f>(T178*$P$166)/(S178*$N$166+$O$166+T178*$P$166)</f>
        <v>8.7167489106683704E-3</v>
      </c>
      <c r="X178" s="162">
        <f>0.5774*U178+1.1547*W178</f>
        <v>0.56292924494342278</v>
      </c>
      <c r="Y178" s="162">
        <f>U178</f>
        <v>0.95750608759313127</v>
      </c>
    </row>
    <row r="181" spans="1:25" x14ac:dyDescent="0.2">
      <c r="A181" s="136" t="s">
        <v>33</v>
      </c>
      <c r="H181" s="136" t="s">
        <v>34</v>
      </c>
      <c r="Q181" s="242" t="s">
        <v>228</v>
      </c>
    </row>
    <row r="182" spans="1:25" x14ac:dyDescent="0.2">
      <c r="I182" s="138"/>
      <c r="L182" s="160"/>
      <c r="M182" s="164"/>
      <c r="N182" s="165"/>
      <c r="O182" s="161"/>
      <c r="P182" s="161"/>
      <c r="Q182" s="162"/>
      <c r="R182" s="162"/>
    </row>
    <row r="183" spans="1:25" x14ac:dyDescent="0.2">
      <c r="A183" s="137" t="s">
        <v>43</v>
      </c>
      <c r="C183" s="137" t="s">
        <v>56</v>
      </c>
      <c r="H183" s="137" t="s">
        <v>43</v>
      </c>
      <c r="I183" s="138"/>
      <c r="J183" s="137" t="s">
        <v>54</v>
      </c>
      <c r="N183" s="138"/>
      <c r="O183" s="138"/>
      <c r="Q183" s="137" t="s">
        <v>43</v>
      </c>
      <c r="R183" s="137"/>
      <c r="S183" s="137" t="s">
        <v>49</v>
      </c>
    </row>
    <row r="184" spans="1:25" x14ac:dyDescent="0.2">
      <c r="A184" s="137" t="s">
        <v>17</v>
      </c>
      <c r="C184" s="137" t="s">
        <v>57</v>
      </c>
      <c r="H184" s="137" t="s">
        <v>17</v>
      </c>
      <c r="J184" s="137" t="s">
        <v>55</v>
      </c>
      <c r="N184" s="138"/>
      <c r="O184" s="138"/>
      <c r="Q184" s="137" t="s">
        <v>17</v>
      </c>
      <c r="S184" s="137" t="s">
        <v>47</v>
      </c>
    </row>
    <row r="185" spans="1:25" x14ac:dyDescent="0.2">
      <c r="E185" s="137">
        <f>input!R4</f>
        <v>-2.8</v>
      </c>
      <c r="F185" s="137">
        <f>input!R4</f>
        <v>-2.8</v>
      </c>
      <c r="H185" s="138"/>
      <c r="K185" s="137">
        <f>E185</f>
        <v>-2.8</v>
      </c>
      <c r="L185" s="137">
        <f>F185</f>
        <v>-2.8</v>
      </c>
      <c r="N185" s="138" t="s">
        <v>133</v>
      </c>
      <c r="U185" s="138">
        <f>K185</f>
        <v>-2.8</v>
      </c>
      <c r="V185" s="138">
        <f>L185</f>
        <v>-2.8</v>
      </c>
    </row>
    <row r="186" spans="1:25" x14ac:dyDescent="0.2">
      <c r="A186" s="142" t="s">
        <v>0</v>
      </c>
      <c r="B186" s="142" t="s">
        <v>3</v>
      </c>
      <c r="C186" s="137" t="s">
        <v>58</v>
      </c>
      <c r="E186" s="146" t="s">
        <v>50</v>
      </c>
      <c r="F186" s="146" t="s">
        <v>51</v>
      </c>
      <c r="G186" s="146"/>
      <c r="H186" s="137" t="s">
        <v>59</v>
      </c>
      <c r="K186" s="146" t="s">
        <v>50</v>
      </c>
      <c r="L186" s="146" t="s">
        <v>51</v>
      </c>
      <c r="M186" s="146"/>
      <c r="N186" s="137" t="s">
        <v>89</v>
      </c>
      <c r="O186" s="137" t="s">
        <v>90</v>
      </c>
      <c r="P186" s="146"/>
      <c r="Q186" s="137" t="s">
        <v>53</v>
      </c>
      <c r="S186" s="142" t="s">
        <v>120</v>
      </c>
      <c r="T186" s="142" t="s">
        <v>45</v>
      </c>
      <c r="U186" s="138" t="s">
        <v>229</v>
      </c>
      <c r="V186" s="138" t="s">
        <v>51</v>
      </c>
    </row>
    <row r="187" spans="1:25" x14ac:dyDescent="0.2">
      <c r="A187" s="137">
        <v>100</v>
      </c>
      <c r="B187" s="137">
        <f t="shared" ref="B187:B197" si="87">A187+273</f>
        <v>373</v>
      </c>
      <c r="D187" s="141"/>
      <c r="E187" s="141">
        <f t="shared" ref="E187:E197" si="88">-7.36+0.0168*$B187+2048/$B187</f>
        <v>4.397016621983914</v>
      </c>
      <c r="F187" s="141">
        <f t="shared" ref="F187:F197" si="89">-15.1+0.0277*$B187+2048/$B187</f>
        <v>0.7227166219839134</v>
      </c>
      <c r="G187" s="141"/>
      <c r="H187" s="138"/>
      <c r="J187" s="141"/>
      <c r="K187" s="141">
        <f t="shared" ref="K187:K197" si="90">E$185+6.52</f>
        <v>3.7199999999999998</v>
      </c>
      <c r="L187" s="141">
        <f t="shared" ref="L187:L197" si="91">F$185-3.53+0.014*$B187</f>
        <v>-1.1079999999999997</v>
      </c>
      <c r="M187" s="141"/>
      <c r="N187" s="137">
        <v>1.07</v>
      </c>
      <c r="O187" s="138">
        <v>1.4</v>
      </c>
      <c r="P187" s="141"/>
      <c r="S187" s="140">
        <f>10^(4.7593-0.01092*$A187)</f>
        <v>4648.3626185930125</v>
      </c>
      <c r="T187" s="140">
        <f>10^(6.0783-0.01383*$A187)</f>
        <v>49579.255390630286</v>
      </c>
      <c r="U187" s="141">
        <f t="shared" ref="U187:U197" si="92">4*U$185+0.135+5181/$B187</f>
        <v>2.8250804289544238</v>
      </c>
      <c r="V187" s="141">
        <f>U187+LOG($S187/$T187)</f>
        <v>1.797080428954424</v>
      </c>
    </row>
    <row r="188" spans="1:25" x14ac:dyDescent="0.2">
      <c r="A188" s="137">
        <v>125</v>
      </c>
      <c r="B188" s="137">
        <f t="shared" si="87"/>
        <v>398</v>
      </c>
      <c r="D188" s="141"/>
      <c r="E188" s="141">
        <f t="shared" si="88"/>
        <v>4.4721286432160801</v>
      </c>
      <c r="F188" s="141">
        <f t="shared" si="89"/>
        <v>1.0703286432160803</v>
      </c>
      <c r="G188" s="141"/>
      <c r="H188" s="138"/>
      <c r="J188" s="141"/>
      <c r="K188" s="141">
        <f t="shared" si="90"/>
        <v>3.7199999999999998</v>
      </c>
      <c r="L188" s="141">
        <f t="shared" si="91"/>
        <v>-0.75800000000000001</v>
      </c>
      <c r="M188" s="141"/>
      <c r="N188" s="166">
        <v>1</v>
      </c>
      <c r="O188" s="138">
        <v>1.2</v>
      </c>
      <c r="P188" s="141"/>
      <c r="S188" s="140">
        <f t="shared" ref="S188:S197" si="93">10^(4.7593-0.01092*$A188)</f>
        <v>2479.1339913758652</v>
      </c>
      <c r="T188" s="140">
        <f t="shared" ref="T188:T197" si="94">10^(6.0783-0.01383*$A188)</f>
        <v>22364.026592728747</v>
      </c>
      <c r="U188" s="141">
        <f t="shared" si="92"/>
        <v>1.9525879396984926</v>
      </c>
      <c r="V188" s="141">
        <f t="shared" ref="V188:V197" si="95">U188+LOG($S188/$T188)</f>
        <v>0.99733793969849227</v>
      </c>
    </row>
    <row r="189" spans="1:25" x14ac:dyDescent="0.2">
      <c r="A189" s="137">
        <v>150</v>
      </c>
      <c r="B189" s="137">
        <f t="shared" si="87"/>
        <v>423</v>
      </c>
      <c r="D189" s="141"/>
      <c r="E189" s="141">
        <f t="shared" si="88"/>
        <v>4.5880075650118197</v>
      </c>
      <c r="F189" s="141">
        <f t="shared" si="89"/>
        <v>1.4587075650118209</v>
      </c>
      <c r="G189" s="141"/>
      <c r="H189" s="138"/>
      <c r="J189" s="141"/>
      <c r="K189" s="141">
        <f t="shared" si="90"/>
        <v>3.7199999999999998</v>
      </c>
      <c r="L189" s="141">
        <f t="shared" si="91"/>
        <v>-0.40800000000000036</v>
      </c>
      <c r="M189" s="141"/>
      <c r="N189" s="141">
        <v>1.1299999999999999</v>
      </c>
      <c r="O189" s="141">
        <v>1.2</v>
      </c>
      <c r="P189" s="141"/>
      <c r="S189" s="140">
        <f t="shared" si="93"/>
        <v>1322.2086681902574</v>
      </c>
      <c r="T189" s="140">
        <f t="shared" si="94"/>
        <v>10087.882149492711</v>
      </c>
      <c r="U189" s="141">
        <f t="shared" si="92"/>
        <v>1.1832269503546105</v>
      </c>
      <c r="V189" s="141">
        <f t="shared" si="95"/>
        <v>0.30072695035460995</v>
      </c>
    </row>
    <row r="190" spans="1:25" x14ac:dyDescent="0.2">
      <c r="A190" s="137">
        <v>175</v>
      </c>
      <c r="B190" s="137">
        <f t="shared" si="87"/>
        <v>448</v>
      </c>
      <c r="D190" s="141"/>
      <c r="E190" s="141">
        <f t="shared" si="88"/>
        <v>4.7378285714285706</v>
      </c>
      <c r="F190" s="141">
        <f t="shared" si="89"/>
        <v>1.8810285714285708</v>
      </c>
      <c r="G190" s="141"/>
      <c r="H190" s="138"/>
      <c r="J190" s="141"/>
      <c r="K190" s="141">
        <f t="shared" si="90"/>
        <v>3.7199999999999998</v>
      </c>
      <c r="L190" s="141">
        <f t="shared" si="91"/>
        <v>-5.7999999999999829E-2</v>
      </c>
      <c r="M190" s="141"/>
      <c r="N190" s="141">
        <v>1</v>
      </c>
      <c r="O190" s="141">
        <v>1.2</v>
      </c>
      <c r="P190" s="141"/>
      <c r="S190" s="140">
        <f t="shared" si="93"/>
        <v>705.18002186207775</v>
      </c>
      <c r="T190" s="140">
        <f t="shared" si="94"/>
        <v>4550.4044560177936</v>
      </c>
      <c r="U190" s="141">
        <f t="shared" si="92"/>
        <v>0.49973214285714285</v>
      </c>
      <c r="V190" s="141">
        <f t="shared" si="95"/>
        <v>-0.31001785714285679</v>
      </c>
    </row>
    <row r="191" spans="1:25" x14ac:dyDescent="0.2">
      <c r="A191" s="137">
        <v>200</v>
      </c>
      <c r="B191" s="137">
        <f t="shared" si="87"/>
        <v>473</v>
      </c>
      <c r="D191" s="141"/>
      <c r="E191" s="141">
        <f t="shared" si="88"/>
        <v>4.9162097251585619</v>
      </c>
      <c r="F191" s="141">
        <f t="shared" si="89"/>
        <v>2.331909725158563</v>
      </c>
      <c r="G191" s="141"/>
      <c r="H191" s="138"/>
      <c r="J191" s="141"/>
      <c r="K191" s="141">
        <f t="shared" si="90"/>
        <v>3.7199999999999998</v>
      </c>
      <c r="L191" s="141">
        <f t="shared" si="91"/>
        <v>0.29199999999999982</v>
      </c>
      <c r="M191" s="141"/>
      <c r="N191" s="141">
        <v>2</v>
      </c>
      <c r="O191" s="141">
        <v>2.2000000000000002</v>
      </c>
      <c r="P191" s="141"/>
      <c r="S191" s="140">
        <f t="shared" si="93"/>
        <v>376.09711325976934</v>
      </c>
      <c r="T191" s="140">
        <f t="shared" si="94"/>
        <v>2052.5795609525312</v>
      </c>
      <c r="U191" s="141">
        <f t="shared" si="92"/>
        <v>-0.11151162790697633</v>
      </c>
      <c r="V191" s="141">
        <f t="shared" si="95"/>
        <v>-0.84851162790697621</v>
      </c>
    </row>
    <row r="192" spans="1:25" x14ac:dyDescent="0.2">
      <c r="A192" s="137">
        <v>225</v>
      </c>
      <c r="B192" s="137">
        <f t="shared" si="87"/>
        <v>498</v>
      </c>
      <c r="D192" s="141"/>
      <c r="E192" s="141">
        <f t="shared" si="88"/>
        <v>5.1188497991967852</v>
      </c>
      <c r="F192" s="141">
        <f t="shared" si="89"/>
        <v>2.8070497991967862</v>
      </c>
      <c r="G192" s="141"/>
      <c r="H192" s="138"/>
      <c r="J192" s="141"/>
      <c r="K192" s="141">
        <f t="shared" si="90"/>
        <v>3.7199999999999998</v>
      </c>
      <c r="L192" s="141">
        <f t="shared" si="91"/>
        <v>0.64200000000000035</v>
      </c>
      <c r="M192" s="141"/>
      <c r="N192" s="141">
        <v>1.87</v>
      </c>
      <c r="O192" s="141">
        <v>2.2000000000000002</v>
      </c>
      <c r="P192" s="141"/>
      <c r="S192" s="140">
        <f t="shared" si="93"/>
        <v>200.58571459359496</v>
      </c>
      <c r="T192" s="140">
        <f t="shared" si="94"/>
        <v>925.8699737049501</v>
      </c>
      <c r="U192" s="141">
        <f t="shared" si="92"/>
        <v>-0.66138554216867362</v>
      </c>
      <c r="V192" s="141">
        <f t="shared" si="95"/>
        <v>-1.3256355421686732</v>
      </c>
    </row>
    <row r="193" spans="1:22" x14ac:dyDescent="0.2">
      <c r="A193" s="137">
        <v>250</v>
      </c>
      <c r="B193" s="137">
        <f t="shared" si="87"/>
        <v>523</v>
      </c>
      <c r="D193" s="141"/>
      <c r="E193" s="141">
        <f t="shared" si="88"/>
        <v>5.3422699808795393</v>
      </c>
      <c r="F193" s="141">
        <f t="shared" si="89"/>
        <v>3.3029699808795412</v>
      </c>
      <c r="G193" s="141"/>
      <c r="H193" s="138"/>
      <c r="J193" s="141"/>
      <c r="K193" s="141">
        <f t="shared" si="90"/>
        <v>3.7199999999999998</v>
      </c>
      <c r="L193" s="141">
        <f t="shared" si="91"/>
        <v>0.99199999999999999</v>
      </c>
      <c r="M193" s="141"/>
      <c r="N193" s="141">
        <v>2</v>
      </c>
      <c r="O193" s="141">
        <v>2.2000000000000002</v>
      </c>
      <c r="P193" s="141"/>
      <c r="S193" s="140">
        <f t="shared" si="93"/>
        <v>106.97936112908468</v>
      </c>
      <c r="T193" s="140">
        <f t="shared" si="94"/>
        <v>417.63799295097363</v>
      </c>
      <c r="U193" s="141">
        <f t="shared" si="92"/>
        <v>-1.1586902485659643</v>
      </c>
      <c r="V193" s="141">
        <f t="shared" si="95"/>
        <v>-1.7501902485659642</v>
      </c>
    </row>
    <row r="194" spans="1:22" x14ac:dyDescent="0.2">
      <c r="A194" s="137">
        <v>275</v>
      </c>
      <c r="B194" s="137">
        <f t="shared" si="87"/>
        <v>548</v>
      </c>
      <c r="D194" s="141"/>
      <c r="E194" s="141">
        <f t="shared" si="88"/>
        <v>5.5836262773722609</v>
      </c>
      <c r="F194" s="141">
        <f t="shared" si="89"/>
        <v>3.8168262773722619</v>
      </c>
      <c r="G194" s="141"/>
      <c r="H194" s="138"/>
      <c r="J194" s="141"/>
      <c r="K194" s="141">
        <f t="shared" si="90"/>
        <v>3.7199999999999998</v>
      </c>
      <c r="L194" s="141">
        <f t="shared" si="91"/>
        <v>1.3420000000000005</v>
      </c>
      <c r="M194" s="141"/>
      <c r="N194" s="141">
        <v>1.97</v>
      </c>
      <c r="O194" s="141">
        <v>2</v>
      </c>
      <c r="P194" s="141"/>
      <c r="S194" s="140">
        <f t="shared" si="93"/>
        <v>57.055826387112866</v>
      </c>
      <c r="T194" s="140">
        <f t="shared" si="94"/>
        <v>188.38659650896162</v>
      </c>
      <c r="U194" s="141">
        <f t="shared" si="92"/>
        <v>-1.6106204379562037</v>
      </c>
      <c r="V194" s="141">
        <f t="shared" si="95"/>
        <v>-2.1293704379562031</v>
      </c>
    </row>
    <row r="195" spans="1:22" x14ac:dyDescent="0.2">
      <c r="A195" s="137">
        <v>300</v>
      </c>
      <c r="B195" s="137">
        <f t="shared" si="87"/>
        <v>573</v>
      </c>
      <c r="D195" s="141"/>
      <c r="E195" s="141">
        <f t="shared" si="88"/>
        <v>5.8405710296684124</v>
      </c>
      <c r="F195" s="141">
        <f t="shared" si="89"/>
        <v>4.3462710296684115</v>
      </c>
      <c r="G195" s="141"/>
      <c r="H195" s="138"/>
      <c r="J195" s="141"/>
      <c r="K195" s="141">
        <f t="shared" si="90"/>
        <v>3.7199999999999998</v>
      </c>
      <c r="L195" s="141">
        <f t="shared" si="91"/>
        <v>1.6920000000000002</v>
      </c>
      <c r="M195" s="141"/>
      <c r="N195" s="141"/>
      <c r="O195" s="141"/>
      <c r="P195" s="141"/>
      <c r="S195" s="140">
        <f t="shared" si="93"/>
        <v>30.429863203130687</v>
      </c>
      <c r="T195" s="140">
        <f t="shared" si="94"/>
        <v>84.976727077597261</v>
      </c>
      <c r="U195" s="141">
        <f t="shared" si="92"/>
        <v>-2.0231151832460732</v>
      </c>
      <c r="V195" s="141">
        <f t="shared" si="95"/>
        <v>-2.4691151832460729</v>
      </c>
    </row>
    <row r="196" spans="1:22" x14ac:dyDescent="0.2">
      <c r="A196" s="137">
        <v>325</v>
      </c>
      <c r="B196" s="137">
        <f t="shared" si="87"/>
        <v>598</v>
      </c>
      <c r="D196" s="141"/>
      <c r="E196" s="141">
        <f t="shared" si="88"/>
        <v>6.1111491638795989</v>
      </c>
      <c r="F196" s="141">
        <f t="shared" si="89"/>
        <v>4.8893491638795972</v>
      </c>
      <c r="G196" s="141"/>
      <c r="H196" s="138"/>
      <c r="J196" s="141"/>
      <c r="K196" s="141">
        <f t="shared" si="90"/>
        <v>3.7199999999999998</v>
      </c>
      <c r="L196" s="141">
        <f t="shared" si="91"/>
        <v>2.0419999999999998</v>
      </c>
      <c r="M196" s="141"/>
      <c r="N196" s="141"/>
      <c r="O196" s="141"/>
      <c r="P196" s="141"/>
      <c r="S196" s="140">
        <f t="shared" si="93"/>
        <v>16.2293079111443</v>
      </c>
      <c r="T196" s="140">
        <f t="shared" si="94"/>
        <v>38.33098680392019</v>
      </c>
      <c r="U196" s="141">
        <f t="shared" si="92"/>
        <v>-2.401120401337792</v>
      </c>
      <c r="V196" s="141">
        <f t="shared" si="95"/>
        <v>-2.7743704013377921</v>
      </c>
    </row>
    <row r="197" spans="1:22" x14ac:dyDescent="0.2">
      <c r="A197" s="137">
        <v>350</v>
      </c>
      <c r="B197" s="137">
        <f t="shared" si="87"/>
        <v>623</v>
      </c>
      <c r="D197" s="141"/>
      <c r="E197" s="141">
        <f t="shared" si="88"/>
        <v>6.3937194221508822</v>
      </c>
      <c r="F197" s="141">
        <f t="shared" si="89"/>
        <v>5.4444194221508813</v>
      </c>
      <c r="G197" s="141"/>
      <c r="H197" s="138"/>
      <c r="J197" s="141"/>
      <c r="K197" s="141">
        <f t="shared" si="90"/>
        <v>3.7199999999999998</v>
      </c>
      <c r="L197" s="141">
        <f t="shared" si="91"/>
        <v>2.3919999999999995</v>
      </c>
      <c r="M197" s="141"/>
      <c r="N197" s="141"/>
      <c r="O197" s="141"/>
      <c r="P197" s="141"/>
      <c r="S197" s="140">
        <f t="shared" si="93"/>
        <v>8.6556562386265696</v>
      </c>
      <c r="T197" s="140">
        <f t="shared" si="94"/>
        <v>17.290199327406771</v>
      </c>
      <c r="U197" s="141">
        <f t="shared" si="92"/>
        <v>-2.7487881219903691</v>
      </c>
      <c r="V197" s="141">
        <f t="shared" si="95"/>
        <v>-3.0492881219903682</v>
      </c>
    </row>
    <row r="198" spans="1:22" x14ac:dyDescent="0.2">
      <c r="J198" s="141"/>
      <c r="K198" s="141"/>
      <c r="L198" s="141"/>
    </row>
    <row r="199" spans="1:22" x14ac:dyDescent="0.2">
      <c r="J199" s="141"/>
      <c r="K199" s="141"/>
      <c r="L199" s="141"/>
    </row>
    <row r="200" spans="1:22" x14ac:dyDescent="0.2">
      <c r="J200" s="141"/>
      <c r="K200" s="141"/>
      <c r="L200" s="141"/>
    </row>
    <row r="201" spans="1:22" x14ac:dyDescent="0.2">
      <c r="A201" s="138"/>
    </row>
    <row r="202" spans="1:22" x14ac:dyDescent="0.2">
      <c r="A202" s="138"/>
      <c r="C202" s="138"/>
      <c r="D202" s="138"/>
      <c r="E202" s="138"/>
      <c r="F202" s="138"/>
      <c r="G202" s="138"/>
      <c r="H202" s="138"/>
    </row>
    <row r="203" spans="1:22" x14ac:dyDescent="0.2">
      <c r="A203" s="138"/>
      <c r="C203" s="138"/>
      <c r="D203" s="138"/>
      <c r="E203" s="138"/>
      <c r="F203" s="138"/>
    </row>
    <row r="204" spans="1:22" x14ac:dyDescent="0.2">
      <c r="C204" s="138"/>
      <c r="D204" s="138"/>
      <c r="E204" s="138"/>
      <c r="F204" s="138"/>
      <c r="I204" s="138"/>
      <c r="J204" s="138"/>
      <c r="K204" s="138"/>
    </row>
    <row r="205" spans="1:22" x14ac:dyDescent="0.2">
      <c r="C205" s="138"/>
      <c r="D205" s="138"/>
      <c r="E205" s="138"/>
      <c r="F205" s="138"/>
      <c r="I205" s="138"/>
      <c r="J205" s="138"/>
      <c r="K205" s="138"/>
    </row>
    <row r="206" spans="1:22" x14ac:dyDescent="0.2">
      <c r="A206" s="142"/>
      <c r="B206" s="142"/>
      <c r="C206" s="138"/>
      <c r="D206" s="138"/>
      <c r="E206" s="138"/>
      <c r="F206" s="138"/>
      <c r="G206" s="146"/>
      <c r="H206" s="146"/>
      <c r="I206" s="138"/>
      <c r="J206" s="138"/>
      <c r="K206" s="138"/>
      <c r="L206" s="146"/>
      <c r="M206" s="146"/>
      <c r="N206" s="146"/>
      <c r="O206" s="146"/>
      <c r="P206" s="146"/>
    </row>
    <row r="207" spans="1:22" x14ac:dyDescent="0.2">
      <c r="C207" s="138"/>
      <c r="D207" s="138"/>
      <c r="E207" s="138"/>
      <c r="F207" s="138"/>
      <c r="G207" s="141"/>
      <c r="H207" s="141"/>
      <c r="I207" s="138"/>
      <c r="J207" s="138"/>
      <c r="K207" s="138"/>
      <c r="L207" s="141"/>
      <c r="M207" s="141"/>
      <c r="N207" s="141"/>
      <c r="O207" s="141"/>
      <c r="P207" s="141"/>
    </row>
    <row r="208" spans="1:22" x14ac:dyDescent="0.2">
      <c r="C208" s="138"/>
      <c r="D208" s="138"/>
      <c r="E208" s="138"/>
      <c r="F208" s="138"/>
      <c r="G208" s="141"/>
      <c r="H208" s="141"/>
      <c r="I208" s="138"/>
      <c r="J208" s="138"/>
      <c r="K208" s="138"/>
      <c r="L208" s="141"/>
      <c r="M208" s="141"/>
      <c r="N208" s="141"/>
      <c r="O208" s="141"/>
      <c r="P208" s="141"/>
    </row>
    <row r="209" spans="3:16" x14ac:dyDescent="0.2">
      <c r="C209" s="138"/>
      <c r="D209" s="138"/>
      <c r="E209" s="138"/>
      <c r="F209" s="138"/>
      <c r="G209" s="141"/>
      <c r="H209" s="141"/>
      <c r="I209" s="138"/>
      <c r="J209" s="138"/>
      <c r="K209" s="138"/>
      <c r="L209" s="141"/>
      <c r="M209" s="141"/>
      <c r="N209" s="141"/>
      <c r="O209" s="141"/>
      <c r="P209" s="141"/>
    </row>
    <row r="210" spans="3:16" x14ac:dyDescent="0.2">
      <c r="C210" s="138"/>
      <c r="D210" s="138"/>
      <c r="E210" s="138"/>
      <c r="F210" s="138"/>
      <c r="G210" s="141"/>
      <c r="H210" s="141"/>
      <c r="I210" s="138"/>
      <c r="J210" s="138"/>
      <c r="K210" s="138"/>
      <c r="L210" s="141"/>
      <c r="M210" s="141"/>
      <c r="N210" s="141"/>
      <c r="O210" s="141"/>
      <c r="P210" s="141"/>
    </row>
    <row r="211" spans="3:16" x14ac:dyDescent="0.2">
      <c r="C211" s="138"/>
      <c r="D211" s="138"/>
      <c r="E211" s="138"/>
      <c r="F211" s="138"/>
      <c r="G211" s="141"/>
      <c r="H211" s="141"/>
      <c r="I211" s="138"/>
      <c r="J211" s="138"/>
      <c r="K211" s="138"/>
      <c r="L211" s="141"/>
      <c r="M211" s="141"/>
      <c r="N211" s="141"/>
      <c r="O211" s="141"/>
      <c r="P211" s="141"/>
    </row>
    <row r="212" spans="3:16" x14ac:dyDescent="0.2">
      <c r="C212" s="138"/>
      <c r="D212" s="138"/>
      <c r="E212" s="138"/>
      <c r="F212" s="138"/>
      <c r="G212" s="141"/>
      <c r="H212" s="141"/>
      <c r="I212" s="138"/>
      <c r="J212" s="138"/>
      <c r="K212" s="138"/>
      <c r="L212" s="141"/>
      <c r="M212" s="141"/>
      <c r="N212" s="141"/>
      <c r="O212" s="141"/>
      <c r="P212" s="141"/>
    </row>
    <row r="213" spans="3:16" x14ac:dyDescent="0.2">
      <c r="C213" s="138"/>
      <c r="D213" s="138"/>
      <c r="E213" s="138"/>
      <c r="F213" s="138"/>
      <c r="G213" s="141"/>
      <c r="H213" s="141"/>
      <c r="I213" s="138"/>
      <c r="J213" s="138"/>
      <c r="K213" s="138"/>
      <c r="L213" s="141"/>
      <c r="M213" s="141"/>
      <c r="N213" s="141"/>
      <c r="O213" s="141"/>
      <c r="P213" s="141"/>
    </row>
    <row r="214" spans="3:16" x14ac:dyDescent="0.2">
      <c r="C214" s="138"/>
      <c r="D214" s="138"/>
      <c r="E214" s="138"/>
      <c r="F214" s="138"/>
      <c r="G214" s="141"/>
      <c r="H214" s="141"/>
      <c r="I214" s="138"/>
      <c r="J214" s="138"/>
      <c r="K214" s="138"/>
      <c r="L214" s="141"/>
      <c r="M214" s="141"/>
      <c r="N214" s="141"/>
      <c r="O214" s="141"/>
      <c r="P214" s="141"/>
    </row>
    <row r="215" spans="3:16" x14ac:dyDescent="0.2">
      <c r="C215" s="138"/>
      <c r="D215" s="138"/>
      <c r="E215" s="138"/>
      <c r="F215" s="138"/>
      <c r="G215" s="141"/>
      <c r="H215" s="141"/>
      <c r="I215" s="138"/>
      <c r="J215" s="138"/>
      <c r="K215" s="138"/>
      <c r="L215" s="141"/>
      <c r="M215" s="141"/>
      <c r="N215" s="141"/>
      <c r="O215" s="141"/>
      <c r="P215" s="141"/>
    </row>
    <row r="216" spans="3:16" x14ac:dyDescent="0.2">
      <c r="C216" s="138"/>
      <c r="D216" s="138"/>
      <c r="E216" s="138"/>
      <c r="F216" s="138"/>
      <c r="G216" s="141"/>
      <c r="H216" s="141"/>
      <c r="I216" s="138"/>
      <c r="J216" s="138"/>
      <c r="K216" s="138"/>
      <c r="L216" s="141"/>
      <c r="M216" s="141"/>
      <c r="N216" s="141"/>
      <c r="O216" s="141"/>
      <c r="P216" s="141"/>
    </row>
    <row r="217" spans="3:16" x14ac:dyDescent="0.2">
      <c r="C217" s="138"/>
      <c r="D217" s="138"/>
      <c r="E217" s="138"/>
      <c r="F217" s="138"/>
      <c r="G217" s="141"/>
      <c r="H217" s="141"/>
      <c r="I217" s="138"/>
      <c r="J217" s="138"/>
      <c r="K217" s="138"/>
      <c r="L217" s="141"/>
      <c r="M217" s="141"/>
      <c r="N217" s="141"/>
      <c r="O217" s="141"/>
      <c r="P217" s="141"/>
    </row>
  </sheetData>
  <mergeCells count="10">
    <mergeCell ref="J166:K166"/>
    <mergeCell ref="H166:I166"/>
    <mergeCell ref="L166:M166"/>
    <mergeCell ref="S166:T166"/>
    <mergeCell ref="M6:O6"/>
    <mergeCell ref="M46:O46"/>
    <mergeCell ref="M66:O66"/>
    <mergeCell ref="M106:O106"/>
    <mergeCell ref="M26:O26"/>
    <mergeCell ref="M86:O86"/>
  </mergeCells>
  <phoneticPr fontId="0" type="noConversion"/>
  <printOptions gridLines="1" gridLinesSet="0"/>
  <pageMargins left="0.75" right="0.75" top="1" bottom="1" header="0.5" footer="0.5"/>
  <pageSetup paperSize="275" orientation="landscape" horizontalDpi="300" verticalDpi="30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E1" zoomScale="75" workbookViewId="0">
      <selection activeCell="M9" sqref="M9"/>
    </sheetView>
  </sheetViews>
  <sheetFormatPr defaultRowHeight="12.75" x14ac:dyDescent="0.2"/>
  <cols>
    <col min="1" max="17" width="9.140625" style="40"/>
    <col min="18" max="18" width="9.140625" style="45"/>
  </cols>
  <sheetData>
    <row r="1" spans="1:17" x14ac:dyDescent="0.2">
      <c r="A1" s="40" t="s">
        <v>92</v>
      </c>
    </row>
    <row r="3" spans="1:17" x14ac:dyDescent="0.2">
      <c r="A3" s="295" t="s">
        <v>93</v>
      </c>
      <c r="B3" s="295"/>
      <c r="D3" s="295" t="s">
        <v>94</v>
      </c>
      <c r="E3" s="295"/>
      <c r="F3" s="295"/>
      <c r="G3" s="295"/>
      <c r="I3" s="295" t="s">
        <v>95</v>
      </c>
      <c r="J3" s="295"/>
      <c r="K3" s="295"/>
      <c r="L3" s="295"/>
      <c r="N3" s="295" t="s">
        <v>96</v>
      </c>
      <c r="O3" s="295"/>
      <c r="P3" s="295"/>
      <c r="Q3" s="295"/>
    </row>
    <row r="4" spans="1:17" x14ac:dyDescent="0.2">
      <c r="A4" s="39" t="s">
        <v>97</v>
      </c>
      <c r="B4" s="39" t="s">
        <v>90</v>
      </c>
      <c r="D4" s="39" t="s">
        <v>98</v>
      </c>
      <c r="E4" s="39" t="s">
        <v>99</v>
      </c>
      <c r="F4" s="39" t="s">
        <v>89</v>
      </c>
      <c r="G4" s="39" t="s">
        <v>90</v>
      </c>
      <c r="I4" s="39" t="s">
        <v>98</v>
      </c>
      <c r="J4" s="39" t="s">
        <v>99</v>
      </c>
      <c r="K4" s="39" t="s">
        <v>89</v>
      </c>
      <c r="L4" s="39" t="s">
        <v>90</v>
      </c>
      <c r="N4" s="39" t="s">
        <v>98</v>
      </c>
      <c r="O4" s="39" t="s">
        <v>99</v>
      </c>
      <c r="P4" s="39" t="s">
        <v>89</v>
      </c>
      <c r="Q4" s="39" t="s">
        <v>90</v>
      </c>
    </row>
    <row r="5" spans="1:17" x14ac:dyDescent="0.2">
      <c r="A5" s="40">
        <v>0</v>
      </c>
      <c r="B5" s="40">
        <v>0</v>
      </c>
      <c r="D5" s="44">
        <v>0.1</v>
      </c>
      <c r="E5" s="44">
        <v>0</v>
      </c>
      <c r="F5" s="40">
        <f t="shared" ref="F5:F22" si="0">0.5774*D5+1.1547*E5</f>
        <v>5.7740000000000007E-2</v>
      </c>
      <c r="G5" s="46">
        <f t="shared" ref="G5:G22" si="1">D5</f>
        <v>0.1</v>
      </c>
      <c r="I5" s="44">
        <v>0</v>
      </c>
      <c r="J5" s="44">
        <v>0.1</v>
      </c>
      <c r="K5" s="40">
        <f t="shared" ref="K5:K22" si="2">0.5774*I5+1.1547*(J5)</f>
        <v>0.11547000000000002</v>
      </c>
      <c r="L5" s="47">
        <f t="shared" ref="L5:L22" si="3">I5</f>
        <v>0</v>
      </c>
      <c r="N5" s="44">
        <v>0</v>
      </c>
      <c r="O5" s="44">
        <v>0.1</v>
      </c>
      <c r="P5" s="40">
        <f>0.5774*N5+1.1547*(O5)</f>
        <v>0.11547000000000002</v>
      </c>
      <c r="Q5" s="47">
        <f t="shared" ref="Q5:Q22" si="4">N5</f>
        <v>0</v>
      </c>
    </row>
    <row r="6" spans="1:17" x14ac:dyDescent="0.2">
      <c r="A6" s="40">
        <v>0.57740000000000002</v>
      </c>
      <c r="B6" s="40">
        <v>1</v>
      </c>
      <c r="D6" s="44">
        <v>0.1</v>
      </c>
      <c r="E6" s="44">
        <v>0.9</v>
      </c>
      <c r="F6" s="40">
        <f t="shared" si="0"/>
        <v>1.09697</v>
      </c>
      <c r="G6" s="46">
        <f t="shared" si="1"/>
        <v>0.1</v>
      </c>
      <c r="I6" s="44">
        <v>0.1</v>
      </c>
      <c r="J6" s="44">
        <v>0</v>
      </c>
      <c r="K6" s="40">
        <f t="shared" si="2"/>
        <v>5.7740000000000007E-2</v>
      </c>
      <c r="L6" s="47">
        <f t="shared" si="3"/>
        <v>0.1</v>
      </c>
      <c r="N6" s="44">
        <v>0.9</v>
      </c>
      <c r="O6" s="44">
        <v>0.1</v>
      </c>
      <c r="P6" s="40">
        <f t="shared" ref="P6:P22" si="5">0.5774*N6+1.1547*(O6)</f>
        <v>0.63512999999999997</v>
      </c>
      <c r="Q6" s="47">
        <f t="shared" si="4"/>
        <v>0.9</v>
      </c>
    </row>
    <row r="7" spans="1:17" x14ac:dyDescent="0.2">
      <c r="A7" s="40">
        <v>1.1547000000000001</v>
      </c>
      <c r="B7" s="40">
        <v>0</v>
      </c>
      <c r="D7" s="44">
        <v>0.2</v>
      </c>
      <c r="E7" s="44">
        <v>0.8</v>
      </c>
      <c r="F7" s="40">
        <f t="shared" si="0"/>
        <v>1.0392400000000002</v>
      </c>
      <c r="G7" s="46">
        <f t="shared" si="1"/>
        <v>0.2</v>
      </c>
      <c r="I7" s="44">
        <v>0.2</v>
      </c>
      <c r="J7" s="44">
        <v>0</v>
      </c>
      <c r="K7" s="40">
        <f t="shared" si="2"/>
        <v>0.11548000000000001</v>
      </c>
      <c r="L7" s="47">
        <f t="shared" si="3"/>
        <v>0.2</v>
      </c>
      <c r="N7" s="44">
        <v>0.8</v>
      </c>
      <c r="O7" s="44">
        <v>0.2</v>
      </c>
      <c r="P7" s="40">
        <f t="shared" si="5"/>
        <v>0.69286000000000003</v>
      </c>
      <c r="Q7" s="47">
        <f t="shared" si="4"/>
        <v>0.8</v>
      </c>
    </row>
    <row r="8" spans="1:17" x14ac:dyDescent="0.2">
      <c r="A8" s="40">
        <v>0</v>
      </c>
      <c r="B8" s="40">
        <v>0</v>
      </c>
      <c r="D8" s="44">
        <v>0.2</v>
      </c>
      <c r="E8" s="44">
        <v>0</v>
      </c>
      <c r="F8" s="40">
        <f t="shared" si="0"/>
        <v>0.11548000000000001</v>
      </c>
      <c r="G8" s="46">
        <f t="shared" si="1"/>
        <v>0.2</v>
      </c>
      <c r="I8" s="44">
        <v>0</v>
      </c>
      <c r="J8" s="44">
        <v>0.2</v>
      </c>
      <c r="K8" s="40">
        <f t="shared" si="2"/>
        <v>0.23094000000000003</v>
      </c>
      <c r="L8" s="47">
        <f t="shared" si="3"/>
        <v>0</v>
      </c>
      <c r="N8" s="44">
        <v>0</v>
      </c>
      <c r="O8" s="44">
        <v>0.2</v>
      </c>
      <c r="P8" s="40">
        <f t="shared" si="5"/>
        <v>0.23094000000000003</v>
      </c>
      <c r="Q8" s="47">
        <f t="shared" si="4"/>
        <v>0</v>
      </c>
    </row>
    <row r="9" spans="1:17" x14ac:dyDescent="0.2">
      <c r="D9" s="44">
        <v>0.3</v>
      </c>
      <c r="E9" s="44">
        <v>0</v>
      </c>
      <c r="F9" s="40">
        <f t="shared" si="0"/>
        <v>0.17322000000000001</v>
      </c>
      <c r="G9" s="46">
        <f t="shared" si="1"/>
        <v>0.3</v>
      </c>
      <c r="I9" s="44">
        <v>0</v>
      </c>
      <c r="J9" s="44">
        <v>0.3</v>
      </c>
      <c r="K9" s="40">
        <f t="shared" si="2"/>
        <v>0.34641</v>
      </c>
      <c r="L9" s="47">
        <f t="shared" si="3"/>
        <v>0</v>
      </c>
      <c r="N9" s="44">
        <v>0</v>
      </c>
      <c r="O9" s="44">
        <v>0.3</v>
      </c>
      <c r="P9" s="40">
        <f t="shared" si="5"/>
        <v>0.34641</v>
      </c>
      <c r="Q9" s="47">
        <f t="shared" si="4"/>
        <v>0</v>
      </c>
    </row>
    <row r="10" spans="1:17" x14ac:dyDescent="0.2">
      <c r="D10" s="44">
        <v>0.3</v>
      </c>
      <c r="E10" s="44">
        <v>0.7</v>
      </c>
      <c r="F10" s="40">
        <f t="shared" si="0"/>
        <v>0.98150999999999999</v>
      </c>
      <c r="G10" s="46">
        <f t="shared" si="1"/>
        <v>0.3</v>
      </c>
      <c r="I10" s="44">
        <v>0.3</v>
      </c>
      <c r="J10" s="44">
        <v>0</v>
      </c>
      <c r="K10" s="40">
        <f t="shared" si="2"/>
        <v>0.17322000000000001</v>
      </c>
      <c r="L10" s="47">
        <f t="shared" si="3"/>
        <v>0.3</v>
      </c>
      <c r="N10" s="44">
        <v>0.7</v>
      </c>
      <c r="O10" s="44">
        <v>0.3</v>
      </c>
      <c r="P10" s="40">
        <f t="shared" si="5"/>
        <v>0.75058999999999998</v>
      </c>
      <c r="Q10" s="47">
        <f t="shared" si="4"/>
        <v>0.7</v>
      </c>
    </row>
    <row r="11" spans="1:17" x14ac:dyDescent="0.2">
      <c r="D11" s="44">
        <v>0.4</v>
      </c>
      <c r="E11" s="44">
        <v>0.6</v>
      </c>
      <c r="F11" s="40">
        <f t="shared" si="0"/>
        <v>0.92378000000000005</v>
      </c>
      <c r="G11" s="46">
        <f t="shared" si="1"/>
        <v>0.4</v>
      </c>
      <c r="I11" s="44">
        <v>0.4</v>
      </c>
      <c r="J11" s="44">
        <v>0</v>
      </c>
      <c r="K11" s="40">
        <f t="shared" si="2"/>
        <v>0.23096000000000003</v>
      </c>
      <c r="L11" s="47">
        <f t="shared" si="3"/>
        <v>0.4</v>
      </c>
      <c r="N11" s="44">
        <v>0.6</v>
      </c>
      <c r="O11" s="44">
        <v>0.4</v>
      </c>
      <c r="P11" s="40">
        <f t="shared" si="5"/>
        <v>0.80832000000000015</v>
      </c>
      <c r="Q11" s="47">
        <f t="shared" si="4"/>
        <v>0.6</v>
      </c>
    </row>
    <row r="12" spans="1:17" x14ac:dyDescent="0.2">
      <c r="D12" s="44">
        <v>0.4</v>
      </c>
      <c r="E12" s="44">
        <v>0</v>
      </c>
      <c r="F12" s="40">
        <f t="shared" si="0"/>
        <v>0.23096000000000003</v>
      </c>
      <c r="G12" s="46">
        <f t="shared" si="1"/>
        <v>0.4</v>
      </c>
      <c r="I12" s="44">
        <v>0</v>
      </c>
      <c r="J12" s="44">
        <v>0.4</v>
      </c>
      <c r="K12" s="40">
        <f t="shared" si="2"/>
        <v>0.46188000000000007</v>
      </c>
      <c r="L12" s="47">
        <f t="shared" si="3"/>
        <v>0</v>
      </c>
      <c r="N12" s="44">
        <v>0</v>
      </c>
      <c r="O12" s="44">
        <v>0.4</v>
      </c>
      <c r="P12" s="40">
        <f t="shared" si="5"/>
        <v>0.46188000000000007</v>
      </c>
      <c r="Q12" s="47">
        <f t="shared" si="4"/>
        <v>0</v>
      </c>
    </row>
    <row r="13" spans="1:17" x14ac:dyDescent="0.2">
      <c r="D13" s="44">
        <v>0.5</v>
      </c>
      <c r="E13" s="44">
        <v>0</v>
      </c>
      <c r="F13" s="40">
        <f t="shared" si="0"/>
        <v>0.28870000000000001</v>
      </c>
      <c r="G13" s="46">
        <f t="shared" si="1"/>
        <v>0.5</v>
      </c>
      <c r="I13" s="44">
        <v>0</v>
      </c>
      <c r="J13" s="44">
        <v>0.5</v>
      </c>
      <c r="K13" s="40">
        <f t="shared" si="2"/>
        <v>0.57735000000000003</v>
      </c>
      <c r="L13" s="47">
        <f t="shared" si="3"/>
        <v>0</v>
      </c>
      <c r="N13" s="44">
        <v>0</v>
      </c>
      <c r="O13" s="44">
        <v>0.5</v>
      </c>
      <c r="P13" s="40">
        <f t="shared" si="5"/>
        <v>0.57735000000000003</v>
      </c>
      <c r="Q13" s="47">
        <f t="shared" si="4"/>
        <v>0</v>
      </c>
    </row>
    <row r="14" spans="1:17" x14ac:dyDescent="0.2">
      <c r="D14" s="44">
        <v>0.5</v>
      </c>
      <c r="E14" s="44">
        <v>0.5</v>
      </c>
      <c r="F14" s="40">
        <f t="shared" si="0"/>
        <v>0.86604999999999999</v>
      </c>
      <c r="G14" s="46">
        <f t="shared" si="1"/>
        <v>0.5</v>
      </c>
      <c r="I14" s="44">
        <v>0.5</v>
      </c>
      <c r="J14" s="44">
        <v>0</v>
      </c>
      <c r="K14" s="40">
        <f t="shared" si="2"/>
        <v>0.28870000000000001</v>
      </c>
      <c r="L14" s="47">
        <f t="shared" si="3"/>
        <v>0.5</v>
      </c>
      <c r="N14" s="44">
        <v>0.5</v>
      </c>
      <c r="O14" s="44">
        <v>0.5</v>
      </c>
      <c r="P14" s="40">
        <f t="shared" si="5"/>
        <v>0.86604999999999999</v>
      </c>
      <c r="Q14" s="47">
        <f t="shared" si="4"/>
        <v>0.5</v>
      </c>
    </row>
    <row r="15" spans="1:17" x14ac:dyDescent="0.2">
      <c r="D15" s="44">
        <v>0.6</v>
      </c>
      <c r="E15" s="44">
        <v>0.4</v>
      </c>
      <c r="F15" s="40">
        <f t="shared" si="0"/>
        <v>0.80832000000000015</v>
      </c>
      <c r="G15" s="46">
        <f t="shared" si="1"/>
        <v>0.6</v>
      </c>
      <c r="I15" s="44">
        <v>0.6</v>
      </c>
      <c r="J15" s="44">
        <v>0</v>
      </c>
      <c r="K15" s="40">
        <f t="shared" si="2"/>
        <v>0.34644000000000003</v>
      </c>
      <c r="L15" s="47">
        <f t="shared" si="3"/>
        <v>0.6</v>
      </c>
      <c r="N15" s="44">
        <v>0.4</v>
      </c>
      <c r="O15" s="44">
        <v>0.6</v>
      </c>
      <c r="P15" s="40">
        <f t="shared" si="5"/>
        <v>0.92378000000000005</v>
      </c>
      <c r="Q15" s="47">
        <f t="shared" si="4"/>
        <v>0.4</v>
      </c>
    </row>
    <row r="16" spans="1:17" x14ac:dyDescent="0.2">
      <c r="D16" s="44">
        <v>0.6</v>
      </c>
      <c r="E16" s="44">
        <v>0</v>
      </c>
      <c r="F16" s="40">
        <f t="shared" si="0"/>
        <v>0.34644000000000003</v>
      </c>
      <c r="G16" s="46">
        <f t="shared" si="1"/>
        <v>0.6</v>
      </c>
      <c r="I16" s="44">
        <v>0</v>
      </c>
      <c r="J16" s="44">
        <v>0.6</v>
      </c>
      <c r="K16" s="40">
        <f t="shared" si="2"/>
        <v>0.69281999999999999</v>
      </c>
      <c r="L16" s="47">
        <f t="shared" si="3"/>
        <v>0</v>
      </c>
      <c r="N16" s="44">
        <v>0</v>
      </c>
      <c r="O16" s="44">
        <v>0.6</v>
      </c>
      <c r="P16" s="40">
        <f t="shared" si="5"/>
        <v>0.69281999999999999</v>
      </c>
      <c r="Q16" s="47">
        <f t="shared" si="4"/>
        <v>0</v>
      </c>
    </row>
    <row r="17" spans="4:17" x14ac:dyDescent="0.2">
      <c r="D17" s="44">
        <v>0.7</v>
      </c>
      <c r="E17" s="44">
        <v>0</v>
      </c>
      <c r="F17" s="40">
        <f t="shared" si="0"/>
        <v>0.40417999999999998</v>
      </c>
      <c r="G17" s="46">
        <f t="shared" si="1"/>
        <v>0.7</v>
      </c>
      <c r="I17" s="44">
        <v>0</v>
      </c>
      <c r="J17" s="44">
        <v>0.7</v>
      </c>
      <c r="K17" s="40">
        <f t="shared" si="2"/>
        <v>0.80828999999999995</v>
      </c>
      <c r="L17" s="47">
        <f t="shared" si="3"/>
        <v>0</v>
      </c>
      <c r="N17" s="44">
        <v>0</v>
      </c>
      <c r="O17" s="44">
        <v>0.7</v>
      </c>
      <c r="P17" s="40">
        <f t="shared" si="5"/>
        <v>0.80828999999999995</v>
      </c>
      <c r="Q17" s="47">
        <f t="shared" si="4"/>
        <v>0</v>
      </c>
    </row>
    <row r="18" spans="4:17" x14ac:dyDescent="0.2">
      <c r="D18" s="44">
        <v>0.7</v>
      </c>
      <c r="E18" s="44">
        <v>0.3</v>
      </c>
      <c r="F18" s="40">
        <f t="shared" si="0"/>
        <v>0.75058999999999998</v>
      </c>
      <c r="G18" s="46">
        <f t="shared" si="1"/>
        <v>0.7</v>
      </c>
      <c r="I18" s="44">
        <v>0.7</v>
      </c>
      <c r="J18" s="44">
        <v>0</v>
      </c>
      <c r="K18" s="40">
        <f t="shared" si="2"/>
        <v>0.40417999999999998</v>
      </c>
      <c r="L18" s="47">
        <f t="shared" si="3"/>
        <v>0.7</v>
      </c>
      <c r="N18" s="44">
        <v>0.3</v>
      </c>
      <c r="O18" s="44">
        <v>0.7</v>
      </c>
      <c r="P18" s="40">
        <f t="shared" si="5"/>
        <v>0.98150999999999999</v>
      </c>
      <c r="Q18" s="47">
        <f t="shared" si="4"/>
        <v>0.3</v>
      </c>
    </row>
    <row r="19" spans="4:17" x14ac:dyDescent="0.2">
      <c r="D19" s="44">
        <v>0.8</v>
      </c>
      <c r="E19" s="44">
        <v>0.2</v>
      </c>
      <c r="F19" s="40">
        <f t="shared" si="0"/>
        <v>0.69286000000000003</v>
      </c>
      <c r="G19" s="46">
        <f t="shared" si="1"/>
        <v>0.8</v>
      </c>
      <c r="I19" s="44">
        <v>0.8</v>
      </c>
      <c r="J19" s="44">
        <v>0</v>
      </c>
      <c r="K19" s="40">
        <f t="shared" si="2"/>
        <v>0.46192000000000005</v>
      </c>
      <c r="L19" s="47">
        <f t="shared" si="3"/>
        <v>0.8</v>
      </c>
      <c r="N19" s="44">
        <v>0.2</v>
      </c>
      <c r="O19" s="44">
        <v>0.8</v>
      </c>
      <c r="P19" s="40">
        <f t="shared" si="5"/>
        <v>1.0392400000000002</v>
      </c>
      <c r="Q19" s="47">
        <f t="shared" si="4"/>
        <v>0.2</v>
      </c>
    </row>
    <row r="20" spans="4:17" x14ac:dyDescent="0.2">
      <c r="D20" s="44">
        <v>0.8</v>
      </c>
      <c r="E20" s="44">
        <v>0</v>
      </c>
      <c r="F20" s="40">
        <f t="shared" si="0"/>
        <v>0.46192000000000005</v>
      </c>
      <c r="G20" s="46">
        <f t="shared" si="1"/>
        <v>0.8</v>
      </c>
      <c r="I20" s="44">
        <v>0</v>
      </c>
      <c r="J20" s="44">
        <v>0.8</v>
      </c>
      <c r="K20" s="40">
        <f t="shared" si="2"/>
        <v>0.92376000000000014</v>
      </c>
      <c r="L20" s="47">
        <f t="shared" si="3"/>
        <v>0</v>
      </c>
      <c r="N20" s="44">
        <v>0</v>
      </c>
      <c r="O20" s="44">
        <v>0.8</v>
      </c>
      <c r="P20" s="40">
        <f t="shared" si="5"/>
        <v>0.92376000000000014</v>
      </c>
      <c r="Q20" s="47">
        <f t="shared" si="4"/>
        <v>0</v>
      </c>
    </row>
    <row r="21" spans="4:17" x14ac:dyDescent="0.2">
      <c r="D21" s="44">
        <v>0.9</v>
      </c>
      <c r="E21" s="44">
        <v>0</v>
      </c>
      <c r="F21" s="40">
        <f t="shared" si="0"/>
        <v>0.51966000000000001</v>
      </c>
      <c r="G21" s="46">
        <f t="shared" si="1"/>
        <v>0.9</v>
      </c>
      <c r="I21" s="44">
        <v>0</v>
      </c>
      <c r="J21" s="44">
        <v>0.9</v>
      </c>
      <c r="K21" s="40">
        <f t="shared" si="2"/>
        <v>1.0392300000000001</v>
      </c>
      <c r="L21" s="47">
        <f t="shared" si="3"/>
        <v>0</v>
      </c>
      <c r="N21" s="44">
        <v>0</v>
      </c>
      <c r="O21" s="44">
        <v>0.9</v>
      </c>
      <c r="P21" s="40">
        <f t="shared" si="5"/>
        <v>1.0392300000000001</v>
      </c>
      <c r="Q21" s="47">
        <f t="shared" si="4"/>
        <v>0</v>
      </c>
    </row>
    <row r="22" spans="4:17" x14ac:dyDescent="0.2">
      <c r="D22" s="44">
        <v>0.9</v>
      </c>
      <c r="E22" s="44">
        <v>0.1</v>
      </c>
      <c r="F22" s="40">
        <f t="shared" si="0"/>
        <v>0.63512999999999997</v>
      </c>
      <c r="G22" s="46">
        <f t="shared" si="1"/>
        <v>0.9</v>
      </c>
      <c r="I22" s="44">
        <v>0.9</v>
      </c>
      <c r="J22" s="44">
        <v>0</v>
      </c>
      <c r="K22" s="40">
        <f t="shared" si="2"/>
        <v>0.51966000000000001</v>
      </c>
      <c r="L22" s="47">
        <f t="shared" si="3"/>
        <v>0.9</v>
      </c>
      <c r="N22" s="44">
        <v>0.1</v>
      </c>
      <c r="O22" s="44">
        <v>0.9</v>
      </c>
      <c r="P22" s="40">
        <f t="shared" si="5"/>
        <v>1.09697</v>
      </c>
      <c r="Q22" s="47">
        <f t="shared" si="4"/>
        <v>0.1</v>
      </c>
    </row>
  </sheetData>
  <mergeCells count="4">
    <mergeCell ref="A3:B3"/>
    <mergeCell ref="D3:G3"/>
    <mergeCell ref="I3:L3"/>
    <mergeCell ref="N3:Q3"/>
  </mergeCells>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4"/>
  <sheetViews>
    <sheetView zoomScale="75" workbookViewId="0">
      <selection activeCell="R17" sqref="R17"/>
    </sheetView>
  </sheetViews>
  <sheetFormatPr defaultRowHeight="12.75" x14ac:dyDescent="0.2"/>
  <cols>
    <col min="1" max="1" width="10.140625" style="114" customWidth="1"/>
    <col min="2" max="2" width="10.5703125" style="114" customWidth="1"/>
    <col min="3" max="3" width="9.28515625" style="114" customWidth="1"/>
    <col min="4" max="4" width="9.140625" style="114"/>
    <col min="5" max="5" width="9.28515625" style="114" customWidth="1"/>
    <col min="6" max="9" width="9.140625" style="114"/>
    <col min="10" max="10" width="10.28515625" style="114" customWidth="1"/>
    <col min="11" max="16384" width="9.140625" style="114"/>
  </cols>
  <sheetData>
    <row r="1" spans="1:34" x14ac:dyDescent="0.2">
      <c r="A1" s="114" t="s">
        <v>186</v>
      </c>
    </row>
    <row r="2" spans="1:34" x14ac:dyDescent="0.2">
      <c r="A2" s="114" t="s">
        <v>100</v>
      </c>
      <c r="G2" s="114" t="s">
        <v>112</v>
      </c>
      <c r="I2" s="114">
        <v>100</v>
      </c>
      <c r="J2" s="115" t="s">
        <v>114</v>
      </c>
      <c r="M2" s="113"/>
      <c r="N2" s="113"/>
      <c r="R2" s="113"/>
      <c r="S2" s="113"/>
      <c r="T2" s="113"/>
    </row>
    <row r="3" spans="1:34" x14ac:dyDescent="0.2">
      <c r="B3" s="114" t="s">
        <v>101</v>
      </c>
      <c r="C3" s="114" t="s">
        <v>18</v>
      </c>
      <c r="D3" s="114" t="s">
        <v>24</v>
      </c>
      <c r="H3" s="114" t="s">
        <v>101</v>
      </c>
      <c r="I3" s="114" t="s">
        <v>28</v>
      </c>
      <c r="J3" s="114" t="s">
        <v>24</v>
      </c>
      <c r="O3" s="113"/>
      <c r="P3" s="113"/>
      <c r="Q3" s="113"/>
      <c r="U3" s="113"/>
      <c r="V3" s="113"/>
    </row>
    <row r="4" spans="1:34" x14ac:dyDescent="0.2">
      <c r="A4" s="113" t="s">
        <v>102</v>
      </c>
      <c r="B4" s="114">
        <f>input!BR9</f>
        <v>100</v>
      </c>
      <c r="C4" s="114">
        <f>input!BS9</f>
        <v>1</v>
      </c>
      <c r="D4" s="114">
        <f>input!BT9</f>
        <v>10000</v>
      </c>
      <c r="E4" s="113" t="s">
        <v>89</v>
      </c>
      <c r="F4" s="113" t="s">
        <v>90</v>
      </c>
      <c r="G4" s="113" t="s">
        <v>102</v>
      </c>
      <c r="H4" s="114">
        <f>input!BW9</f>
        <v>1</v>
      </c>
      <c r="I4" s="114">
        <f>input!BX9</f>
        <v>1000</v>
      </c>
      <c r="J4" s="114">
        <f>input!BY9</f>
        <v>100</v>
      </c>
      <c r="K4" s="113" t="s">
        <v>89</v>
      </c>
      <c r="L4" s="113" t="s">
        <v>90</v>
      </c>
      <c r="M4" s="117"/>
      <c r="N4" s="117"/>
      <c r="O4" s="116"/>
      <c r="P4" s="116"/>
      <c r="R4" s="117"/>
      <c r="S4" s="117"/>
      <c r="T4" s="117"/>
      <c r="U4" s="116"/>
      <c r="V4" s="116"/>
    </row>
    <row r="5" spans="1:34" x14ac:dyDescent="0.2">
      <c r="A5" s="113" t="s">
        <v>103</v>
      </c>
      <c r="B5" s="117">
        <f>($B$4*38)/($B$4*38+$D$4)</f>
        <v>0.27536231884057971</v>
      </c>
      <c r="C5" s="117">
        <v>0</v>
      </c>
      <c r="D5" s="117">
        <f>$D$4/ ($B$4*38+D4)</f>
        <v>0.72463768115942029</v>
      </c>
      <c r="E5" s="116">
        <f t="shared" ref="E5:E10" si="0">0.5774*B5+1.1547*D5</f>
        <v>0.99573333333333336</v>
      </c>
      <c r="F5" s="116">
        <f t="shared" ref="F5:F10" si="1">B5</f>
        <v>0.27536231884057971</v>
      </c>
      <c r="G5" s="113" t="s">
        <v>103</v>
      </c>
      <c r="H5" s="117">
        <f>(H$4*38)/(H$4*38+J$4)</f>
        <v>0.27536231884057971</v>
      </c>
      <c r="I5" s="117">
        <v>0</v>
      </c>
      <c r="J5" s="117">
        <f>J$4/ (H$4*38+J$4)</f>
        <v>0.72463768115942029</v>
      </c>
      <c r="K5" s="116">
        <f t="shared" ref="K5:K10" si="2">0.5774*H5+1.1547*J5</f>
        <v>0.99573333333333336</v>
      </c>
      <c r="L5" s="116">
        <f t="shared" ref="L5:L10" si="3">H5</f>
        <v>0.27536231884057971</v>
      </c>
      <c r="M5" s="117"/>
      <c r="N5" s="117"/>
      <c r="O5" s="116"/>
      <c r="P5" s="116"/>
      <c r="R5" s="117"/>
      <c r="S5" s="117"/>
      <c r="T5" s="117"/>
      <c r="U5" s="116"/>
      <c r="V5" s="116"/>
    </row>
    <row r="6" spans="1:34" x14ac:dyDescent="0.2">
      <c r="A6" s="113" t="s">
        <v>104</v>
      </c>
      <c r="B6" s="117">
        <f>($B$4*84)/($B$4*84+$D$4)</f>
        <v>0.45652173913043476</v>
      </c>
      <c r="C6" s="117">
        <v>0</v>
      </c>
      <c r="D6" s="117">
        <f>$D$4/ ($B$4*84+$D$4)</f>
        <v>0.54347826086956519</v>
      </c>
      <c r="E6" s="116">
        <f t="shared" si="0"/>
        <v>0.89115000000000011</v>
      </c>
      <c r="F6" s="116">
        <f t="shared" si="1"/>
        <v>0.45652173913043476</v>
      </c>
      <c r="G6" s="113" t="s">
        <v>104</v>
      </c>
      <c r="H6" s="117">
        <f>(H4*84)/(H4*84+J4)</f>
        <v>0.45652173913043476</v>
      </c>
      <c r="I6" s="117">
        <v>0</v>
      </c>
      <c r="J6" s="117">
        <f>J4/ (H4*84+J4)</f>
        <v>0.54347826086956519</v>
      </c>
      <c r="K6" s="116">
        <f t="shared" si="2"/>
        <v>0.89115000000000011</v>
      </c>
      <c r="L6" s="116">
        <f t="shared" si="3"/>
        <v>0.45652173913043476</v>
      </c>
      <c r="M6" s="117"/>
      <c r="N6" s="117"/>
      <c r="O6" s="116"/>
      <c r="P6" s="116"/>
      <c r="R6" s="117"/>
      <c r="S6" s="117"/>
      <c r="T6" s="117"/>
      <c r="U6" s="116"/>
      <c r="V6" s="116"/>
    </row>
    <row r="7" spans="1:34" x14ac:dyDescent="0.2">
      <c r="A7" s="113" t="s">
        <v>105</v>
      </c>
      <c r="B7" s="117">
        <f>($B$4*800)/($B$4*800+$D$4)</f>
        <v>0.88888888888888884</v>
      </c>
      <c r="C7" s="117">
        <v>0</v>
      </c>
      <c r="D7" s="117">
        <f>$D$4/ ($B$4*800+$D$4)</f>
        <v>0.1111111111111111</v>
      </c>
      <c r="E7" s="116">
        <f t="shared" si="0"/>
        <v>0.64154444444444436</v>
      </c>
      <c r="F7" s="116">
        <f t="shared" si="1"/>
        <v>0.88888888888888884</v>
      </c>
      <c r="G7" s="118" t="s">
        <v>28</v>
      </c>
      <c r="H7" s="117">
        <v>0</v>
      </c>
      <c r="I7" s="117">
        <v>1</v>
      </c>
      <c r="J7" s="117">
        <v>0</v>
      </c>
      <c r="K7" s="116">
        <f t="shared" si="2"/>
        <v>0</v>
      </c>
      <c r="L7" s="116">
        <f t="shared" si="3"/>
        <v>0</v>
      </c>
      <c r="M7" s="117"/>
      <c r="N7" s="117"/>
      <c r="O7" s="116"/>
      <c r="P7" s="116"/>
      <c r="R7" s="117"/>
      <c r="S7" s="117"/>
      <c r="T7" s="117"/>
      <c r="U7" s="116"/>
      <c r="V7" s="116"/>
    </row>
    <row r="8" spans="1:34" x14ac:dyDescent="0.2">
      <c r="A8" s="113" t="s">
        <v>113</v>
      </c>
      <c r="B8" s="117">
        <v>0</v>
      </c>
      <c r="C8" s="117">
        <v>1</v>
      </c>
      <c r="D8" s="117">
        <v>0</v>
      </c>
      <c r="E8" s="116">
        <f t="shared" si="0"/>
        <v>0</v>
      </c>
      <c r="F8" s="116">
        <f t="shared" si="1"/>
        <v>0</v>
      </c>
      <c r="G8" s="113" t="s">
        <v>105</v>
      </c>
      <c r="H8" s="117">
        <f>(H$4*80)/(H$4*80+I4*0.01+J$4*0.1)</f>
        <v>0.8</v>
      </c>
      <c r="I8" s="117">
        <f>(I4*0.01)/(H$4*80+I4*0.01+J$4*0.1)</f>
        <v>0.1</v>
      </c>
      <c r="J8" s="117">
        <f>J$4*0.1/ (H$4*80+I4*0.01+J$4*0.1)</f>
        <v>0.1</v>
      </c>
      <c r="K8" s="116">
        <f t="shared" si="2"/>
        <v>0.57739000000000007</v>
      </c>
      <c r="L8" s="116">
        <f t="shared" si="3"/>
        <v>0.8</v>
      </c>
      <c r="M8" s="117"/>
      <c r="N8" s="117"/>
      <c r="O8" s="116"/>
      <c r="P8" s="116"/>
      <c r="R8" s="117"/>
      <c r="S8" s="117"/>
      <c r="T8" s="117"/>
      <c r="U8" s="116"/>
      <c r="V8" s="116"/>
    </row>
    <row r="9" spans="1:34" x14ac:dyDescent="0.2">
      <c r="A9" s="113" t="s">
        <v>24</v>
      </c>
      <c r="B9" s="117">
        <v>0</v>
      </c>
      <c r="C9" s="117">
        <v>0</v>
      </c>
      <c r="D9" s="117">
        <v>1</v>
      </c>
      <c r="E9" s="116">
        <f t="shared" si="0"/>
        <v>1.1547000000000001</v>
      </c>
      <c r="F9" s="116">
        <f t="shared" si="1"/>
        <v>0</v>
      </c>
      <c r="G9" s="113" t="s">
        <v>103</v>
      </c>
      <c r="H9" s="117">
        <f>(H$4*38)/(H$4*38+J$4)</f>
        <v>0.27536231884057971</v>
      </c>
      <c r="I9" s="117">
        <v>0</v>
      </c>
      <c r="J9" s="117">
        <f>J$4/ (H$4*38+J$4)</f>
        <v>0.72463768115942029</v>
      </c>
      <c r="K9" s="116">
        <f t="shared" si="2"/>
        <v>0.99573333333333336</v>
      </c>
      <c r="L9" s="116">
        <f t="shared" si="3"/>
        <v>0.27536231884057971</v>
      </c>
      <c r="M9" s="117"/>
      <c r="N9" s="117"/>
      <c r="O9" s="116"/>
      <c r="P9" s="116"/>
      <c r="R9" s="117"/>
      <c r="S9" s="117"/>
      <c r="T9" s="117"/>
      <c r="U9" s="116"/>
      <c r="V9" s="116"/>
    </row>
    <row r="10" spans="1:34" x14ac:dyDescent="0.2">
      <c r="A10" s="113" t="s">
        <v>115</v>
      </c>
      <c r="B10" s="117">
        <f>($B$4)/($B$4+C4*200)</f>
        <v>0.33333333333333331</v>
      </c>
      <c r="C10" s="117">
        <f>(C4*200)/($B$4+C4*200)</f>
        <v>0.66666666666666663</v>
      </c>
      <c r="D10" s="117">
        <v>0</v>
      </c>
      <c r="E10" s="116">
        <f t="shared" si="0"/>
        <v>0.19246666666666667</v>
      </c>
      <c r="F10" s="116">
        <f t="shared" si="1"/>
        <v>0.33333333333333331</v>
      </c>
      <c r="G10" s="118" t="s">
        <v>28</v>
      </c>
      <c r="H10" s="117">
        <v>0</v>
      </c>
      <c r="I10" s="117">
        <v>1</v>
      </c>
      <c r="J10" s="117">
        <v>0</v>
      </c>
      <c r="K10" s="116">
        <f t="shared" si="2"/>
        <v>0</v>
      </c>
      <c r="L10" s="116">
        <f t="shared" si="3"/>
        <v>0</v>
      </c>
      <c r="M10" s="117"/>
      <c r="N10" s="117"/>
      <c r="O10" s="116"/>
      <c r="P10" s="116"/>
      <c r="R10" s="117"/>
      <c r="S10" s="117"/>
      <c r="T10" s="117"/>
      <c r="U10" s="116"/>
      <c r="V10" s="116"/>
      <c r="AC10" s="113"/>
      <c r="AD10" s="117"/>
      <c r="AE10" s="117"/>
      <c r="AF10" s="117"/>
      <c r="AG10" s="116"/>
      <c r="AH10" s="116"/>
    </row>
    <row r="11" spans="1:34" x14ac:dyDescent="0.2">
      <c r="B11" s="119"/>
      <c r="C11" s="119"/>
    </row>
    <row r="12" spans="1:34" x14ac:dyDescent="0.2">
      <c r="A12" s="114" t="s">
        <v>188</v>
      </c>
    </row>
    <row r="13" spans="1:34" x14ac:dyDescent="0.2">
      <c r="A13" s="122"/>
      <c r="B13" s="123" t="s">
        <v>18</v>
      </c>
      <c r="C13" s="123" t="s">
        <v>19</v>
      </c>
      <c r="D13" s="123" t="s">
        <v>20</v>
      </c>
      <c r="E13" s="123" t="s">
        <v>21</v>
      </c>
      <c r="F13" s="123" t="s">
        <v>22</v>
      </c>
      <c r="G13" s="124" t="s">
        <v>23</v>
      </c>
      <c r="I13" s="122"/>
      <c r="J13" s="123" t="s">
        <v>18</v>
      </c>
      <c r="K13" s="123" t="s">
        <v>19</v>
      </c>
      <c r="L13" s="123" t="s">
        <v>20</v>
      </c>
      <c r="M13" s="123" t="s">
        <v>21</v>
      </c>
      <c r="N13" s="123" t="s">
        <v>22</v>
      </c>
      <c r="O13" s="124" t="s">
        <v>23</v>
      </c>
      <c r="Q13" s="122"/>
      <c r="R13" s="123" t="s">
        <v>18</v>
      </c>
      <c r="S13" s="123" t="s">
        <v>19</v>
      </c>
      <c r="T13" s="123" t="s">
        <v>20</v>
      </c>
      <c r="U13" s="123" t="s">
        <v>21</v>
      </c>
      <c r="V13" s="123" t="s">
        <v>22</v>
      </c>
      <c r="W13" s="124" t="s">
        <v>23</v>
      </c>
    </row>
    <row r="14" spans="1:34" x14ac:dyDescent="0.2">
      <c r="A14" s="125"/>
      <c r="B14" s="119"/>
      <c r="C14" s="119"/>
      <c r="D14" s="119"/>
      <c r="E14" s="119"/>
      <c r="F14" s="119"/>
      <c r="G14" s="126"/>
      <c r="I14" s="125"/>
      <c r="J14" s="119"/>
      <c r="K14" s="119"/>
      <c r="L14" s="119"/>
      <c r="M14" s="119"/>
      <c r="N14" s="119"/>
      <c r="O14" s="126"/>
      <c r="Q14" s="125"/>
      <c r="R14" s="119"/>
      <c r="S14" s="119"/>
      <c r="T14" s="119"/>
      <c r="U14" s="119"/>
      <c r="V14" s="119"/>
      <c r="W14" s="126"/>
    </row>
    <row r="15" spans="1:34" x14ac:dyDescent="0.2">
      <c r="A15" s="125" t="s">
        <v>106</v>
      </c>
      <c r="B15" s="119">
        <v>1000</v>
      </c>
      <c r="C15" s="120">
        <f>1000*Ggrid!$T$178</f>
        <v>25.80663385677407</v>
      </c>
      <c r="D15" s="121"/>
      <c r="E15" s="120">
        <f>1000*Ggrid!$S$178</f>
        <v>141.73867614739805</v>
      </c>
      <c r="F15" s="121"/>
      <c r="G15" s="126"/>
      <c r="I15" s="125" t="s">
        <v>106</v>
      </c>
      <c r="J15" s="119">
        <v>1000</v>
      </c>
      <c r="K15" s="120">
        <f>1000*Ggrid!$T$178</f>
        <v>25.80663385677407</v>
      </c>
      <c r="L15" s="121"/>
      <c r="M15" s="120">
        <f>1000*Ggrid!$S$178</f>
        <v>141.73867614739805</v>
      </c>
      <c r="N15" s="121"/>
      <c r="O15" s="126"/>
      <c r="Q15" s="125" t="s">
        <v>106</v>
      </c>
      <c r="R15" s="119">
        <v>1000</v>
      </c>
      <c r="S15" s="120">
        <f>1000*Ggrid!$T$178</f>
        <v>25.80663385677407</v>
      </c>
      <c r="T15" s="121"/>
      <c r="U15" s="120">
        <f>1000*Ggrid!$S$178</f>
        <v>141.73867614739805</v>
      </c>
      <c r="V15" s="121"/>
      <c r="W15" s="126"/>
    </row>
    <row r="16" spans="1:34" x14ac:dyDescent="0.2">
      <c r="A16" s="125" t="s">
        <v>107</v>
      </c>
      <c r="B16" s="119">
        <f>10^(4.7593-0.01092*A17)</f>
        <v>4648.3626185930125</v>
      </c>
      <c r="C16" s="120">
        <f>10^(4.0547-0.00981*A17)</f>
        <v>1184.94993097618</v>
      </c>
      <c r="D16" s="119">
        <f>10^(6.2283-0.01403*A17)</f>
        <v>66880.575268492568</v>
      </c>
      <c r="E16" s="119">
        <f>10^(6.0783-0.01383*A17)</f>
        <v>49579.255390630286</v>
      </c>
      <c r="F16" s="119">
        <f>10^(6.4426-0.01416*A17)</f>
        <v>106316.33575037729</v>
      </c>
      <c r="G16" s="126">
        <f>10^(1.4113-0.00292*A17)</f>
        <v>13.161336711857297</v>
      </c>
      <c r="I16" s="125" t="s">
        <v>107</v>
      </c>
      <c r="J16" s="119">
        <f>10^(4.7593-0.01092*I17)</f>
        <v>1322.2086681902574</v>
      </c>
      <c r="K16" s="120">
        <f>10^(4.0547-0.00981*I17)</f>
        <v>383.00108122644917</v>
      </c>
      <c r="L16" s="119">
        <f>10^(6.2283-0.01403*I17)</f>
        <v>13298.418621331621</v>
      </c>
      <c r="M16" s="119">
        <f>10^(6.0783-0.01383*I17)</f>
        <v>10087.882149492711</v>
      </c>
      <c r="N16" s="119">
        <f>10^(6.4426-0.01416*I17)</f>
        <v>20825.718799130122</v>
      </c>
      <c r="O16" s="126">
        <f>10^(1.4113-0.00292*I17)</f>
        <v>9.4037267268648144</v>
      </c>
      <c r="Q16" s="125" t="s">
        <v>107</v>
      </c>
      <c r="R16" s="119">
        <f>10^(4.7593-0.01092*Q17)</f>
        <v>376.09711325976934</v>
      </c>
      <c r="S16" s="120">
        <f>10^(4.0547-0.00981*Q17)</f>
        <v>123.79411516551075</v>
      </c>
      <c r="T16" s="119">
        <f>10^(6.2283-0.01403*Q17)</f>
        <v>2644.2346992115899</v>
      </c>
      <c r="U16" s="119">
        <f>10^(6.0783-0.01383*Q17)</f>
        <v>2052.5795609525312</v>
      </c>
      <c r="V16" s="119">
        <f>10^(6.4426-0.01416*Q17)</f>
        <v>4079.4348341609571</v>
      </c>
      <c r="W16" s="126">
        <f>10^(1.4113-0.00292*Q17)</f>
        <v>6.718928197763022</v>
      </c>
    </row>
    <row r="17" spans="1:23" x14ac:dyDescent="0.2">
      <c r="A17" s="167">
        <v>100</v>
      </c>
      <c r="B17" s="119"/>
      <c r="C17" s="120"/>
      <c r="D17" s="119"/>
      <c r="E17" s="119"/>
      <c r="F17" s="119"/>
      <c r="G17" s="126"/>
      <c r="I17" s="167">
        <v>150</v>
      </c>
      <c r="J17" s="119"/>
      <c r="K17" s="120"/>
      <c r="L17" s="119"/>
      <c r="M17" s="119"/>
      <c r="N17" s="119"/>
      <c r="O17" s="126"/>
      <c r="Q17" s="167">
        <v>200</v>
      </c>
      <c r="R17" s="119"/>
      <c r="S17" s="120"/>
      <c r="T17" s="119"/>
      <c r="U17" s="119"/>
      <c r="V17" s="119"/>
      <c r="W17" s="126"/>
    </row>
    <row r="18" spans="1:23" x14ac:dyDescent="0.2">
      <c r="A18" s="125" t="s">
        <v>108</v>
      </c>
      <c r="B18" s="127">
        <v>0.01</v>
      </c>
      <c r="G18" s="128"/>
      <c r="I18" s="125" t="s">
        <v>108</v>
      </c>
      <c r="J18" s="127">
        <f>B18</f>
        <v>0.01</v>
      </c>
      <c r="O18" s="128"/>
      <c r="Q18" s="125" t="s">
        <v>108</v>
      </c>
      <c r="R18" s="127">
        <f>J18</f>
        <v>0.01</v>
      </c>
      <c r="W18" s="128"/>
    </row>
    <row r="19" spans="1:23" x14ac:dyDescent="0.2">
      <c r="A19" s="125" t="s">
        <v>109</v>
      </c>
      <c r="B19" s="119">
        <f>B15/(1+$B$18*(B$16-1))</f>
        <v>21.06432729792974</v>
      </c>
      <c r="C19" s="119">
        <f>C15/(1+B$18*(C$16-1))</f>
        <v>2.0099408266764289</v>
      </c>
      <c r="D19" s="121">
        <f>D15/(1+B$18*(D$16-1))</f>
        <v>0</v>
      </c>
      <c r="E19" s="121">
        <f>E15/(1+B$18*(E$16-1))</f>
        <v>0.28531331270165955</v>
      </c>
      <c r="F19" s="121">
        <f>F15/(1+B$18*(F$16-1))</f>
        <v>0</v>
      </c>
      <c r="G19" s="126">
        <f>G15/(1+B$18*(G$16-1))</f>
        <v>0</v>
      </c>
      <c r="I19" s="125" t="s">
        <v>109</v>
      </c>
      <c r="J19" s="119">
        <f>J15/(1+$B$18*(J$16-1))</f>
        <v>70.362644302851223</v>
      </c>
      <c r="K19" s="119">
        <f>K15/(1+J$18*(K$16-1))</f>
        <v>5.3540614039929588</v>
      </c>
      <c r="L19" s="121">
        <f>L15/(1+J$18*(L$16-1))</f>
        <v>0</v>
      </c>
      <c r="M19" s="121">
        <f>M15/(1+J$18*(M$16-1))</f>
        <v>1.3913842731012296</v>
      </c>
      <c r="N19" s="121">
        <f>N15/(1+J$18*(N$16-1))</f>
        <v>0</v>
      </c>
      <c r="O19" s="126">
        <f>O15/(1+J$18*(O$16-1))</f>
        <v>0</v>
      </c>
      <c r="Q19" s="125" t="s">
        <v>109</v>
      </c>
      <c r="R19" s="119">
        <f>R15/(1+$B$18*(R$16-1))</f>
        <v>210.48328269955809</v>
      </c>
      <c r="S19" s="119">
        <f>S15/(1+R$18*(S$16-1))</f>
        <v>11.583175721496355</v>
      </c>
      <c r="T19" s="121">
        <f>T15/(1+R$18*(T$16-1))</f>
        <v>0</v>
      </c>
      <c r="U19" s="121">
        <f>U15/(1+R$18*(U$16-1))</f>
        <v>6.5876567485447097</v>
      </c>
      <c r="V19" s="121">
        <f>V15/(1+R$18*(V$16-1))</f>
        <v>0</v>
      </c>
      <c r="W19" s="126">
        <f>W15/(1+R$18*(W$16-1))</f>
        <v>0</v>
      </c>
    </row>
    <row r="20" spans="1:23" x14ac:dyDescent="0.2">
      <c r="A20" s="125" t="s">
        <v>110</v>
      </c>
      <c r="B20" s="119">
        <f t="shared" ref="B20:G20" si="4">B19*B$16</f>
        <v>97914.631597504966</v>
      </c>
      <c r="C20" s="119">
        <f t="shared" si="4"/>
        <v>2381.6792438364405</v>
      </c>
      <c r="D20" s="119">
        <f t="shared" si="4"/>
        <v>0</v>
      </c>
      <c r="E20" s="119">
        <f t="shared" si="4"/>
        <v>14145.621596782339</v>
      </c>
      <c r="F20" s="119">
        <f t="shared" si="4"/>
        <v>0</v>
      </c>
      <c r="G20" s="129">
        <f t="shared" si="4"/>
        <v>0</v>
      </c>
      <c r="I20" s="125" t="s">
        <v>110</v>
      </c>
      <c r="J20" s="119">
        <f t="shared" ref="J20:O20" si="5">J19*J$16</f>
        <v>93034.098214017722</v>
      </c>
      <c r="K20" s="119">
        <f t="shared" si="5"/>
        <v>2050.6113066821035</v>
      </c>
      <c r="L20" s="119">
        <f t="shared" si="5"/>
        <v>0</v>
      </c>
      <c r="M20" s="119">
        <f t="shared" si="5"/>
        <v>14036.120571702784</v>
      </c>
      <c r="N20" s="119">
        <f t="shared" si="5"/>
        <v>0</v>
      </c>
      <c r="O20" s="129">
        <f t="shared" si="5"/>
        <v>0</v>
      </c>
      <c r="Q20" s="125" t="s">
        <v>110</v>
      </c>
      <c r="R20" s="119">
        <f t="shared" ref="R20:W20" si="6">R19*R$16</f>
        <v>79162.155012743751</v>
      </c>
      <c r="S20" s="119">
        <f t="shared" si="6"/>
        <v>1433.9289892492677</v>
      </c>
      <c r="T20" s="119">
        <f t="shared" si="6"/>
        <v>0</v>
      </c>
      <c r="U20" s="119">
        <f t="shared" si="6"/>
        <v>13521.68959663388</v>
      </c>
      <c r="V20" s="119">
        <f t="shared" si="6"/>
        <v>0</v>
      </c>
      <c r="W20" s="129">
        <f t="shared" si="6"/>
        <v>0</v>
      </c>
    </row>
    <row r="21" spans="1:23" x14ac:dyDescent="0.2">
      <c r="A21" s="125"/>
      <c r="G21" s="128"/>
      <c r="I21" s="125"/>
      <c r="O21" s="128"/>
      <c r="Q21" s="125"/>
      <c r="W21" s="128"/>
    </row>
    <row r="22" spans="1:23" x14ac:dyDescent="0.2">
      <c r="A22" s="125" t="s">
        <v>109</v>
      </c>
      <c r="B22" s="119">
        <f>B19/(1+B$18*(B$16-1))</f>
        <v>0.44370588451430804</v>
      </c>
      <c r="C22" s="121">
        <f>C19/(1+B$18*(C$16-1))</f>
        <v>0.1565435519084675</v>
      </c>
      <c r="D22" s="121">
        <f>D19/(1+B$18*(D$16-1))</f>
        <v>0</v>
      </c>
      <c r="E22" s="121">
        <f>E19/(1+B$18*(E$16-1))</f>
        <v>5.7432232766264153E-4</v>
      </c>
      <c r="F22" s="121">
        <f>F19/(1+B$18*(F$16-1))</f>
        <v>0</v>
      </c>
      <c r="G22" s="126">
        <f>G19/(1+B$18*(G$16-1))</f>
        <v>0</v>
      </c>
      <c r="I22" s="125" t="s">
        <v>109</v>
      </c>
      <c r="J22" s="119">
        <f>J19/(1+J$18*(J$16-1))</f>
        <v>4.9509017132895616</v>
      </c>
      <c r="K22" s="121">
        <f>K19/(1+J$18*(K$16-1))</f>
        <v>1.1107986294075478</v>
      </c>
      <c r="L22" s="121">
        <f>L19/(1+J$18*(L$16-1))</f>
        <v>0</v>
      </c>
      <c r="M22" s="121">
        <f>M19/(1+J$18*(M$16-1))</f>
        <v>1.3658588100683173E-2</v>
      </c>
      <c r="N22" s="121">
        <f>N19/(1+J$18*(N$16-1))</f>
        <v>0</v>
      </c>
      <c r="O22" s="126">
        <f>O19/(1+J$18*(O$16-1))</f>
        <v>0</v>
      </c>
      <c r="Q22" s="125" t="s">
        <v>109</v>
      </c>
      <c r="R22" s="119">
        <f>R19/(1+R$18*(R$16-1))</f>
        <v>44.303212295982092</v>
      </c>
      <c r="S22" s="121">
        <f>S19/(1+R$18*(S$16-1))</f>
        <v>5.1990492266330151</v>
      </c>
      <c r="T22" s="121">
        <f>T19/(1+R$18*(T$16-1))</f>
        <v>0</v>
      </c>
      <c r="U22" s="121">
        <f>U19/(1+R$18*(U$16-1))</f>
        <v>0.30617769698594233</v>
      </c>
      <c r="V22" s="121">
        <f>V19/(1+R$18*(V$16-1))</f>
        <v>0</v>
      </c>
      <c r="W22" s="126">
        <f>W19/(1+R$18*(W$16-1))</f>
        <v>0</v>
      </c>
    </row>
    <row r="23" spans="1:23" x14ac:dyDescent="0.2">
      <c r="A23" s="125" t="s">
        <v>110</v>
      </c>
      <c r="B23" s="119">
        <f t="shared" ref="B23:G23" si="7">B22*B$16</f>
        <v>2062.5058472260575</v>
      </c>
      <c r="C23" s="119">
        <f t="shared" si="7"/>
        <v>185.4962710287046</v>
      </c>
      <c r="D23" s="119">
        <f t="shared" si="7"/>
        <v>0</v>
      </c>
      <c r="E23" s="119">
        <f t="shared" si="7"/>
        <v>28.474473359727355</v>
      </c>
      <c r="F23" s="119">
        <f t="shared" si="7"/>
        <v>0</v>
      </c>
      <c r="G23" s="129">
        <f t="shared" si="7"/>
        <v>0</v>
      </c>
      <c r="I23" s="125" t="s">
        <v>110</v>
      </c>
      <c r="J23" s="119">
        <f t="shared" ref="J23:O23" si="8">J22*J$16</f>
        <v>6546.125160669455</v>
      </c>
      <c r="K23" s="119">
        <f t="shared" si="8"/>
        <v>425.43707608794864</v>
      </c>
      <c r="L23" s="119">
        <f t="shared" si="8"/>
        <v>0</v>
      </c>
      <c r="M23" s="119">
        <f t="shared" si="8"/>
        <v>137.78622708815533</v>
      </c>
      <c r="N23" s="119">
        <f t="shared" si="8"/>
        <v>0</v>
      </c>
      <c r="O23" s="129">
        <f t="shared" si="8"/>
        <v>0</v>
      </c>
      <c r="Q23" s="125" t="s">
        <v>110</v>
      </c>
      <c r="R23" s="119">
        <f t="shared" ref="R23:W23" si="9">R22*R$16</f>
        <v>16662.310252653584</v>
      </c>
      <c r="S23" s="119">
        <f t="shared" si="9"/>
        <v>643.61169871296704</v>
      </c>
      <c r="T23" s="119">
        <f t="shared" si="9"/>
        <v>0</v>
      </c>
      <c r="U23" s="119">
        <f t="shared" si="9"/>
        <v>628.4540828528626</v>
      </c>
      <c r="V23" s="119">
        <f t="shared" si="9"/>
        <v>0</v>
      </c>
      <c r="W23" s="129">
        <f t="shared" si="9"/>
        <v>0</v>
      </c>
    </row>
    <row r="24" spans="1:23" x14ac:dyDescent="0.2">
      <c r="A24" s="125"/>
      <c r="B24" s="119"/>
      <c r="C24" s="119"/>
      <c r="D24" s="119"/>
      <c r="E24" s="119"/>
      <c r="F24" s="119"/>
      <c r="G24" s="129"/>
      <c r="I24" s="125"/>
      <c r="J24" s="119"/>
      <c r="K24" s="119"/>
      <c r="L24" s="119"/>
      <c r="M24" s="119"/>
      <c r="N24" s="119"/>
      <c r="O24" s="129"/>
      <c r="Q24" s="125"/>
      <c r="R24" s="119"/>
      <c r="S24" s="119"/>
      <c r="T24" s="119"/>
      <c r="U24" s="119"/>
      <c r="V24" s="119"/>
      <c r="W24" s="129"/>
    </row>
    <row r="25" spans="1:23" x14ac:dyDescent="0.2">
      <c r="A25" s="125" t="s">
        <v>109</v>
      </c>
      <c r="B25" s="119">
        <f>B22/(1+B$18*(B$16-1))</f>
        <v>9.3463659754267989E-3</v>
      </c>
      <c r="C25" s="121">
        <f>C22/(1+B$18*(C$16-1))</f>
        <v>1.2192340848482176E-2</v>
      </c>
      <c r="D25" s="121">
        <f>D22/(1+B$18*(D$16-1))</f>
        <v>0</v>
      </c>
      <c r="E25" s="121">
        <f>E22/(1+B$18*(E$16-1))</f>
        <v>1.1560839307794276E-6</v>
      </c>
      <c r="F25" s="121">
        <f>F22/(1+B$18*(F$16-1))</f>
        <v>0</v>
      </c>
      <c r="G25" s="126">
        <f>G22/(1+B$18*(G$16-1))</f>
        <v>0</v>
      </c>
      <c r="I25" s="125" t="s">
        <v>109</v>
      </c>
      <c r="J25" s="119">
        <f>J22/(1+J$18*(J$16-1))</f>
        <v>0.34835853623057017</v>
      </c>
      <c r="K25" s="121">
        <f>K22/(1+J$18*(K$16-1))</f>
        <v>0.23045563021998344</v>
      </c>
      <c r="L25" s="121">
        <f>L22/(1+J$18*(L$16-1))</f>
        <v>0</v>
      </c>
      <c r="M25" s="121">
        <f>M22/(1+J$18*(M$16-1))</f>
        <v>1.340801621167606E-4</v>
      </c>
      <c r="N25" s="121">
        <f>N22/(1+J$18*(N$16-1))</f>
        <v>0</v>
      </c>
      <c r="O25" s="126">
        <f>O22/(1+J$18*(O$16-1))</f>
        <v>0</v>
      </c>
      <c r="Q25" s="125" t="s">
        <v>109</v>
      </c>
      <c r="R25" s="119">
        <f>R22/(1+R$18*(R$16-1))</f>
        <v>9.3250855581937362</v>
      </c>
      <c r="S25" s="121">
        <f>S22/(1+R$18*(S$16-1))</f>
        <v>2.3335666755698243</v>
      </c>
      <c r="T25" s="121">
        <f>T22/(1+R$18*(T$16-1))</f>
        <v>0</v>
      </c>
      <c r="U25" s="121">
        <f>U22/(1+R$18*(U$16-1))</f>
        <v>1.4230368355534741E-2</v>
      </c>
      <c r="V25" s="121">
        <f>V22/(1+R$18*(V$16-1))</f>
        <v>0</v>
      </c>
      <c r="W25" s="126">
        <f>W22/(1+R$18*(W$16-1))</f>
        <v>0</v>
      </c>
    </row>
    <row r="26" spans="1:23" x14ac:dyDescent="0.2">
      <c r="A26" s="125" t="s">
        <v>110</v>
      </c>
      <c r="B26" s="119">
        <f t="shared" ref="B26:G26" si="10">B25*B$16</f>
        <v>43.445298219863552</v>
      </c>
      <c r="C26" s="119">
        <f t="shared" si="10"/>
        <v>14.447313446847014</v>
      </c>
      <c r="D26" s="119">
        <f t="shared" si="10"/>
        <v>0</v>
      </c>
      <c r="E26" s="119">
        <f t="shared" si="10"/>
        <v>5.7317780457116989E-2</v>
      </c>
      <c r="F26" s="119">
        <f t="shared" si="10"/>
        <v>0</v>
      </c>
      <c r="G26" s="129">
        <f t="shared" si="10"/>
        <v>0</v>
      </c>
      <c r="I26" s="125" t="s">
        <v>110</v>
      </c>
      <c r="J26" s="119">
        <f t="shared" ref="J26:O26" si="11">J25*J$16</f>
        <v>460.60267624212975</v>
      </c>
      <c r="K26" s="119">
        <f t="shared" si="11"/>
        <v>88.26475554897641</v>
      </c>
      <c r="L26" s="119">
        <f t="shared" si="11"/>
        <v>0</v>
      </c>
      <c r="M26" s="119">
        <f t="shared" si="11"/>
        <v>1.352584874018758</v>
      </c>
      <c r="N26" s="119">
        <f t="shared" si="11"/>
        <v>0</v>
      </c>
      <c r="O26" s="129">
        <f t="shared" si="11"/>
        <v>0</v>
      </c>
      <c r="Q26" s="125" t="s">
        <v>110</v>
      </c>
      <c r="R26" s="119">
        <f t="shared" ref="R26:W26" si="12">R25*R$16</f>
        <v>3507.1377593370289</v>
      </c>
      <c r="S26" s="119">
        <f t="shared" si="12"/>
        <v>288.8818217818889</v>
      </c>
      <c r="T26" s="119">
        <f t="shared" si="12"/>
        <v>0</v>
      </c>
      <c r="U26" s="119">
        <f t="shared" si="12"/>
        <v>29.208963231396293</v>
      </c>
      <c r="V26" s="119">
        <f t="shared" si="12"/>
        <v>0</v>
      </c>
      <c r="W26" s="129">
        <f t="shared" si="12"/>
        <v>0</v>
      </c>
    </row>
    <row r="27" spans="1:23" x14ac:dyDescent="0.2">
      <c r="A27" s="125"/>
      <c r="G27" s="128"/>
      <c r="I27" s="125"/>
      <c r="O27" s="128"/>
      <c r="Q27" s="125"/>
      <c r="W27" s="128"/>
    </row>
    <row r="28" spans="1:23" x14ac:dyDescent="0.2">
      <c r="A28" s="125" t="s">
        <v>109</v>
      </c>
      <c r="B28" s="119">
        <f>B25/(1+B$18*(B$16-1))</f>
        <v>1.9687491195262443E-4</v>
      </c>
      <c r="C28" s="121">
        <f>C25/(1+B$18*(C$16-1))</f>
        <v>9.4959628520813167E-4</v>
      </c>
      <c r="D28" s="121">
        <f>D25/(1+B$18*(D$16-1))</f>
        <v>0</v>
      </c>
      <c r="E28" s="121">
        <f>E25/(1+B$18*(E$16-1))</f>
        <v>2.3271427744169013E-9</v>
      </c>
      <c r="F28" s="121">
        <f>F25/(1+B$18*(F$16-1))</f>
        <v>0</v>
      </c>
      <c r="G28" s="126">
        <f>G25/(1+B$18*(G$16-1))</f>
        <v>0</v>
      </c>
      <c r="I28" s="125" t="s">
        <v>109</v>
      </c>
      <c r="J28" s="119">
        <f>J25/(1+J$18*(J$16-1))</f>
        <v>2.4511427774653521E-2</v>
      </c>
      <c r="K28" s="121">
        <f>K25/(1+J$18*(K$16-1))</f>
        <v>4.7812264162061691E-2</v>
      </c>
      <c r="L28" s="121">
        <f>L25/(1+J$18*(L$16-1))</f>
        <v>0</v>
      </c>
      <c r="M28" s="121">
        <f>M25/(1+J$18*(M$16-1))</f>
        <v>1.3162041157356233E-6</v>
      </c>
      <c r="N28" s="121">
        <f>N25/(1+J$18*(N$16-1))</f>
        <v>0</v>
      </c>
      <c r="O28" s="126">
        <f>O25/(1+J$18*(O$16-1))</f>
        <v>0</v>
      </c>
      <c r="Q28" s="125" t="s">
        <v>109</v>
      </c>
      <c r="R28" s="119">
        <f>R25/(1+R$18*(R$16-1))</f>
        <v>1.9627746197428586</v>
      </c>
      <c r="S28" s="121">
        <f>S25/(1+R$18*(S$16-1))</f>
        <v>1.047409476608594</v>
      </c>
      <c r="T28" s="121">
        <f>T25/(1+R$18*(T$16-1))</f>
        <v>0</v>
      </c>
      <c r="U28" s="121">
        <f>U25/(1+R$18*(U$16-1))</f>
        <v>6.6139168700946288E-4</v>
      </c>
      <c r="V28" s="121">
        <f>V25/(1+R$18*(V$16-1))</f>
        <v>0</v>
      </c>
      <c r="W28" s="126">
        <f>W25/(1+R$18*(W$16-1))</f>
        <v>0</v>
      </c>
    </row>
    <row r="29" spans="1:23" x14ac:dyDescent="0.2">
      <c r="A29" s="125" t="s">
        <v>110</v>
      </c>
      <c r="B29" s="119">
        <f t="shared" ref="B29:G29" si="13">B28*B$16</f>
        <v>0.91514598125937008</v>
      </c>
      <c r="C29" s="119">
        <f t="shared" si="13"/>
        <v>1.1252240526126125</v>
      </c>
      <c r="D29" s="121">
        <f t="shared" si="13"/>
        <v>0</v>
      </c>
      <c r="E29" s="121">
        <f t="shared" si="13"/>
        <v>1.1537800594327547E-4</v>
      </c>
      <c r="F29" s="121">
        <f t="shared" si="13"/>
        <v>0</v>
      </c>
      <c r="G29" s="129">
        <f t="shared" si="13"/>
        <v>0</v>
      </c>
      <c r="I29" s="125" t="s">
        <v>110</v>
      </c>
      <c r="J29" s="119">
        <f t="shared" ref="J29:O29" si="14">J28*J$16</f>
        <v>32.409222273366318</v>
      </c>
      <c r="K29" s="119">
        <f t="shared" si="14"/>
        <v>18.312148869954235</v>
      </c>
      <c r="L29" s="121">
        <f t="shared" si="14"/>
        <v>0</v>
      </c>
      <c r="M29" s="121">
        <f t="shared" si="14"/>
        <v>1.3277712004218232E-2</v>
      </c>
      <c r="N29" s="121">
        <f t="shared" si="14"/>
        <v>0</v>
      </c>
      <c r="O29" s="129">
        <f t="shared" si="14"/>
        <v>0</v>
      </c>
      <c r="Q29" s="125" t="s">
        <v>110</v>
      </c>
      <c r="R29" s="119">
        <f t="shared" ref="R29:W29" si="15">R28*R$16</f>
        <v>738.19386846483064</v>
      </c>
      <c r="S29" s="119">
        <f t="shared" si="15"/>
        <v>129.66312937273162</v>
      </c>
      <c r="T29" s="121">
        <f t="shared" si="15"/>
        <v>0</v>
      </c>
      <c r="U29" s="121">
        <f t="shared" si="15"/>
        <v>1.3575590585395372</v>
      </c>
      <c r="V29" s="121">
        <f t="shared" si="15"/>
        <v>0</v>
      </c>
      <c r="W29" s="129">
        <f t="shared" si="15"/>
        <v>0</v>
      </c>
    </row>
    <row r="30" spans="1:23" x14ac:dyDescent="0.2">
      <c r="A30" s="125"/>
      <c r="B30" s="119"/>
      <c r="C30" s="119"/>
      <c r="D30" s="121"/>
      <c r="E30" s="121"/>
      <c r="F30" s="121"/>
      <c r="G30" s="129"/>
      <c r="I30" s="125"/>
      <c r="J30" s="119"/>
      <c r="K30" s="119"/>
      <c r="L30" s="121"/>
      <c r="M30" s="121"/>
      <c r="N30" s="121"/>
      <c r="O30" s="129"/>
      <c r="Q30" s="125"/>
      <c r="R30" s="119"/>
      <c r="S30" s="119"/>
      <c r="T30" s="121"/>
      <c r="U30" s="121"/>
      <c r="V30" s="121"/>
      <c r="W30" s="129"/>
    </row>
    <row r="31" spans="1:23" x14ac:dyDescent="0.2">
      <c r="A31" s="125" t="s">
        <v>109</v>
      </c>
      <c r="B31" s="119">
        <f>B28/(1+B$18*(B$16-1))</f>
        <v>4.1470375821211812E-6</v>
      </c>
      <c r="C31" s="121">
        <f>C28/(1+B$18*(C$16-1))</f>
        <v>7.3958980977253448E-5</v>
      </c>
      <c r="D31" s="121">
        <f>D28/(1+B$18*(D$16-1))</f>
        <v>0</v>
      </c>
      <c r="E31" s="121">
        <f>E28/(1+B$18*(E$16-1))</f>
        <v>4.6844293466388894E-12</v>
      </c>
      <c r="F31" s="121">
        <f>F28/(1+B$18*(F$16-1))</f>
        <v>0</v>
      </c>
      <c r="G31" s="126">
        <f>G28/(1+B$18*(G$16-1))</f>
        <v>0</v>
      </c>
      <c r="I31" s="125" t="s">
        <v>109</v>
      </c>
      <c r="J31" s="119">
        <f>J28/(1+J$18*(J$16-1))</f>
        <v>1.724688873862974E-3</v>
      </c>
      <c r="K31" s="121">
        <f>K28/(1+J$18*(K$16-1))</f>
        <v>9.9195346285123748E-3</v>
      </c>
      <c r="L31" s="121">
        <f>L28/(1+J$18*(L$16-1))</f>
        <v>0</v>
      </c>
      <c r="M31" s="121">
        <f>M28/(1+J$18*(M$16-1))</f>
        <v>1.2920578607078203E-8</v>
      </c>
      <c r="N31" s="121">
        <f>N28/(1+J$18*(N$16-1))</f>
        <v>0</v>
      </c>
      <c r="O31" s="126">
        <f>O28/(1+J$18*(O$16-1))</f>
        <v>0</v>
      </c>
      <c r="Q31" s="125" t="s">
        <v>109</v>
      </c>
      <c r="R31" s="119">
        <f>R28/(1+R$18*(R$16-1))</f>
        <v>0.41313124516285371</v>
      </c>
      <c r="S31" s="121">
        <f>S28/(1+R$18*(S$16-1))</f>
        <v>0.47012439077687823</v>
      </c>
      <c r="T31" s="121">
        <f>T28/(1+R$18*(T$16-1))</f>
        <v>0</v>
      </c>
      <c r="U31" s="121">
        <f>U28/(1+R$18*(U$16-1))</f>
        <v>3.073982013087429E-5</v>
      </c>
      <c r="V31" s="121">
        <f>V28/(1+R$18*(V$16-1))</f>
        <v>0</v>
      </c>
      <c r="W31" s="126">
        <f>W28/(1+R$18*(W$16-1))</f>
        <v>0</v>
      </c>
    </row>
    <row r="32" spans="1:23" x14ac:dyDescent="0.2">
      <c r="A32" s="125" t="s">
        <v>110</v>
      </c>
      <c r="B32" s="119">
        <f t="shared" ref="B32:G32" si="16">B31*B$16</f>
        <v>1.927693447463245E-2</v>
      </c>
      <c r="C32" s="119">
        <f t="shared" si="16"/>
        <v>8.7637689404065078E-2</v>
      </c>
      <c r="D32" s="121">
        <f t="shared" si="16"/>
        <v>0</v>
      </c>
      <c r="E32" s="121">
        <f t="shared" si="16"/>
        <v>2.3225051893637285E-7</v>
      </c>
      <c r="F32" s="121">
        <f t="shared" si="16"/>
        <v>0</v>
      </c>
      <c r="G32" s="129">
        <f t="shared" si="16"/>
        <v>0</v>
      </c>
      <c r="I32" s="125" t="s">
        <v>110</v>
      </c>
      <c r="J32" s="119">
        <f t="shared" ref="J32:O32" si="17">J31*J$16</f>
        <v>2.2803985789529175</v>
      </c>
      <c r="K32" s="119">
        <f t="shared" si="17"/>
        <v>3.7991924879834436</v>
      </c>
      <c r="L32" s="121">
        <f t="shared" si="17"/>
        <v>0</v>
      </c>
      <c r="M32" s="121">
        <f t="shared" si="17"/>
        <v>1.3034127429146161E-4</v>
      </c>
      <c r="N32" s="121">
        <f t="shared" si="17"/>
        <v>0</v>
      </c>
      <c r="O32" s="129">
        <f t="shared" si="17"/>
        <v>0</v>
      </c>
      <c r="Q32" s="125" t="s">
        <v>110</v>
      </c>
      <c r="R32" s="119">
        <f t="shared" ref="R32:W32" si="18">R31*R$16</f>
        <v>155.37746870316332</v>
      </c>
      <c r="S32" s="119">
        <f t="shared" si="18"/>
        <v>58.198632973948442</v>
      </c>
      <c r="T32" s="121">
        <f t="shared" si="18"/>
        <v>0</v>
      </c>
      <c r="U32" s="121">
        <f t="shared" si="18"/>
        <v>6.309592650798973E-2</v>
      </c>
      <c r="V32" s="121">
        <f t="shared" si="18"/>
        <v>0</v>
      </c>
      <c r="W32" s="129">
        <f t="shared" si="18"/>
        <v>0</v>
      </c>
    </row>
    <row r="33" spans="1:23" x14ac:dyDescent="0.2">
      <c r="A33" s="125"/>
      <c r="B33" s="119"/>
      <c r="C33" s="119"/>
      <c r="D33" s="121"/>
      <c r="E33" s="121"/>
      <c r="F33" s="121"/>
      <c r="G33" s="129"/>
      <c r="I33" s="125"/>
      <c r="J33" s="119"/>
      <c r="K33" s="119"/>
      <c r="L33" s="121"/>
      <c r="M33" s="121"/>
      <c r="N33" s="121"/>
      <c r="O33" s="129"/>
      <c r="Q33" s="125"/>
      <c r="R33" s="119"/>
      <c r="S33" s="119"/>
      <c r="T33" s="121"/>
      <c r="U33" s="121"/>
      <c r="V33" s="121"/>
      <c r="W33" s="129"/>
    </row>
    <row r="34" spans="1:23" x14ac:dyDescent="0.2">
      <c r="A34" s="125" t="s">
        <v>109</v>
      </c>
      <c r="B34" s="119">
        <f>B31/(1+B$18*(B$16-1))</f>
        <v>8.7354556946615747E-8</v>
      </c>
      <c r="C34" s="121">
        <f>C31/(1+B$18*(C$16-1))</f>
        <v>5.7602698666779663E-6</v>
      </c>
      <c r="D34" s="121">
        <f>D31/(1+B$18*(D$16-1))</f>
        <v>0</v>
      </c>
      <c r="E34" s="121">
        <f>E31/(1+B$18*(E$16-1))</f>
        <v>9.4295367456128704E-15</v>
      </c>
      <c r="F34" s="121">
        <f>F31/(1+B$18*(F$16-1))</f>
        <v>0</v>
      </c>
      <c r="G34" s="126">
        <f>G31/(1+B$18*(G$16-1))</f>
        <v>0</v>
      </c>
      <c r="I34" s="125" t="s">
        <v>109</v>
      </c>
      <c r="J34" s="119">
        <f>J31/(1+J$18*(J$16-1))</f>
        <v>1.2135366976470549E-4</v>
      </c>
      <c r="K34" s="121">
        <f>K31/(1+J$18*(K$16-1))</f>
        <v>2.0579901197051616E-3</v>
      </c>
      <c r="L34" s="121">
        <f>L31/(1+J$18*(L$16-1))</f>
        <v>0</v>
      </c>
      <c r="M34" s="121">
        <f>M31/(1+J$18*(M$16-1))</f>
        <v>1.2683545777273595E-10</v>
      </c>
      <c r="N34" s="121">
        <f>N31/(1+J$18*(N$16-1))</f>
        <v>0</v>
      </c>
      <c r="O34" s="126">
        <f>O31/(1+J$18*(O$16-1))</f>
        <v>0</v>
      </c>
      <c r="Q34" s="125" t="s">
        <v>109</v>
      </c>
      <c r="R34" s="119">
        <f>R31/(1+R$18*(R$16-1))</f>
        <v>8.6957220667633381E-2</v>
      </c>
      <c r="S34" s="121">
        <f>S31/(1+R$18*(S$16-1))</f>
        <v>0.21101293022377596</v>
      </c>
      <c r="T34" s="121">
        <f>T31/(1+R$18*(T$16-1))</f>
        <v>0</v>
      </c>
      <c r="U34" s="121">
        <f>U31/(1+R$18*(U$16-1))</f>
        <v>1.4287094323049521E-6</v>
      </c>
      <c r="V34" s="121">
        <f>V31/(1+R$18*(V$16-1))</f>
        <v>0</v>
      </c>
      <c r="W34" s="126">
        <f>W31/(1+R$18*(W$16-1))</f>
        <v>0</v>
      </c>
    </row>
    <row r="35" spans="1:23" x14ac:dyDescent="0.2">
      <c r="A35" s="125" t="s">
        <v>110</v>
      </c>
      <c r="B35" s="119">
        <f t="shared" ref="B35:G35" si="19">B34*B$16</f>
        <v>4.0605565707440319E-4</v>
      </c>
      <c r="C35" s="119">
        <f t="shared" si="19"/>
        <v>6.8256313809242257E-3</v>
      </c>
      <c r="D35" s="121">
        <f t="shared" si="19"/>
        <v>0</v>
      </c>
      <c r="E35" s="121">
        <f t="shared" si="19"/>
        <v>4.6750941052607325E-10</v>
      </c>
      <c r="F35" s="121">
        <f t="shared" si="19"/>
        <v>0</v>
      </c>
      <c r="G35" s="129">
        <f t="shared" si="19"/>
        <v>0</v>
      </c>
      <c r="I35" s="125" t="s">
        <v>110</v>
      </c>
      <c r="J35" s="119">
        <f t="shared" ref="J35:O35" si="20">J34*J$16</f>
        <v>0.16045487407959155</v>
      </c>
      <c r="K35" s="119">
        <f t="shared" si="20"/>
        <v>0.78821244100042642</v>
      </c>
      <c r="L35" s="121">
        <f t="shared" si="20"/>
        <v>0</v>
      </c>
      <c r="M35" s="121">
        <f t="shared" si="20"/>
        <v>1.2795011503883194E-6</v>
      </c>
      <c r="N35" s="121">
        <f t="shared" si="20"/>
        <v>0</v>
      </c>
      <c r="O35" s="129">
        <f t="shared" si="20"/>
        <v>0</v>
      </c>
      <c r="Q35" s="125" t="s">
        <v>110</v>
      </c>
      <c r="R35" s="119">
        <f t="shared" ref="R35:W35" si="21">R34*R$16</f>
        <v>32.704359670189667</v>
      </c>
      <c r="S35" s="119">
        <f t="shared" si="21"/>
        <v>26.122158985534004</v>
      </c>
      <c r="T35" s="121">
        <f t="shared" si="21"/>
        <v>0</v>
      </c>
      <c r="U35" s="121">
        <f t="shared" si="21"/>
        <v>2.9325397792892387E-3</v>
      </c>
      <c r="V35" s="121">
        <f t="shared" si="21"/>
        <v>0</v>
      </c>
      <c r="W35" s="129">
        <f t="shared" si="21"/>
        <v>0</v>
      </c>
    </row>
    <row r="36" spans="1:23" x14ac:dyDescent="0.2">
      <c r="A36" s="125"/>
      <c r="B36" s="119"/>
      <c r="C36" s="119"/>
      <c r="D36" s="121"/>
      <c r="E36" s="121"/>
      <c r="F36" s="121"/>
      <c r="G36" s="129"/>
      <c r="I36" s="125"/>
      <c r="J36" s="119"/>
      <c r="K36" s="119"/>
      <c r="L36" s="121"/>
      <c r="M36" s="121"/>
      <c r="N36" s="121"/>
      <c r="O36" s="129"/>
      <c r="Q36" s="125"/>
      <c r="R36" s="119"/>
      <c r="S36" s="119"/>
      <c r="T36" s="121"/>
      <c r="U36" s="121"/>
      <c r="V36" s="121"/>
      <c r="W36" s="129"/>
    </row>
    <row r="37" spans="1:23" x14ac:dyDescent="0.2">
      <c r="A37" s="125" t="s">
        <v>109</v>
      </c>
      <c r="B37" s="119">
        <f>B34/(1+B$18*(B$16-1))</f>
        <v>1.8400649784891561E-9</v>
      </c>
      <c r="C37" s="121">
        <f>C34/(1+B$18*(C$16-1))</f>
        <v>4.4863664288672573E-7</v>
      </c>
      <c r="D37" s="121">
        <f>D34/(1+B$18*(D$16-1))</f>
        <v>0</v>
      </c>
      <c r="E37" s="121">
        <f>E34/(1+B$18*(E$16-1))</f>
        <v>1.8981215566984977E-17</v>
      </c>
      <c r="F37" s="121">
        <f>F34/(1+B$18*(F$16-1))</f>
        <v>0</v>
      </c>
      <c r="G37" s="126">
        <f>G34/(1+B$18*(G$16-1))</f>
        <v>0</v>
      </c>
      <c r="I37" s="125" t="s">
        <v>109</v>
      </c>
      <c r="J37" s="119">
        <f>J34/(1+J$18*(J$16-1))</f>
        <v>8.5387651004996439E-6</v>
      </c>
      <c r="K37" s="121">
        <f>K34/(1+J$18*(K$16-1))</f>
        <v>4.2696794672506059E-4</v>
      </c>
      <c r="L37" s="121">
        <f>L34/(1+J$18*(L$16-1))</f>
        <v>0</v>
      </c>
      <c r="M37" s="121">
        <f>M34/(1+J$18*(M$16-1))</f>
        <v>1.245086140306945E-12</v>
      </c>
      <c r="N37" s="121">
        <f>N34/(1+J$18*(N$16-1))</f>
        <v>0</v>
      </c>
      <c r="O37" s="126">
        <f>O34/(1+J$18*(O$16-1))</f>
        <v>0</v>
      </c>
      <c r="Q37" s="125" t="s">
        <v>109</v>
      </c>
      <c r="R37" s="119">
        <f>R34/(1+R$18*(R$16-1))</f>
        <v>1.8303041260553331E-2</v>
      </c>
      <c r="S37" s="121">
        <f>S34/(1+R$18*(S$16-1))</f>
        <v>9.4712075346791491E-2</v>
      </c>
      <c r="T37" s="121">
        <f>T34/(1+R$18*(T$16-1))</f>
        <v>0</v>
      </c>
      <c r="U37" s="121">
        <f>U34/(1+R$18*(U$16-1))</f>
        <v>6.6402816713523928E-8</v>
      </c>
      <c r="V37" s="121">
        <f>V34/(1+R$18*(V$16-1))</f>
        <v>0</v>
      </c>
      <c r="W37" s="126">
        <f>W34/(1+R$18*(W$16-1))</f>
        <v>0</v>
      </c>
    </row>
    <row r="38" spans="1:23" x14ac:dyDescent="0.2">
      <c r="A38" s="125" t="s">
        <v>110</v>
      </c>
      <c r="B38" s="119">
        <f t="shared" ref="B38:G38" si="22">B37*B$16</f>
        <v>8.5532892617911481E-6</v>
      </c>
      <c r="C38" s="119">
        <f t="shared" si="22"/>
        <v>5.3161195902201076E-4</v>
      </c>
      <c r="D38" s="121">
        <f t="shared" si="22"/>
        <v>0</v>
      </c>
      <c r="E38" s="121">
        <f t="shared" si="22"/>
        <v>9.4107453422015551E-13</v>
      </c>
      <c r="F38" s="121">
        <f t="shared" si="22"/>
        <v>0</v>
      </c>
      <c r="G38" s="129">
        <f t="shared" si="22"/>
        <v>0</v>
      </c>
      <c r="I38" s="125" t="s">
        <v>110</v>
      </c>
      <c r="J38" s="119">
        <f t="shared" ref="J38:O38" si="23">J37*J$16</f>
        <v>1.1290029231521084E-2</v>
      </c>
      <c r="K38" s="119">
        <f t="shared" si="23"/>
        <v>0.16352918524473514</v>
      </c>
      <c r="L38" s="121">
        <f t="shared" si="23"/>
        <v>0</v>
      </c>
      <c r="M38" s="121">
        <f t="shared" si="23"/>
        <v>1.2560282249383207E-8</v>
      </c>
      <c r="N38" s="121">
        <f t="shared" si="23"/>
        <v>0</v>
      </c>
      <c r="O38" s="129">
        <f t="shared" si="23"/>
        <v>0</v>
      </c>
      <c r="Q38" s="125" t="s">
        <v>110</v>
      </c>
      <c r="R38" s="119">
        <f t="shared" ref="R38:W38" si="24">R37*R$16</f>
        <v>6.8837209819685574</v>
      </c>
      <c r="S38" s="119">
        <f t="shared" si="24"/>
        <v>11.724797563045238</v>
      </c>
      <c r="T38" s="121">
        <f t="shared" si="24"/>
        <v>0</v>
      </c>
      <c r="U38" s="121">
        <f t="shared" si="24"/>
        <v>1.3629706437585636E-4</v>
      </c>
      <c r="V38" s="121">
        <f t="shared" si="24"/>
        <v>0</v>
      </c>
      <c r="W38" s="129">
        <f t="shared" si="24"/>
        <v>0</v>
      </c>
    </row>
    <row r="39" spans="1:23" x14ac:dyDescent="0.2">
      <c r="A39" s="125"/>
      <c r="B39" s="119"/>
      <c r="C39" s="119"/>
      <c r="D39" s="121"/>
      <c r="E39" s="121"/>
      <c r="F39" s="121"/>
      <c r="G39" s="129"/>
      <c r="I39" s="125"/>
      <c r="J39" s="119"/>
      <c r="K39" s="119"/>
      <c r="L39" s="121"/>
      <c r="M39" s="121"/>
      <c r="N39" s="121"/>
      <c r="O39" s="129"/>
      <c r="Q39" s="125"/>
      <c r="R39" s="119"/>
      <c r="S39" s="119"/>
      <c r="T39" s="121"/>
      <c r="U39" s="121"/>
      <c r="V39" s="121"/>
      <c r="W39" s="129"/>
    </row>
    <row r="40" spans="1:23" x14ac:dyDescent="0.2">
      <c r="A40" s="125" t="s">
        <v>109</v>
      </c>
      <c r="B40" s="119">
        <f>B37/(1+B$18*(B$16-1))</f>
        <v>3.8759730956353631E-11</v>
      </c>
      <c r="C40" s="121">
        <f>C37/(1+B$18*(C$16-1))</f>
        <v>3.4941911056113363E-8</v>
      </c>
      <c r="D40" s="121">
        <f>D37/(1+B$18*(D$16-1))</f>
        <v>0</v>
      </c>
      <c r="E40" s="121">
        <f>E37/(1+B$18*(E$16-1))</f>
        <v>3.8208297408457273E-20</v>
      </c>
      <c r="F40" s="121">
        <f>F37/(1+B$18*(F$16-1))</f>
        <v>0</v>
      </c>
      <c r="G40" s="126">
        <f>G37/(1+B$18*(G$16-1))</f>
        <v>0</v>
      </c>
      <c r="I40" s="125" t="s">
        <v>109</v>
      </c>
      <c r="J40" s="119">
        <f>J37/(1+J$18*(J$16-1))</f>
        <v>6.0081009155205616E-7</v>
      </c>
      <c r="K40" s="121">
        <f>K37/(1+J$18*(K$16-1))</f>
        <v>8.8582362852515368E-5</v>
      </c>
      <c r="L40" s="121">
        <f>L37/(1+J$18*(L$16-1))</f>
        <v>0</v>
      </c>
      <c r="M40" s="121">
        <f>M37/(1+J$18*(M$16-1))</f>
        <v>1.2222445710427191E-14</v>
      </c>
      <c r="N40" s="121">
        <f>N37/(1+J$18*(N$16-1))</f>
        <v>0</v>
      </c>
      <c r="O40" s="126">
        <f>O37/(1+J$18*(O$16-1))</f>
        <v>0</v>
      </c>
      <c r="Q40" s="125" t="s">
        <v>109</v>
      </c>
      <c r="R40" s="119">
        <f>R37/(1+R$18*(R$16-1))</f>
        <v>3.8524842079067229E-3</v>
      </c>
      <c r="S40" s="121">
        <f>S37/(1+R$18*(S$16-1))</f>
        <v>4.2511030992192576E-2</v>
      </c>
      <c r="T40" s="121">
        <f>T37/(1+R$18*(T$16-1))</f>
        <v>0</v>
      </c>
      <c r="U40" s="121">
        <f>U37/(1+R$18*(U$16-1))</f>
        <v>3.0862357088076522E-9</v>
      </c>
      <c r="V40" s="121">
        <f>V37/(1+R$18*(V$16-1))</f>
        <v>0</v>
      </c>
      <c r="W40" s="126">
        <f>W37/(1+R$18*(W$16-1))</f>
        <v>0</v>
      </c>
    </row>
    <row r="41" spans="1:23" x14ac:dyDescent="0.2">
      <c r="A41" s="125" t="s">
        <v>110</v>
      </c>
      <c r="B41" s="119">
        <f t="shared" ref="B41:G41" si="25">B40*B$16</f>
        <v>1.8016928448423661E-7</v>
      </c>
      <c r="C41" s="119">
        <f t="shared" si="25"/>
        <v>4.1404415094117348E-5</v>
      </c>
      <c r="D41" s="121">
        <f t="shared" si="25"/>
        <v>0</v>
      </c>
      <c r="E41" s="121">
        <f t="shared" si="25"/>
        <v>1.8943389352550605E-15</v>
      </c>
      <c r="F41" s="121">
        <f t="shared" si="25"/>
        <v>0</v>
      </c>
      <c r="G41" s="129">
        <f t="shared" si="25"/>
        <v>0</v>
      </c>
      <c r="I41" s="125" t="s">
        <v>110</v>
      </c>
      <c r="J41" s="119">
        <f t="shared" ref="J41:O41" si="26">J40*J$16</f>
        <v>7.9439631098631076E-4</v>
      </c>
      <c r="K41" s="119">
        <f t="shared" si="26"/>
        <v>3.3927140750107034E-2</v>
      </c>
      <c r="L41" s="121">
        <f t="shared" si="26"/>
        <v>0</v>
      </c>
      <c r="M41" s="121">
        <f t="shared" si="26"/>
        <v>1.2329859190536221E-10</v>
      </c>
      <c r="N41" s="121">
        <f t="shared" si="26"/>
        <v>0</v>
      </c>
      <c r="O41" s="129">
        <f t="shared" si="26"/>
        <v>0</v>
      </c>
      <c r="Q41" s="125" t="s">
        <v>110</v>
      </c>
      <c r="R41" s="119">
        <f t="shared" ref="R41:W41" si="27">R40*R$16</f>
        <v>1.4489081894725675</v>
      </c>
      <c r="S41" s="119">
        <f t="shared" si="27"/>
        <v>5.2626154664520843</v>
      </c>
      <c r="T41" s="121">
        <f t="shared" si="27"/>
        <v>0</v>
      </c>
      <c r="U41" s="121">
        <f t="shared" si="27"/>
        <v>6.3347443361804345E-6</v>
      </c>
      <c r="V41" s="121">
        <f t="shared" si="27"/>
        <v>0</v>
      </c>
      <c r="W41" s="129">
        <f t="shared" si="27"/>
        <v>0</v>
      </c>
    </row>
    <row r="42" spans="1:23" x14ac:dyDescent="0.2">
      <c r="A42" s="125"/>
      <c r="G42" s="128"/>
      <c r="I42" s="125"/>
      <c r="O42" s="128"/>
      <c r="Q42" s="125"/>
      <c r="W42" s="128"/>
    </row>
    <row r="43" spans="1:23" x14ac:dyDescent="0.2">
      <c r="A43" s="125" t="s">
        <v>111</v>
      </c>
      <c r="G43" s="128"/>
      <c r="I43" s="125" t="s">
        <v>111</v>
      </c>
      <c r="O43" s="128"/>
      <c r="Q43" s="125" t="s">
        <v>111</v>
      </c>
      <c r="W43" s="128"/>
    </row>
    <row r="44" spans="1:23" x14ac:dyDescent="0.2">
      <c r="A44" s="125" t="s">
        <v>116</v>
      </c>
      <c r="B44" s="113" t="s">
        <v>18</v>
      </c>
      <c r="C44" s="113" t="s">
        <v>19</v>
      </c>
      <c r="D44" s="113" t="s">
        <v>20</v>
      </c>
      <c r="E44" s="113" t="s">
        <v>21</v>
      </c>
      <c r="F44" s="113" t="s">
        <v>22</v>
      </c>
      <c r="G44" s="130" t="s">
        <v>23</v>
      </c>
      <c r="I44" s="125" t="s">
        <v>116</v>
      </c>
      <c r="J44" s="113" t="s">
        <v>18</v>
      </c>
      <c r="K44" s="113" t="s">
        <v>19</v>
      </c>
      <c r="L44" s="113" t="s">
        <v>20</v>
      </c>
      <c r="M44" s="113" t="s">
        <v>21</v>
      </c>
      <c r="N44" s="113" t="s">
        <v>22</v>
      </c>
      <c r="O44" s="130" t="s">
        <v>23</v>
      </c>
      <c r="P44" s="125"/>
      <c r="Q44" s="125" t="s">
        <v>116</v>
      </c>
      <c r="R44" s="113" t="s">
        <v>18</v>
      </c>
      <c r="S44" s="113" t="s">
        <v>19</v>
      </c>
      <c r="T44" s="113" t="s">
        <v>20</v>
      </c>
      <c r="U44" s="113" t="s">
        <v>21</v>
      </c>
      <c r="V44" s="113" t="s">
        <v>22</v>
      </c>
      <c r="W44" s="130" t="s">
        <v>23</v>
      </c>
    </row>
    <row r="45" spans="1:23" x14ac:dyDescent="0.2">
      <c r="A45" s="125">
        <v>1</v>
      </c>
      <c r="B45" s="119">
        <f t="shared" ref="B45:G45" si="28">B20</f>
        <v>97914.631597504966</v>
      </c>
      <c r="C45" s="119">
        <f t="shared" si="28"/>
        <v>2381.6792438364405</v>
      </c>
      <c r="D45" s="119">
        <f t="shared" si="28"/>
        <v>0</v>
      </c>
      <c r="E45" s="119">
        <f t="shared" si="28"/>
        <v>14145.621596782339</v>
      </c>
      <c r="F45" s="119">
        <f t="shared" si="28"/>
        <v>0</v>
      </c>
      <c r="G45" s="129">
        <f t="shared" si="28"/>
        <v>0</v>
      </c>
      <c r="I45" s="125">
        <v>1</v>
      </c>
      <c r="J45" s="119">
        <f t="shared" ref="J45:O45" si="29">J20</f>
        <v>93034.098214017722</v>
      </c>
      <c r="K45" s="119">
        <f t="shared" si="29"/>
        <v>2050.6113066821035</v>
      </c>
      <c r="L45" s="119">
        <f t="shared" si="29"/>
        <v>0</v>
      </c>
      <c r="M45" s="119">
        <f t="shared" si="29"/>
        <v>14036.120571702784</v>
      </c>
      <c r="N45" s="119">
        <f t="shared" si="29"/>
        <v>0</v>
      </c>
      <c r="O45" s="129">
        <f t="shared" si="29"/>
        <v>0</v>
      </c>
      <c r="P45" s="125"/>
      <c r="Q45" s="125">
        <v>1</v>
      </c>
      <c r="R45" s="119">
        <f t="shared" ref="R45:W45" si="30">R20</f>
        <v>79162.155012743751</v>
      </c>
      <c r="S45" s="119">
        <f t="shared" si="30"/>
        <v>1433.9289892492677</v>
      </c>
      <c r="T45" s="119">
        <f t="shared" si="30"/>
        <v>0</v>
      </c>
      <c r="U45" s="119">
        <f t="shared" si="30"/>
        <v>13521.68959663388</v>
      </c>
      <c r="V45" s="119">
        <f t="shared" si="30"/>
        <v>0</v>
      </c>
      <c r="W45" s="129">
        <f t="shared" si="30"/>
        <v>0</v>
      </c>
    </row>
    <row r="46" spans="1:23" x14ac:dyDescent="0.2">
      <c r="A46" s="125">
        <v>2</v>
      </c>
      <c r="B46" s="119">
        <f t="shared" ref="B46:G46" si="31">B23</f>
        <v>2062.5058472260575</v>
      </c>
      <c r="C46" s="119">
        <f t="shared" si="31"/>
        <v>185.4962710287046</v>
      </c>
      <c r="D46" s="120">
        <f t="shared" si="31"/>
        <v>0</v>
      </c>
      <c r="E46" s="120">
        <f t="shared" si="31"/>
        <v>28.474473359727355</v>
      </c>
      <c r="F46" s="120">
        <f t="shared" si="31"/>
        <v>0</v>
      </c>
      <c r="G46" s="131">
        <f t="shared" si="31"/>
        <v>0</v>
      </c>
      <c r="I46" s="125">
        <v>2</v>
      </c>
      <c r="J46" s="119">
        <f t="shared" ref="J46:O46" si="32">J23</f>
        <v>6546.125160669455</v>
      </c>
      <c r="K46" s="119">
        <f t="shared" si="32"/>
        <v>425.43707608794864</v>
      </c>
      <c r="L46" s="120">
        <f t="shared" si="32"/>
        <v>0</v>
      </c>
      <c r="M46" s="120">
        <f t="shared" si="32"/>
        <v>137.78622708815533</v>
      </c>
      <c r="N46" s="120">
        <f t="shared" si="32"/>
        <v>0</v>
      </c>
      <c r="O46" s="131">
        <f t="shared" si="32"/>
        <v>0</v>
      </c>
      <c r="P46" s="125"/>
      <c r="Q46" s="125">
        <v>2</v>
      </c>
      <c r="R46" s="119">
        <f t="shared" ref="R46:W46" si="33">R23</f>
        <v>16662.310252653584</v>
      </c>
      <c r="S46" s="119">
        <f t="shared" si="33"/>
        <v>643.61169871296704</v>
      </c>
      <c r="T46" s="120">
        <f t="shared" si="33"/>
        <v>0</v>
      </c>
      <c r="U46" s="120">
        <f t="shared" si="33"/>
        <v>628.4540828528626</v>
      </c>
      <c r="V46" s="120">
        <f t="shared" si="33"/>
        <v>0</v>
      </c>
      <c r="W46" s="131">
        <f t="shared" si="33"/>
        <v>0</v>
      </c>
    </row>
    <row r="47" spans="1:23" x14ac:dyDescent="0.2">
      <c r="A47" s="125">
        <v>3</v>
      </c>
      <c r="B47" s="119">
        <f t="shared" ref="B47:G47" si="34">B26</f>
        <v>43.445298219863552</v>
      </c>
      <c r="C47" s="119">
        <f t="shared" si="34"/>
        <v>14.447313446847014</v>
      </c>
      <c r="D47" s="121">
        <f t="shared" si="34"/>
        <v>0</v>
      </c>
      <c r="E47" s="121">
        <f t="shared" si="34"/>
        <v>5.7317780457116989E-2</v>
      </c>
      <c r="F47" s="121">
        <f t="shared" si="34"/>
        <v>0</v>
      </c>
      <c r="G47" s="126">
        <f t="shared" si="34"/>
        <v>0</v>
      </c>
      <c r="I47" s="125">
        <v>3</v>
      </c>
      <c r="J47" s="119">
        <f t="shared" ref="J47:O47" si="35">J26</f>
        <v>460.60267624212975</v>
      </c>
      <c r="K47" s="119">
        <f t="shared" si="35"/>
        <v>88.26475554897641</v>
      </c>
      <c r="L47" s="121">
        <f t="shared" si="35"/>
        <v>0</v>
      </c>
      <c r="M47" s="121">
        <f t="shared" si="35"/>
        <v>1.352584874018758</v>
      </c>
      <c r="N47" s="121">
        <f t="shared" si="35"/>
        <v>0</v>
      </c>
      <c r="O47" s="126">
        <f t="shared" si="35"/>
        <v>0</v>
      </c>
      <c r="P47" s="125"/>
      <c r="Q47" s="125">
        <v>3</v>
      </c>
      <c r="R47" s="119">
        <f t="shared" ref="R47:W47" si="36">R26</f>
        <v>3507.1377593370289</v>
      </c>
      <c r="S47" s="119">
        <f t="shared" si="36"/>
        <v>288.8818217818889</v>
      </c>
      <c r="T47" s="121">
        <f t="shared" si="36"/>
        <v>0</v>
      </c>
      <c r="U47" s="121">
        <f t="shared" si="36"/>
        <v>29.208963231396293</v>
      </c>
      <c r="V47" s="121">
        <f t="shared" si="36"/>
        <v>0</v>
      </c>
      <c r="W47" s="126">
        <f t="shared" si="36"/>
        <v>0</v>
      </c>
    </row>
    <row r="48" spans="1:23" x14ac:dyDescent="0.2">
      <c r="A48" s="125">
        <v>4</v>
      </c>
      <c r="B48" s="119">
        <f t="shared" ref="B48:G48" si="37">B29</f>
        <v>0.91514598125937008</v>
      </c>
      <c r="C48" s="119">
        <f t="shared" si="37"/>
        <v>1.1252240526126125</v>
      </c>
      <c r="D48" s="121">
        <f t="shared" si="37"/>
        <v>0</v>
      </c>
      <c r="E48" s="121">
        <f t="shared" si="37"/>
        <v>1.1537800594327547E-4</v>
      </c>
      <c r="F48" s="121">
        <f t="shared" si="37"/>
        <v>0</v>
      </c>
      <c r="G48" s="126">
        <f t="shared" si="37"/>
        <v>0</v>
      </c>
      <c r="I48" s="125">
        <v>4</v>
      </c>
      <c r="J48" s="119">
        <f t="shared" ref="J48:O48" si="38">J29</f>
        <v>32.409222273366318</v>
      </c>
      <c r="K48" s="119">
        <f t="shared" si="38"/>
        <v>18.312148869954235</v>
      </c>
      <c r="L48" s="121">
        <f t="shared" si="38"/>
        <v>0</v>
      </c>
      <c r="M48" s="121">
        <f t="shared" si="38"/>
        <v>1.3277712004218232E-2</v>
      </c>
      <c r="N48" s="121">
        <f t="shared" si="38"/>
        <v>0</v>
      </c>
      <c r="O48" s="126">
        <f t="shared" si="38"/>
        <v>0</v>
      </c>
      <c r="P48" s="125"/>
      <c r="Q48" s="125">
        <v>4</v>
      </c>
      <c r="R48" s="119">
        <f t="shared" ref="R48:W48" si="39">R29</f>
        <v>738.19386846483064</v>
      </c>
      <c r="S48" s="119">
        <f t="shared" si="39"/>
        <v>129.66312937273162</v>
      </c>
      <c r="T48" s="121">
        <f t="shared" si="39"/>
        <v>0</v>
      </c>
      <c r="U48" s="121">
        <f t="shared" si="39"/>
        <v>1.3575590585395372</v>
      </c>
      <c r="V48" s="121">
        <f t="shared" si="39"/>
        <v>0</v>
      </c>
      <c r="W48" s="126">
        <f t="shared" si="39"/>
        <v>0</v>
      </c>
    </row>
    <row r="49" spans="1:23" x14ac:dyDescent="0.2">
      <c r="A49" s="125">
        <v>5</v>
      </c>
      <c r="B49" s="119">
        <f t="shared" ref="B49:G49" si="40">B32</f>
        <v>1.927693447463245E-2</v>
      </c>
      <c r="C49" s="119">
        <f t="shared" si="40"/>
        <v>8.7637689404065078E-2</v>
      </c>
      <c r="D49" s="116">
        <f t="shared" si="40"/>
        <v>0</v>
      </c>
      <c r="E49" s="116">
        <f t="shared" si="40"/>
        <v>2.3225051893637285E-7</v>
      </c>
      <c r="F49" s="116">
        <f t="shared" si="40"/>
        <v>0</v>
      </c>
      <c r="G49" s="129">
        <f t="shared" si="40"/>
        <v>0</v>
      </c>
      <c r="I49" s="125">
        <v>5</v>
      </c>
      <c r="J49" s="119">
        <f t="shared" ref="J49:O49" si="41">J32</f>
        <v>2.2803985789529175</v>
      </c>
      <c r="K49" s="119">
        <f t="shared" si="41"/>
        <v>3.7991924879834436</v>
      </c>
      <c r="L49" s="116">
        <f t="shared" si="41"/>
        <v>0</v>
      </c>
      <c r="M49" s="132">
        <f t="shared" si="41"/>
        <v>1.3034127429146161E-4</v>
      </c>
      <c r="N49" s="116">
        <f t="shared" si="41"/>
        <v>0</v>
      </c>
      <c r="O49" s="129">
        <f t="shared" si="41"/>
        <v>0</v>
      </c>
      <c r="P49" s="125"/>
      <c r="Q49" s="125">
        <v>5</v>
      </c>
      <c r="R49" s="119">
        <f t="shared" ref="R49:W49" si="42">R32</f>
        <v>155.37746870316332</v>
      </c>
      <c r="S49" s="119">
        <f t="shared" si="42"/>
        <v>58.198632973948442</v>
      </c>
      <c r="T49" s="116">
        <f t="shared" si="42"/>
        <v>0</v>
      </c>
      <c r="U49" s="116">
        <f t="shared" si="42"/>
        <v>6.309592650798973E-2</v>
      </c>
      <c r="V49" s="116">
        <f t="shared" si="42"/>
        <v>0</v>
      </c>
      <c r="W49" s="129">
        <f t="shared" si="42"/>
        <v>0</v>
      </c>
    </row>
    <row r="50" spans="1:23" x14ac:dyDescent="0.2">
      <c r="A50" s="125">
        <v>6</v>
      </c>
      <c r="B50" s="119">
        <f t="shared" ref="B50:G50" si="43">B35</f>
        <v>4.0605565707440319E-4</v>
      </c>
      <c r="C50" s="119">
        <f t="shared" si="43"/>
        <v>6.8256313809242257E-3</v>
      </c>
      <c r="D50" s="116">
        <f t="shared" si="43"/>
        <v>0</v>
      </c>
      <c r="E50" s="116">
        <f t="shared" si="43"/>
        <v>4.6750941052607325E-10</v>
      </c>
      <c r="F50" s="116">
        <f t="shared" si="43"/>
        <v>0</v>
      </c>
      <c r="G50" s="129">
        <f t="shared" si="43"/>
        <v>0</v>
      </c>
      <c r="I50" s="125">
        <v>6</v>
      </c>
      <c r="J50" s="119">
        <f t="shared" ref="J50:O50" si="44">J35</f>
        <v>0.16045487407959155</v>
      </c>
      <c r="K50" s="119">
        <f t="shared" si="44"/>
        <v>0.78821244100042642</v>
      </c>
      <c r="L50" s="116">
        <f t="shared" si="44"/>
        <v>0</v>
      </c>
      <c r="M50" s="132">
        <f t="shared" si="44"/>
        <v>1.2795011503883194E-6</v>
      </c>
      <c r="N50" s="116">
        <f t="shared" si="44"/>
        <v>0</v>
      </c>
      <c r="O50" s="129">
        <f t="shared" si="44"/>
        <v>0</v>
      </c>
      <c r="P50" s="125"/>
      <c r="Q50" s="125">
        <v>6</v>
      </c>
      <c r="R50" s="119">
        <f t="shared" ref="R50:W50" si="45">R35</f>
        <v>32.704359670189667</v>
      </c>
      <c r="S50" s="119">
        <f t="shared" si="45"/>
        <v>26.122158985534004</v>
      </c>
      <c r="T50" s="116">
        <f t="shared" si="45"/>
        <v>0</v>
      </c>
      <c r="U50" s="116">
        <f t="shared" si="45"/>
        <v>2.9325397792892387E-3</v>
      </c>
      <c r="V50" s="116">
        <f t="shared" si="45"/>
        <v>0</v>
      </c>
      <c r="W50" s="129">
        <f t="shared" si="45"/>
        <v>0</v>
      </c>
    </row>
    <row r="51" spans="1:23" x14ac:dyDescent="0.2">
      <c r="A51" s="125">
        <v>7</v>
      </c>
      <c r="B51" s="119">
        <f t="shared" ref="B51:G51" si="46">B38</f>
        <v>8.5532892617911481E-6</v>
      </c>
      <c r="C51" s="119">
        <f t="shared" si="46"/>
        <v>5.3161195902201076E-4</v>
      </c>
      <c r="D51" s="119">
        <f t="shared" si="46"/>
        <v>0</v>
      </c>
      <c r="E51" s="119">
        <f t="shared" si="46"/>
        <v>9.4107453422015551E-13</v>
      </c>
      <c r="F51" s="119">
        <f t="shared" si="46"/>
        <v>0</v>
      </c>
      <c r="G51" s="119">
        <f t="shared" si="46"/>
        <v>0</v>
      </c>
      <c r="I51" s="125">
        <v>7</v>
      </c>
      <c r="J51" s="116">
        <f t="shared" ref="J51:O51" si="47">J38</f>
        <v>1.1290029231521084E-2</v>
      </c>
      <c r="K51" s="116">
        <f t="shared" si="47"/>
        <v>0.16352918524473514</v>
      </c>
      <c r="L51" s="119">
        <f t="shared" si="47"/>
        <v>0</v>
      </c>
      <c r="M51" s="132">
        <f t="shared" si="47"/>
        <v>1.2560282249383207E-8</v>
      </c>
      <c r="N51" s="119">
        <f t="shared" si="47"/>
        <v>0</v>
      </c>
      <c r="O51" s="119">
        <f t="shared" si="47"/>
        <v>0</v>
      </c>
      <c r="Q51" s="125">
        <v>7</v>
      </c>
      <c r="R51" s="119">
        <f t="shared" ref="R51:W51" si="48">R38</f>
        <v>6.8837209819685574</v>
      </c>
      <c r="S51" s="119">
        <f t="shared" si="48"/>
        <v>11.724797563045238</v>
      </c>
      <c r="T51" s="119">
        <f t="shared" si="48"/>
        <v>0</v>
      </c>
      <c r="U51" s="133">
        <f t="shared" si="48"/>
        <v>1.3629706437585636E-4</v>
      </c>
      <c r="V51" s="119">
        <f t="shared" si="48"/>
        <v>0</v>
      </c>
      <c r="W51" s="119">
        <f t="shared" si="48"/>
        <v>0</v>
      </c>
    </row>
    <row r="52" spans="1:23" x14ac:dyDescent="0.2">
      <c r="A52" s="125">
        <v>8</v>
      </c>
      <c r="B52" s="119">
        <f t="shared" ref="B52:G52" si="49">B41</f>
        <v>1.8016928448423661E-7</v>
      </c>
      <c r="C52" s="119">
        <f t="shared" si="49"/>
        <v>4.1404415094117348E-5</v>
      </c>
      <c r="D52" s="119">
        <f t="shared" si="49"/>
        <v>0</v>
      </c>
      <c r="E52" s="119">
        <f t="shared" si="49"/>
        <v>1.8943389352550605E-15</v>
      </c>
      <c r="F52" s="119">
        <f t="shared" si="49"/>
        <v>0</v>
      </c>
      <c r="G52" s="119">
        <f t="shared" si="49"/>
        <v>0</v>
      </c>
      <c r="I52" s="125">
        <v>8</v>
      </c>
      <c r="J52" s="116">
        <f t="shared" ref="J52:O52" si="50">J41</f>
        <v>7.9439631098631076E-4</v>
      </c>
      <c r="K52" s="116">
        <f t="shared" si="50"/>
        <v>3.3927140750107034E-2</v>
      </c>
      <c r="L52" s="119">
        <f t="shared" si="50"/>
        <v>0</v>
      </c>
      <c r="M52" s="132">
        <f t="shared" si="50"/>
        <v>1.2329859190536221E-10</v>
      </c>
      <c r="N52" s="119">
        <f t="shared" si="50"/>
        <v>0</v>
      </c>
      <c r="O52" s="119">
        <f t="shared" si="50"/>
        <v>0</v>
      </c>
      <c r="Q52" s="125">
        <v>8</v>
      </c>
      <c r="R52" s="119">
        <f t="shared" ref="R52:W52" si="51">R41</f>
        <v>1.4489081894725675</v>
      </c>
      <c r="S52" s="119">
        <f t="shared" si="51"/>
        <v>5.2626154664520843</v>
      </c>
      <c r="T52" s="119">
        <f t="shared" si="51"/>
        <v>0</v>
      </c>
      <c r="U52" s="133">
        <f t="shared" si="51"/>
        <v>6.3347443361804345E-6</v>
      </c>
      <c r="V52" s="119">
        <f t="shared" si="51"/>
        <v>0</v>
      </c>
      <c r="W52" s="119">
        <f t="shared" si="51"/>
        <v>0</v>
      </c>
    </row>
    <row r="53" spans="1:23" x14ac:dyDescent="0.2">
      <c r="A53" s="125"/>
      <c r="G53" s="128"/>
      <c r="I53" s="125"/>
      <c r="O53" s="128"/>
      <c r="Q53" s="125"/>
      <c r="W53" s="128"/>
    </row>
    <row r="54" spans="1:23" x14ac:dyDescent="0.2">
      <c r="A54" s="176">
        <f>A17</f>
        <v>100</v>
      </c>
      <c r="B54" s="114" t="s">
        <v>151</v>
      </c>
      <c r="C54" s="114">
        <f>input!I3</f>
        <v>200</v>
      </c>
      <c r="D54" s="114">
        <f>input!I4</f>
        <v>1</v>
      </c>
      <c r="E54" s="114">
        <f>input!I5</f>
        <v>10</v>
      </c>
      <c r="G54" s="128"/>
      <c r="I54" s="176">
        <f>I17</f>
        <v>150</v>
      </c>
      <c r="J54" s="114" t="s">
        <v>151</v>
      </c>
      <c r="O54" s="128"/>
      <c r="Q54" s="176">
        <f>Q17</f>
        <v>200</v>
      </c>
      <c r="R54" s="114" t="s">
        <v>151</v>
      </c>
      <c r="W54" s="128"/>
    </row>
    <row r="55" spans="1:23" x14ac:dyDescent="0.2">
      <c r="A55" s="125"/>
      <c r="B55" s="114" t="s">
        <v>116</v>
      </c>
      <c r="C55" s="113" t="s">
        <v>21</v>
      </c>
      <c r="D55" s="113" t="s">
        <v>18</v>
      </c>
      <c r="E55" s="113" t="s">
        <v>19</v>
      </c>
      <c r="F55" s="113" t="s">
        <v>89</v>
      </c>
      <c r="G55" s="130" t="s">
        <v>90</v>
      </c>
      <c r="I55" s="125"/>
      <c r="J55" s="114" t="s">
        <v>116</v>
      </c>
      <c r="K55" s="113" t="s">
        <v>21</v>
      </c>
      <c r="L55" s="113" t="s">
        <v>18</v>
      </c>
      <c r="M55" s="113" t="s">
        <v>19</v>
      </c>
      <c r="N55" s="113" t="s">
        <v>89</v>
      </c>
      <c r="O55" s="130" t="s">
        <v>90</v>
      </c>
      <c r="Q55" s="125"/>
      <c r="R55" s="114" t="s">
        <v>116</v>
      </c>
      <c r="S55" s="113" t="s">
        <v>21</v>
      </c>
      <c r="T55" s="113" t="s">
        <v>18</v>
      </c>
      <c r="U55" s="113" t="s">
        <v>19</v>
      </c>
      <c r="V55" s="113" t="s">
        <v>89</v>
      </c>
      <c r="W55" s="130" t="s">
        <v>90</v>
      </c>
    </row>
    <row r="56" spans="1:23" x14ac:dyDescent="0.2">
      <c r="A56" s="125" t="s">
        <v>155</v>
      </c>
      <c r="B56" s="114">
        <v>0</v>
      </c>
      <c r="C56" s="117">
        <f>Ggrid!$N178</f>
        <v>0.99303607834813357</v>
      </c>
      <c r="D56" s="117">
        <f>Ggrid!$O178</f>
        <v>6.4186938164994137E-3</v>
      </c>
      <c r="E56" s="117">
        <f>Ggrid!$P178</f>
        <v>5.452278353669835E-4</v>
      </c>
      <c r="F56" s="116">
        <f>Ggrid!$Q178</f>
        <v>0.57400860621971062</v>
      </c>
      <c r="G56" s="134">
        <f>Ggrid!$R178</f>
        <v>0.99303607834813357</v>
      </c>
      <c r="I56" s="125" t="s">
        <v>155</v>
      </c>
      <c r="J56" s="114">
        <v>0</v>
      </c>
      <c r="K56" s="117">
        <f>Ggrid!$N178</f>
        <v>0.99303607834813357</v>
      </c>
      <c r="L56" s="117">
        <f>Ggrid!$O178</f>
        <v>6.4186938164994137E-3</v>
      </c>
      <c r="M56" s="117">
        <f>Ggrid!$P178</f>
        <v>5.452278353669835E-4</v>
      </c>
      <c r="N56" s="116">
        <f>Ggrid!$Q178</f>
        <v>0.57400860621971062</v>
      </c>
      <c r="O56" s="134">
        <f>Ggrid!$R178</f>
        <v>0.99303607834813357</v>
      </c>
      <c r="Q56" s="125" t="s">
        <v>155</v>
      </c>
      <c r="R56" s="114">
        <v>0</v>
      </c>
      <c r="S56" s="117">
        <f>Ggrid!$N178</f>
        <v>0.99303607834813357</v>
      </c>
      <c r="T56" s="117">
        <f>Ggrid!$O178</f>
        <v>6.4186938164994137E-3</v>
      </c>
      <c r="U56" s="117">
        <f>Ggrid!$P178</f>
        <v>5.452278353669835E-4</v>
      </c>
      <c r="V56" s="116">
        <f>Ggrid!$Q178</f>
        <v>0.57400860621971062</v>
      </c>
      <c r="W56" s="134">
        <f>Ggrid!$R178</f>
        <v>0.99303607834813357</v>
      </c>
    </row>
    <row r="57" spans="1:23" x14ac:dyDescent="0.2">
      <c r="A57" s="125" t="s">
        <v>154</v>
      </c>
      <c r="B57" s="114">
        <v>1</v>
      </c>
      <c r="C57" s="117">
        <f>$C$54*E45/($C$54*$E45+$D$54*$B45+$E$54*$C45)</f>
        <v>0.95874707724752217</v>
      </c>
      <c r="D57" s="117">
        <f t="shared" ref="D57:D64" si="52">$D$54*B45/($C$54*E45+$D$54*B45+$E$54*C45)</f>
        <v>3.3181775089059819E-2</v>
      </c>
      <c r="E57" s="117">
        <f t="shared" ref="E57:E64" si="53">$E$54*C45/($C$54*E45+$D$54*B45+$E$54*C45)</f>
        <v>8.0711476634179168E-3</v>
      </c>
      <c r="F57" s="116">
        <f t="shared" ref="F57:F64" si="54">0.5774*C57+1.1547*E57</f>
        <v>0.56290031660966799</v>
      </c>
      <c r="G57" s="134">
        <f t="shared" ref="G57:G64" si="55">C57</f>
        <v>0.95874707724752217</v>
      </c>
      <c r="I57" s="125" t="s">
        <v>154</v>
      </c>
      <c r="J57" s="114">
        <v>1</v>
      </c>
      <c r="K57" s="117">
        <f t="shared" ref="K57:K64" si="56">$C$54*M45/($C$54*M45+$D$54*$J45+$E$54*K45)</f>
        <v>0.96112654133548325</v>
      </c>
      <c r="L57" s="117">
        <f t="shared" ref="L57:L64" si="57">$D$54*J45/($C$54*M45+$D$54*J45+$E$54*K45)</f>
        <v>3.1852654936212504E-2</v>
      </c>
      <c r="M57" s="117">
        <f t="shared" ref="M57:M64" si="58">$E$54*K45/($C$54*M45+$D$54*J45+$E$54*K45)</f>
        <v>7.0208037283043508E-3</v>
      </c>
      <c r="N57" s="116">
        <f t="shared" ref="N57:N64" si="59">0.5774*K57+1.1547*M57</f>
        <v>0.56306138703218112</v>
      </c>
      <c r="O57" s="134">
        <f t="shared" ref="O57:O64" si="60">K57</f>
        <v>0.96112654133548325</v>
      </c>
      <c r="Q57" s="125" t="s">
        <v>154</v>
      </c>
      <c r="R57" s="114">
        <v>1</v>
      </c>
      <c r="S57" s="117">
        <f t="shared" ref="S57:S64" si="61">$C$54*U45/($C$54*U45+$D$54*R45+$E$54*S45)</f>
        <v>0.96658083873557132</v>
      </c>
      <c r="T57" s="117">
        <f t="shared" ref="T57:T64" si="62">$D$54*R45/($C$54*U45+$D$54*R45+$E$54*S45)</f>
        <v>2.8294031467554683E-2</v>
      </c>
      <c r="U57" s="117">
        <f t="shared" ref="U57:U64" si="63">$E$54*S45/($C$54*U45+$D$54*R45+$E$54*S45)</f>
        <v>5.125129796874065E-3</v>
      </c>
      <c r="V57" s="116">
        <f t="shared" ref="V57:V64" si="64">0.5774*S57+1.1547*U57</f>
        <v>0.56402176366236934</v>
      </c>
      <c r="W57" s="134">
        <f t="shared" ref="W57:W64" si="65">S57</f>
        <v>0.96658083873557132</v>
      </c>
    </row>
    <row r="58" spans="1:23" x14ac:dyDescent="0.2">
      <c r="A58" s="135" t="s">
        <v>156</v>
      </c>
      <c r="B58" s="114">
        <v>2</v>
      </c>
      <c r="C58" s="117">
        <f t="shared" ref="C58:C64" si="66">$C$54*E46/($C$54*$E46+$D$54*$B46+$E$54*$C46)</f>
        <v>0.59245520960886966</v>
      </c>
      <c r="D58" s="117">
        <f t="shared" si="52"/>
        <v>0.21456803056559384</v>
      </c>
      <c r="E58" s="117">
        <f t="shared" si="53"/>
        <v>0.19297675982553655</v>
      </c>
      <c r="F58" s="116">
        <f t="shared" si="54"/>
        <v>0.56491390259870844</v>
      </c>
      <c r="G58" s="134">
        <f t="shared" si="55"/>
        <v>0.59245520960886966</v>
      </c>
      <c r="I58" s="135" t="s">
        <v>156</v>
      </c>
      <c r="J58" s="114">
        <v>2</v>
      </c>
      <c r="K58" s="117">
        <f t="shared" si="56"/>
        <v>0.7184272184838757</v>
      </c>
      <c r="L58" s="117">
        <f t="shared" si="57"/>
        <v>0.17065981812602199</v>
      </c>
      <c r="M58" s="117">
        <f t="shared" si="58"/>
        <v>0.11091296339010233</v>
      </c>
      <c r="N58" s="116">
        <f t="shared" si="59"/>
        <v>0.542891074779141</v>
      </c>
      <c r="O58" s="134">
        <f t="shared" si="60"/>
        <v>0.7184272184838757</v>
      </c>
      <c r="Q58" s="135" t="s">
        <v>156</v>
      </c>
      <c r="R58" s="114">
        <v>2</v>
      </c>
      <c r="S58" s="117">
        <f t="shared" si="61"/>
        <v>0.84475741224127654</v>
      </c>
      <c r="T58" s="117">
        <f t="shared" si="62"/>
        <v>0.11198598652662742</v>
      </c>
      <c r="U58" s="117">
        <f t="shared" si="63"/>
        <v>4.3256601232096015E-2</v>
      </c>
      <c r="V58" s="116">
        <f t="shared" si="64"/>
        <v>0.53771132727081439</v>
      </c>
      <c r="W58" s="134">
        <f t="shared" si="65"/>
        <v>0.84475741224127654</v>
      </c>
    </row>
    <row r="59" spans="1:23" x14ac:dyDescent="0.2">
      <c r="A59" s="125" t="s">
        <v>153</v>
      </c>
      <c r="B59" s="114">
        <v>3</v>
      </c>
      <c r="C59" s="117">
        <f t="shared" si="66"/>
        <v>5.7495444606515393E-2</v>
      </c>
      <c r="D59" s="117">
        <f t="shared" si="52"/>
        <v>0.21789981374824405</v>
      </c>
      <c r="E59" s="117">
        <f t="shared" si="53"/>
        <v>0.72460474164524058</v>
      </c>
      <c r="F59" s="116">
        <f t="shared" si="54"/>
        <v>0.86989896489356133</v>
      </c>
      <c r="G59" s="134">
        <f t="shared" si="55"/>
        <v>5.7495444606515393E-2</v>
      </c>
      <c r="I59" s="125" t="s">
        <v>153</v>
      </c>
      <c r="J59" s="114">
        <v>3</v>
      </c>
      <c r="K59" s="117">
        <f t="shared" si="56"/>
        <v>0.16763072995174061</v>
      </c>
      <c r="L59" s="117">
        <f t="shared" si="57"/>
        <v>0.28542076848303816</v>
      </c>
      <c r="M59" s="117">
        <f t="shared" si="58"/>
        <v>0.54694850156522112</v>
      </c>
      <c r="N59" s="116">
        <f t="shared" si="59"/>
        <v>0.72835141823149585</v>
      </c>
      <c r="O59" s="134">
        <f t="shared" si="60"/>
        <v>0.16763072995174061</v>
      </c>
      <c r="Q59" s="125" t="s">
        <v>153</v>
      </c>
      <c r="R59" s="114">
        <v>3</v>
      </c>
      <c r="S59" s="117">
        <f t="shared" si="61"/>
        <v>0.47735844443579101</v>
      </c>
      <c r="T59" s="117">
        <f t="shared" si="62"/>
        <v>0.28658357572575827</v>
      </c>
      <c r="U59" s="117">
        <f t="shared" si="63"/>
        <v>0.23605797983845073</v>
      </c>
      <c r="V59" s="116">
        <f t="shared" si="64"/>
        <v>0.54820291513668473</v>
      </c>
      <c r="W59" s="134">
        <f t="shared" si="65"/>
        <v>0.47735844443579101</v>
      </c>
    </row>
    <row r="60" spans="1:23" x14ac:dyDescent="0.2">
      <c r="A60" s="125"/>
      <c r="B60" s="114">
        <v>4</v>
      </c>
      <c r="C60" s="117">
        <f t="shared" si="66"/>
        <v>1.8929225966278092E-3</v>
      </c>
      <c r="D60" s="117">
        <f t="shared" si="52"/>
        <v>7.5070655493502836E-2</v>
      </c>
      <c r="E60" s="117">
        <f t="shared" si="53"/>
        <v>0.92303642190986945</v>
      </c>
      <c r="F60" s="116">
        <f t="shared" si="54"/>
        <v>1.0669231298866191</v>
      </c>
      <c r="G60" s="134">
        <f t="shared" si="55"/>
        <v>1.8929225966278092E-3</v>
      </c>
      <c r="I60" s="125"/>
      <c r="J60" s="114">
        <v>4</v>
      </c>
      <c r="K60" s="117">
        <f t="shared" si="56"/>
        <v>1.217098859246055E-2</v>
      </c>
      <c r="L60" s="117">
        <f t="shared" si="57"/>
        <v>0.14853924925256146</v>
      </c>
      <c r="M60" s="117">
        <f t="shared" si="58"/>
        <v>0.83928976215497808</v>
      </c>
      <c r="N60" s="116">
        <f t="shared" si="59"/>
        <v>0.97615541717363996</v>
      </c>
      <c r="O60" s="134">
        <f t="shared" si="60"/>
        <v>1.217098859246055E-2</v>
      </c>
      <c r="Q60" s="125"/>
      <c r="R60" s="114">
        <v>4</v>
      </c>
      <c r="S60" s="117">
        <f t="shared" si="61"/>
        <v>0.11772425919564408</v>
      </c>
      <c r="T60" s="117">
        <f t="shared" si="62"/>
        <v>0.32007199156874827</v>
      </c>
      <c r="U60" s="117">
        <f t="shared" si="63"/>
        <v>0.56220374923560756</v>
      </c>
      <c r="V60" s="116">
        <f t="shared" si="64"/>
        <v>0.717150656501921</v>
      </c>
      <c r="W60" s="134">
        <f t="shared" si="65"/>
        <v>0.11772425919564408</v>
      </c>
    </row>
    <row r="61" spans="1:23" x14ac:dyDescent="0.2">
      <c r="A61" s="125"/>
      <c r="B61" s="114">
        <v>5</v>
      </c>
      <c r="C61" s="117">
        <f t="shared" si="66"/>
        <v>5.185898106327282E-5</v>
      </c>
      <c r="D61" s="117">
        <f t="shared" si="52"/>
        <v>2.1521635009818588E-2</v>
      </c>
      <c r="E61" s="117">
        <f t="shared" si="53"/>
        <v>0.97842650600911807</v>
      </c>
      <c r="F61" s="116">
        <f t="shared" si="54"/>
        <v>1.1298190298643946</v>
      </c>
      <c r="G61" s="134">
        <f t="shared" si="55"/>
        <v>5.185898106327282E-5</v>
      </c>
      <c r="I61" s="125"/>
      <c r="J61" s="114">
        <v>5</v>
      </c>
      <c r="K61" s="117">
        <f t="shared" si="56"/>
        <v>6.4688077488375836E-4</v>
      </c>
      <c r="L61" s="117">
        <f t="shared" si="57"/>
        <v>5.6587830977402012E-2</v>
      </c>
      <c r="M61" s="117">
        <f t="shared" si="58"/>
        <v>0.94276528824771433</v>
      </c>
      <c r="N61" s="116">
        <f t="shared" si="59"/>
        <v>1.0889845872990538</v>
      </c>
      <c r="O61" s="134">
        <f t="shared" si="60"/>
        <v>6.4688077488375836E-4</v>
      </c>
      <c r="Q61" s="125"/>
      <c r="R61" s="114">
        <v>5</v>
      </c>
      <c r="S61" s="117">
        <f t="shared" si="61"/>
        <v>1.6825962155297726E-2</v>
      </c>
      <c r="T61" s="117">
        <f t="shared" si="62"/>
        <v>0.20717465872018923</v>
      </c>
      <c r="U61" s="117">
        <f t="shared" si="63"/>
        <v>0.77599937912451311</v>
      </c>
      <c r="V61" s="116">
        <f t="shared" si="64"/>
        <v>0.90576179362354414</v>
      </c>
      <c r="W61" s="134">
        <f t="shared" si="65"/>
        <v>1.6825962155297726E-2</v>
      </c>
    </row>
    <row r="62" spans="1:23" x14ac:dyDescent="0.2">
      <c r="B62" s="114">
        <v>6</v>
      </c>
      <c r="C62" s="117">
        <f t="shared" si="66"/>
        <v>1.3617612602757978E-6</v>
      </c>
      <c r="D62" s="117">
        <f t="shared" si="52"/>
        <v>5.9137939351588528E-3</v>
      </c>
      <c r="E62" s="117">
        <f t="shared" si="53"/>
        <v>0.99408484430358091</v>
      </c>
      <c r="F62" s="116">
        <f t="shared" si="54"/>
        <v>1.1478705559982967</v>
      </c>
      <c r="G62" s="116">
        <f t="shared" si="55"/>
        <v>1.3617612602757978E-6</v>
      </c>
      <c r="J62" s="114">
        <v>6</v>
      </c>
      <c r="K62" s="117">
        <f t="shared" si="56"/>
        <v>3.1817166983198919E-5</v>
      </c>
      <c r="L62" s="117">
        <f t="shared" si="57"/>
        <v>1.9950038811255164E-2</v>
      </c>
      <c r="M62" s="117">
        <f t="shared" si="58"/>
        <v>0.98001814402176168</v>
      </c>
      <c r="N62" s="116">
        <f t="shared" si="59"/>
        <v>1.1316453221341445</v>
      </c>
      <c r="O62" s="116">
        <f t="shared" si="60"/>
        <v>3.1817166983198919E-5</v>
      </c>
      <c r="R62" s="114">
        <v>6</v>
      </c>
      <c r="S62" s="117">
        <f t="shared" si="61"/>
        <v>1.9914538110664256E-3</v>
      </c>
      <c r="T62" s="117">
        <f t="shared" si="62"/>
        <v>0.1110457599989858</v>
      </c>
      <c r="U62" s="117">
        <f t="shared" si="63"/>
        <v>0.88696278618994784</v>
      </c>
      <c r="V62" s="116">
        <f t="shared" si="64"/>
        <v>1.0253257946440426</v>
      </c>
      <c r="W62" s="116">
        <f t="shared" si="65"/>
        <v>1.9914538110664256E-3</v>
      </c>
    </row>
    <row r="63" spans="1:23" x14ac:dyDescent="0.2">
      <c r="B63" s="114">
        <v>7</v>
      </c>
      <c r="C63" s="117">
        <f t="shared" si="66"/>
        <v>3.5347692609688003E-8</v>
      </c>
      <c r="D63" s="117">
        <f t="shared" si="52"/>
        <v>1.6063501276127898E-3</v>
      </c>
      <c r="E63" s="117">
        <f t="shared" si="53"/>
        <v>0.99839361452469466</v>
      </c>
      <c r="F63" s="116">
        <f t="shared" si="54"/>
        <v>1.1528451271014226</v>
      </c>
      <c r="G63" s="116">
        <f t="shared" si="55"/>
        <v>3.5347692609688003E-8</v>
      </c>
      <c r="J63" s="114">
        <v>7</v>
      </c>
      <c r="K63" s="117">
        <f t="shared" si="56"/>
        <v>1.5256165790433441E-6</v>
      </c>
      <c r="L63" s="117">
        <f t="shared" si="57"/>
        <v>6.8566356358506098E-3</v>
      </c>
      <c r="M63" s="117">
        <f t="shared" si="58"/>
        <v>0.99314183874757034</v>
      </c>
      <c r="N63" s="116">
        <f t="shared" si="59"/>
        <v>1.1467817620928322</v>
      </c>
      <c r="O63" s="116">
        <f t="shared" si="60"/>
        <v>1.5256165790433441E-6</v>
      </c>
      <c r="R63" s="114">
        <v>7</v>
      </c>
      <c r="S63" s="117">
        <f t="shared" si="61"/>
        <v>2.1955252965897562E-4</v>
      </c>
      <c r="T63" s="117">
        <f t="shared" si="62"/>
        <v>5.5442806562952016E-2</v>
      </c>
      <c r="U63" s="117">
        <f t="shared" si="63"/>
        <v>0.94433764090738892</v>
      </c>
      <c r="V63" s="116">
        <f t="shared" si="64"/>
        <v>1.0905534435863871</v>
      </c>
      <c r="W63" s="134">
        <f t="shared" si="65"/>
        <v>2.1955252965897562E-4</v>
      </c>
    </row>
    <row r="64" spans="1:23" x14ac:dyDescent="0.2">
      <c r="B64" s="114">
        <v>8</v>
      </c>
      <c r="C64" s="117">
        <f t="shared" si="66"/>
        <v>9.146439940998309E-10</v>
      </c>
      <c r="D64" s="117">
        <f t="shared" si="52"/>
        <v>4.3495583316135257E-4</v>
      </c>
      <c r="E64" s="117">
        <f t="shared" si="53"/>
        <v>0.99956504325219464</v>
      </c>
      <c r="F64" s="116">
        <f t="shared" si="54"/>
        <v>1.1541977559714247</v>
      </c>
      <c r="G64" s="116">
        <f t="shared" si="55"/>
        <v>9.146439940998309E-10</v>
      </c>
      <c r="J64" s="114">
        <v>8</v>
      </c>
      <c r="K64" s="117">
        <f t="shared" si="56"/>
        <v>7.2514543704349765E-8</v>
      </c>
      <c r="L64" s="117">
        <f t="shared" si="57"/>
        <v>2.3360074564276441E-3</v>
      </c>
      <c r="M64" s="117">
        <f t="shared" si="58"/>
        <v>0.99766392002902859</v>
      </c>
      <c r="N64" s="116">
        <f t="shared" si="59"/>
        <v>1.1520025703274168</v>
      </c>
      <c r="O64" s="116">
        <f t="shared" si="60"/>
        <v>7.2514543704349765E-8</v>
      </c>
      <c r="R64" s="114">
        <v>8</v>
      </c>
      <c r="S64" s="117">
        <f t="shared" si="61"/>
        <v>2.3428898962907525E-5</v>
      </c>
      <c r="T64" s="117">
        <f t="shared" si="62"/>
        <v>2.6793759760595295E-2</v>
      </c>
      <c r="U64" s="117">
        <f t="shared" si="63"/>
        <v>0.97318281134044182</v>
      </c>
      <c r="V64" s="116">
        <f t="shared" si="64"/>
        <v>1.1237477201010695</v>
      </c>
      <c r="W64" s="116">
        <f t="shared" si="65"/>
        <v>2.3428898962907525E-5</v>
      </c>
    </row>
  </sheetData>
  <phoneticPr fontId="0" type="noConversion"/>
  <pageMargins left="0.75" right="0.75" top="1" bottom="1" header="0.5" footer="0.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11</vt:i4>
      </vt:variant>
    </vt:vector>
  </HeadingPairs>
  <TitlesOfParts>
    <vt:vector size="16" baseType="lpstr">
      <vt:lpstr>input</vt:lpstr>
      <vt:lpstr>Info</vt:lpstr>
      <vt:lpstr>Ggrid</vt:lpstr>
      <vt:lpstr>Tgrid</vt:lpstr>
      <vt:lpstr>Ref</vt:lpstr>
      <vt:lpstr>FT- H2S</vt:lpstr>
      <vt:lpstr>FT- CO2</vt:lpstr>
      <vt:lpstr>FT- HSH</vt:lpstr>
      <vt:lpstr>COCOCHCO</vt:lpstr>
      <vt:lpstr>CHCO-HAR</vt:lpstr>
      <vt:lpstr>CO2-H2</vt:lpstr>
      <vt:lpstr>CAR-HAR</vt:lpstr>
      <vt:lpstr>Txyz</vt:lpstr>
      <vt:lpstr>Tcch</vt:lpstr>
      <vt:lpstr>Tnca</vt:lpstr>
      <vt:lpstr>Tnha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Christy Caudill</cp:lastModifiedBy>
  <cp:lastPrinted>2001-12-10T02:50:42Z</cp:lastPrinted>
  <dcterms:created xsi:type="dcterms:W3CDTF">1999-09-06T21:58:36Z</dcterms:created>
  <dcterms:modified xsi:type="dcterms:W3CDTF">2013-09-20T22:07:33Z</dcterms:modified>
</cp:coreProperties>
</file>