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chartsheets/sheet13.xml" ContentType="application/vnd.openxmlformats-officedocument.spreadsheetml.chartsheet+xml"/>
  <Override PartName="/xl/chartsheets/sheet14.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xml"/>
  <Override PartName="/xl/charts/chart5.xml" ContentType="application/vnd.openxmlformats-officedocument.drawingml.chart+xml"/>
  <Override PartName="/xl/drawings/drawing9.xml" ContentType="application/vnd.openxmlformats-officedocument.drawing+xml"/>
  <Override PartName="/xl/charts/chart6.xml" ContentType="application/vnd.openxmlformats-officedocument.drawingml.chart+xml"/>
  <Override PartName="/xl/drawings/drawing10.xml" ContentType="application/vnd.openxmlformats-officedocument.drawing+xml"/>
  <Override PartName="/xl/charts/chart7.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8.xml" ContentType="application/vnd.openxmlformats-officedocument.drawingml.chart+xml"/>
  <Override PartName="/xl/drawings/drawing13.xml" ContentType="application/vnd.openxmlformats-officedocument.drawing+xml"/>
  <Override PartName="/xl/charts/chart9.xml" ContentType="application/vnd.openxmlformats-officedocument.drawingml.chart+xml"/>
  <Override PartName="/xl/drawings/drawing14.xml" ContentType="application/vnd.openxmlformats-officedocument.drawing+xml"/>
  <Override PartName="/xl/charts/chart10.xml" ContentType="application/vnd.openxmlformats-officedocument.drawingml.chart+xml"/>
  <Override PartName="/xl/drawings/drawing15.xml" ContentType="application/vnd.openxmlformats-officedocument.drawing+xml"/>
  <Override PartName="/xl/charts/chart11.xml" ContentType="application/vnd.openxmlformats-officedocument.drawingml.chart+xml"/>
  <Override PartName="/xl/drawings/drawing16.xml" ContentType="application/vnd.openxmlformats-officedocument.drawing+xml"/>
  <Override PartName="/xl/charts/chart12.xml" ContentType="application/vnd.openxmlformats-officedocument.drawingml.chart+xml"/>
  <Override PartName="/xl/drawings/drawing17.xml" ContentType="application/vnd.openxmlformats-officedocument.drawing+xml"/>
  <Override PartName="/xl/charts/chart13.xml" ContentType="application/vnd.openxmlformats-officedocument.drawingml.chart+xml"/>
  <Override PartName="/xl/drawings/drawing18.xml" ContentType="application/vnd.openxmlformats-officedocument.drawing+xml"/>
  <Override PartName="/xl/charts/chart14.xml" ContentType="application/vnd.openxmlformats-officedocument.drawingml.chart+xml"/>
  <Override PartName="/xl/drawings/drawing19.xml" ContentType="application/vnd.openxmlformats-officedocument.drawingml.chartshape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0485" yWindow="0" windowWidth="10035" windowHeight="7650" tabRatio="786" activeTab="17"/>
  </bookViews>
  <sheets>
    <sheet name="Iso" sheetId="15" r:id="rId1"/>
    <sheet name="XClHdisch" sheetId="27" r:id="rId2"/>
    <sheet name="XClHqtz" sheetId="17" r:id="rId3"/>
    <sheet name="Xmckn" sheetId="14" r:id="rId4"/>
    <sheet name="Xkmc" sheetId="12" r:id="rId5"/>
    <sheet name="Xkms" sheetId="13" r:id="rId6"/>
    <sheet name="Tnkm" sheetId="11" r:id="rId7"/>
    <sheet name="Txyz" sheetId="25" r:id="rId8"/>
    <sheet name="Tcfb" sheetId="7" r:id="rId9"/>
    <sheet name="Tlrc" sheetId="9" r:id="rId10"/>
    <sheet name="Tclb" sheetId="8" r:id="rId11"/>
    <sheet name="Tcsh" sheetId="10" r:id="rId12"/>
    <sheet name="Piper" sheetId="26" r:id="rId13"/>
    <sheet name="Map" sheetId="24" r:id="rId14"/>
    <sheet name="Tgrid" sheetId="1" state="hidden" r:id="rId15"/>
    <sheet name="Ref" sheetId="3" state="hidden" r:id="rId16"/>
    <sheet name="Report" sheetId="22" r:id="rId17"/>
    <sheet name="Input" sheetId="2" r:id="rId18"/>
    <sheet name="Info" sheetId="23" r:id="rId19"/>
  </sheets>
  <calcPr calcId="145621"/>
</workbook>
</file>

<file path=xl/calcChain.xml><?xml version="1.0" encoding="utf-8"?>
<calcChain xmlns="http://schemas.openxmlformats.org/spreadsheetml/2006/main">
  <c r="B42" i="1" l="1"/>
  <c r="K59" i="1" s="1"/>
  <c r="X32" i="3"/>
  <c r="X33" i="3"/>
  <c r="X34" i="3"/>
  <c r="X35" i="3"/>
  <c r="X36" i="3"/>
  <c r="X37" i="3"/>
  <c r="X38" i="3"/>
  <c r="X39" i="3"/>
  <c r="X40" i="3"/>
  <c r="X41" i="3"/>
  <c r="X42" i="3"/>
  <c r="X43" i="3"/>
  <c r="X44" i="3"/>
  <c r="X45" i="3"/>
  <c r="X46" i="3"/>
  <c r="X31" i="3"/>
  <c r="K60" i="1"/>
  <c r="K62" i="1"/>
  <c r="K64" i="1"/>
  <c r="K58" i="1"/>
  <c r="F60" i="1"/>
  <c r="F62" i="1"/>
  <c r="F64" i="1"/>
  <c r="F58" i="1"/>
  <c r="F65" i="1" l="1"/>
  <c r="F63" i="1"/>
  <c r="F61" i="1"/>
  <c r="F59" i="1"/>
  <c r="K65" i="1"/>
  <c r="K63" i="1"/>
  <c r="K61" i="1"/>
  <c r="CU7" i="2"/>
  <c r="CT7" i="2"/>
  <c r="CS7" i="2"/>
  <c r="CG7" i="2"/>
  <c r="CF7" i="2"/>
  <c r="CA7" i="2"/>
  <c r="BX7" i="2"/>
  <c r="BS7" i="2"/>
  <c r="BR7" i="2"/>
  <c r="CP6" i="2"/>
  <c r="CO6" i="2"/>
  <c r="CN6" i="2"/>
  <c r="CH6" i="2"/>
  <c r="CH7" i="2" s="1"/>
  <c r="CG6" i="2"/>
  <c r="CF6" i="2"/>
  <c r="CC6" i="2"/>
  <c r="CC7" i="2" s="1"/>
  <c r="CB6" i="2"/>
  <c r="CB7" i="2" s="1"/>
  <c r="CA6" i="2"/>
  <c r="BX6" i="2"/>
  <c r="BW6" i="2"/>
  <c r="BW7" i="2" s="1"/>
  <c r="BV6" i="2"/>
  <c r="BV7" i="2" s="1"/>
  <c r="BS6" i="2"/>
  <c r="BR6" i="2"/>
  <c r="BQ6" i="2"/>
  <c r="BQ7" i="2" s="1"/>
  <c r="A7" i="22"/>
  <c r="C71" i="3"/>
  <c r="B70" i="3"/>
  <c r="C69" i="3"/>
  <c r="C55" i="3"/>
  <c r="C66" i="3" s="1"/>
  <c r="B55" i="3"/>
  <c r="B66" i="3" s="1"/>
  <c r="AT50" i="3"/>
  <c r="AS50" i="3"/>
  <c r="AO50" i="3"/>
  <c r="AN50" i="3"/>
  <c r="R49" i="3"/>
  <c r="Q49" i="3"/>
  <c r="P49" i="3"/>
  <c r="O49" i="3"/>
  <c r="N49" i="3"/>
  <c r="M49" i="3"/>
  <c r="L49" i="3"/>
  <c r="K49" i="3"/>
  <c r="J49" i="3"/>
  <c r="I49" i="3"/>
  <c r="H49" i="3"/>
  <c r="G49" i="3"/>
  <c r="F49" i="3"/>
  <c r="D49" i="3"/>
  <c r="R48" i="3"/>
  <c r="Q48" i="3"/>
  <c r="P48" i="3"/>
  <c r="O48" i="3"/>
  <c r="N48" i="3"/>
  <c r="M48" i="3"/>
  <c r="L48" i="3"/>
  <c r="K48" i="3"/>
  <c r="J48" i="3"/>
  <c r="G48" i="3"/>
  <c r="H48" i="3" s="1"/>
  <c r="F48" i="3"/>
  <c r="I48" i="3" s="1"/>
  <c r="D48" i="3"/>
  <c r="R47" i="3"/>
  <c r="Q47" i="3"/>
  <c r="P47" i="3"/>
  <c r="O47" i="3"/>
  <c r="N47" i="3"/>
  <c r="M47" i="3"/>
  <c r="L47" i="3"/>
  <c r="K47" i="3"/>
  <c r="J47" i="3"/>
  <c r="I47" i="3"/>
  <c r="H47" i="3"/>
  <c r="G47" i="3"/>
  <c r="F47" i="3"/>
  <c r="D47" i="3"/>
  <c r="W46" i="3"/>
  <c r="V46" i="3"/>
  <c r="U46" i="3"/>
  <c r="T46" i="3"/>
  <c r="R46" i="3"/>
  <c r="Q46" i="3"/>
  <c r="P46" i="3"/>
  <c r="O46" i="3"/>
  <c r="N46" i="3"/>
  <c r="M46" i="3"/>
  <c r="L46" i="3"/>
  <c r="K46" i="3"/>
  <c r="J46" i="3"/>
  <c r="I46" i="3"/>
  <c r="H46" i="3"/>
  <c r="G46" i="3"/>
  <c r="Y46" i="3" s="1"/>
  <c r="F46" i="3"/>
  <c r="D46" i="3"/>
  <c r="Z46" i="3" s="1"/>
  <c r="W45" i="3"/>
  <c r="V45" i="3"/>
  <c r="U45" i="3"/>
  <c r="T45" i="3"/>
  <c r="R45" i="3"/>
  <c r="Q45" i="3"/>
  <c r="P45" i="3"/>
  <c r="O45" i="3"/>
  <c r="N45" i="3"/>
  <c r="M45" i="3"/>
  <c r="L45" i="3"/>
  <c r="K45" i="3"/>
  <c r="J45" i="3"/>
  <c r="I45" i="3"/>
  <c r="H45" i="3"/>
  <c r="G45" i="3"/>
  <c r="Y45" i="3" s="1"/>
  <c r="F45" i="3"/>
  <c r="D45" i="3"/>
  <c r="Z45" i="3" s="1"/>
  <c r="W44" i="3"/>
  <c r="V44" i="3"/>
  <c r="U44" i="3"/>
  <c r="T44" i="3"/>
  <c r="R44" i="3"/>
  <c r="Q44" i="3"/>
  <c r="P44" i="3"/>
  <c r="O44" i="3"/>
  <c r="N44" i="3"/>
  <c r="M44" i="3"/>
  <c r="L44" i="3"/>
  <c r="K44" i="3"/>
  <c r="J44" i="3"/>
  <c r="I44" i="3"/>
  <c r="H44" i="3"/>
  <c r="G44" i="3"/>
  <c r="Y44" i="3" s="1"/>
  <c r="F44" i="3"/>
  <c r="D44" i="3"/>
  <c r="Z44" i="3" s="1"/>
  <c r="W43" i="3"/>
  <c r="V43" i="3"/>
  <c r="U43" i="3"/>
  <c r="T43" i="3"/>
  <c r="R43" i="3"/>
  <c r="Q43" i="3"/>
  <c r="P43" i="3"/>
  <c r="O43" i="3"/>
  <c r="N43" i="3"/>
  <c r="M43" i="3"/>
  <c r="L43" i="3"/>
  <c r="K43" i="3"/>
  <c r="J43" i="3"/>
  <c r="I43" i="3"/>
  <c r="H43" i="3"/>
  <c r="G43" i="3"/>
  <c r="Y43" i="3" s="1"/>
  <c r="F43" i="3"/>
  <c r="D43" i="3"/>
  <c r="Z43" i="3" s="1"/>
  <c r="W42" i="3"/>
  <c r="V42" i="3"/>
  <c r="U42" i="3"/>
  <c r="T42" i="3"/>
  <c r="R42" i="3"/>
  <c r="Q42" i="3"/>
  <c r="P42" i="3"/>
  <c r="O42" i="3"/>
  <c r="N42" i="3"/>
  <c r="M42" i="3"/>
  <c r="L42" i="3"/>
  <c r="K42" i="3"/>
  <c r="J42" i="3"/>
  <c r="I42" i="3"/>
  <c r="H42" i="3"/>
  <c r="G42" i="3"/>
  <c r="Y42" i="3" s="1"/>
  <c r="F42" i="3"/>
  <c r="D42" i="3"/>
  <c r="Z42" i="3" s="1"/>
  <c r="W41" i="3"/>
  <c r="V41" i="3"/>
  <c r="U41" i="3"/>
  <c r="T41" i="3"/>
  <c r="R41" i="3"/>
  <c r="Q41" i="3"/>
  <c r="P41" i="3"/>
  <c r="O41" i="3"/>
  <c r="N41" i="3"/>
  <c r="M41" i="3"/>
  <c r="L41" i="3"/>
  <c r="K41" i="3"/>
  <c r="J41" i="3"/>
  <c r="I41" i="3"/>
  <c r="H41" i="3"/>
  <c r="G41" i="3"/>
  <c r="Y41" i="3" s="1"/>
  <c r="F41" i="3"/>
  <c r="D41" i="3"/>
  <c r="Z41" i="3" s="1"/>
  <c r="W40" i="3"/>
  <c r="V40" i="3"/>
  <c r="U40" i="3"/>
  <c r="T40" i="3"/>
  <c r="R40" i="3"/>
  <c r="Q40" i="3"/>
  <c r="P40" i="3"/>
  <c r="O40" i="3"/>
  <c r="N40" i="3"/>
  <c r="M40" i="3"/>
  <c r="L40" i="3"/>
  <c r="K40" i="3"/>
  <c r="J40" i="3"/>
  <c r="I40" i="3"/>
  <c r="H40" i="3"/>
  <c r="G40" i="3"/>
  <c r="Y40" i="3" s="1"/>
  <c r="F40" i="3"/>
  <c r="D40" i="3"/>
  <c r="Z40" i="3" s="1"/>
  <c r="W39" i="3"/>
  <c r="V39" i="3"/>
  <c r="U39" i="3"/>
  <c r="T39" i="3"/>
  <c r="R39" i="3"/>
  <c r="Q39" i="3"/>
  <c r="P39" i="3"/>
  <c r="O39" i="3"/>
  <c r="N39" i="3"/>
  <c r="M39" i="3"/>
  <c r="L39" i="3"/>
  <c r="K39" i="3"/>
  <c r="J39" i="3"/>
  <c r="I39" i="3"/>
  <c r="H39" i="3"/>
  <c r="G39" i="3"/>
  <c r="Y39" i="3" s="1"/>
  <c r="F39" i="3"/>
  <c r="D39" i="3"/>
  <c r="Z39" i="3" s="1"/>
  <c r="W38" i="3"/>
  <c r="V38" i="3"/>
  <c r="U38" i="3"/>
  <c r="T38" i="3"/>
  <c r="R38" i="3"/>
  <c r="Q38" i="3"/>
  <c r="P38" i="3"/>
  <c r="O38" i="3"/>
  <c r="N38" i="3"/>
  <c r="M38" i="3"/>
  <c r="L38" i="3"/>
  <c r="K38" i="3"/>
  <c r="J38" i="3"/>
  <c r="I38" i="3"/>
  <c r="H38" i="3"/>
  <c r="G38" i="3"/>
  <c r="Y38" i="3" s="1"/>
  <c r="F38" i="3"/>
  <c r="D38" i="3"/>
  <c r="Z38" i="3" s="1"/>
  <c r="W37" i="3"/>
  <c r="V37" i="3"/>
  <c r="U37" i="3"/>
  <c r="T37" i="3"/>
  <c r="R37" i="3"/>
  <c r="Q37" i="3"/>
  <c r="P37" i="3"/>
  <c r="O37" i="3"/>
  <c r="N37" i="3"/>
  <c r="M37" i="3"/>
  <c r="L37" i="3"/>
  <c r="K37" i="3"/>
  <c r="J37" i="3"/>
  <c r="I37" i="3"/>
  <c r="H37" i="3"/>
  <c r="G37" i="3"/>
  <c r="Y37" i="3" s="1"/>
  <c r="F37" i="3"/>
  <c r="D37" i="3"/>
  <c r="Z37" i="3" s="1"/>
  <c r="W36" i="3"/>
  <c r="V36" i="3"/>
  <c r="U36" i="3"/>
  <c r="T36" i="3"/>
  <c r="R36" i="3"/>
  <c r="Q36" i="3"/>
  <c r="P36" i="3"/>
  <c r="O36" i="3"/>
  <c r="N36" i="3"/>
  <c r="M36" i="3"/>
  <c r="L36" i="3"/>
  <c r="K36" i="3"/>
  <c r="J36" i="3"/>
  <c r="I36" i="3"/>
  <c r="H36" i="3"/>
  <c r="G36" i="3"/>
  <c r="Y36" i="3" s="1"/>
  <c r="F36" i="3"/>
  <c r="D36" i="3"/>
  <c r="Z36" i="3" s="1"/>
  <c r="W35" i="3"/>
  <c r="V35" i="3"/>
  <c r="U35" i="3"/>
  <c r="T35" i="3"/>
  <c r="R35" i="3"/>
  <c r="Q35" i="3"/>
  <c r="P35" i="3"/>
  <c r="O35" i="3"/>
  <c r="N35" i="3"/>
  <c r="M35" i="3"/>
  <c r="L35" i="3"/>
  <c r="K35" i="3"/>
  <c r="J35" i="3"/>
  <c r="I35" i="3"/>
  <c r="H35" i="3"/>
  <c r="G35" i="3"/>
  <c r="Y35" i="3" s="1"/>
  <c r="F35" i="3"/>
  <c r="D35" i="3"/>
  <c r="Z35" i="3" s="1"/>
  <c r="W34" i="3"/>
  <c r="V34" i="3"/>
  <c r="U34" i="3"/>
  <c r="T34" i="3"/>
  <c r="R34" i="3"/>
  <c r="Q34" i="3"/>
  <c r="P34" i="3"/>
  <c r="O34" i="3"/>
  <c r="N34" i="3"/>
  <c r="M34" i="3"/>
  <c r="L34" i="3"/>
  <c r="K34" i="3"/>
  <c r="J34" i="3"/>
  <c r="I34" i="3"/>
  <c r="H34" i="3"/>
  <c r="G34" i="3"/>
  <c r="Y34" i="3" s="1"/>
  <c r="F34" i="3"/>
  <c r="D34" i="3"/>
  <c r="Z34" i="3" s="1"/>
  <c r="C56" i="3" l="1"/>
  <c r="C57" i="3"/>
  <c r="C58" i="3"/>
  <c r="C59" i="3"/>
  <c r="C60" i="3"/>
  <c r="C61" i="3"/>
  <c r="C62" i="3"/>
  <c r="C63" i="3"/>
  <c r="C64" i="3"/>
  <c r="C65" i="3"/>
  <c r="B56" i="3"/>
  <c r="B57" i="3"/>
  <c r="B58" i="3"/>
  <c r="B59" i="3"/>
  <c r="B60" i="3"/>
  <c r="B61" i="3"/>
  <c r="B62" i="3"/>
  <c r="B63" i="3"/>
  <c r="B64" i="3"/>
  <c r="B65" i="3"/>
  <c r="C70" i="3"/>
  <c r="W33" i="3"/>
  <c r="V33" i="3"/>
  <c r="U33" i="3"/>
  <c r="T33" i="3"/>
  <c r="R33" i="3"/>
  <c r="Q33" i="3"/>
  <c r="P33" i="3"/>
  <c r="O33" i="3"/>
  <c r="N33" i="3"/>
  <c r="M33" i="3"/>
  <c r="L33" i="3"/>
  <c r="K33" i="3"/>
  <c r="J33" i="3"/>
  <c r="I33" i="3"/>
  <c r="G33" i="3"/>
  <c r="H33" i="3" s="1"/>
  <c r="F33" i="3"/>
  <c r="D33" i="3"/>
  <c r="Z33" i="3" s="1"/>
  <c r="W32" i="3"/>
  <c r="V32" i="3"/>
  <c r="U32" i="3"/>
  <c r="T32" i="3"/>
  <c r="R32" i="3"/>
  <c r="Q32" i="3"/>
  <c r="P32" i="3"/>
  <c r="O32" i="3"/>
  <c r="N32" i="3"/>
  <c r="M32" i="3"/>
  <c r="L32" i="3"/>
  <c r="K32" i="3"/>
  <c r="J32" i="3"/>
  <c r="I32" i="3"/>
  <c r="G32" i="3"/>
  <c r="H32" i="3" s="1"/>
  <c r="F32" i="3"/>
  <c r="D32" i="3"/>
  <c r="Z32" i="3" s="1"/>
  <c r="W31" i="3"/>
  <c r="V31" i="3"/>
  <c r="U31" i="3"/>
  <c r="T31" i="3"/>
  <c r="R31" i="3"/>
  <c r="Q31" i="3"/>
  <c r="P31" i="3"/>
  <c r="O31" i="3"/>
  <c r="N31" i="3"/>
  <c r="M31" i="3"/>
  <c r="L31" i="3"/>
  <c r="K31" i="3"/>
  <c r="J31" i="3"/>
  <c r="I31" i="3"/>
  <c r="G31" i="3"/>
  <c r="H31" i="3" s="1"/>
  <c r="F31" i="3"/>
  <c r="D31" i="3"/>
  <c r="Z31" i="3" s="1"/>
  <c r="AJ30" i="3"/>
  <c r="AI30" i="3"/>
  <c r="AJ29" i="3"/>
  <c r="AI29" i="3"/>
  <c r="AJ28" i="3"/>
  <c r="AI28" i="3"/>
  <c r="AJ27" i="3"/>
  <c r="AI27" i="3"/>
  <c r="AJ26" i="3"/>
  <c r="AI26" i="3"/>
  <c r="AJ25" i="3"/>
  <c r="AI25" i="3"/>
  <c r="AJ24" i="3"/>
  <c r="AI24" i="3"/>
  <c r="AJ23" i="3"/>
  <c r="AI23" i="3"/>
  <c r="AJ22" i="3"/>
  <c r="AI22" i="3"/>
  <c r="AU11" i="3"/>
  <c r="AT11" i="3"/>
  <c r="AQ11" i="3"/>
  <c r="AP11" i="3"/>
  <c r="AU10" i="3"/>
  <c r="AT10" i="3"/>
  <c r="AQ10" i="3"/>
  <c r="AP10" i="3"/>
  <c r="AU9" i="3"/>
  <c r="AT9" i="3"/>
  <c r="AQ9" i="3"/>
  <c r="AP9" i="3"/>
  <c r="AU8" i="3"/>
  <c r="AT8" i="3"/>
  <c r="AQ8" i="3"/>
  <c r="AP8" i="3"/>
  <c r="AU7" i="3"/>
  <c r="AT7" i="3"/>
  <c r="AQ7" i="3"/>
  <c r="AP7" i="3"/>
  <c r="AU6" i="3"/>
  <c r="AT6" i="3"/>
  <c r="AQ6" i="3"/>
  <c r="AP6" i="3"/>
  <c r="AU5" i="3"/>
  <c r="AT5" i="3"/>
  <c r="AQ5" i="3"/>
  <c r="AP5" i="3"/>
  <c r="AU4" i="3"/>
  <c r="AT4" i="3"/>
  <c r="AQ4" i="3"/>
  <c r="AP4" i="3"/>
  <c r="AM3" i="3"/>
  <c r="AL3" i="3"/>
  <c r="AK3" i="3"/>
  <c r="AH3" i="3"/>
  <c r="AG3" i="3"/>
  <c r="AF3" i="3"/>
  <c r="AC3" i="3"/>
  <c r="AB3" i="3"/>
  <c r="AA3" i="3"/>
  <c r="X3" i="3"/>
  <c r="W3" i="3"/>
  <c r="V3" i="3"/>
  <c r="S3" i="3"/>
  <c r="R3" i="3"/>
  <c r="Q3" i="3"/>
  <c r="R11" i="3" l="1"/>
  <c r="V20" i="3"/>
  <c r="AB16" i="3"/>
  <c r="X20" i="3"/>
  <c r="Q11" i="3"/>
  <c r="S9" i="3"/>
  <c r="X18" i="3"/>
  <c r="AA11" i="3"/>
  <c r="AE11" i="3" s="1"/>
  <c r="AC15" i="3"/>
  <c r="AB15" i="3" s="1"/>
  <c r="AP49" i="3"/>
  <c r="AP48" i="3"/>
  <c r="AP47" i="3"/>
  <c r="AT47" i="3" s="1"/>
  <c r="AP46" i="3"/>
  <c r="AP45" i="3"/>
  <c r="AK45" i="3"/>
  <c r="AO45" i="3" s="1"/>
  <c r="AK44" i="3"/>
  <c r="AP43" i="3"/>
  <c r="AK42" i="3"/>
  <c r="AP40" i="3"/>
  <c r="AK39" i="3"/>
  <c r="AK38" i="3"/>
  <c r="AP36" i="3"/>
  <c r="AP34" i="3"/>
  <c r="AK49" i="3"/>
  <c r="AK48" i="3"/>
  <c r="AK47" i="3"/>
  <c r="AK46" i="3"/>
  <c r="AP44" i="3"/>
  <c r="AK43" i="3"/>
  <c r="AP42" i="3"/>
  <c r="AT42" i="3" s="1"/>
  <c r="AP41" i="3"/>
  <c r="AK41" i="3"/>
  <c r="AO41" i="3" s="1"/>
  <c r="AK40" i="3"/>
  <c r="AP39" i="3"/>
  <c r="AT39" i="3" s="1"/>
  <c r="AP38" i="3"/>
  <c r="AP37" i="3"/>
  <c r="AK37" i="3"/>
  <c r="AO37" i="3" s="1"/>
  <c r="AK36" i="3"/>
  <c r="AP35" i="3"/>
  <c r="AK35" i="3"/>
  <c r="AO35" i="3" s="1"/>
  <c r="AK34" i="3"/>
  <c r="AR49" i="3"/>
  <c r="AR48" i="3"/>
  <c r="AR47" i="3"/>
  <c r="AR46" i="3"/>
  <c r="AR45" i="3"/>
  <c r="AM45" i="3"/>
  <c r="AM44" i="3"/>
  <c r="AR43" i="3"/>
  <c r="AM42" i="3"/>
  <c r="AR40" i="3"/>
  <c r="AM39" i="3"/>
  <c r="AM38" i="3"/>
  <c r="AR36" i="3"/>
  <c r="AR34" i="3"/>
  <c r="AM49" i="3"/>
  <c r="AM48" i="3"/>
  <c r="AM47" i="3"/>
  <c r="AM46" i="3"/>
  <c r="AR44" i="3"/>
  <c r="AM43" i="3"/>
  <c r="AR42" i="3"/>
  <c r="AR41" i="3"/>
  <c r="AM41" i="3"/>
  <c r="AM40" i="3"/>
  <c r="AR39" i="3"/>
  <c r="AR38" i="3"/>
  <c r="AR37" i="3"/>
  <c r="AM37" i="3"/>
  <c r="AM36" i="3"/>
  <c r="AR35" i="3"/>
  <c r="AM35" i="3"/>
  <c r="AM34" i="3"/>
  <c r="AL49" i="3"/>
  <c r="AL48" i="3"/>
  <c r="AL47" i="3"/>
  <c r="AL46" i="3"/>
  <c r="AQ44" i="3"/>
  <c r="AL43" i="3"/>
  <c r="AQ42" i="3"/>
  <c r="AQ41" i="3"/>
  <c r="AL41" i="3"/>
  <c r="AL40" i="3"/>
  <c r="AQ39" i="3"/>
  <c r="AQ38" i="3"/>
  <c r="AQ37" i="3"/>
  <c r="AL37" i="3"/>
  <c r="AL36" i="3"/>
  <c r="AQ35" i="3"/>
  <c r="AL35" i="3"/>
  <c r="AL34" i="3"/>
  <c r="AQ49" i="3"/>
  <c r="AQ48" i="3"/>
  <c r="AQ47" i="3"/>
  <c r="AQ46" i="3"/>
  <c r="AQ45" i="3"/>
  <c r="AL45" i="3"/>
  <c r="AL44" i="3"/>
  <c r="AQ43" i="3"/>
  <c r="AL42" i="3"/>
  <c r="AQ40" i="3"/>
  <c r="AL39" i="3"/>
  <c r="AL38" i="3"/>
  <c r="AQ36" i="3"/>
  <c r="AQ34" i="3"/>
  <c r="W4" i="3"/>
  <c r="AC4" i="3"/>
  <c r="AK4" i="3"/>
  <c r="AM4" i="3"/>
  <c r="Q5" i="3"/>
  <c r="W5" i="3"/>
  <c r="AM5" i="3"/>
  <c r="R6" i="3"/>
  <c r="X6" i="3"/>
  <c r="AK6" i="3"/>
  <c r="AM6" i="3"/>
  <c r="R7" i="3"/>
  <c r="X7" i="3"/>
  <c r="Q8" i="3"/>
  <c r="S8" i="3"/>
  <c r="W8" i="3"/>
  <c r="AK8" i="3"/>
  <c r="AO8" i="3" s="1"/>
  <c r="Q9" i="3"/>
  <c r="W9" i="3"/>
  <c r="S10" i="3"/>
  <c r="AA10" i="3"/>
  <c r="AC10" i="3"/>
  <c r="S11" i="3"/>
  <c r="W11" i="3"/>
  <c r="AC11" i="3"/>
  <c r="AD11" i="3" s="1"/>
  <c r="AL11" i="3"/>
  <c r="AA13" i="3"/>
  <c r="AC13" i="3"/>
  <c r="AA14" i="3"/>
  <c r="AE13" i="3" s="1"/>
  <c r="AC14" i="3"/>
  <c r="AA16" i="3"/>
  <c r="AC16" i="3"/>
  <c r="W17" i="3"/>
  <c r="V18" i="3"/>
  <c r="V19" i="3"/>
  <c r="Z19" i="3" s="1"/>
  <c r="X19" i="3"/>
  <c r="W20" i="3"/>
  <c r="Z20" i="3"/>
  <c r="Y20" i="3" s="1"/>
  <c r="AK31" i="3"/>
  <c r="AO31" i="3" s="1"/>
  <c r="AP31" i="3"/>
  <c r="AT31" i="3" s="1"/>
  <c r="AR31" i="3"/>
  <c r="AK32" i="3"/>
  <c r="AM32" i="3"/>
  <c r="AQ32" i="3"/>
  <c r="AK33" i="3"/>
  <c r="AO33" i="3" s="1"/>
  <c r="AM33" i="3"/>
  <c r="AR33" i="3"/>
  <c r="Q4" i="3"/>
  <c r="S4" i="3"/>
  <c r="V4" i="3"/>
  <c r="X4" i="3"/>
  <c r="AB4" i="3"/>
  <c r="AL4" i="3"/>
  <c r="R5" i="3"/>
  <c r="V5" i="3"/>
  <c r="X5" i="3"/>
  <c r="AL5" i="3"/>
  <c r="Q6" i="3"/>
  <c r="S6" i="3"/>
  <c r="W6" i="3"/>
  <c r="AA6" i="3"/>
  <c r="AC6" i="3"/>
  <c r="AL6" i="3"/>
  <c r="Q7" i="3"/>
  <c r="S7" i="3"/>
  <c r="W7" i="3"/>
  <c r="AK7" i="3"/>
  <c r="AM7" i="3"/>
  <c r="R8" i="3"/>
  <c r="V8" i="3"/>
  <c r="X8" i="3"/>
  <c r="AL8" i="3"/>
  <c r="R9" i="3"/>
  <c r="V9" i="3"/>
  <c r="X9" i="3"/>
  <c r="AK9" i="3"/>
  <c r="AM9" i="3"/>
  <c r="R10" i="3"/>
  <c r="V10" i="3"/>
  <c r="X10" i="3"/>
  <c r="AB10" i="3"/>
  <c r="AK10" i="3"/>
  <c r="AM10" i="3"/>
  <c r="V11" i="3"/>
  <c r="X11" i="3"/>
  <c r="AB11" i="3"/>
  <c r="AK11" i="3"/>
  <c r="AM11" i="3"/>
  <c r="AB13" i="3"/>
  <c r="AB14" i="3"/>
  <c r="AA15" i="3"/>
  <c r="V17" i="3"/>
  <c r="X17" i="3"/>
  <c r="W18" i="3"/>
  <c r="W19" i="3"/>
  <c r="AL31" i="3"/>
  <c r="AQ31" i="3"/>
  <c r="AL32" i="3"/>
  <c r="AP32" i="3"/>
  <c r="AR32" i="3"/>
  <c r="AL33" i="3"/>
  <c r="AQ33" i="3"/>
  <c r="R4" i="3"/>
  <c r="AA4" i="3"/>
  <c r="AO4" i="3"/>
  <c r="S5" i="3"/>
  <c r="AK5" i="3"/>
  <c r="V6" i="3"/>
  <c r="AB6" i="3"/>
  <c r="V7" i="3"/>
  <c r="AL7" i="3"/>
  <c r="AM8" i="3"/>
  <c r="AL9" i="3"/>
  <c r="Q10" i="3"/>
  <c r="W10" i="3"/>
  <c r="AL10" i="3"/>
  <c r="AM31" i="3"/>
  <c r="AP33" i="3"/>
  <c r="B54" i="1"/>
  <c r="Q53" i="1"/>
  <c r="L53" i="1"/>
  <c r="G53" i="1"/>
  <c r="B53" i="1"/>
  <c r="Q52" i="1"/>
  <c r="L52" i="1"/>
  <c r="G52" i="1"/>
  <c r="Q51" i="1"/>
  <c r="L51" i="1"/>
  <c r="G51" i="1"/>
  <c r="Q50" i="1"/>
  <c r="L50" i="1"/>
  <c r="G50" i="1"/>
  <c r="Q49" i="1"/>
  <c r="L49" i="1"/>
  <c r="G49" i="1"/>
  <c r="A49" i="1"/>
  <c r="Q48" i="1"/>
  <c r="L48" i="1"/>
  <c r="G48" i="1"/>
  <c r="A48" i="1"/>
  <c r="Q47" i="1"/>
  <c r="L47" i="1"/>
  <c r="G47" i="1"/>
  <c r="A47" i="1"/>
  <c r="Q46" i="1"/>
  <c r="L46" i="1"/>
  <c r="G46" i="1"/>
  <c r="A46" i="1"/>
  <c r="Q42" i="1"/>
  <c r="P42" i="1"/>
  <c r="L42" i="1"/>
  <c r="K42" i="1"/>
  <c r="G42" i="1"/>
  <c r="F42" i="1"/>
  <c r="Q41" i="1"/>
  <c r="P41" i="1"/>
  <c r="L41" i="1"/>
  <c r="K41" i="1"/>
  <c r="G41" i="1"/>
  <c r="F41" i="1"/>
  <c r="Q40" i="1"/>
  <c r="P40" i="1"/>
  <c r="L40" i="1"/>
  <c r="K40" i="1"/>
  <c r="G40" i="1"/>
  <c r="F40" i="1"/>
  <c r="Q39" i="1"/>
  <c r="P39" i="1"/>
  <c r="L39" i="1"/>
  <c r="K39" i="1"/>
  <c r="G39" i="1"/>
  <c r="F39" i="1"/>
  <c r="Q38" i="1"/>
  <c r="P38" i="1"/>
  <c r="L38" i="1"/>
  <c r="K38" i="1"/>
  <c r="G38" i="1"/>
  <c r="F38" i="1"/>
  <c r="Q37" i="1"/>
  <c r="P37" i="1"/>
  <c r="L37" i="1"/>
  <c r="K37" i="1"/>
  <c r="G37" i="1"/>
  <c r="F37" i="1"/>
  <c r="Q36" i="1"/>
  <c r="P36" i="1"/>
  <c r="L36" i="1"/>
  <c r="K36" i="1"/>
  <c r="G36" i="1"/>
  <c r="F36" i="1"/>
  <c r="Q35" i="1"/>
  <c r="P35" i="1"/>
  <c r="L35" i="1"/>
  <c r="K35" i="1"/>
  <c r="G35" i="1"/>
  <c r="F35" i="1"/>
  <c r="Q22" i="1"/>
  <c r="P22" i="1"/>
  <c r="L22" i="1"/>
  <c r="K22" i="1"/>
  <c r="G22" i="1"/>
  <c r="F22" i="1"/>
  <c r="Q21" i="1"/>
  <c r="P21" i="1"/>
  <c r="L21" i="1"/>
  <c r="K21" i="1"/>
  <c r="G21" i="1"/>
  <c r="F21" i="1"/>
  <c r="Q20" i="1"/>
  <c r="P20" i="1"/>
  <c r="L20" i="1"/>
  <c r="K20" i="1"/>
  <c r="G20" i="1"/>
  <c r="F20" i="1"/>
  <c r="Q19" i="1"/>
  <c r="P19" i="1"/>
  <c r="L19" i="1"/>
  <c r="K19" i="1"/>
  <c r="G19" i="1"/>
  <c r="F19" i="1"/>
  <c r="Q18" i="1"/>
  <c r="P18" i="1"/>
  <c r="L18" i="1"/>
  <c r="K18" i="1"/>
  <c r="G18" i="1"/>
  <c r="F18" i="1"/>
  <c r="Q17" i="1"/>
  <c r="P17" i="1"/>
  <c r="L17" i="1"/>
  <c r="K17" i="1"/>
  <c r="G17" i="1"/>
  <c r="F17" i="1"/>
  <c r="Q16" i="1"/>
  <c r="P16" i="1"/>
  <c r="L16" i="1"/>
  <c r="K16" i="1"/>
  <c r="G16" i="1"/>
  <c r="F16" i="1"/>
  <c r="Q15" i="1"/>
  <c r="P15" i="1"/>
  <c r="L15" i="1"/>
  <c r="K15" i="1"/>
  <c r="G15" i="1"/>
  <c r="F15" i="1"/>
  <c r="Q14" i="1"/>
  <c r="P14" i="1"/>
  <c r="L14" i="1"/>
  <c r="K14" i="1"/>
  <c r="G14" i="1"/>
  <c r="F14" i="1"/>
  <c r="Q13" i="1"/>
  <c r="P13" i="1"/>
  <c r="L13" i="1"/>
  <c r="K13" i="1"/>
  <c r="G13" i="1"/>
  <c r="F13" i="1"/>
  <c r="Q12" i="1"/>
  <c r="P12" i="1"/>
  <c r="L12" i="1"/>
  <c r="K12" i="1"/>
  <c r="G12" i="1"/>
  <c r="F12" i="1"/>
  <c r="Q11" i="1"/>
  <c r="P11" i="1"/>
  <c r="L11" i="1"/>
  <c r="K11" i="1"/>
  <c r="G11" i="1"/>
  <c r="F11" i="1"/>
  <c r="Q10" i="1"/>
  <c r="P10" i="1"/>
  <c r="L10" i="1"/>
  <c r="K10" i="1"/>
  <c r="G10" i="1"/>
  <c r="F10" i="1"/>
  <c r="Q9" i="1"/>
  <c r="P9" i="1"/>
  <c r="L9" i="1"/>
  <c r="K9" i="1"/>
  <c r="G9" i="1"/>
  <c r="F9" i="1"/>
  <c r="Q8" i="1"/>
  <c r="P8" i="1"/>
  <c r="L8" i="1"/>
  <c r="K8" i="1"/>
  <c r="G8" i="1"/>
  <c r="F8" i="1"/>
  <c r="Q7" i="1"/>
  <c r="P7" i="1"/>
  <c r="L7" i="1"/>
  <c r="K7" i="1"/>
  <c r="G7" i="1"/>
  <c r="F7" i="1"/>
  <c r="Q6" i="1"/>
  <c r="P6" i="1"/>
  <c r="L6" i="1"/>
  <c r="K6" i="1"/>
  <c r="G6" i="1"/>
  <c r="F6" i="1"/>
  <c r="Q5" i="1"/>
  <c r="P5" i="1"/>
  <c r="L5" i="1"/>
  <c r="K5" i="1"/>
  <c r="G5" i="1"/>
  <c r="F5" i="1"/>
  <c r="U5" i="3" l="1"/>
  <c r="Y31" i="3"/>
  <c r="Y32" i="3"/>
  <c r="Y33" i="3"/>
  <c r="U11" i="3"/>
  <c r="A61" i="1"/>
  <c r="A60" i="1"/>
  <c r="A59" i="1"/>
  <c r="K47" i="1"/>
  <c r="F49" i="1"/>
  <c r="F50" i="1"/>
  <c r="F46" i="1"/>
  <c r="K46" i="1"/>
  <c r="P46" i="1"/>
  <c r="F48" i="1"/>
  <c r="K48" i="1"/>
  <c r="P48" i="1"/>
  <c r="A58" i="1"/>
  <c r="L60" i="1"/>
  <c r="L62" i="1"/>
  <c r="L64" i="1"/>
  <c r="L58" i="1"/>
  <c r="G60" i="1"/>
  <c r="G64" i="1"/>
  <c r="L59" i="1"/>
  <c r="L61" i="1"/>
  <c r="L63" i="1"/>
  <c r="L65" i="1"/>
  <c r="G59" i="1"/>
  <c r="G61" i="1"/>
  <c r="G63" i="1"/>
  <c r="G65" i="1"/>
  <c r="G62" i="1"/>
  <c r="G58" i="1"/>
  <c r="B62" i="1"/>
  <c r="A62" i="1" s="1"/>
  <c r="B61" i="1"/>
  <c r="B60" i="1"/>
  <c r="B59" i="1"/>
  <c r="F47" i="1"/>
  <c r="P47" i="1"/>
  <c r="K49" i="1"/>
  <c r="P49" i="1"/>
  <c r="K50" i="1"/>
  <c r="P50" i="1"/>
  <c r="F51" i="1"/>
  <c r="K51" i="1"/>
  <c r="P51" i="1"/>
  <c r="F52" i="1"/>
  <c r="K52" i="1"/>
  <c r="P52" i="1"/>
  <c r="F53" i="1"/>
  <c r="K53" i="1"/>
  <c r="P53" i="1"/>
  <c r="B58" i="1"/>
  <c r="T11" i="3"/>
  <c r="AS31" i="3"/>
  <c r="Y19" i="3"/>
  <c r="Z5" i="3"/>
  <c r="Y5" i="3" s="1"/>
  <c r="AO5" i="3"/>
  <c r="AN5" i="3"/>
  <c r="AT32" i="3"/>
  <c r="AS32" i="3"/>
  <c r="AE14" i="3"/>
  <c r="AD14" i="3" s="1"/>
  <c r="AE15" i="3"/>
  <c r="AD15" i="3" s="1"/>
  <c r="AO11" i="3"/>
  <c r="AN11" i="3"/>
  <c r="AD16" i="3"/>
  <c r="AE16" i="3"/>
  <c r="Z10" i="3"/>
  <c r="Y10" i="3" s="1"/>
  <c r="AD10" i="3"/>
  <c r="AE10" i="3"/>
  <c r="U8" i="3"/>
  <c r="T8" i="3"/>
  <c r="AN4" i="3"/>
  <c r="AS37" i="3"/>
  <c r="AT37" i="3"/>
  <c r="AO44" i="3"/>
  <c r="AN44" i="3" s="1"/>
  <c r="AT44" i="3"/>
  <c r="AS44" i="3" s="1"/>
  <c r="AN47" i="3"/>
  <c r="AO47" i="3"/>
  <c r="AN49" i="3"/>
  <c r="AO49" i="3"/>
  <c r="AO36" i="3"/>
  <c r="AN36" i="3" s="1"/>
  <c r="AT36" i="3"/>
  <c r="AS36" i="3" s="1"/>
  <c r="AO39" i="3"/>
  <c r="AN39" i="3"/>
  <c r="AO42" i="3"/>
  <c r="AN42" i="3"/>
  <c r="AT45" i="3"/>
  <c r="AS45" i="3"/>
  <c r="AS49" i="3"/>
  <c r="AT49" i="3"/>
  <c r="U10" i="3"/>
  <c r="T10" i="3" s="1"/>
  <c r="Z7" i="3"/>
  <c r="Y7" i="3" s="1"/>
  <c r="Z6" i="3"/>
  <c r="Y6" i="3" s="1"/>
  <c r="T5" i="3"/>
  <c r="AN33" i="3"/>
  <c r="AN31" i="3"/>
  <c r="AD13" i="3"/>
  <c r="AN35" i="3"/>
  <c r="AS39" i="3"/>
  <c r="AN41" i="3"/>
  <c r="AS42" i="3"/>
  <c r="AS47" i="3"/>
  <c r="Z11" i="3"/>
  <c r="Y11" i="3" s="1"/>
  <c r="AT33" i="3"/>
  <c r="AS33" i="3"/>
  <c r="AO10" i="3"/>
  <c r="AN10" i="3"/>
  <c r="AO9" i="3"/>
  <c r="AN9" i="3"/>
  <c r="U9" i="3"/>
  <c r="T9" i="3" s="1"/>
  <c r="Z9" i="3"/>
  <c r="Y9" i="3" s="1"/>
  <c r="Z8" i="3"/>
  <c r="Y8" i="3"/>
  <c r="U7" i="3"/>
  <c r="T7" i="3"/>
  <c r="U6" i="3"/>
  <c r="T6" i="3"/>
  <c r="U4" i="3"/>
  <c r="Z4" i="3"/>
  <c r="Y4" i="3"/>
  <c r="AF4" i="3"/>
  <c r="AE4" i="3" s="1"/>
  <c r="AD4" i="3" s="1"/>
  <c r="T4" i="3"/>
  <c r="AO32" i="3"/>
  <c r="AN32" i="3"/>
  <c r="Z17" i="3"/>
  <c r="Y17" i="3" s="1"/>
  <c r="Z18" i="3"/>
  <c r="Y18" i="3" s="1"/>
  <c r="AE6" i="3"/>
  <c r="AD6" i="3" s="1"/>
  <c r="AO6" i="3"/>
  <c r="AN6" i="3"/>
  <c r="AO34" i="3"/>
  <c r="AN34" i="3"/>
  <c r="AS35" i="3"/>
  <c r="AT35" i="3"/>
  <c r="AO38" i="3"/>
  <c r="AN38" i="3" s="1"/>
  <c r="AT38" i="3"/>
  <c r="AS38" i="3" s="1"/>
  <c r="AN40" i="3"/>
  <c r="AO40" i="3"/>
  <c r="AS41" i="3"/>
  <c r="AT41" i="3"/>
  <c r="AN43" i="3"/>
  <c r="AO43" i="3"/>
  <c r="AN48" i="3"/>
  <c r="AO48" i="3"/>
  <c r="AT34" i="3"/>
  <c r="AS34" i="3"/>
  <c r="AT40" i="3"/>
  <c r="AS40" i="3"/>
  <c r="AS43" i="3"/>
  <c r="AT43" i="3"/>
  <c r="AO46" i="3"/>
  <c r="AN46" i="3" s="1"/>
  <c r="AT46" i="3"/>
  <c r="AS46" i="3" s="1"/>
  <c r="AT48" i="3"/>
  <c r="AS48" i="3"/>
  <c r="AN8" i="3"/>
  <c r="AO7" i="3"/>
  <c r="AN7" i="3" s="1"/>
  <c r="AN37" i="3"/>
  <c r="AN45" i="3"/>
  <c r="BD37" i="2"/>
  <c r="AJ36" i="2"/>
  <c r="BG33" i="2"/>
  <c r="AZ31" i="2"/>
  <c r="AS29" i="2"/>
  <c r="AN27" i="2"/>
  <c r="AI25" i="2"/>
  <c r="BE34" i="2"/>
  <c r="BC32" i="2"/>
  <c r="BC30" i="2"/>
  <c r="AZ28" i="2"/>
  <c r="AR26" i="2"/>
  <c r="AN24" i="2"/>
  <c r="BH21" i="2"/>
  <c r="BC19" i="2"/>
  <c r="BK37" i="2"/>
  <c r="AX37" i="2"/>
  <c r="AQ35" i="2"/>
  <c r="AK33" i="2"/>
  <c r="BF30" i="2"/>
  <c r="BA28" i="2"/>
  <c r="AU26" i="2"/>
  <c r="AQ24" i="2"/>
  <c r="AM34" i="2"/>
  <c r="AK32" i="2"/>
  <c r="AK30" i="2"/>
  <c r="BK27" i="2"/>
  <c r="BH25" i="2"/>
  <c r="BB23" i="2"/>
  <c r="AT21" i="2"/>
  <c r="BF18" i="2"/>
  <c r="AH38" i="2"/>
  <c r="AV37" i="2"/>
  <c r="BE35" i="2"/>
  <c r="AY33" i="2"/>
  <c r="AR31" i="2"/>
  <c r="AK29" i="2"/>
  <c r="BI26" i="2"/>
  <c r="BE24" i="2"/>
  <c r="AW34" i="2"/>
  <c r="BK31" i="2"/>
  <c r="BJ29" i="2"/>
  <c r="BE27" i="2"/>
  <c r="AX25" i="2"/>
  <c r="AR23" i="2"/>
  <c r="AJ21" i="2"/>
  <c r="BH18" i="2"/>
  <c r="AM37" i="2"/>
  <c r="BE36" i="2"/>
  <c r="AI35" i="2"/>
  <c r="BF32" i="2"/>
  <c r="AX30" i="2"/>
  <c r="BD36" i="2"/>
  <c r="AQ36" i="2"/>
  <c r="AX34" i="2"/>
  <c r="AR32" i="2"/>
  <c r="AJ30" i="2"/>
  <c r="BH27" i="2"/>
  <c r="BC25" i="2"/>
  <c r="AX35" i="2"/>
  <c r="AR33" i="2"/>
  <c r="AQ31" i="2"/>
  <c r="AP29" i="2"/>
  <c r="AK27" i="2"/>
  <c r="BH24" i="2"/>
  <c r="AZ22" i="2"/>
  <c r="AS20" i="2"/>
  <c r="AN18" i="2"/>
  <c r="AL36" i="2"/>
  <c r="AK36" i="2"/>
  <c r="AR34" i="2"/>
  <c r="AL32" i="2"/>
  <c r="BG29" i="2"/>
  <c r="BB27" i="2"/>
  <c r="AW25" i="2"/>
  <c r="AR35" i="2"/>
  <c r="AP33" i="2"/>
  <c r="AO31" i="2"/>
  <c r="AN29" i="2"/>
  <c r="AS35" i="2"/>
  <c r="AW26" i="2"/>
  <c r="AI30" i="2"/>
  <c r="AN21" i="2"/>
  <c r="AM35" i="2"/>
  <c r="BJ27" i="2"/>
  <c r="AZ35" i="2"/>
  <c r="AW31" i="2"/>
  <c r="AY27" i="2"/>
  <c r="BB24" i="2"/>
  <c r="BB21" i="2"/>
  <c r="BJ17" i="2"/>
  <c r="AP15" i="2"/>
  <c r="BK23" i="2"/>
  <c r="BG21" i="2"/>
  <c r="AZ19" i="2"/>
  <c r="AW17" i="2"/>
  <c r="AS15" i="2"/>
  <c r="AO13" i="2"/>
  <c r="BJ10" i="2"/>
  <c r="BD8" i="2"/>
  <c r="AM12" i="2"/>
  <c r="AI10" i="2"/>
  <c r="Z5" i="2"/>
  <c r="BF17" i="2"/>
  <c r="AV15" i="2"/>
  <c r="AN13" i="2"/>
  <c r="AI22" i="2"/>
  <c r="AT19" i="2"/>
  <c r="AQ17" i="2"/>
  <c r="AM15" i="2"/>
  <c r="AI13" i="2"/>
  <c r="BD10" i="2"/>
  <c r="AX8" i="2"/>
  <c r="BK11" i="2"/>
  <c r="BH9" i="2"/>
  <c r="AY36" i="2"/>
  <c r="AM28" i="2"/>
  <c r="AY31" i="2"/>
  <c r="BH22" i="2"/>
  <c r="AS36" i="2"/>
  <c r="BI28" i="2"/>
  <c r="AY24" i="2"/>
  <c r="AS32" i="2"/>
  <c r="AP28" i="2"/>
  <c r="AX24" i="2"/>
  <c r="AX21" i="2"/>
  <c r="BE37" i="2"/>
  <c r="AN37" i="2"/>
  <c r="AW35" i="2"/>
  <c r="AQ33" i="2"/>
  <c r="AJ31" i="2"/>
  <c r="BG28" i="2"/>
  <c r="BA26" i="2"/>
  <c r="AW24" i="2"/>
  <c r="AO34" i="2"/>
  <c r="AM32" i="2"/>
  <c r="AM30" i="2"/>
  <c r="AJ28" i="2"/>
  <c r="BF25" i="2"/>
  <c r="AZ23" i="2"/>
  <c r="AR21" i="2"/>
  <c r="AM19" i="2"/>
  <c r="AU37" i="2"/>
  <c r="AW36" i="2"/>
  <c r="BD34" i="2"/>
  <c r="AX32" i="2"/>
  <c r="AP30" i="2"/>
  <c r="AK28" i="2"/>
  <c r="BI25" i="2"/>
  <c r="BD35" i="2"/>
  <c r="BB33" i="2"/>
  <c r="BA31" i="2"/>
  <c r="AZ29" i="2"/>
  <c r="AU27" i="2"/>
  <c r="AR25" i="2"/>
  <c r="AL23" i="2"/>
  <c r="BG20" i="2"/>
  <c r="BB17" i="2"/>
  <c r="AW37" i="2"/>
  <c r="BK36" i="2"/>
  <c r="AO35" i="2"/>
  <c r="AI33" i="2"/>
  <c r="BD30" i="2"/>
  <c r="AY28" i="2"/>
  <c r="AS26" i="2"/>
  <c r="AO24" i="2"/>
  <c r="AV33" i="2"/>
  <c r="AU31" i="2"/>
  <c r="AT29" i="2"/>
  <c r="AO27" i="2"/>
  <c r="CK24" i="2"/>
  <c r="BD22" i="2"/>
  <c r="AW20" i="2"/>
  <c r="AR18" i="2"/>
  <c r="AT36" i="2"/>
  <c r="AO36" i="2"/>
  <c r="AV34" i="2"/>
  <c r="AP32" i="2"/>
  <c r="BK29" i="2"/>
  <c r="BH37" i="2"/>
  <c r="AR36" i="2"/>
  <c r="BK33" i="2"/>
  <c r="BD31" i="2"/>
  <c r="AW29" i="2"/>
  <c r="AR27" i="2"/>
  <c r="AM25" i="2"/>
  <c r="BI34" i="2"/>
  <c r="BG32" i="2"/>
  <c r="BG30" i="2"/>
  <c r="BD28" i="2"/>
  <c r="AV26" i="2"/>
  <c r="AR24" i="2"/>
  <c r="AJ22" i="2"/>
  <c r="BG19" i="2"/>
  <c r="AH40" i="2"/>
  <c r="BB37" i="2"/>
  <c r="BK35" i="2"/>
  <c r="BE33" i="2"/>
  <c r="AX31" i="2"/>
  <c r="AQ29" i="2"/>
  <c r="AL27" i="2"/>
  <c r="BK24" i="2"/>
  <c r="BG34" i="2"/>
  <c r="BE32" i="2"/>
  <c r="BE30" i="2"/>
  <c r="BB28" i="2"/>
  <c r="AM33" i="2"/>
  <c r="AS24" i="2"/>
  <c r="BI27" i="2"/>
  <c r="AI19" i="2"/>
  <c r="BJ32" i="2"/>
  <c r="BG26" i="2"/>
  <c r="AY34" i="2"/>
  <c r="AW30" i="2"/>
  <c r="BF26" i="2"/>
  <c r="BJ23" i="2"/>
  <c r="BK20" i="2"/>
  <c r="BJ16" i="2"/>
  <c r="BB14" i="2"/>
  <c r="AU23" i="2"/>
  <c r="AQ21" i="2"/>
  <c r="AJ19" i="2"/>
  <c r="BK16" i="2"/>
  <c r="BG14" i="2"/>
  <c r="BB12" i="2"/>
  <c r="AT10" i="2"/>
  <c r="AN8" i="2"/>
  <c r="BA11" i="2"/>
  <c r="AX9" i="2"/>
  <c r="A24" i="22"/>
  <c r="AN17" i="2"/>
  <c r="AO37" i="2"/>
  <c r="BC36" i="2"/>
  <c r="BJ34" i="2"/>
  <c r="BD32" i="2"/>
  <c r="AV30" i="2"/>
  <c r="AQ28" i="2"/>
  <c r="AK26" i="2"/>
  <c r="BJ35" i="2"/>
  <c r="BD33" i="2"/>
  <c r="BC31" i="2"/>
  <c r="BB29" i="2"/>
  <c r="AW27" i="2"/>
  <c r="AP25" i="2"/>
  <c r="AJ23" i="2"/>
  <c r="BE20" i="2"/>
  <c r="AZ18" i="2"/>
  <c r="BH36" i="2"/>
  <c r="BF36" i="2"/>
  <c r="AN34" i="2"/>
  <c r="BJ31" i="2"/>
  <c r="BC29" i="2"/>
  <c r="AX27" i="2"/>
  <c r="AS25" i="2"/>
  <c r="AN35" i="2"/>
  <c r="AL33" i="2"/>
  <c r="AK31" i="2"/>
  <c r="AJ29" i="2"/>
  <c r="BJ26" i="2"/>
  <c r="BF24" i="2"/>
  <c r="AX22" i="2"/>
  <c r="AQ20" i="2"/>
  <c r="AL17" i="2"/>
  <c r="BJ36" i="2"/>
  <c r="AU36" i="2"/>
  <c r="BB34" i="2"/>
  <c r="AV32" i="2"/>
  <c r="AN30" i="2"/>
  <c r="AI28" i="2"/>
  <c r="BG25" i="2"/>
  <c r="BB35" i="2"/>
  <c r="BK32" i="2"/>
  <c r="BK30" i="2"/>
  <c r="BH28" i="2"/>
  <c r="AZ26" i="2"/>
  <c r="AV24" i="2"/>
  <c r="AN22" i="2"/>
  <c r="BK19" i="2"/>
  <c r="BD17" i="2"/>
  <c r="BF37" i="2"/>
  <c r="AN36" i="2"/>
  <c r="BI33" i="2"/>
  <c r="BB31" i="2"/>
  <c r="BI37" i="2"/>
  <c r="AR37" i="2"/>
  <c r="BA35" i="2"/>
  <c r="AU33" i="2"/>
  <c r="AN31" i="2"/>
  <c r="BK28" i="2"/>
  <c r="BE26" i="2"/>
  <c r="BA24" i="2"/>
  <c r="AS34" i="2"/>
  <c r="AQ32" i="2"/>
  <c r="AQ30" i="2"/>
  <c r="AN28" i="2"/>
  <c r="BJ25" i="2"/>
  <c r="BD23" i="2"/>
  <c r="AV21" i="2"/>
  <c r="AQ19" i="2"/>
  <c r="AY37" i="2"/>
  <c r="AL37" i="2"/>
  <c r="AU35" i="2"/>
  <c r="AO33" i="2"/>
  <c r="BJ30" i="2"/>
  <c r="BE28" i="2"/>
  <c r="AY26" i="2"/>
  <c r="AU24" i="2"/>
  <c r="AQ34" i="2"/>
  <c r="AO32" i="2"/>
  <c r="AO30" i="2"/>
  <c r="AL28" i="2"/>
  <c r="BH30" i="2"/>
  <c r="AK34" i="2"/>
  <c r="BB25" i="2"/>
  <c r="AQ37" i="2"/>
  <c r="BB30" i="2"/>
  <c r="BE25" i="2"/>
  <c r="AX33" i="2"/>
  <c r="AV29" i="2"/>
  <c r="AL26" i="2"/>
  <c r="AP23" i="2"/>
  <c r="AX36" i="2"/>
  <c r="AM36" i="2"/>
  <c r="AT34" i="2"/>
  <c r="AN32" i="2"/>
  <c r="BI29" i="2"/>
  <c r="BD27" i="2"/>
  <c r="AY25" i="2"/>
  <c r="AT35" i="2"/>
  <c r="AN33" i="2"/>
  <c r="AM31" i="2"/>
  <c r="AL29" i="2"/>
  <c r="BH26" i="2"/>
  <c r="BD24" i="2"/>
  <c r="AV22" i="2"/>
  <c r="AO20" i="2"/>
  <c r="AJ18" i="2"/>
  <c r="AH39" i="2"/>
  <c r="BG35" i="2"/>
  <c r="BA33" i="2"/>
  <c r="AT31" i="2"/>
  <c r="AM29" i="2"/>
  <c r="BK26" i="2"/>
  <c r="BG24" i="2"/>
  <c r="BC34" i="2"/>
  <c r="BA32" i="2"/>
  <c r="BA30" i="2"/>
  <c r="AX28" i="2"/>
  <c r="AT26" i="2"/>
  <c r="AP24" i="2"/>
  <c r="BJ21" i="2"/>
  <c r="BE19" i="2"/>
  <c r="BA37" i="2"/>
  <c r="AH41" i="2"/>
  <c r="AZ36" i="2"/>
  <c r="AL34" i="2"/>
  <c r="BH31" i="2"/>
  <c r="BA29" i="2"/>
  <c r="AV27" i="2"/>
  <c r="AQ25" i="2"/>
  <c r="AL35" i="2"/>
  <c r="AU32" i="2"/>
  <c r="AU30" i="2"/>
  <c r="AR28" i="2"/>
  <c r="AJ26" i="2"/>
  <c r="BH23" i="2"/>
  <c r="AZ21" i="2"/>
  <c r="AU19" i="2"/>
  <c r="BC37" i="2"/>
  <c r="AP37" i="2"/>
  <c r="AY35" i="2"/>
  <c r="AS33" i="2"/>
  <c r="AL31" i="2"/>
  <c r="AS37" i="2"/>
  <c r="BG36" i="2"/>
  <c r="AK35" i="2"/>
  <c r="BH32" i="2"/>
  <c r="AZ30" i="2"/>
  <c r="AU28" i="2"/>
  <c r="AO26" i="2"/>
  <c r="AK24" i="2"/>
  <c r="BH33" i="2"/>
  <c r="BG31" i="2"/>
  <c r="BF29" i="2"/>
  <c r="BA27" i="2"/>
  <c r="AT25" i="2"/>
  <c r="AN23" i="2"/>
  <c r="BI20" i="2"/>
  <c r="BD18" i="2"/>
  <c r="AI37" i="2"/>
  <c r="BA36" i="2"/>
  <c r="BH34" i="2"/>
  <c r="BB32" i="2"/>
  <c r="AT30" i="2"/>
  <c r="AO28" i="2"/>
  <c r="AI26" i="2"/>
  <c r="BH35" i="2"/>
  <c r="BF33" i="2"/>
  <c r="BE31" i="2"/>
  <c r="BD29" i="2"/>
  <c r="AJ37" i="2"/>
  <c r="BC28" i="2"/>
  <c r="AI32" i="2"/>
  <c r="AV23" i="2"/>
  <c r="BI36" i="2"/>
  <c r="AI29" i="2"/>
  <c r="BC24" i="2"/>
  <c r="AW32" i="2"/>
  <c r="AT28" i="2"/>
  <c r="AV25" i="2"/>
  <c r="AT22" i="2"/>
  <c r="AS19" i="2"/>
  <c r="BF15" i="2"/>
  <c r="AX13" i="2"/>
  <c r="AS22" i="2"/>
  <c r="AP20" i="2"/>
  <c r="AI18" i="2"/>
  <c r="BI15" i="2"/>
  <c r="BE13" i="2"/>
  <c r="AX11" i="2"/>
  <c r="AQ9" i="2"/>
  <c r="AM20" i="2"/>
  <c r="BF20" i="2"/>
  <c r="AL12" i="2"/>
  <c r="AK11" i="2"/>
  <c r="A9" i="22"/>
  <c r="AZ16" i="2"/>
  <c r="BD13" i="2"/>
  <c r="AW21" i="2"/>
  <c r="AS18" i="2"/>
  <c r="BC15" i="2"/>
  <c r="AV12" i="2"/>
  <c r="BA9" i="2"/>
  <c r="AW12" i="2"/>
  <c r="AR9" i="2"/>
  <c r="AZ32" i="2"/>
  <c r="AZ33" i="2"/>
  <c r="BA20" i="2"/>
  <c r="AT32" i="2"/>
  <c r="BA25" i="2"/>
  <c r="AS31" i="2"/>
  <c r="BB26" i="2"/>
  <c r="AP22" i="2"/>
  <c r="AX17" i="2"/>
  <c r="AL15" i="2"/>
  <c r="BG23" i="2"/>
  <c r="BC21" i="2"/>
  <c r="AV19" i="2"/>
  <c r="AS17" i="2"/>
  <c r="AO15" i="2"/>
  <c r="AK13" i="2"/>
  <c r="BF10" i="2"/>
  <c r="AZ8" i="2"/>
  <c r="AI12" i="2"/>
  <c r="BJ9" i="2"/>
  <c r="A35" i="22"/>
  <c r="CK26" i="2"/>
  <c r="BB18" i="2"/>
  <c r="AP36" i="2"/>
  <c r="BE29" i="2"/>
  <c r="AJ33" i="2"/>
  <c r="AZ24" i="2"/>
  <c r="BJ37" i="2"/>
  <c r="AY29" i="2"/>
  <c r="AO25" i="2"/>
  <c r="CM32" i="2"/>
  <c r="BG27" i="2"/>
  <c r="AJ25" i="2"/>
  <c r="AL22" i="2"/>
  <c r="AX18" i="2"/>
  <c r="AX15" i="2"/>
  <c r="AP13" i="2"/>
  <c r="AK22" i="2"/>
  <c r="BH19" i="2"/>
  <c r="BE17" i="2"/>
  <c r="BA15" i="2"/>
  <c r="AW13" i="2"/>
  <c r="AP11" i="2"/>
  <c r="AI9" i="2"/>
  <c r="AU12" i="2"/>
  <c r="AQ10" i="2"/>
  <c r="AO8" i="2"/>
  <c r="CL24" i="2"/>
  <c r="BC33" i="2"/>
  <c r="BI24" i="2"/>
  <c r="AV28" i="2"/>
  <c r="AY19" i="2"/>
  <c r="AW33" i="2"/>
  <c r="AP27" i="2"/>
  <c r="BK34" i="2"/>
  <c r="BI30" i="2"/>
  <c r="AI27" i="2"/>
  <c r="AL24" i="2"/>
  <c r="AL21" i="2"/>
  <c r="AP17" i="2"/>
  <c r="BF14" i="2"/>
  <c r="AY23" i="2"/>
  <c r="AU21" i="2"/>
  <c r="AN19" i="2"/>
  <c r="AK17" i="2"/>
  <c r="BK14" i="2"/>
  <c r="BF12" i="2"/>
  <c r="AX10" i="2"/>
  <c r="AR8" i="2"/>
  <c r="BE11" i="2"/>
  <c r="BB9" i="2"/>
  <c r="A26" i="22"/>
  <c r="CL34" i="2"/>
  <c r="BD16" i="2"/>
  <c r="AV14" i="2"/>
  <c r="AO23" i="2"/>
  <c r="AK21" i="2"/>
  <c r="CM18" i="2"/>
  <c r="BI16" i="2"/>
  <c r="BD14" i="2"/>
  <c r="AS21" i="2"/>
  <c r="AM17" i="2"/>
  <c r="AO14" i="2"/>
  <c r="AN11" i="2"/>
  <c r="AP8" i="2"/>
  <c r="AI11" i="2"/>
  <c r="AQ8" i="2"/>
  <c r="CK36" i="2"/>
  <c r="CM17" i="2"/>
  <c r="CM14" i="2"/>
  <c r="AR15" i="2"/>
  <c r="BK15" i="2"/>
  <c r="BB8" i="2"/>
  <c r="A22" i="22"/>
  <c r="AV13" i="2"/>
  <c r="AN20" i="2"/>
  <c r="AK16" i="2"/>
  <c r="AQ13" i="2"/>
  <c r="AR10" i="2"/>
  <c r="BI12" i="2"/>
  <c r="AK10" i="2"/>
  <c r="A29" i="22"/>
  <c r="CM35" i="2"/>
  <c r="AN14" i="2"/>
  <c r="BG13" i="2"/>
  <c r="AQ11" i="2"/>
  <c r="CM29" i="2"/>
  <c r="AW19" i="2"/>
  <c r="BI23" i="2"/>
  <c r="BB19" i="2"/>
  <c r="BG15" i="2"/>
  <c r="BH12" i="2"/>
  <c r="BI9" i="2"/>
  <c r="BA12" i="2"/>
  <c r="BD9" i="2"/>
  <c r="A23" i="22"/>
  <c r="CL32" i="2"/>
  <c r="AQ15" i="2"/>
  <c r="CK25" i="2"/>
  <c r="CM9" i="2"/>
  <c r="CL30" i="2"/>
  <c r="CK14" i="2"/>
  <c r="BI21" i="2"/>
  <c r="AN9" i="2"/>
  <c r="BG22" i="2"/>
  <c r="AI15" i="2"/>
  <c r="AO9" i="2"/>
  <c r="BG11" i="2"/>
  <c r="A15" i="22"/>
  <c r="CK13" i="2"/>
  <c r="A17" i="22"/>
  <c r="AT16" i="2"/>
  <c r="AY18" i="2"/>
  <c r="BG9" i="2"/>
  <c r="AY10" i="2"/>
  <c r="CK37" i="2"/>
  <c r="AJ16" i="2"/>
  <c r="BA23" i="2"/>
  <c r="AV20" i="2"/>
  <c r="BG17" i="2"/>
  <c r="BA14" i="2"/>
  <c r="BH11" i="2"/>
  <c r="AK9" i="2"/>
  <c r="AU11" i="2"/>
  <c r="BG8" i="2"/>
  <c r="AR30" i="2"/>
  <c r="AX29" i="2"/>
  <c r="AV18" i="2"/>
  <c r="AL30" i="2"/>
  <c r="AV35" i="2"/>
  <c r="AS30" i="2"/>
  <c r="AN25" i="2"/>
  <c r="BC20" i="2"/>
  <c r="BF16" i="2"/>
  <c r="AX14" i="2"/>
  <c r="AQ23" i="2"/>
  <c r="AM21" i="2"/>
  <c r="BK18" i="2"/>
  <c r="BG16" i="2"/>
  <c r="BC14" i="2"/>
  <c r="AX12" i="2"/>
  <c r="AP10" i="2"/>
  <c r="AJ8" i="2"/>
  <c r="AW11" i="2"/>
  <c r="AT9" i="2"/>
  <c r="A19" i="22"/>
  <c r="CK32" i="2"/>
  <c r="AZ17" i="2"/>
  <c r="AI36" i="2"/>
  <c r="AZ27" i="2"/>
  <c r="AI31" i="2"/>
  <c r="AR22" i="2"/>
  <c r="AV36" i="2"/>
  <c r="AW28" i="2"/>
  <c r="AM24" i="2"/>
  <c r="CM31" i="2"/>
  <c r="AM27" i="2"/>
  <c r="AT24" i="2"/>
  <c r="AP21" i="2"/>
  <c r="AT17" i="2"/>
  <c r="BJ14" i="2"/>
  <c r="BC23" i="2"/>
  <c r="AY21" i="2"/>
  <c r="AR19" i="2"/>
  <c r="AO17" i="2"/>
  <c r="AK15" i="2"/>
  <c r="BJ12" i="2"/>
  <c r="BB10" i="2"/>
  <c r="AV8" i="2"/>
  <c r="BI11" i="2"/>
  <c r="BF9" i="2"/>
  <c r="A31" i="22"/>
  <c r="CK31" i="2"/>
  <c r="AV31" i="2"/>
  <c r="BA34" i="2"/>
  <c r="AN26" i="2"/>
  <c r="BG37" i="2"/>
  <c r="AP31" i="2"/>
  <c r="AM26" i="2"/>
  <c r="BJ33" i="2"/>
  <c r="BH29" i="2"/>
  <c r="AP26" i="2"/>
  <c r="AT23" i="2"/>
  <c r="AU20" i="2"/>
  <c r="AX16" i="2"/>
  <c r="AP14" i="2"/>
  <c r="AI23" i="2"/>
  <c r="BJ20" i="2"/>
  <c r="BC18" i="2"/>
  <c r="AY16" i="2"/>
  <c r="AU14" i="2"/>
  <c r="AP12" i="2"/>
  <c r="BK9" i="2"/>
  <c r="A34" i="22"/>
  <c r="AO11" i="2"/>
  <c r="AL9" i="2"/>
  <c r="A18" i="22"/>
  <c r="CK30" i="2"/>
  <c r="AO19" i="2"/>
  <c r="AN16" i="2"/>
  <c r="BH13" i="2"/>
  <c r="BC22" i="2"/>
  <c r="AZ20" i="2"/>
  <c r="AW18" i="2"/>
  <c r="AZ13" i="2"/>
  <c r="AR20" i="2"/>
  <c r="AS16" i="2"/>
  <c r="AU13" i="2"/>
  <c r="AV10" i="2"/>
  <c r="A28" i="22"/>
  <c r="AO10" i="2"/>
  <c r="A33" i="22"/>
  <c r="CL25" i="2"/>
  <c r="CL15" i="2"/>
  <c r="BK22" i="2"/>
  <c r="AW14" i="2"/>
  <c r="AK12" i="2"/>
  <c r="CL29" i="2"/>
  <c r="AV17" i="2"/>
  <c r="AS23" i="2"/>
  <c r="AL19" i="2"/>
  <c r="AU15" i="2"/>
  <c r="AZ12" i="2"/>
  <c r="AW9" i="2"/>
  <c r="AO12" i="2"/>
  <c r="AV9" i="2"/>
  <c r="A20" i="22"/>
  <c r="AZ11" i="2"/>
  <c r="AR16" i="2"/>
  <c r="BA18" i="2"/>
  <c r="AN12" i="2"/>
  <c r="AJ9" i="2"/>
  <c r="AR12" i="2"/>
  <c r="AL14" i="2"/>
  <c r="AU16" i="2"/>
  <c r="A30" i="22"/>
  <c r="CM8" i="2"/>
  <c r="CM28" i="2"/>
  <c r="BH14" i="2"/>
  <c r="AK23" i="2"/>
  <c r="BJ19" i="2"/>
  <c r="BE16" i="2"/>
  <c r="AK14" i="2"/>
  <c r="AR11" i="2"/>
  <c r="Z4" i="2"/>
  <c r="BI10" i="2"/>
  <c r="AK37" i="2"/>
  <c r="BK25" i="2"/>
  <c r="AS27" i="2"/>
  <c r="BB36" i="2"/>
  <c r="BF27" i="2"/>
  <c r="AU34" i="2"/>
  <c r="AR29" i="2"/>
  <c r="BF23" i="2"/>
  <c r="AI20" i="2"/>
  <c r="AP16" i="2"/>
  <c r="BJ13" i="2"/>
  <c r="BE22" i="2"/>
  <c r="BB20" i="2"/>
  <c r="AU18" i="2"/>
  <c r="AQ16" i="2"/>
  <c r="AM14" i="2"/>
  <c r="BJ11" i="2"/>
  <c r="BC9" i="2"/>
  <c r="A27" i="22"/>
  <c r="BK10" i="2"/>
  <c r="BI8" i="2"/>
  <c r="A14" i="22"/>
  <c r="CK27" i="2"/>
  <c r="AJ17" i="2"/>
  <c r="AP34" i="2"/>
  <c r="AU25" i="2"/>
  <c r="CL28" i="2"/>
  <c r="AK20" i="2"/>
  <c r="AJ34" i="2"/>
  <c r="AT27" i="2"/>
  <c r="AJ35" i="2"/>
  <c r="CM30" i="2"/>
  <c r="AX26" i="2"/>
  <c r="AX23" i="2"/>
  <c r="AY20" i="2"/>
  <c r="BB16" i="2"/>
  <c r="AT14" i="2"/>
  <c r="AM23" i="2"/>
  <c r="AI21" i="2"/>
  <c r="BG18" i="2"/>
  <c r="BC16" i="2"/>
  <c r="AY14" i="2"/>
  <c r="AT12" i="2"/>
  <c r="AL10" i="2"/>
  <c r="Z3" i="2"/>
  <c r="AS11" i="2"/>
  <c r="AP9" i="2"/>
  <c r="A21" i="22"/>
  <c r="AZ37" i="2"/>
  <c r="AO29" i="2"/>
  <c r="AY32" i="2"/>
  <c r="AJ24" i="2"/>
  <c r="AT37" i="2"/>
  <c r="AU29" i="2"/>
  <c r="AK25" i="2"/>
  <c r="BI32" i="2"/>
  <c r="BF28" i="2"/>
  <c r="AZ25" i="2"/>
  <c r="BB22" i="2"/>
  <c r="BA19" i="2"/>
  <c r="BJ15" i="2"/>
  <c r="BB13" i="2"/>
  <c r="AW22" i="2"/>
  <c r="AT20" i="2"/>
  <c r="AM18" i="2"/>
  <c r="AI16" i="2"/>
  <c r="BI13" i="2"/>
  <c r="BB11" i="2"/>
  <c r="AU9" i="2"/>
  <c r="BG12" i="2"/>
  <c r="BC10" i="2"/>
  <c r="BA8" i="2"/>
  <c r="A10" i="22"/>
  <c r="CM23" i="2"/>
  <c r="AL18" i="2"/>
  <c r="AZ15" i="2"/>
  <c r="AR13" i="2"/>
  <c r="AM22" i="2"/>
  <c r="AJ20" i="2"/>
  <c r="BK17" i="2"/>
  <c r="AT18" i="2"/>
  <c r="AW23" i="2"/>
  <c r="AP19" i="2"/>
  <c r="AY15" i="2"/>
  <c r="BD12" i="2"/>
  <c r="BE9" i="2"/>
  <c r="AS12" i="2"/>
  <c r="AZ9" i="2"/>
  <c r="A16" i="22"/>
  <c r="BI22" i="2"/>
  <c r="AQ14" i="2"/>
  <c r="BC12" i="2"/>
  <c r="AW8" i="2"/>
  <c r="BJ18" i="2"/>
  <c r="AR14" i="2"/>
  <c r="AY22" i="2"/>
  <c r="BI18" i="2"/>
  <c r="AO16" i="2"/>
  <c r="AY13" i="2"/>
  <c r="AN10" i="2"/>
  <c r="A25" i="22"/>
  <c r="AS10" i="2"/>
  <c r="BF34" i="2"/>
  <c r="BF35" i="2"/>
  <c r="AL25" i="2"/>
  <c r="AZ34" i="2"/>
  <c r="BC26" i="2"/>
  <c r="AT33" i="2"/>
  <c r="AQ27" i="2"/>
  <c r="BJ22" i="2"/>
  <c r="AK19" i="2"/>
  <c r="BB15" i="2"/>
  <c r="AT13" i="2"/>
  <c r="AO22" i="2"/>
  <c r="AL20" i="2"/>
  <c r="BI17" i="2"/>
  <c r="BE15" i="2"/>
  <c r="BA13" i="2"/>
  <c r="AT11" i="2"/>
  <c r="AM9" i="2"/>
  <c r="AY12" i="2"/>
  <c r="AU10" i="2"/>
  <c r="AS8" i="2"/>
  <c r="CL36" i="2"/>
  <c r="CL19" i="2"/>
  <c r="AV16" i="2"/>
  <c r="AJ32" i="2"/>
  <c r="AP35" i="2"/>
  <c r="BD26" i="2"/>
  <c r="BH17" i="2"/>
  <c r="BF31" i="2"/>
  <c r="AQ26" i="2"/>
  <c r="AI34" i="2"/>
  <c r="BJ28" i="2"/>
  <c r="BD25" i="2"/>
  <c r="BF22" i="2"/>
  <c r="BI19" i="2"/>
  <c r="AL16" i="2"/>
  <c r="BF13" i="2"/>
  <c r="BA22" i="2"/>
  <c r="AX20" i="2"/>
  <c r="AQ18" i="2"/>
  <c r="AM16" i="2"/>
  <c r="AI14" i="2"/>
  <c r="BF11" i="2"/>
  <c r="AY9" i="2"/>
  <c r="BK12" i="2"/>
  <c r="BG10" i="2"/>
  <c r="BE8" i="2"/>
  <c r="A12" i="22"/>
  <c r="BI35" i="2"/>
  <c r="AJ27" i="2"/>
  <c r="AY30" i="2"/>
  <c r="BD21" i="2"/>
  <c r="BC35" i="2"/>
  <c r="AS28" i="2"/>
  <c r="AI24" i="2"/>
  <c r="BI31" i="2"/>
  <c r="BC27" i="2"/>
  <c r="BJ24" i="2"/>
  <c r="BF21" i="2"/>
  <c r="AP18" i="2"/>
  <c r="AT15" i="2"/>
  <c r="AL13" i="2"/>
  <c r="BK21" i="2"/>
  <c r="BD19" i="2"/>
  <c r="BA17" i="2"/>
  <c r="AW15" i="2"/>
  <c r="AS13" i="2"/>
  <c r="AL11" i="2"/>
  <c r="BH8" i="2"/>
  <c r="AQ12" i="2"/>
  <c r="AM10" i="2"/>
  <c r="AK8" i="2"/>
  <c r="CK33" i="2"/>
  <c r="CL21" i="2"/>
  <c r="AR17" i="2"/>
  <c r="AJ15" i="2"/>
  <c r="BE23" i="2"/>
  <c r="BA21" i="2"/>
  <c r="AX19" i="2"/>
  <c r="AU17" i="2"/>
  <c r="BH15" i="2"/>
  <c r="AU22" i="2"/>
  <c r="AO18" i="2"/>
  <c r="BI14" i="2"/>
  <c r="AJ12" i="2"/>
  <c r="BJ8" i="2"/>
  <c r="BC11" i="2"/>
  <c r="BK8" i="2"/>
  <c r="A13" i="22"/>
  <c r="CM26" i="2"/>
  <c r="CM34" i="2"/>
  <c r="BH16" i="2"/>
  <c r="BE18" i="2"/>
  <c r="BH10" i="2"/>
  <c r="AY8" i="2"/>
  <c r="CK15" i="2"/>
  <c r="AZ14" i="2"/>
  <c r="AO21" i="2"/>
  <c r="AI17" i="2"/>
  <c r="BK13" i="2"/>
  <c r="AJ11" i="2"/>
  <c r="AL8" i="2"/>
  <c r="BE10" i="2"/>
  <c r="AM8" i="2"/>
  <c r="CK35" i="2"/>
  <c r="CL26" i="2"/>
  <c r="CL14" i="2"/>
  <c r="BA16" i="2"/>
  <c r="BE12" i="2"/>
  <c r="A8" i="22"/>
  <c r="CK12" i="2"/>
  <c r="AJ14" i="2"/>
  <c r="BD20" i="2"/>
  <c r="CL31" i="2"/>
  <c r="AM13" i="2"/>
  <c r="AQ22" i="2"/>
  <c r="BF8" i="2"/>
  <c r="CM24" i="2"/>
  <c r="AS9" i="2"/>
  <c r="BE21" i="2"/>
  <c r="BC13" i="2"/>
  <c r="A32" i="22"/>
  <c r="A37" i="22"/>
  <c r="CK23" i="2"/>
  <c r="BC17" i="2"/>
  <c r="CL33" i="2"/>
  <c r="CK17" i="2"/>
  <c r="BA10" i="2"/>
  <c r="AK18" i="2"/>
  <c r="AY11" i="2"/>
  <c r="CK11" i="2"/>
  <c r="AI8" i="2"/>
  <c r="AY17" i="2"/>
  <c r="AV11" i="2"/>
  <c r="AM11" i="2"/>
  <c r="CM37" i="2"/>
  <c r="CL37" i="2"/>
  <c r="AJ10" i="2"/>
  <c r="CM36" i="2"/>
  <c r="CM21" i="2"/>
  <c r="CM20" i="2"/>
  <c r="CM27" i="2"/>
  <c r="A36" i="22"/>
  <c r="CL35" i="2"/>
  <c r="CK9" i="2"/>
  <c r="CK8" i="2"/>
  <c r="CM13" i="2"/>
  <c r="CK10" i="2"/>
  <c r="CM22" i="2"/>
  <c r="BE14" i="2"/>
  <c r="BC8" i="2"/>
  <c r="CM10" i="2"/>
  <c r="CK19" i="2"/>
  <c r="AW16" i="2"/>
  <c r="AZ10" i="2"/>
  <c r="AW10" i="2"/>
  <c r="CM16" i="2"/>
  <c r="CL20" i="2"/>
  <c r="CK34" i="2"/>
  <c r="CL17" i="2"/>
  <c r="BH20" i="2"/>
  <c r="BD15" i="2"/>
  <c r="BD11" i="2"/>
  <c r="A11" i="22"/>
  <c r="BF19" i="2"/>
  <c r="AN15" i="2"/>
  <c r="AS14" i="2"/>
  <c r="AT8" i="2"/>
  <c r="AU8" i="2"/>
  <c r="CK20" i="2"/>
  <c r="AJ13" i="2"/>
  <c r="CL18" i="2"/>
  <c r="CM33" i="2"/>
  <c r="CK28" i="2"/>
  <c r="CL23" i="2"/>
  <c r="CL22" i="2"/>
  <c r="CL9" i="2"/>
  <c r="CL16" i="2"/>
  <c r="CK29" i="2"/>
  <c r="CL10" i="2"/>
  <c r="CM12" i="2"/>
  <c r="CL12" i="2"/>
  <c r="CK16" i="2"/>
  <c r="CK22" i="2"/>
  <c r="CM25" i="2"/>
  <c r="CL27" i="2"/>
  <c r="CM19" i="2"/>
  <c r="CK18" i="2"/>
  <c r="CL11" i="2"/>
  <c r="CK21" i="2"/>
  <c r="CL13" i="2"/>
  <c r="CL8" i="2"/>
  <c r="CM15" i="2"/>
  <c r="CM11" i="2"/>
  <c r="CP11" i="2" l="1"/>
  <c r="CP15" i="2"/>
  <c r="CO8" i="2"/>
  <c r="CO13" i="2"/>
  <c r="CN21" i="2"/>
  <c r="CO11" i="2"/>
  <c r="CN18" i="2"/>
  <c r="CP19" i="2"/>
  <c r="CO27" i="2"/>
  <c r="CP25" i="2"/>
  <c r="CN22" i="2"/>
  <c r="CN16" i="2"/>
  <c r="CO12" i="2"/>
  <c r="CP12" i="2"/>
  <c r="CO10" i="2"/>
  <c r="CN29" i="2"/>
  <c r="CO16" i="2"/>
  <c r="CO9" i="2"/>
  <c r="CO22" i="2"/>
  <c r="CO23" i="2"/>
  <c r="CN28" i="2"/>
  <c r="CP33" i="2"/>
  <c r="CO18" i="2"/>
  <c r="CN20" i="2"/>
  <c r="BX8" i="2"/>
  <c r="BS8" i="2"/>
  <c r="E8" i="22"/>
  <c r="C8" i="22"/>
  <c r="F8" i="22"/>
  <c r="B8" i="22"/>
  <c r="G8" i="22"/>
  <c r="D8" i="22"/>
  <c r="DI14" i="2"/>
  <c r="BM15" i="2"/>
  <c r="CC11" i="2"/>
  <c r="CC15" i="2"/>
  <c r="CO17" i="2"/>
  <c r="CN34" i="2"/>
  <c r="CO20" i="2"/>
  <c r="CP16" i="2"/>
  <c r="BR10" i="2"/>
  <c r="BR16" i="2"/>
  <c r="CN19" i="2"/>
  <c r="CP10" i="2"/>
  <c r="CB8" i="2"/>
  <c r="CP22" i="2"/>
  <c r="CN10" i="2"/>
  <c r="CP13" i="2"/>
  <c r="CN8" i="2"/>
  <c r="CN9" i="2"/>
  <c r="CO35" i="2"/>
  <c r="CP27" i="2"/>
  <c r="CP20" i="2"/>
  <c r="CP21" i="2"/>
  <c r="CP36" i="2"/>
  <c r="CO37" i="2"/>
  <c r="CP37" i="2"/>
  <c r="CY11" i="2"/>
  <c r="CZ11" i="2"/>
  <c r="DA11" i="2"/>
  <c r="CS11" i="2"/>
  <c r="DC11" i="2"/>
  <c r="DE11" i="2" s="1"/>
  <c r="CU11" i="2"/>
  <c r="CT11" i="2"/>
  <c r="DB11" i="2"/>
  <c r="DL11" i="2"/>
  <c r="BQ11" i="2"/>
  <c r="BN11" i="2"/>
  <c r="DD11" i="2"/>
  <c r="BV11" i="2"/>
  <c r="CF11" i="2"/>
  <c r="CH17" i="2"/>
  <c r="DM17" i="2"/>
  <c r="DR17" i="2" s="1"/>
  <c r="CN11" i="2"/>
  <c r="CH11" i="2"/>
  <c r="DM11" i="2"/>
  <c r="DR11" i="2" s="1"/>
  <c r="CN17" i="2"/>
  <c r="CO33" i="2"/>
  <c r="CB17" i="2"/>
  <c r="CN23" i="2"/>
  <c r="CB13" i="2"/>
  <c r="DI9" i="2"/>
  <c r="CP24" i="2"/>
  <c r="V22" i="22"/>
  <c r="CU13" i="2"/>
  <c r="DB13" i="2"/>
  <c r="DA13" i="2"/>
  <c r="CT13" i="2"/>
  <c r="DC13" i="2"/>
  <c r="DE13" i="2" s="1"/>
  <c r="CY13" i="2"/>
  <c r="CS13" i="2"/>
  <c r="CZ13" i="2"/>
  <c r="CO31" i="2"/>
  <c r="CC20" i="2"/>
  <c r="CN12" i="2"/>
  <c r="CO14" i="2"/>
  <c r="CO26" i="2"/>
  <c r="CN35" i="2"/>
  <c r="CY8" i="2"/>
  <c r="DC8" i="2"/>
  <c r="DE8" i="2" s="1"/>
  <c r="CT8" i="2"/>
  <c r="DA8" i="2"/>
  <c r="DB8" i="2"/>
  <c r="CU8" i="2"/>
  <c r="CZ8" i="2"/>
  <c r="CS8" i="2"/>
  <c r="DF8" i="2"/>
  <c r="BL13" i="2"/>
  <c r="I21" i="22"/>
  <c r="BW21" i="2"/>
  <c r="CA21" i="2"/>
  <c r="CN15" i="2"/>
  <c r="CH8" i="2"/>
  <c r="DM8" i="2"/>
  <c r="DR8" i="2" s="1"/>
  <c r="CP34" i="2"/>
  <c r="CP26" i="2"/>
  <c r="BL8" i="2"/>
  <c r="CB11" i="2"/>
  <c r="CA18" i="2"/>
  <c r="I18" i="22"/>
  <c r="BW18" i="2"/>
  <c r="BX22" i="2"/>
  <c r="BS22" i="2"/>
  <c r="BS17" i="2"/>
  <c r="BX17" i="2"/>
  <c r="CG19" i="2"/>
  <c r="DN19" i="2"/>
  <c r="H17" i="22"/>
  <c r="DH17" i="2"/>
  <c r="CO21" i="2"/>
  <c r="CN33" i="2"/>
  <c r="CY10" i="2"/>
  <c r="CU10" i="2"/>
  <c r="DA10" i="2"/>
  <c r="CZ10" i="2"/>
  <c r="DC10" i="2"/>
  <c r="DE10" i="2" s="1"/>
  <c r="CT10" i="2"/>
  <c r="DB10" i="2"/>
  <c r="CS10" i="2"/>
  <c r="V12" i="22"/>
  <c r="DF11" i="2"/>
  <c r="DI13" i="2"/>
  <c r="BR15" i="2"/>
  <c r="CC19" i="2"/>
  <c r="BL21" i="2"/>
  <c r="DF13" i="2"/>
  <c r="B15" i="22"/>
  <c r="E15" i="22"/>
  <c r="F15" i="22"/>
  <c r="G15" i="22"/>
  <c r="C15" i="22"/>
  <c r="D15" i="22"/>
  <c r="S18" i="22"/>
  <c r="T18" i="22"/>
  <c r="DG18" i="2"/>
  <c r="R18" i="22"/>
  <c r="L18" i="22"/>
  <c r="P18" i="22"/>
  <c r="U18" i="22"/>
  <c r="Q18" i="22"/>
  <c r="CB27" i="2"/>
  <c r="DI28" i="2"/>
  <c r="CB35" i="2"/>
  <c r="CC21" i="2"/>
  <c r="CH30" i="2"/>
  <c r="DM30" i="2"/>
  <c r="DR30" i="2" s="1"/>
  <c r="BL12" i="2"/>
  <c r="CH9" i="2"/>
  <c r="DM9" i="2"/>
  <c r="DR9" i="2" s="1"/>
  <c r="DC16" i="2"/>
  <c r="DE16" i="2" s="1"/>
  <c r="CT16" i="2"/>
  <c r="CS16" i="2"/>
  <c r="CY16" i="2"/>
  <c r="CU16" i="2"/>
  <c r="CZ16" i="2"/>
  <c r="DA16" i="2"/>
  <c r="DB16" i="2"/>
  <c r="V18" i="22"/>
  <c r="CG20" i="2"/>
  <c r="DN20" i="2"/>
  <c r="DF16" i="2"/>
  <c r="CC25" i="2"/>
  <c r="V26" i="22"/>
  <c r="CC26" i="2"/>
  <c r="Q35" i="22"/>
  <c r="K35" i="22"/>
  <c r="O35" i="22" s="1"/>
  <c r="R35" i="22"/>
  <c r="T35" i="22"/>
  <c r="U35" i="22"/>
  <c r="DG35" i="2"/>
  <c r="L35" i="22"/>
  <c r="N35" i="22" s="1"/>
  <c r="S35" i="22"/>
  <c r="P35" i="22"/>
  <c r="CF16" i="2"/>
  <c r="DD16" i="2"/>
  <c r="DL16" i="2"/>
  <c r="BN16" i="2"/>
  <c r="BQ16" i="2"/>
  <c r="BV16" i="2"/>
  <c r="CO19" i="2"/>
  <c r="CO36" i="2"/>
  <c r="DI8" i="2"/>
  <c r="BS10" i="2"/>
  <c r="BX10" i="2"/>
  <c r="DM12" i="2"/>
  <c r="DR12" i="2" s="1"/>
  <c r="CH12" i="2"/>
  <c r="CZ9" i="2"/>
  <c r="DA9" i="2"/>
  <c r="DB9" i="2"/>
  <c r="DC9" i="2"/>
  <c r="DE9" i="2" s="1"/>
  <c r="CU9" i="2"/>
  <c r="CS9" i="2"/>
  <c r="CY9" i="2"/>
  <c r="CT9" i="2"/>
  <c r="E11" i="22"/>
  <c r="C11" i="22"/>
  <c r="B11" i="22"/>
  <c r="F11" i="22"/>
  <c r="G11" i="22"/>
  <c r="D11" i="22"/>
  <c r="DF20" i="2"/>
  <c r="BW22" i="2"/>
  <c r="CA22" i="2"/>
  <c r="I22" i="22"/>
  <c r="E13" i="22"/>
  <c r="B13" i="22"/>
  <c r="G13" i="22"/>
  <c r="C13" i="22"/>
  <c r="F13" i="22"/>
  <c r="D13" i="22"/>
  <c r="V27" i="22"/>
  <c r="E33" i="22"/>
  <c r="F33" i="22"/>
  <c r="D33" i="22"/>
  <c r="C33" i="22"/>
  <c r="B33" i="22"/>
  <c r="G33" i="22"/>
  <c r="CB26" i="2"/>
  <c r="DF25" i="2"/>
  <c r="DI10" i="2"/>
  <c r="BM10" i="2"/>
  <c r="BO10" i="2" s="1"/>
  <c r="CH13" i="2"/>
  <c r="DM13" i="2"/>
  <c r="DR13" i="2" s="1"/>
  <c r="I16" i="22"/>
  <c r="BW16" i="2"/>
  <c r="CA16" i="2"/>
  <c r="CE16" i="2" s="1"/>
  <c r="CH22" i="2"/>
  <c r="DM22" i="2"/>
  <c r="DR22" i="2" s="1"/>
  <c r="H14" i="22"/>
  <c r="DH14" i="2"/>
  <c r="BR8" i="2"/>
  <c r="CB12" i="2"/>
  <c r="V14" i="22"/>
  <c r="DI12" i="2"/>
  <c r="CC12" i="2"/>
  <c r="DM15" i="2"/>
  <c r="DR15" i="2" s="1"/>
  <c r="CH15" i="2"/>
  <c r="T19" i="22"/>
  <c r="P19" i="22"/>
  <c r="S19" i="22"/>
  <c r="L19" i="22"/>
  <c r="Q19" i="22"/>
  <c r="U19" i="22"/>
  <c r="DG19" i="2"/>
  <c r="R19" i="22"/>
  <c r="BR23" i="2"/>
  <c r="B18" i="22"/>
  <c r="D18" i="22"/>
  <c r="C18" i="22"/>
  <c r="G18" i="22"/>
  <c r="E18" i="22"/>
  <c r="F18" i="22"/>
  <c r="BL17" i="2"/>
  <c r="DB22" i="2"/>
  <c r="CU22" i="2"/>
  <c r="CZ22" i="2"/>
  <c r="CS22" i="2"/>
  <c r="CY22" i="2"/>
  <c r="DC22" i="2"/>
  <c r="DE22" i="2" s="1"/>
  <c r="CT22" i="2"/>
  <c r="DA22" i="2"/>
  <c r="H13" i="22"/>
  <c r="DH13" i="2"/>
  <c r="DF18" i="2"/>
  <c r="CP23" i="2"/>
  <c r="CB10" i="2"/>
  <c r="BS9" i="2"/>
  <c r="BX9" i="2"/>
  <c r="DB18" i="2"/>
  <c r="CU18" i="2"/>
  <c r="CT18" i="2"/>
  <c r="CS18" i="2"/>
  <c r="DC18" i="2"/>
  <c r="DE18" i="2" s="1"/>
  <c r="DA18" i="2"/>
  <c r="CY18" i="2"/>
  <c r="CZ18" i="2"/>
  <c r="F20" i="22"/>
  <c r="C20" i="22"/>
  <c r="D20" i="22"/>
  <c r="E20" i="22"/>
  <c r="B20" i="22"/>
  <c r="G20" i="22"/>
  <c r="BR22" i="2"/>
  <c r="BS29" i="2"/>
  <c r="BX29" i="2"/>
  <c r="B37" i="22"/>
  <c r="C37" i="22"/>
  <c r="F37" i="22"/>
  <c r="D37" i="22"/>
  <c r="G37" i="22"/>
  <c r="E37" i="22"/>
  <c r="CH32" i="2"/>
  <c r="DM32" i="2"/>
  <c r="DR32" i="2" s="1"/>
  <c r="I29" i="22"/>
  <c r="CA29" i="2"/>
  <c r="BW29" i="2"/>
  <c r="L9" i="22"/>
  <c r="S9" i="22"/>
  <c r="P9" i="22"/>
  <c r="U9" i="22"/>
  <c r="R9" i="22"/>
  <c r="DG9" i="2"/>
  <c r="Q9" i="22"/>
  <c r="T9" i="22"/>
  <c r="DI11" i="2"/>
  <c r="CN3" i="2"/>
  <c r="DF10" i="2"/>
  <c r="G12" i="22"/>
  <c r="C12" i="22"/>
  <c r="B12" i="22"/>
  <c r="F12" i="22"/>
  <c r="E12" i="22"/>
  <c r="D12" i="22"/>
  <c r="CH14" i="2"/>
  <c r="DM14" i="2"/>
  <c r="DR14" i="2" s="1"/>
  <c r="CB16" i="2"/>
  <c r="CU23" i="2"/>
  <c r="DB23" i="2"/>
  <c r="CS23" i="2"/>
  <c r="DC23" i="2"/>
  <c r="DE23" i="2" s="1"/>
  <c r="CY23" i="2"/>
  <c r="CT23" i="2"/>
  <c r="CZ23" i="2"/>
  <c r="DA23" i="2"/>
  <c r="G14" i="22"/>
  <c r="F14" i="22"/>
  <c r="E14" i="22"/>
  <c r="C14" i="22"/>
  <c r="D14" i="22"/>
  <c r="B14" i="22"/>
  <c r="CH20" i="2"/>
  <c r="DM20" i="2"/>
  <c r="DR20" i="2" s="1"/>
  <c r="CG23" i="2"/>
  <c r="DN23" i="2"/>
  <c r="DN26" i="2"/>
  <c r="CG26" i="2"/>
  <c r="CP30" i="2"/>
  <c r="G27" i="22"/>
  <c r="C27" i="22"/>
  <c r="F27" i="22"/>
  <c r="D27" i="22"/>
  <c r="B27" i="22"/>
  <c r="E27" i="22"/>
  <c r="CO28" i="2"/>
  <c r="BS25" i="2"/>
  <c r="BX25" i="2"/>
  <c r="R34" i="22"/>
  <c r="K34" i="22"/>
  <c r="O34" i="22" s="1"/>
  <c r="L34" i="22"/>
  <c r="DG34" i="2"/>
  <c r="DQ34" i="2" s="1"/>
  <c r="DS34" i="2" s="1"/>
  <c r="P34" i="22"/>
  <c r="Q34" i="22"/>
  <c r="U34" i="22"/>
  <c r="T34" i="22"/>
  <c r="S34" i="22"/>
  <c r="CN27" i="2"/>
  <c r="BL10" i="2"/>
  <c r="CB9" i="2"/>
  <c r="CS14" i="2"/>
  <c r="CT14" i="2"/>
  <c r="DC14" i="2"/>
  <c r="DE14" i="2" s="1"/>
  <c r="CY14" i="2"/>
  <c r="CU14" i="2"/>
  <c r="DA14" i="2"/>
  <c r="DB14" i="2"/>
  <c r="CZ14" i="2"/>
  <c r="V16" i="22"/>
  <c r="BS18" i="2"/>
  <c r="BX18" i="2"/>
  <c r="P16" i="22"/>
  <c r="U16" i="22"/>
  <c r="T16" i="22"/>
  <c r="Q16" i="22"/>
  <c r="R16" i="22"/>
  <c r="S16" i="22"/>
  <c r="L16" i="22"/>
  <c r="DG16" i="2"/>
  <c r="H29" i="22"/>
  <c r="DH29" i="2"/>
  <c r="BX34" i="2"/>
  <c r="BS34" i="2"/>
  <c r="DI27" i="2"/>
  <c r="BL25" i="2"/>
  <c r="CO3" i="2"/>
  <c r="DH11" i="2"/>
  <c r="H11" i="22"/>
  <c r="CP28" i="2"/>
  <c r="CP8" i="2"/>
  <c r="BX16" i="2"/>
  <c r="BS16" i="2"/>
  <c r="DF14" i="2"/>
  <c r="H12" i="22"/>
  <c r="DH12" i="2"/>
  <c r="BM12" i="2"/>
  <c r="DH16" i="2"/>
  <c r="H16" i="22"/>
  <c r="DD9" i="2"/>
  <c r="DL9" i="2"/>
  <c r="BV9" i="2"/>
  <c r="BQ9" i="2"/>
  <c r="BN9" i="2"/>
  <c r="CF9" i="2"/>
  <c r="BW12" i="2"/>
  <c r="I12" i="22"/>
  <c r="CA12" i="2"/>
  <c r="BR9" i="2"/>
  <c r="BS15" i="2"/>
  <c r="BX15" i="2"/>
  <c r="DF19" i="2"/>
  <c r="DI23" i="2"/>
  <c r="BQ17" i="2"/>
  <c r="BV17" i="2"/>
  <c r="DL17" i="2"/>
  <c r="DO17" i="2" s="1"/>
  <c r="CF17" i="2"/>
  <c r="DD17" i="2"/>
  <c r="BN17" i="2"/>
  <c r="CO29" i="2"/>
  <c r="BR14" i="2"/>
  <c r="BL22" i="2"/>
  <c r="CO15" i="2"/>
  <c r="CO25" i="2"/>
  <c r="BW10" i="2"/>
  <c r="I10" i="22"/>
  <c r="CA10" i="2"/>
  <c r="DL10" i="2"/>
  <c r="DO10" i="2" s="1"/>
  <c r="BN10" i="2"/>
  <c r="DD10" i="2"/>
  <c r="CF10" i="2"/>
  <c r="BV10" i="2"/>
  <c r="BQ10" i="2"/>
  <c r="BX13" i="2"/>
  <c r="BS13" i="2"/>
  <c r="DI16" i="2"/>
  <c r="H20" i="22"/>
  <c r="DH20" i="2"/>
  <c r="BR18" i="2"/>
  <c r="CB22" i="2"/>
  <c r="BM16" i="2"/>
  <c r="BW19" i="2"/>
  <c r="I19" i="22"/>
  <c r="CA19" i="2"/>
  <c r="CN30" i="2"/>
  <c r="CR30" i="2" s="1"/>
  <c r="DF9" i="2"/>
  <c r="I11" i="22"/>
  <c r="BW11" i="2"/>
  <c r="CA11" i="2"/>
  <c r="BL9" i="2"/>
  <c r="R12" i="22"/>
  <c r="T12" i="22"/>
  <c r="P12" i="22"/>
  <c r="Q12" i="22"/>
  <c r="DG12" i="2"/>
  <c r="U12" i="22"/>
  <c r="L12" i="22"/>
  <c r="S12" i="22"/>
  <c r="BS14" i="2"/>
  <c r="BX14" i="2"/>
  <c r="DM16" i="2"/>
  <c r="DR16" i="2" s="1"/>
  <c r="CH16" i="2"/>
  <c r="CB18" i="2"/>
  <c r="L14" i="22"/>
  <c r="DG14" i="2"/>
  <c r="S14" i="22"/>
  <c r="Q14" i="22"/>
  <c r="R14" i="22"/>
  <c r="T14" i="22"/>
  <c r="P14" i="22"/>
  <c r="U14" i="22"/>
  <c r="CG16" i="2"/>
  <c r="DN16" i="2"/>
  <c r="BX20" i="2"/>
  <c r="BS20" i="2"/>
  <c r="F23" i="22"/>
  <c r="G23" i="22"/>
  <c r="D23" i="22"/>
  <c r="E23" i="22"/>
  <c r="B23" i="22"/>
  <c r="C23" i="22"/>
  <c r="P26" i="22"/>
  <c r="T26" i="22"/>
  <c r="R26" i="22"/>
  <c r="S26" i="22"/>
  <c r="L26" i="22"/>
  <c r="DG26" i="2"/>
  <c r="Q26" i="22"/>
  <c r="U26" i="22"/>
  <c r="DC26" i="2"/>
  <c r="DE26" i="2" s="1"/>
  <c r="CU26" i="2"/>
  <c r="DA26" i="2"/>
  <c r="CS26" i="2"/>
  <c r="CY26" i="2"/>
  <c r="CZ26" i="2"/>
  <c r="CT26" i="2"/>
  <c r="DB26" i="2"/>
  <c r="L31" i="22"/>
  <c r="S31" i="22"/>
  <c r="T31" i="22"/>
  <c r="U31" i="22"/>
  <c r="Q31" i="22"/>
  <c r="P31" i="22"/>
  <c r="DG31" i="2"/>
  <c r="R31" i="22"/>
  <c r="K31" i="22"/>
  <c r="O31" i="22" s="1"/>
  <c r="BM26" i="2"/>
  <c r="DD31" i="2"/>
  <c r="DL31" i="2"/>
  <c r="BV31" i="2"/>
  <c r="BZ31" i="2" s="1"/>
  <c r="BQ31" i="2"/>
  <c r="BU31" i="2" s="1"/>
  <c r="BN31" i="2"/>
  <c r="CF31" i="2"/>
  <c r="CJ31" i="2" s="1"/>
  <c r="CN31" i="2"/>
  <c r="CR31" i="2" s="1"/>
  <c r="DD8" i="2"/>
  <c r="CF8" i="2"/>
  <c r="BN8" i="2"/>
  <c r="BV8" i="2"/>
  <c r="DL8" i="2"/>
  <c r="BQ8" i="2"/>
  <c r="CA17" i="2"/>
  <c r="I17" i="22"/>
  <c r="BW17" i="2"/>
  <c r="H19" i="22"/>
  <c r="J19" i="22" s="1"/>
  <c r="K19" i="22" s="1"/>
  <c r="M19" i="22" s="1"/>
  <c r="DH19" i="2"/>
  <c r="DM21" i="2"/>
  <c r="DR21" i="2" s="1"/>
  <c r="CH21" i="2"/>
  <c r="CB23" i="2"/>
  <c r="G17" i="22"/>
  <c r="E17" i="22"/>
  <c r="D17" i="22"/>
  <c r="F17" i="22"/>
  <c r="B17" i="22"/>
  <c r="C17" i="22"/>
  <c r="S21" i="22"/>
  <c r="DG21" i="2"/>
  <c r="R21" i="22"/>
  <c r="U21" i="22"/>
  <c r="P21" i="22"/>
  <c r="Q21" i="22"/>
  <c r="T21" i="22"/>
  <c r="L21" i="22"/>
  <c r="D24" i="22"/>
  <c r="F24" i="22"/>
  <c r="B24" i="22"/>
  <c r="C24" i="22"/>
  <c r="G24" i="22"/>
  <c r="E24" i="22"/>
  <c r="CS27" i="2"/>
  <c r="CY27" i="2"/>
  <c r="CU27" i="2"/>
  <c r="DB27" i="2"/>
  <c r="CZ27" i="2"/>
  <c r="DA27" i="2"/>
  <c r="CT27" i="2"/>
  <c r="DC27" i="2"/>
  <c r="DE27" i="2" s="1"/>
  <c r="CP31" i="2"/>
  <c r="CY24" i="2"/>
  <c r="DB24" i="2"/>
  <c r="CS24" i="2"/>
  <c r="CW24" i="2" s="1"/>
  <c r="DA24" i="2"/>
  <c r="CU24" i="2"/>
  <c r="CV24" i="2" s="1"/>
  <c r="DC24" i="2"/>
  <c r="DE24" i="2" s="1"/>
  <c r="CZ24" i="2"/>
  <c r="CT24" i="2"/>
  <c r="BR28" i="2"/>
  <c r="BN36" i="2"/>
  <c r="DL36" i="2"/>
  <c r="DD36" i="2"/>
  <c r="BQ36" i="2"/>
  <c r="BV36" i="2"/>
  <c r="BZ36" i="2" s="1"/>
  <c r="CF36" i="2"/>
  <c r="CJ36" i="2" s="1"/>
  <c r="DH22" i="2"/>
  <c r="H22" i="22"/>
  <c r="CN32" i="2"/>
  <c r="CR32" i="2" s="1"/>
  <c r="G9" i="22"/>
  <c r="E9" i="22"/>
  <c r="F9" i="22"/>
  <c r="D9" i="22"/>
  <c r="B9" i="22"/>
  <c r="C9" i="22"/>
  <c r="BR11" i="2"/>
  <c r="Q10" i="22"/>
  <c r="DG10" i="2"/>
  <c r="P10" i="22"/>
  <c r="L10" i="22"/>
  <c r="T10" i="22"/>
  <c r="R10" i="22"/>
  <c r="U10" i="22"/>
  <c r="S10" i="22"/>
  <c r="CG12" i="2"/>
  <c r="DN12" i="2"/>
  <c r="CB14" i="2"/>
  <c r="BL18" i="2"/>
  <c r="CY21" i="2"/>
  <c r="CU21" i="2"/>
  <c r="CS21" i="2"/>
  <c r="DC21" i="2"/>
  <c r="DE21" i="2" s="1"/>
  <c r="CT21" i="2"/>
  <c r="DB21" i="2"/>
  <c r="DA21" i="2"/>
  <c r="CZ21" i="2"/>
  <c r="V23" i="22"/>
  <c r="DN14" i="2"/>
  <c r="CG14" i="2"/>
  <c r="CB20" i="2"/>
  <c r="BM25" i="2"/>
  <c r="DI30" i="2"/>
  <c r="DL35" i="2"/>
  <c r="BV35" i="2"/>
  <c r="BQ35" i="2"/>
  <c r="BN35" i="2"/>
  <c r="CF35" i="2"/>
  <c r="DD35" i="2"/>
  <c r="DF30" i="2"/>
  <c r="BN18" i="2"/>
  <c r="DL18" i="2"/>
  <c r="DD18" i="2"/>
  <c r="BV18" i="2"/>
  <c r="BZ18" i="2" s="1"/>
  <c r="BQ18" i="2"/>
  <c r="CF18" i="2"/>
  <c r="CG29" i="2"/>
  <c r="DN29" i="2"/>
  <c r="H30" i="22"/>
  <c r="DH30" i="2"/>
  <c r="BS11" i="2"/>
  <c r="BX11" i="2"/>
  <c r="DD20" i="2"/>
  <c r="BN20" i="2"/>
  <c r="BV20" i="2"/>
  <c r="CF20" i="2"/>
  <c r="DL20" i="2"/>
  <c r="DP20" i="2" s="1"/>
  <c r="BQ20" i="2"/>
  <c r="CN37" i="2"/>
  <c r="DM10" i="2"/>
  <c r="DR10" i="2" s="1"/>
  <c r="CH10" i="2"/>
  <c r="DM18" i="2"/>
  <c r="DR18" i="2" s="1"/>
  <c r="CH18" i="2"/>
  <c r="B16" i="22"/>
  <c r="E16" i="22"/>
  <c r="D16" i="22"/>
  <c r="G16" i="22"/>
  <c r="C16" i="22"/>
  <c r="F16" i="22"/>
  <c r="CN13" i="2"/>
  <c r="I9" i="22"/>
  <c r="BW9" i="2"/>
  <c r="CA9" i="2"/>
  <c r="BM9" i="2"/>
  <c r="CN14" i="2"/>
  <c r="CO30" i="2"/>
  <c r="CP9" i="2"/>
  <c r="CN25" i="2"/>
  <c r="V15" i="22"/>
  <c r="CO32" i="2"/>
  <c r="CC9" i="2"/>
  <c r="BR19" i="2"/>
  <c r="CP29" i="2"/>
  <c r="V11" i="22"/>
  <c r="BM14" i="2"/>
  <c r="CP35" i="2"/>
  <c r="H10" i="22"/>
  <c r="DH10" i="2"/>
  <c r="V13" i="22"/>
  <c r="BM20" i="2"/>
  <c r="DD13" i="2"/>
  <c r="BN13" i="2"/>
  <c r="BQ13" i="2"/>
  <c r="BV13" i="2"/>
  <c r="DL13" i="2"/>
  <c r="CF13" i="2"/>
  <c r="BL15" i="2"/>
  <c r="DH15" i="2"/>
  <c r="H15" i="22"/>
  <c r="CP14" i="2"/>
  <c r="CP17" i="2"/>
  <c r="CN36" i="2"/>
  <c r="V8" i="22"/>
  <c r="R8" i="22"/>
  <c r="S8" i="22"/>
  <c r="U8" i="22"/>
  <c r="Q8" i="22"/>
  <c r="DG8" i="2"/>
  <c r="T8" i="22"/>
  <c r="L8" i="22"/>
  <c r="P8" i="22"/>
  <c r="BM11" i="2"/>
  <c r="I14" i="22"/>
  <c r="CA14" i="2"/>
  <c r="BW14" i="2"/>
  <c r="DA17" i="2"/>
  <c r="CT17" i="2"/>
  <c r="DC17" i="2"/>
  <c r="DE17" i="2" s="1"/>
  <c r="CY17" i="2"/>
  <c r="CS17" i="2"/>
  <c r="CZ17" i="2"/>
  <c r="CU17" i="2"/>
  <c r="DB17" i="2"/>
  <c r="DI21" i="2"/>
  <c r="CC14" i="2"/>
  <c r="CP18" i="2"/>
  <c r="I23" i="22"/>
  <c r="BW23" i="2"/>
  <c r="CA23" i="2"/>
  <c r="BQ14" i="2"/>
  <c r="DL14" i="2"/>
  <c r="CF14" i="2"/>
  <c r="BN14" i="2"/>
  <c r="BV14" i="2"/>
  <c r="DD14" i="2"/>
  <c r="CC16" i="2"/>
  <c r="CO34" i="2"/>
  <c r="H8" i="22"/>
  <c r="DH8" i="2"/>
  <c r="DN10" i="2"/>
  <c r="CG10" i="2"/>
  <c r="BL14" i="2"/>
  <c r="BM19" i="2"/>
  <c r="BS21" i="2"/>
  <c r="BX21" i="2"/>
  <c r="DM23" i="2"/>
  <c r="DR23" i="2" s="1"/>
  <c r="CH23" i="2"/>
  <c r="P17" i="22"/>
  <c r="S17" i="22"/>
  <c r="DG17" i="2"/>
  <c r="Q17" i="22"/>
  <c r="T17" i="22"/>
  <c r="L17" i="22"/>
  <c r="R17" i="22"/>
  <c r="U17" i="22"/>
  <c r="DF21" i="2"/>
  <c r="DF24" i="2"/>
  <c r="BL34" i="2"/>
  <c r="T27" i="22"/>
  <c r="S27" i="22"/>
  <c r="R27" i="22"/>
  <c r="Q27" i="22"/>
  <c r="P27" i="22"/>
  <c r="U27" i="22"/>
  <c r="L27" i="22"/>
  <c r="DG27" i="2"/>
  <c r="BR33" i="2"/>
  <c r="DM19" i="2"/>
  <c r="DR19" i="2" s="1"/>
  <c r="CH19" i="2"/>
  <c r="BQ28" i="2"/>
  <c r="DD28" i="2"/>
  <c r="BV28" i="2"/>
  <c r="BN28" i="2"/>
  <c r="DL28" i="2"/>
  <c r="CF28" i="2"/>
  <c r="CB33" i="2"/>
  <c r="CO24" i="2"/>
  <c r="CA8" i="2"/>
  <c r="I8" i="22"/>
  <c r="BW8" i="2"/>
  <c r="V10" i="22"/>
  <c r="BS12" i="2"/>
  <c r="BX12" i="2"/>
  <c r="Q11" i="22"/>
  <c r="S11" i="22"/>
  <c r="L11" i="22"/>
  <c r="R11" i="22"/>
  <c r="DG11" i="2"/>
  <c r="T11" i="22"/>
  <c r="U11" i="22"/>
  <c r="P11" i="22"/>
  <c r="BR13" i="2"/>
  <c r="T13" i="22"/>
  <c r="P13" i="22"/>
  <c r="DG13" i="2"/>
  <c r="Q13" i="22"/>
  <c r="U13" i="22"/>
  <c r="L13" i="22"/>
  <c r="S13" i="22"/>
  <c r="R13" i="22"/>
  <c r="CG15" i="2"/>
  <c r="DN15" i="2"/>
  <c r="DN18" i="2"/>
  <c r="CG18" i="2"/>
  <c r="DF22" i="2"/>
  <c r="CP32" i="2"/>
  <c r="CA25" i="2"/>
  <c r="I25" i="22"/>
  <c r="BW25" i="2"/>
  <c r="CH29" i="2"/>
  <c r="DM29" i="2"/>
  <c r="DR29" i="2" s="1"/>
  <c r="R36" i="22"/>
  <c r="Q36" i="22"/>
  <c r="P36" i="22"/>
  <c r="U36" i="22"/>
  <c r="T36" i="22"/>
  <c r="DG36" i="2"/>
  <c r="K36" i="22"/>
  <c r="O36" i="22" s="1"/>
  <c r="L36" i="22"/>
  <c r="S36" i="22"/>
  <c r="CN26" i="2"/>
  <c r="BW15" i="2"/>
  <c r="I15" i="22"/>
  <c r="CA15" i="2"/>
  <c r="DI17" i="2"/>
  <c r="DL19" i="2"/>
  <c r="DP19" i="2" s="1"/>
  <c r="CF19" i="2"/>
  <c r="CJ19" i="2" s="1"/>
  <c r="BN19" i="2"/>
  <c r="DD19" i="2"/>
  <c r="BV19" i="2"/>
  <c r="BQ19" i="2"/>
  <c r="CB21" i="2"/>
  <c r="DF15" i="2"/>
  <c r="CG17" i="2"/>
  <c r="DN17" i="2"/>
  <c r="T22" i="22"/>
  <c r="P22" i="22"/>
  <c r="R22" i="22"/>
  <c r="L22" i="22"/>
  <c r="DG22" i="2"/>
  <c r="S22" i="22"/>
  <c r="Q22" i="22"/>
  <c r="U22" i="22"/>
  <c r="DI31" i="2"/>
  <c r="D32" i="22"/>
  <c r="G32" i="22"/>
  <c r="C32" i="22"/>
  <c r="F32" i="22"/>
  <c r="B32" i="22"/>
  <c r="E32" i="22"/>
  <c r="H9" i="22"/>
  <c r="DH9" i="2"/>
  <c r="BR12" i="2"/>
  <c r="DD12" i="2"/>
  <c r="BQ12" i="2"/>
  <c r="BV12" i="2"/>
  <c r="CF12" i="2"/>
  <c r="DL12" i="2"/>
  <c r="BN12" i="2"/>
  <c r="CB15" i="2"/>
  <c r="DI18" i="2"/>
  <c r="BR21" i="2"/>
  <c r="CC13" i="2"/>
  <c r="DF12" i="2"/>
  <c r="DC20" i="2"/>
  <c r="DE20" i="2" s="1"/>
  <c r="CY20" i="2"/>
  <c r="DA20" i="2"/>
  <c r="CT20" i="2"/>
  <c r="CU20" i="2"/>
  <c r="DB20" i="2"/>
  <c r="CS20" i="2"/>
  <c r="CZ20" i="2"/>
  <c r="V9" i="22"/>
  <c r="CG11" i="2"/>
  <c r="DN11" i="2"/>
  <c r="L20" i="22"/>
  <c r="U20" i="22"/>
  <c r="DG20" i="2"/>
  <c r="DQ20" i="2" s="1"/>
  <c r="S20" i="22"/>
  <c r="T20" i="22"/>
  <c r="P20" i="22"/>
  <c r="Q20" i="22"/>
  <c r="R20" i="22"/>
  <c r="DI22" i="2"/>
  <c r="CG13" i="2"/>
  <c r="DN13" i="2"/>
  <c r="DI19" i="2"/>
  <c r="D22" i="22"/>
  <c r="F22" i="22"/>
  <c r="C22" i="22"/>
  <c r="B22" i="22"/>
  <c r="G22" i="22"/>
  <c r="E22" i="22"/>
  <c r="CF25" i="2"/>
  <c r="CJ25" i="2" s="1"/>
  <c r="BQ25" i="2"/>
  <c r="DL25" i="2"/>
  <c r="DD25" i="2"/>
  <c r="BN25" i="2"/>
  <c r="BV25" i="2"/>
  <c r="D28" i="22"/>
  <c r="G28" i="22"/>
  <c r="C28" i="22"/>
  <c r="B28" i="22"/>
  <c r="F28" i="22"/>
  <c r="E28" i="22"/>
  <c r="BR32" i="2"/>
  <c r="CB24" i="2"/>
  <c r="BN23" i="2"/>
  <c r="BQ23" i="2"/>
  <c r="DD23" i="2"/>
  <c r="DL23" i="2"/>
  <c r="DP23" i="2" s="1"/>
  <c r="BV23" i="2"/>
  <c r="CF23" i="2"/>
  <c r="CB28" i="2"/>
  <c r="CC29" i="2"/>
  <c r="I28" i="22"/>
  <c r="CA28" i="2"/>
  <c r="CE28" i="2" s="1"/>
  <c r="BW28" i="2"/>
  <c r="E30" i="22"/>
  <c r="F30" i="22"/>
  <c r="C30" i="22"/>
  <c r="D30" i="22"/>
  <c r="G30" i="22"/>
  <c r="B30" i="22"/>
  <c r="CC18" i="2"/>
  <c r="BM23" i="2"/>
  <c r="BO23" i="2" s="1"/>
  <c r="F25" i="22"/>
  <c r="D25" i="22"/>
  <c r="C25" i="22"/>
  <c r="B25" i="22"/>
  <c r="G25" i="22"/>
  <c r="E25" i="22"/>
  <c r="I26" i="22"/>
  <c r="BW26" i="2"/>
  <c r="CA26" i="2"/>
  <c r="CE26" i="2" s="1"/>
  <c r="BX28" i="2"/>
  <c r="BS28" i="2"/>
  <c r="DI37" i="2"/>
  <c r="DF31" i="2"/>
  <c r="DI33" i="2"/>
  <c r="DM35" i="2"/>
  <c r="DR35" i="2" s="1"/>
  <c r="CH35" i="2"/>
  <c r="U37" i="22"/>
  <c r="R37" i="22"/>
  <c r="L37" i="22"/>
  <c r="P37" i="22"/>
  <c r="Q37" i="22"/>
  <c r="DG37" i="2"/>
  <c r="S37" i="22"/>
  <c r="T37" i="22"/>
  <c r="CB37" i="2"/>
  <c r="BS19" i="2"/>
  <c r="BX19" i="2"/>
  <c r="DH28" i="2"/>
  <c r="H28" i="22"/>
  <c r="BX30" i="2"/>
  <c r="BS30" i="2"/>
  <c r="BX32" i="2"/>
  <c r="BS32" i="2"/>
  <c r="DF35" i="2"/>
  <c r="V25" i="22"/>
  <c r="DD27" i="2"/>
  <c r="BV27" i="2"/>
  <c r="BZ27" i="2" s="1"/>
  <c r="CF27" i="2"/>
  <c r="CJ27" i="2" s="1"/>
  <c r="BQ27" i="2"/>
  <c r="BN27" i="2"/>
  <c r="DL27" i="2"/>
  <c r="DF34" i="2"/>
  <c r="S24" i="22"/>
  <c r="R24" i="22"/>
  <c r="U24" i="22"/>
  <c r="DG24" i="2"/>
  <c r="P24" i="22"/>
  <c r="L24" i="22"/>
  <c r="Q24" i="22"/>
  <c r="T24" i="22"/>
  <c r="E26" i="22"/>
  <c r="C26" i="22"/>
  <c r="D26" i="22"/>
  <c r="F26" i="22"/>
  <c r="B26" i="22"/>
  <c r="G26" i="22"/>
  <c r="DN28" i="2"/>
  <c r="CG28" i="2"/>
  <c r="CB34" i="2"/>
  <c r="BL26" i="2"/>
  <c r="CT29" i="2"/>
  <c r="DA29" i="2"/>
  <c r="DC29" i="2"/>
  <c r="DE29" i="2" s="1"/>
  <c r="CY29" i="2"/>
  <c r="CU29" i="2"/>
  <c r="DB29" i="2"/>
  <c r="CS29" i="2"/>
  <c r="CZ29" i="2"/>
  <c r="D31" i="22"/>
  <c r="B31" i="22"/>
  <c r="E31" i="22"/>
  <c r="C31" i="22"/>
  <c r="G31" i="22"/>
  <c r="F31" i="22"/>
  <c r="BW20" i="2"/>
  <c r="I20" i="22"/>
  <c r="J20" i="22" s="1"/>
  <c r="K20" i="22" s="1"/>
  <c r="N20" i="22" s="1"/>
  <c r="CA20" i="2"/>
  <c r="DL22" i="2"/>
  <c r="BN22" i="2"/>
  <c r="BV22" i="2"/>
  <c r="CF22" i="2"/>
  <c r="BQ22" i="2"/>
  <c r="DD22" i="2"/>
  <c r="CC24" i="2"/>
  <c r="DF29" i="2"/>
  <c r="CZ31" i="2"/>
  <c r="CT31" i="2"/>
  <c r="DB31" i="2"/>
  <c r="CY31" i="2"/>
  <c r="DA31" i="2"/>
  <c r="CS31" i="2"/>
  <c r="CU31" i="2"/>
  <c r="DC31" i="2"/>
  <c r="DE31" i="2" s="1"/>
  <c r="BM33" i="2"/>
  <c r="BO33" i="2" s="1"/>
  <c r="D35" i="22"/>
  <c r="F35" i="22"/>
  <c r="E35" i="22"/>
  <c r="C35" i="22"/>
  <c r="G35" i="22"/>
  <c r="B35" i="22"/>
  <c r="CH25" i="2"/>
  <c r="CI25" i="2" s="1"/>
  <c r="DM25" i="2"/>
  <c r="DR25" i="2" s="1"/>
  <c r="CC27" i="2"/>
  <c r="BM32" i="2"/>
  <c r="BO32" i="2" s="1"/>
  <c r="F34" i="22"/>
  <c r="D34" i="22"/>
  <c r="E34" i="22"/>
  <c r="G34" i="22"/>
  <c r="C34" i="22"/>
  <c r="B34" i="22"/>
  <c r="CZ36" i="2"/>
  <c r="DB36" i="2"/>
  <c r="DC36" i="2"/>
  <c r="DE36" i="2" s="1"/>
  <c r="DA36" i="2"/>
  <c r="CT36" i="2"/>
  <c r="CU36" i="2"/>
  <c r="CY36" i="2"/>
  <c r="CS36" i="2"/>
  <c r="CG36" i="2"/>
  <c r="DN36" i="2"/>
  <c r="T23" i="22"/>
  <c r="P23" i="22"/>
  <c r="Q23" i="22"/>
  <c r="S23" i="22"/>
  <c r="L23" i="22"/>
  <c r="U23" i="22"/>
  <c r="DG23" i="2"/>
  <c r="R23" i="22"/>
  <c r="DF26" i="2"/>
  <c r="BQ29" i="2"/>
  <c r="DD29" i="2"/>
  <c r="BN29" i="2"/>
  <c r="CF29" i="2"/>
  <c r="CJ29" i="2" s="1"/>
  <c r="DL29" i="2"/>
  <c r="BV29" i="2"/>
  <c r="DN33" i="2"/>
  <c r="CG33" i="2"/>
  <c r="V37" i="22"/>
  <c r="DF28" i="2"/>
  <c r="BW30" i="2"/>
  <c r="I30" i="22"/>
  <c r="CA30" i="2"/>
  <c r="I32" i="22"/>
  <c r="CA32" i="2"/>
  <c r="BW32" i="2"/>
  <c r="V34" i="22"/>
  <c r="BX24" i="2"/>
  <c r="BS24" i="2"/>
  <c r="DM26" i="2"/>
  <c r="DR26" i="2" s="1"/>
  <c r="CH26" i="2"/>
  <c r="CA33" i="2"/>
  <c r="CE33" i="2" s="1"/>
  <c r="I33" i="22"/>
  <c r="BW33" i="2"/>
  <c r="BX35" i="2"/>
  <c r="BS35" i="2"/>
  <c r="DF37" i="2"/>
  <c r="CH37" i="2"/>
  <c r="DM37" i="2"/>
  <c r="DR37" i="2" s="1"/>
  <c r="V19" i="22"/>
  <c r="BN21" i="2"/>
  <c r="BQ21" i="2"/>
  <c r="DL21" i="2"/>
  <c r="DP21" i="2" s="1"/>
  <c r="DD21" i="2"/>
  <c r="CF21" i="2"/>
  <c r="BV21" i="2"/>
  <c r="CC23" i="2"/>
  <c r="BM28" i="2"/>
  <c r="BO28" i="2" s="1"/>
  <c r="V30" i="22"/>
  <c r="V32" i="22"/>
  <c r="DI34" i="2"/>
  <c r="BL28" i="2"/>
  <c r="BM31" i="2"/>
  <c r="BO31" i="2" s="1"/>
  <c r="BX33" i="2"/>
  <c r="BS33" i="2"/>
  <c r="H37" i="22"/>
  <c r="DH37" i="2"/>
  <c r="BM36" i="2"/>
  <c r="BO36" i="2" s="1"/>
  <c r="CC17" i="2"/>
  <c r="BL19" i="2"/>
  <c r="BM22" i="2"/>
  <c r="DD24" i="2"/>
  <c r="DL24" i="2"/>
  <c r="DO24" i="2" s="1"/>
  <c r="BV24" i="2"/>
  <c r="BN24" i="2"/>
  <c r="BQ24" i="2"/>
  <c r="CF24" i="2"/>
  <c r="BL30" i="2"/>
  <c r="BL32" i="2"/>
  <c r="BM30" i="2"/>
  <c r="BO30" i="2" s="1"/>
  <c r="CF32" i="2"/>
  <c r="DL32" i="2"/>
  <c r="DD32" i="2"/>
  <c r="BQ32" i="2"/>
  <c r="BU32" i="2" s="1"/>
  <c r="BV32" i="2"/>
  <c r="BN32" i="2"/>
  <c r="BS36" i="2"/>
  <c r="BT36" i="2" s="1"/>
  <c r="BX36" i="2"/>
  <c r="DF17" i="2"/>
  <c r="V20" i="22"/>
  <c r="CG22" i="2"/>
  <c r="DN22" i="2"/>
  <c r="DF33" i="2"/>
  <c r="BM35" i="2"/>
  <c r="BO35" i="2" s="1"/>
  <c r="DI25" i="2"/>
  <c r="CG27" i="2"/>
  <c r="DN27" i="2"/>
  <c r="CB29" i="2"/>
  <c r="BM34" i="2"/>
  <c r="BO34" i="2" s="1"/>
  <c r="DG25" i="2"/>
  <c r="DQ25" i="2" s="1"/>
  <c r="U25" i="22"/>
  <c r="Q25" i="22"/>
  <c r="S25" i="22"/>
  <c r="T25" i="22"/>
  <c r="P25" i="22"/>
  <c r="R25" i="22"/>
  <c r="L25" i="22"/>
  <c r="BR27" i="2"/>
  <c r="CB31" i="2"/>
  <c r="CC33" i="2"/>
  <c r="CD33" i="2" s="1"/>
  <c r="V28" i="22"/>
  <c r="BQ30" i="2"/>
  <c r="BV30" i="2"/>
  <c r="DL30" i="2"/>
  <c r="DO30" i="2" s="1"/>
  <c r="DD30" i="2"/>
  <c r="BN30" i="2"/>
  <c r="CF30" i="2"/>
  <c r="CJ30" i="2" s="1"/>
  <c r="CC32" i="2"/>
  <c r="CB36" i="2"/>
  <c r="BW37" i="2"/>
  <c r="I37" i="22"/>
  <c r="CA37" i="2"/>
  <c r="CE37" i="2" s="1"/>
  <c r="BM17" i="2"/>
  <c r="CG9" i="2"/>
  <c r="DN9" i="2"/>
  <c r="DO9" i="2" s="1"/>
  <c r="BM8" i="2"/>
  <c r="C10" i="22"/>
  <c r="F10" i="22"/>
  <c r="D10" i="22"/>
  <c r="B10" i="22"/>
  <c r="G10" i="22"/>
  <c r="E10" i="22"/>
  <c r="BL16" i="2"/>
  <c r="V21" i="22"/>
  <c r="BS23" i="2"/>
  <c r="BX23" i="2"/>
  <c r="BL20" i="2"/>
  <c r="BR30" i="2"/>
  <c r="CH34" i="2"/>
  <c r="DM34" i="2"/>
  <c r="DR34" i="2" s="1"/>
  <c r="DI24" i="2"/>
  <c r="CZ33" i="2"/>
  <c r="CU33" i="2"/>
  <c r="DA33" i="2"/>
  <c r="DC33" i="2"/>
  <c r="DE33" i="2" s="1"/>
  <c r="CY33" i="2"/>
  <c r="CT33" i="2"/>
  <c r="DB33" i="2"/>
  <c r="CS33" i="2"/>
  <c r="CW33" i="2" s="1"/>
  <c r="BL24" i="2"/>
  <c r="DF27" i="2"/>
  <c r="V29" i="22"/>
  <c r="DN31" i="2"/>
  <c r="CG31" i="2"/>
  <c r="BL35" i="2"/>
  <c r="DH24" i="2"/>
  <c r="H24" i="22"/>
  <c r="DD26" i="2"/>
  <c r="DL26" i="2"/>
  <c r="DP26" i="2" s="1"/>
  <c r="BQ26" i="2"/>
  <c r="BV26" i="2"/>
  <c r="BN26" i="2"/>
  <c r="CF26" i="2"/>
  <c r="CC28" i="2"/>
  <c r="DA25" i="2"/>
  <c r="CU25" i="2"/>
  <c r="CY25" i="2"/>
  <c r="CT25" i="2"/>
  <c r="CS25" i="2"/>
  <c r="CW25" i="2" s="1"/>
  <c r="CZ25" i="2"/>
  <c r="DB25" i="2"/>
  <c r="DC25" i="2"/>
  <c r="DE25" i="2" s="1"/>
  <c r="H27" i="22"/>
  <c r="DH27" i="2"/>
  <c r="BR29" i="2"/>
  <c r="CC31" i="2"/>
  <c r="BL33" i="2"/>
  <c r="H36" i="22"/>
  <c r="DH36" i="2"/>
  <c r="BL29" i="2"/>
  <c r="P32" i="22"/>
  <c r="S32" i="22"/>
  <c r="R32" i="22"/>
  <c r="Q32" i="22"/>
  <c r="U32" i="22"/>
  <c r="T32" i="22"/>
  <c r="L32" i="22"/>
  <c r="K32" i="22"/>
  <c r="O32" i="22" s="1"/>
  <c r="DG32" i="2"/>
  <c r="CF34" i="2"/>
  <c r="BV34" i="2"/>
  <c r="BN34" i="2"/>
  <c r="DD34" i="2"/>
  <c r="DL34" i="2"/>
  <c r="BQ34" i="2"/>
  <c r="CA36" i="2"/>
  <c r="CE36" i="2" s="1"/>
  <c r="I36" i="22"/>
  <c r="BW36" i="2"/>
  <c r="C36" i="22"/>
  <c r="F36" i="22"/>
  <c r="E36" i="22"/>
  <c r="D36" i="22"/>
  <c r="G36" i="22"/>
  <c r="B36" i="22"/>
  <c r="H18" i="22"/>
  <c r="DH18" i="2"/>
  <c r="BR20" i="2"/>
  <c r="CC22" i="2"/>
  <c r="CN24" i="2"/>
  <c r="BW27" i="2"/>
  <c r="CA27" i="2"/>
  <c r="I27" i="22"/>
  <c r="F29" i="22"/>
  <c r="C29" i="22"/>
  <c r="G29" i="22"/>
  <c r="D29" i="22"/>
  <c r="B29" i="22"/>
  <c r="E29" i="22"/>
  <c r="BX31" i="2"/>
  <c r="BY31" i="2" s="1"/>
  <c r="BS31" i="2"/>
  <c r="DD33" i="2"/>
  <c r="CF33" i="2"/>
  <c r="BN33" i="2"/>
  <c r="BV33" i="2"/>
  <c r="DL33" i="2"/>
  <c r="BQ33" i="2"/>
  <c r="CA24" i="2"/>
  <c r="I24" i="22"/>
  <c r="J24" i="22" s="1"/>
  <c r="K24" i="22" s="1"/>
  <c r="BW24" i="2"/>
  <c r="DI26" i="2"/>
  <c r="DM28" i="2"/>
  <c r="DR28" i="2" s="1"/>
  <c r="CH28" i="2"/>
  <c r="CC30" i="2"/>
  <c r="CA35" i="2"/>
  <c r="I35" i="22"/>
  <c r="BW35" i="2"/>
  <c r="BL36" i="2"/>
  <c r="BR37" i="2"/>
  <c r="DF23" i="2"/>
  <c r="DH25" i="2"/>
  <c r="H25" i="22"/>
  <c r="J25" i="22" s="1"/>
  <c r="K25" i="22" s="1"/>
  <c r="BS27" i="2"/>
  <c r="BX27" i="2"/>
  <c r="CC35" i="2"/>
  <c r="P30" i="22"/>
  <c r="T30" i="22"/>
  <c r="DG30" i="2"/>
  <c r="K30" i="22"/>
  <c r="O30" i="22" s="1"/>
  <c r="Q30" i="22"/>
  <c r="U30" i="22"/>
  <c r="L30" i="22"/>
  <c r="S30" i="22"/>
  <c r="R30" i="22"/>
  <c r="DN32" i="2"/>
  <c r="CG32" i="2"/>
  <c r="CC34" i="2"/>
  <c r="BR36" i="2"/>
  <c r="BX37" i="2"/>
  <c r="BS37" i="2"/>
  <c r="DC19" i="2"/>
  <c r="DE19" i="2" s="1"/>
  <c r="DA19" i="2"/>
  <c r="CT19" i="2"/>
  <c r="CU19" i="2"/>
  <c r="DB19" i="2"/>
  <c r="CY19" i="2"/>
  <c r="CZ19" i="2"/>
  <c r="CS19" i="2"/>
  <c r="H21" i="22"/>
  <c r="J21" i="22" s="1"/>
  <c r="K21" i="22" s="1"/>
  <c r="DH21" i="2"/>
  <c r="DC30" i="2"/>
  <c r="DE30" i="2" s="1"/>
  <c r="CU30" i="2"/>
  <c r="DA30" i="2"/>
  <c r="CS30" i="2"/>
  <c r="CY30" i="2"/>
  <c r="CT30" i="2"/>
  <c r="CZ30" i="2"/>
  <c r="DB30" i="2"/>
  <c r="CY32" i="2"/>
  <c r="DB32" i="2"/>
  <c r="CZ32" i="2"/>
  <c r="CT32" i="2"/>
  <c r="DC32" i="2"/>
  <c r="DE32" i="2" s="1"/>
  <c r="CU32" i="2"/>
  <c r="DA32" i="2"/>
  <c r="CS32" i="2"/>
  <c r="BW34" i="2"/>
  <c r="I34" i="22"/>
  <c r="CA34" i="2"/>
  <c r="BR24" i="2"/>
  <c r="V33" i="22"/>
  <c r="BR35" i="2"/>
  <c r="DN21" i="2"/>
  <c r="CG21" i="2"/>
  <c r="DN24" i="2"/>
  <c r="CG24" i="2"/>
  <c r="S28" i="22"/>
  <c r="L28" i="22"/>
  <c r="T28" i="22"/>
  <c r="U28" i="22"/>
  <c r="K28" i="22"/>
  <c r="O28" i="22" s="1"/>
  <c r="R28" i="22"/>
  <c r="DG28" i="2"/>
  <c r="Q28" i="22"/>
  <c r="P28" i="22"/>
  <c r="DI32" i="2"/>
  <c r="DM24" i="2"/>
  <c r="DR24" i="2" s="1"/>
  <c r="CH24" i="2"/>
  <c r="DI36" i="2"/>
  <c r="CH31" i="2"/>
  <c r="DM31" i="2"/>
  <c r="DR31" i="2" s="1"/>
  <c r="DA28" i="2"/>
  <c r="CY28" i="2"/>
  <c r="DC28" i="2"/>
  <c r="DE28" i="2" s="1"/>
  <c r="CT28" i="2"/>
  <c r="CS28" i="2"/>
  <c r="CZ28" i="2"/>
  <c r="CU28" i="2"/>
  <c r="DB28" i="2"/>
  <c r="CH36" i="2"/>
  <c r="DM36" i="2"/>
  <c r="DR36" i="2" s="1"/>
  <c r="BL11" i="2"/>
  <c r="DN8" i="2"/>
  <c r="CG8" i="2"/>
  <c r="CC10" i="2"/>
  <c r="CS15" i="2"/>
  <c r="CZ15" i="2"/>
  <c r="CU15" i="2"/>
  <c r="DB15" i="2"/>
  <c r="DA15" i="2"/>
  <c r="CY15" i="2"/>
  <c r="DC15" i="2"/>
  <c r="DE15" i="2" s="1"/>
  <c r="CT15" i="2"/>
  <c r="V17" i="22"/>
  <c r="C19" i="22"/>
  <c r="B19" i="22"/>
  <c r="G19" i="22"/>
  <c r="D19" i="22"/>
  <c r="E19" i="22"/>
  <c r="F19" i="22"/>
  <c r="BM13" i="2"/>
  <c r="CF15" i="2"/>
  <c r="DD15" i="2"/>
  <c r="BV15" i="2"/>
  <c r="BQ15" i="2"/>
  <c r="BN15" i="2"/>
  <c r="DL15" i="2"/>
  <c r="CP3" i="2"/>
  <c r="DA12" i="2"/>
  <c r="DB12" i="2"/>
  <c r="CS12" i="2"/>
  <c r="CT12" i="2"/>
  <c r="CU12" i="2"/>
  <c r="DC12" i="2"/>
  <c r="DE12" i="2" s="1"/>
  <c r="CY12" i="2"/>
  <c r="CZ12" i="2"/>
  <c r="CC8" i="2"/>
  <c r="I13" i="22"/>
  <c r="BW13" i="2"/>
  <c r="CA13" i="2"/>
  <c r="DI15" i="2"/>
  <c r="BR17" i="2"/>
  <c r="BL23" i="2"/>
  <c r="R15" i="22"/>
  <c r="L15" i="22"/>
  <c r="P15" i="22"/>
  <c r="DG15" i="2"/>
  <c r="Q15" i="22"/>
  <c r="U15" i="22"/>
  <c r="T15" i="22"/>
  <c r="S15" i="22"/>
  <c r="DM27" i="2"/>
  <c r="DR27" i="2" s="1"/>
  <c r="CH27" i="2"/>
  <c r="BR31" i="2"/>
  <c r="CS35" i="2"/>
  <c r="CU35" i="2"/>
  <c r="DB35" i="2"/>
  <c r="CZ35" i="2"/>
  <c r="CT35" i="2"/>
  <c r="DA35" i="2"/>
  <c r="CY35" i="2"/>
  <c r="DC35" i="2"/>
  <c r="DE35" i="2" s="1"/>
  <c r="BM21" i="2"/>
  <c r="BR26" i="2"/>
  <c r="DI35" i="2"/>
  <c r="BM29" i="2"/>
  <c r="BO29" i="2" s="1"/>
  <c r="CA31" i="2"/>
  <c r="I31" i="22"/>
  <c r="BW31" i="2"/>
  <c r="DG33" i="2"/>
  <c r="DQ33" i="2" s="1"/>
  <c r="DT33" i="2" s="1"/>
  <c r="P33" i="22"/>
  <c r="K33" i="22"/>
  <c r="O33" i="22" s="1"/>
  <c r="Q33" i="22"/>
  <c r="R33" i="22"/>
  <c r="T33" i="22"/>
  <c r="S33" i="22"/>
  <c r="U33" i="22"/>
  <c r="L33" i="22"/>
  <c r="DH35" i="2"/>
  <c r="H35" i="22"/>
  <c r="BR25" i="2"/>
  <c r="DF32" i="2"/>
  <c r="DH34" i="2"/>
  <c r="H34" i="22"/>
  <c r="DF36" i="2"/>
  <c r="BM18" i="2"/>
  <c r="BO18" i="2" s="1"/>
  <c r="DI20" i="2"/>
  <c r="K29" i="22"/>
  <c r="O29" i="22" s="1"/>
  <c r="S29" i="22"/>
  <c r="U29" i="22"/>
  <c r="DG29" i="2"/>
  <c r="T29" i="22"/>
  <c r="L29" i="22"/>
  <c r="N29" i="22" s="1"/>
  <c r="P29" i="22"/>
  <c r="Q29" i="22"/>
  <c r="R29" i="22"/>
  <c r="V31" i="22"/>
  <c r="H33" i="22"/>
  <c r="DH33" i="2"/>
  <c r="CG35" i="2"/>
  <c r="DN35" i="2"/>
  <c r="CB25" i="2"/>
  <c r="H32" i="22"/>
  <c r="J32" i="22" s="1"/>
  <c r="DH32" i="2"/>
  <c r="CG34" i="2"/>
  <c r="DN34" i="2"/>
  <c r="V36" i="22"/>
  <c r="CC36" i="2"/>
  <c r="DN30" i="2"/>
  <c r="CG30" i="2"/>
  <c r="DB37" i="2"/>
  <c r="DC37" i="2"/>
  <c r="DE37" i="2" s="1"/>
  <c r="DA37" i="2"/>
  <c r="CU37" i="2"/>
  <c r="CY37" i="2"/>
  <c r="CS37" i="2"/>
  <c r="CW37" i="2" s="1"/>
  <c r="CT37" i="2"/>
  <c r="CZ37" i="2"/>
  <c r="DH23" i="2"/>
  <c r="H23" i="22"/>
  <c r="J23" i="22" s="1"/>
  <c r="K23" i="22" s="1"/>
  <c r="N23" i="22" s="1"/>
  <c r="O23" i="22" s="1"/>
  <c r="CG25" i="2"/>
  <c r="DN25" i="2"/>
  <c r="BL31" i="2"/>
  <c r="BR34" i="2"/>
  <c r="H31" i="22"/>
  <c r="DH31" i="2"/>
  <c r="DM33" i="2"/>
  <c r="DR33" i="2" s="1"/>
  <c r="CH33" i="2"/>
  <c r="DL37" i="2"/>
  <c r="BV37" i="2"/>
  <c r="CF37" i="2"/>
  <c r="CJ37" i="2" s="1"/>
  <c r="DD37" i="2"/>
  <c r="BQ37" i="2"/>
  <c r="BT37" i="2" s="1"/>
  <c r="C21" i="22"/>
  <c r="D21" i="22"/>
  <c r="E21" i="22"/>
  <c r="F21" i="22"/>
  <c r="B21" i="22"/>
  <c r="G21" i="22"/>
  <c r="BL27" i="2"/>
  <c r="CU34" i="2"/>
  <c r="DA34" i="2"/>
  <c r="CZ34" i="2"/>
  <c r="CY34" i="2"/>
  <c r="DC34" i="2"/>
  <c r="DE34" i="2" s="1"/>
  <c r="CS34" i="2"/>
  <c r="CT34" i="2"/>
  <c r="DB34" i="2"/>
  <c r="V24" i="22"/>
  <c r="BX26" i="2"/>
  <c r="BS26" i="2"/>
  <c r="BT26" i="2" s="1"/>
  <c r="V35" i="22"/>
  <c r="DN37" i="2"/>
  <c r="CG37" i="2"/>
  <c r="BL37" i="2"/>
  <c r="CB19" i="2"/>
  <c r="BM24" i="2"/>
  <c r="BO24" i="2" s="1"/>
  <c r="DH26" i="2"/>
  <c r="H26" i="22"/>
  <c r="CB30" i="2"/>
  <c r="CB32" i="2"/>
  <c r="BM27" i="2"/>
  <c r="BO27" i="2" s="1"/>
  <c r="DI29" i="2"/>
  <c r="CC37" i="2"/>
  <c r="J18" i="22"/>
  <c r="K18" i="22" s="1"/>
  <c r="BY30" i="2"/>
  <c r="DO26" i="2"/>
  <c r="DO27" i="2"/>
  <c r="N19" i="22"/>
  <c r="O19" i="22" s="1"/>
  <c r="DO18" i="2"/>
  <c r="DO14" i="2"/>
  <c r="J14" i="22"/>
  <c r="K14" i="22" s="1"/>
  <c r="DO11" i="2"/>
  <c r="J9" i="22"/>
  <c r="K9" i="22" s="1"/>
  <c r="M9" i="22" s="1"/>
  <c r="CD26" i="2"/>
  <c r="DO19" i="2"/>
  <c r="DO22" i="2"/>
  <c r="BT28" i="2"/>
  <c r="BO13" i="2"/>
  <c r="DP18" i="2"/>
  <c r="DO13" i="2"/>
  <c r="J29" i="22"/>
  <c r="CQ31" i="2"/>
  <c r="DO21" i="2"/>
  <c r="BY36" i="2"/>
  <c r="DO25" i="2"/>
  <c r="DP12" i="2"/>
  <c r="DO23" i="2"/>
  <c r="DJ26" i="2"/>
  <c r="DS33" i="2"/>
  <c r="DK25" i="2"/>
  <c r="M35" i="22"/>
  <c r="BT32" i="2"/>
  <c r="J27" i="22"/>
  <c r="K27" i="22" s="1"/>
  <c r="M27" i="22" s="1"/>
  <c r="DT20" i="2"/>
  <c r="DO15" i="2"/>
  <c r="DO8" i="2"/>
  <c r="DO16" i="2"/>
  <c r="DT25" i="2"/>
  <c r="J30" i="22"/>
  <c r="J33" i="22"/>
  <c r="DP25" i="2"/>
  <c r="BO19" i="2"/>
  <c r="J8" i="22"/>
  <c r="K8" i="22" s="1"/>
  <c r="BO16" i="2"/>
  <c r="BO14" i="2"/>
  <c r="DO20" i="2"/>
  <c r="DS20" i="2"/>
  <c r="CI36" i="2"/>
  <c r="CD37" i="2"/>
  <c r="N25" i="22"/>
  <c r="O25" i="22" s="1"/>
  <c r="CV25" i="2"/>
  <c r="CD28" i="2"/>
  <c r="DJ20" i="2"/>
  <c r="CI37" i="2"/>
  <c r="CI31" i="2"/>
  <c r="DP16" i="2"/>
  <c r="CI19" i="2"/>
  <c r="M20" i="22"/>
  <c r="O20" i="22" s="1"/>
  <c r="DO12" i="2"/>
  <c r="BY18" i="2"/>
  <c r="M29" i="22"/>
  <c r="BO17" i="2"/>
  <c r="DP15" i="2"/>
  <c r="CD16" i="2"/>
  <c r="M24" i="22"/>
  <c r="N24" i="22"/>
  <c r="O24" i="22" s="1"/>
  <c r="M21" i="22"/>
  <c r="N21" i="22"/>
  <c r="O21" i="22" s="1"/>
  <c r="CV19" i="2"/>
  <c r="CW19" i="2"/>
  <c r="M30" i="22"/>
  <c r="N30" i="22"/>
  <c r="DP37" i="2"/>
  <c r="DO37" i="2"/>
  <c r="BU27" i="2"/>
  <c r="DT34" i="2"/>
  <c r="M25" i="22"/>
  <c r="N11" i="22"/>
  <c r="DP30" i="2"/>
  <c r="BZ30" i="2"/>
  <c r="BT27" i="2"/>
  <c r="BT30" i="2"/>
  <c r="BU30" i="2"/>
  <c r="DJ25" i="2"/>
  <c r="DP22" i="2"/>
  <c r="DK30" i="2"/>
  <c r="DJ30" i="2"/>
  <c r="DQ30" i="2"/>
  <c r="DP27" i="2"/>
  <c r="BT33" i="2"/>
  <c r="BU33" i="2"/>
  <c r="BY24" i="2"/>
  <c r="BZ24" i="2"/>
  <c r="DP24" i="2"/>
  <c r="BO22" i="2"/>
  <c r="CV37" i="2"/>
  <c r="N32" i="22"/>
  <c r="M32" i="22"/>
  <c r="DJ29" i="2"/>
  <c r="DQ29" i="2"/>
  <c r="DK29" i="2"/>
  <c r="BU26" i="2"/>
  <c r="BT21" i="2"/>
  <c r="BU21" i="2"/>
  <c r="J34" i="22"/>
  <c r="DJ24" i="2"/>
  <c r="BZ23" i="2"/>
  <c r="BY23" i="2"/>
  <c r="DO29" i="2"/>
  <c r="DP29" i="2"/>
  <c r="DK23" i="2"/>
  <c r="DJ23" i="2"/>
  <c r="DQ23" i="2"/>
  <c r="CW20" i="2"/>
  <c r="CV20" i="2"/>
  <c r="CR37" i="2"/>
  <c r="CQ37" i="2"/>
  <c r="BU20" i="2"/>
  <c r="BT20" i="2"/>
  <c r="CI18" i="2"/>
  <c r="CJ18" i="2"/>
  <c r="CE22" i="2"/>
  <c r="CD22" i="2"/>
  <c r="BY19" i="2"/>
  <c r="BZ19" i="2"/>
  <c r="DJ34" i="2"/>
  <c r="DK34" i="2"/>
  <c r="BU36" i="2"/>
  <c r="DQ11" i="2"/>
  <c r="DJ11" i="2"/>
  <c r="DK11" i="2"/>
  <c r="BY8" i="2"/>
  <c r="BZ8" i="2"/>
  <c r="CK7" i="2"/>
  <c r="CN7" i="2"/>
  <c r="DJ9" i="2"/>
  <c r="DQ9" i="2"/>
  <c r="DK9" i="2"/>
  <c r="BT31" i="2"/>
  <c r="CE29" i="2"/>
  <c r="CD29" i="2"/>
  <c r="CI30" i="2"/>
  <c r="DO28" i="2"/>
  <c r="DP28" i="2"/>
  <c r="DQ14" i="2"/>
  <c r="DJ14" i="2"/>
  <c r="DK14" i="2"/>
  <c r="CD11" i="2"/>
  <c r="CE11" i="2"/>
  <c r="CW10" i="2"/>
  <c r="CV10" i="2"/>
  <c r="CQ33" i="2"/>
  <c r="CR33" i="2"/>
  <c r="CE19" i="2"/>
  <c r="CD19" i="2"/>
  <c r="CE23" i="2"/>
  <c r="CD23" i="2"/>
  <c r="DJ19" i="2"/>
  <c r="DQ19" i="2"/>
  <c r="DK19" i="2"/>
  <c r="BU10" i="2"/>
  <c r="BT10" i="2"/>
  <c r="BY10" i="2"/>
  <c r="BZ10" i="2"/>
  <c r="M8" i="22"/>
  <c r="O8" i="22" s="1"/>
  <c r="N8" i="22"/>
  <c r="CE10" i="2"/>
  <c r="CD10" i="2"/>
  <c r="J15" i="22"/>
  <c r="K15" i="22" s="1"/>
  <c r="CV13" i="2"/>
  <c r="CW13" i="2"/>
  <c r="CJ13" i="2"/>
  <c r="CI13" i="2"/>
  <c r="CE21" i="2"/>
  <c r="CD21" i="2"/>
  <c r="CD12" i="2"/>
  <c r="CE12" i="2"/>
  <c r="CJ9" i="2"/>
  <c r="CI9" i="2"/>
  <c r="CW8" i="2"/>
  <c r="CV8" i="2"/>
  <c r="CQ35" i="2"/>
  <c r="CR35" i="2"/>
  <c r="BO9" i="2"/>
  <c r="CR12" i="2"/>
  <c r="CQ12" i="2"/>
  <c r="BO15" i="2"/>
  <c r="CJ11" i="2"/>
  <c r="CI11" i="2"/>
  <c r="BZ11" i="2"/>
  <c r="BY11" i="2"/>
  <c r="CD9" i="2"/>
  <c r="CE9" i="2"/>
  <c r="CR23" i="2"/>
  <c r="CQ23" i="2"/>
  <c r="CR34" i="2"/>
  <c r="CQ34" i="2"/>
  <c r="CR8" i="2"/>
  <c r="CQ8" i="2"/>
  <c r="CW36" i="2"/>
  <c r="CV36" i="2"/>
  <c r="CE34" i="2"/>
  <c r="CD34" i="2"/>
  <c r="J37" i="22"/>
  <c r="K37" i="22" s="1"/>
  <c r="CD32" i="2"/>
  <c r="CE32" i="2"/>
  <c r="BU25" i="2"/>
  <c r="CE13" i="2"/>
  <c r="CD13" i="2"/>
  <c r="CR28" i="2"/>
  <c r="CQ28" i="2"/>
  <c r="BT15" i="2"/>
  <c r="BU15" i="2"/>
  <c r="CW28" i="2"/>
  <c r="CV28" i="2"/>
  <c r="BT18" i="2"/>
  <c r="BU18" i="2"/>
  <c r="CJ35" i="2"/>
  <c r="CI35" i="2"/>
  <c r="DK28" i="2"/>
  <c r="DJ28" i="2"/>
  <c r="DQ28" i="2"/>
  <c r="DJ22" i="2"/>
  <c r="DQ22" i="2"/>
  <c r="DK22" i="2"/>
  <c r="CW14" i="2"/>
  <c r="CV14" i="2"/>
  <c r="DK10" i="2"/>
  <c r="DJ10" i="2"/>
  <c r="DQ10" i="2"/>
  <c r="CQ26" i="2"/>
  <c r="CR26" i="2"/>
  <c r="CJ16" i="2"/>
  <c r="CI16" i="2"/>
  <c r="BT25" i="2"/>
  <c r="DP36" i="2"/>
  <c r="DO36" i="2"/>
  <c r="CD25" i="2"/>
  <c r="CE25" i="2"/>
  <c r="CV27" i="2"/>
  <c r="CW27" i="2"/>
  <c r="DK13" i="2"/>
  <c r="DJ13" i="2"/>
  <c r="DQ13" i="2"/>
  <c r="CV23" i="2"/>
  <c r="CW23" i="2"/>
  <c r="CW16" i="2"/>
  <c r="CV16" i="2"/>
  <c r="BZ28" i="2"/>
  <c r="BY28" i="2"/>
  <c r="CW26" i="2"/>
  <c r="CV26" i="2"/>
  <c r="DK26" i="2"/>
  <c r="DQ26" i="2"/>
  <c r="M18" i="22"/>
  <c r="O18" i="22" s="1"/>
  <c r="N18" i="22"/>
  <c r="DK12" i="2"/>
  <c r="DQ12" i="2"/>
  <c r="DJ12" i="2"/>
  <c r="N12" i="22"/>
  <c r="M12" i="22"/>
  <c r="BY14" i="2"/>
  <c r="BZ14" i="2"/>
  <c r="J13" i="22"/>
  <c r="K13" i="22" s="1"/>
  <c r="CV17" i="2"/>
  <c r="CW17" i="2"/>
  <c r="CJ10" i="2"/>
  <c r="CI10" i="2"/>
  <c r="DJ8" i="2"/>
  <c r="DK8" i="2"/>
  <c r="DQ8" i="2"/>
  <c r="CR36" i="2"/>
  <c r="CQ36" i="2"/>
  <c r="CQ15" i="2"/>
  <c r="CR15" i="2"/>
  <c r="CI17" i="2"/>
  <c r="CJ17" i="2"/>
  <c r="DP13" i="2"/>
  <c r="BO20" i="2"/>
  <c r="J10" i="22"/>
  <c r="K10" i="22" s="1"/>
  <c r="BT9" i="2"/>
  <c r="BU9" i="2"/>
  <c r="CQ21" i="2"/>
  <c r="CR21" i="2"/>
  <c r="CR18" i="2"/>
  <c r="CQ18" i="2"/>
  <c r="CQ9" i="2"/>
  <c r="CR9" i="2"/>
  <c r="CV32" i="2"/>
  <c r="CW32" i="2"/>
  <c r="CD20" i="2"/>
  <c r="CE20" i="2"/>
  <c r="CE35" i="2"/>
  <c r="CD35" i="2"/>
  <c r="CW31" i="2"/>
  <c r="CV31" i="2"/>
  <c r="BU22" i="2"/>
  <c r="BT22" i="2"/>
  <c r="CV29" i="2"/>
  <c r="CW29" i="2"/>
  <c r="DO32" i="2"/>
  <c r="DP32" i="2"/>
  <c r="CI32" i="2"/>
  <c r="CJ32" i="2"/>
  <c r="BY27" i="2"/>
  <c r="CE24" i="2"/>
  <c r="CD24" i="2"/>
  <c r="CJ33" i="2"/>
  <c r="CI33" i="2"/>
  <c r="CQ24" i="2"/>
  <c r="CR24" i="2"/>
  <c r="CJ24" i="2"/>
  <c r="CI24" i="2"/>
  <c r="BZ34" i="2"/>
  <c r="BY34" i="2"/>
  <c r="CJ34" i="2"/>
  <c r="CI34" i="2"/>
  <c r="CJ26" i="2"/>
  <c r="CI26" i="2"/>
  <c r="BY21" i="2"/>
  <c r="BZ21" i="2"/>
  <c r="DJ33" i="2"/>
  <c r="DK33" i="2"/>
  <c r="CE31" i="2"/>
  <c r="CD31" i="2"/>
  <c r="BT23" i="2"/>
  <c r="BU23" i="2"/>
  <c r="CW35" i="2"/>
  <c r="CV35" i="2"/>
  <c r="BU29" i="2"/>
  <c r="BT29" i="2"/>
  <c r="DK15" i="2"/>
  <c r="DJ15" i="2"/>
  <c r="DQ15" i="2"/>
  <c r="CW12" i="2"/>
  <c r="CV12" i="2"/>
  <c r="BZ15" i="2"/>
  <c r="BY15" i="2"/>
  <c r="CJ20" i="2"/>
  <c r="CI20" i="2"/>
  <c r="BZ20" i="2"/>
  <c r="BY20" i="2"/>
  <c r="CI12" i="2"/>
  <c r="CJ12" i="2"/>
  <c r="BY12" i="2"/>
  <c r="BZ12" i="2"/>
  <c r="CL7" i="2"/>
  <c r="CO7" i="2"/>
  <c r="BU35" i="2"/>
  <c r="BT35" i="2"/>
  <c r="M22" i="22"/>
  <c r="N22" i="22"/>
  <c r="CV21" i="2"/>
  <c r="CW21" i="2"/>
  <c r="M10" i="22"/>
  <c r="N10" i="22"/>
  <c r="BY16" i="2"/>
  <c r="BZ16" i="2"/>
  <c r="BT16" i="2"/>
  <c r="BU16" i="2"/>
  <c r="J22" i="22"/>
  <c r="K22" i="22" s="1"/>
  <c r="DK21" i="2"/>
  <c r="DJ21" i="2"/>
  <c r="DQ21" i="2"/>
  <c r="CE17" i="2"/>
  <c r="CD17" i="2"/>
  <c r="CJ8" i="2"/>
  <c r="CI8" i="2"/>
  <c r="CE8" i="2"/>
  <c r="CD8" i="2"/>
  <c r="BU28" i="2"/>
  <c r="N31" i="22"/>
  <c r="M31" i="22"/>
  <c r="DQ18" i="2"/>
  <c r="DJ18" i="2"/>
  <c r="DK18" i="2"/>
  <c r="DK17" i="2"/>
  <c r="DJ17" i="2"/>
  <c r="DQ17" i="2"/>
  <c r="CW18" i="2"/>
  <c r="CV18" i="2"/>
  <c r="CI14" i="2"/>
  <c r="CJ14" i="2"/>
  <c r="CV22" i="2"/>
  <c r="CW22" i="2"/>
  <c r="CD14" i="2"/>
  <c r="CE14" i="2"/>
  <c r="CQ22" i="2"/>
  <c r="CR22" i="2"/>
  <c r="DP17" i="2"/>
  <c r="BZ13" i="2"/>
  <c r="BY13" i="2"/>
  <c r="BT13" i="2"/>
  <c r="BU13" i="2"/>
  <c r="BZ9" i="2"/>
  <c r="BY9" i="2"/>
  <c r="DP9" i="2"/>
  <c r="CQ16" i="2"/>
  <c r="CR16" i="2"/>
  <c r="CQ14" i="2"/>
  <c r="CR14" i="2"/>
  <c r="J16" i="22"/>
  <c r="K16" i="22" s="1"/>
  <c r="BT11" i="2"/>
  <c r="BU11" i="2"/>
  <c r="CW11" i="2"/>
  <c r="CV11" i="2"/>
  <c r="CQ13" i="2"/>
  <c r="CR13" i="2"/>
  <c r="J12" i="22"/>
  <c r="K12" i="22" s="1"/>
  <c r="CR25" i="2"/>
  <c r="CQ25" i="2"/>
  <c r="CQ29" i="2"/>
  <c r="CR29" i="2"/>
  <c r="CW34" i="2"/>
  <c r="CV34" i="2"/>
  <c r="N37" i="22"/>
  <c r="M37" i="22"/>
  <c r="DS25" i="2"/>
  <c r="DK20" i="2"/>
  <c r="CI27" i="2"/>
  <c r="CW30" i="2"/>
  <c r="CV30" i="2"/>
  <c r="J26" i="22"/>
  <c r="K26" i="22" s="1"/>
  <c r="CJ22" i="2"/>
  <c r="CI22" i="2"/>
  <c r="BY22" i="2"/>
  <c r="BZ22" i="2"/>
  <c r="DK24" i="2"/>
  <c r="DQ24" i="2"/>
  <c r="BZ37" i="2"/>
  <c r="BY37" i="2"/>
  <c r="J35" i="22"/>
  <c r="BZ32" i="2"/>
  <c r="BY32" i="2"/>
  <c r="J31" i="22"/>
  <c r="J28" i="22"/>
  <c r="CE27" i="2"/>
  <c r="CD27" i="2"/>
  <c r="BU24" i="2"/>
  <c r="BT24" i="2"/>
  <c r="DK37" i="2"/>
  <c r="DJ37" i="2"/>
  <c r="DQ37" i="2"/>
  <c r="BT34" i="2"/>
  <c r="BU34" i="2"/>
  <c r="DP34" i="2"/>
  <c r="DO34" i="2"/>
  <c r="DQ32" i="2"/>
  <c r="DK32" i="2"/>
  <c r="DJ32" i="2"/>
  <c r="CD36" i="2"/>
  <c r="J36" i="22"/>
  <c r="CJ21" i="2"/>
  <c r="CI21" i="2"/>
  <c r="N33" i="22"/>
  <c r="M33" i="22"/>
  <c r="CE30" i="2"/>
  <c r="CD30" i="2"/>
  <c r="CV33" i="2"/>
  <c r="CJ23" i="2"/>
  <c r="CI23" i="2"/>
  <c r="BO21" i="2"/>
  <c r="BZ29" i="2"/>
  <c r="BY29" i="2"/>
  <c r="BY25" i="2"/>
  <c r="BZ25" i="2"/>
  <c r="BO8" i="2"/>
  <c r="CM7" i="2"/>
  <c r="CP7" i="2"/>
  <c r="CI15" i="2"/>
  <c r="CJ15" i="2"/>
  <c r="CV15" i="2"/>
  <c r="CW15" i="2"/>
  <c r="BU12" i="2"/>
  <c r="BT12" i="2" s="1"/>
  <c r="BZ35" i="2"/>
  <c r="BY35" i="2"/>
  <c r="DO35" i="2"/>
  <c r="DP35" i="2"/>
  <c r="N28" i="22"/>
  <c r="M28" i="22"/>
  <c r="BO25" i="2"/>
  <c r="DJ16" i="2"/>
  <c r="DK16" i="2"/>
  <c r="DQ16" i="2"/>
  <c r="BU19" i="2"/>
  <c r="BT19" i="2"/>
  <c r="CE15" i="2"/>
  <c r="CD15" i="2"/>
  <c r="CV9" i="2"/>
  <c r="CW9" i="2"/>
  <c r="CQ27" i="2"/>
  <c r="CR27" i="2"/>
  <c r="DJ36" i="2"/>
  <c r="DQ36" i="2"/>
  <c r="DK36" i="2"/>
  <c r="DJ35" i="2"/>
  <c r="DQ35" i="2"/>
  <c r="DK35" i="2"/>
  <c r="CI29" i="2"/>
  <c r="CQ32" i="2"/>
  <c r="BT8" i="2"/>
  <c r="BU8" i="2"/>
  <c r="DP8" i="2"/>
  <c r="CJ28" i="2"/>
  <c r="CI28" i="2"/>
  <c r="BO26" i="2"/>
  <c r="DJ31" i="2"/>
  <c r="DQ31" i="2"/>
  <c r="DK31" i="2"/>
  <c r="DJ27" i="2"/>
  <c r="DK27" i="2"/>
  <c r="DQ27" i="2"/>
  <c r="N14" i="22"/>
  <c r="M14" i="22"/>
  <c r="O14" i="22" s="1"/>
  <c r="J17" i="22"/>
  <c r="K17" i="22" s="1"/>
  <c r="DP14" i="2"/>
  <c r="BT14" i="2"/>
  <c r="BU14" i="2"/>
  <c r="CD18" i="2"/>
  <c r="CE18" i="2"/>
  <c r="BO11" i="2"/>
  <c r="DP10" i="2"/>
  <c r="CR17" i="2"/>
  <c r="CQ17" i="2"/>
  <c r="CR10" i="2"/>
  <c r="CQ10" i="2"/>
  <c r="BY17" i="2"/>
  <c r="BZ17" i="2"/>
  <c r="BU17" i="2"/>
  <c r="BT17" i="2"/>
  <c r="CR11" i="2"/>
  <c r="CQ11" i="2"/>
  <c r="CR19" i="2"/>
  <c r="CQ19" i="2"/>
  <c r="BO12" i="2"/>
  <c r="DP11" i="2"/>
  <c r="CQ20" i="2"/>
  <c r="CR20" i="2"/>
  <c r="N27" i="22"/>
  <c r="O27" i="22" s="1"/>
  <c r="AH4" i="3"/>
  <c r="AI4" i="3" s="1"/>
  <c r="AG4" i="3"/>
  <c r="AH33" i="2"/>
  <c r="AH31" i="2"/>
  <c r="AH27" i="2"/>
  <c r="AH8" i="2"/>
  <c r="AH26" i="2"/>
  <c r="AH22" i="2"/>
  <c r="AH14" i="2"/>
  <c r="AH29" i="2"/>
  <c r="AH17" i="2"/>
  <c r="AH24" i="2"/>
  <c r="AH35" i="2"/>
  <c r="AH12" i="2"/>
  <c r="AH36" i="2"/>
  <c r="AH13" i="2"/>
  <c r="AH20" i="2"/>
  <c r="AH18" i="2"/>
  <c r="AH30" i="2"/>
  <c r="AH32" i="2"/>
  <c r="AH34" i="2"/>
  <c r="AH11" i="2"/>
  <c r="AH16" i="2"/>
  <c r="AH9" i="2"/>
  <c r="AH19" i="2"/>
  <c r="AH25" i="2"/>
  <c r="AH10" i="2"/>
  <c r="AH15" i="2"/>
  <c r="AH21" i="2"/>
  <c r="AH28" i="2"/>
  <c r="AH23" i="2"/>
  <c r="J11" i="22" l="1"/>
  <c r="K11" i="22" s="1"/>
  <c r="O11" i="22" s="1"/>
  <c r="DP33" i="2"/>
  <c r="DO33" i="2"/>
  <c r="BZ26" i="2"/>
  <c r="BY26" i="2"/>
  <c r="BU37" i="2"/>
  <c r="BZ33" i="2"/>
  <c r="BY33" i="2"/>
  <c r="N36" i="22"/>
  <c r="M36" i="22"/>
  <c r="DO31" i="2"/>
  <c r="DP31" i="2"/>
  <c r="M11" i="22"/>
  <c r="M34" i="22"/>
  <c r="N34" i="22"/>
  <c r="CQ30" i="2"/>
  <c r="O37" i="22"/>
  <c r="M23" i="22"/>
  <c r="N9" i="22"/>
  <c r="O9" i="22" s="1"/>
  <c r="O12" i="22"/>
  <c r="N17" i="22"/>
  <c r="O17" i="22" s="1"/>
  <c r="M17" i="22"/>
  <c r="DS17" i="2"/>
  <c r="DT17" i="2"/>
  <c r="DT21" i="2"/>
  <c r="DS21" i="2"/>
  <c r="DT15" i="2"/>
  <c r="DS15" i="2"/>
  <c r="DT19" i="2"/>
  <c r="DS19" i="2"/>
  <c r="DS32" i="2"/>
  <c r="DT32" i="2"/>
  <c r="O10" i="22"/>
  <c r="N13" i="22"/>
  <c r="O13" i="22" s="1"/>
  <c r="M13" i="22"/>
  <c r="DS14" i="2"/>
  <c r="DT14" i="2"/>
  <c r="DS30" i="2"/>
  <c r="DT30" i="2"/>
  <c r="DT37" i="2"/>
  <c r="DS37" i="2"/>
  <c r="DT36" i="2"/>
  <c r="DS36" i="2"/>
  <c r="DT27" i="2"/>
  <c r="DS27" i="2"/>
  <c r="DS31" i="2"/>
  <c r="DT31" i="2"/>
  <c r="DT35" i="2"/>
  <c r="DS35" i="2"/>
  <c r="DT24" i="2"/>
  <c r="DS24" i="2"/>
  <c r="O22" i="22"/>
  <c r="DT8" i="2"/>
  <c r="DS8" i="2"/>
  <c r="DS13" i="2"/>
  <c r="DT13" i="2"/>
  <c r="DT22" i="2"/>
  <c r="DS22" i="2"/>
  <c r="DT9" i="2"/>
  <c r="DS9" i="2"/>
  <c r="DT11" i="2"/>
  <c r="DS11" i="2"/>
  <c r="M16" i="22"/>
  <c r="N16" i="22"/>
  <c r="O16" i="22" s="1"/>
  <c r="DT16" i="2"/>
  <c r="DS16" i="2"/>
  <c r="N26" i="22"/>
  <c r="O26" i="22" s="1"/>
  <c r="M26" i="22"/>
  <c r="DS18" i="2"/>
  <c r="DT18" i="2"/>
  <c r="DT12" i="2"/>
  <c r="DS12" i="2"/>
  <c r="DT26" i="2"/>
  <c r="DS26" i="2"/>
  <c r="DT10" i="2"/>
  <c r="DS10" i="2"/>
  <c r="DS28" i="2"/>
  <c r="DT28" i="2"/>
  <c r="M15" i="22"/>
  <c r="N15" i="22"/>
  <c r="O15" i="22" s="1"/>
  <c r="DS23" i="2"/>
  <c r="DT23" i="2"/>
  <c r="DS29" i="2"/>
  <c r="DT29" i="2"/>
  <c r="AH37" i="2"/>
</calcChain>
</file>

<file path=xl/comments1.xml><?xml version="1.0" encoding="utf-8"?>
<comments xmlns="http://schemas.openxmlformats.org/spreadsheetml/2006/main">
  <authors>
    <author>Tom Powell</author>
  </authors>
  <commentList>
    <comment ref="J31" authorId="0">
      <text>
        <r>
          <rPr>
            <b/>
            <sz val="8"/>
            <color indexed="81"/>
            <rFont val="Tahoma"/>
            <charset val="1"/>
          </rPr>
          <t>Tom Powell:</t>
        </r>
        <r>
          <rPr>
            <sz val="8"/>
            <color indexed="81"/>
            <rFont val="Tahoma"/>
            <charset val="1"/>
          </rPr>
          <t xml:space="preserve">
includes -3, and plotted on PCO2 axis</t>
        </r>
      </text>
    </comment>
  </commentList>
</comments>
</file>

<file path=xl/comments2.xml><?xml version="1.0" encoding="utf-8"?>
<comments xmlns="http://schemas.openxmlformats.org/spreadsheetml/2006/main">
  <authors>
    <author>Tom Powell</author>
    <author>Tom</author>
  </authors>
  <commentList>
    <comment ref="AE7" authorId="0">
      <text>
        <r>
          <rPr>
            <b/>
            <sz val="8"/>
            <color indexed="81"/>
            <rFont val="Tahoma"/>
          </rPr>
          <t>Tom Powell:</t>
        </r>
        <r>
          <rPr>
            <sz val="8"/>
            <color indexed="81"/>
            <rFont val="Tahoma"/>
          </rPr>
          <t xml:space="preserve">
Hem suggests 100 to 1 ratio of conductance and anion or cation sum as general rule for data checking.</t>
        </r>
      </text>
    </comment>
    <comment ref="DC7" authorId="1">
      <text>
        <r>
          <rPr>
            <b/>
            <sz val="9"/>
            <color indexed="81"/>
            <rFont val="Tahoma"/>
            <family val="2"/>
          </rPr>
          <t>Tom:</t>
        </r>
        <r>
          <rPr>
            <sz val="9"/>
            <color indexed="81"/>
            <rFont val="Tahoma"/>
            <family val="2"/>
          </rPr>
          <t xml:space="preserve">
Fournier &amp; Potter 1982</t>
        </r>
      </text>
    </comment>
    <comment ref="DE7" authorId="1">
      <text>
        <r>
          <rPr>
            <b/>
            <sz val="9"/>
            <color indexed="81"/>
            <rFont val="Tahoma"/>
            <family val="2"/>
          </rPr>
          <t>Tom:</t>
        </r>
        <r>
          <rPr>
            <sz val="9"/>
            <color indexed="81"/>
            <rFont val="Tahoma"/>
            <family val="2"/>
          </rPr>
          <t xml:space="preserve">
Equation for liquid enthalpy from Fournier UNU Silica presentation 50C to 340C</t>
        </r>
      </text>
    </comment>
  </commentList>
</comments>
</file>

<file path=xl/sharedStrings.xml><?xml version="1.0" encoding="utf-8"?>
<sst xmlns="http://schemas.openxmlformats.org/spreadsheetml/2006/main" count="2380" uniqueCount="984">
  <si>
    <t>Outer border</t>
  </si>
  <si>
    <t xml:space="preserve">X </t>
  </si>
  <si>
    <t>Y</t>
  </si>
  <si>
    <t>X</t>
  </si>
  <si>
    <t>A percentage grid</t>
  </si>
  <si>
    <t>B percentage grid</t>
  </si>
  <si>
    <t>C percentage grid</t>
  </si>
  <si>
    <t>A</t>
  </si>
  <si>
    <t>C</t>
  </si>
  <si>
    <t>Date</t>
  </si>
  <si>
    <t>Source</t>
  </si>
  <si>
    <t>factors:</t>
  </si>
  <si>
    <t>Labels:</t>
  </si>
  <si>
    <t>Liquid Ternaries</t>
  </si>
  <si>
    <t>Ca</t>
  </si>
  <si>
    <t>Li</t>
  </si>
  <si>
    <t>B</t>
  </si>
  <si>
    <t>Cl</t>
  </si>
  <si>
    <t>SO4</t>
  </si>
  <si>
    <t>Sr</t>
  </si>
  <si>
    <t>Ba</t>
  </si>
  <si>
    <t>Cs</t>
  </si>
  <si>
    <t>Rb</t>
  </si>
  <si>
    <t>LRC Ternary</t>
  </si>
  <si>
    <t>CLB Ternary</t>
  </si>
  <si>
    <t>mg/kg</t>
  </si>
  <si>
    <t>Granite</t>
  </si>
  <si>
    <t>Diorite</t>
  </si>
  <si>
    <t>Basalt</t>
  </si>
  <si>
    <t>Ultramafic</t>
  </si>
  <si>
    <t>Limestone</t>
  </si>
  <si>
    <t>Sandstone</t>
  </si>
  <si>
    <t>Shale</t>
  </si>
  <si>
    <t>Seawater</t>
  </si>
  <si>
    <t>Granite EM</t>
  </si>
  <si>
    <t>Basalt EM</t>
  </si>
  <si>
    <t>Diorite EM</t>
  </si>
  <si>
    <t>HCO3</t>
  </si>
  <si>
    <t>pH</t>
  </si>
  <si>
    <t>Sample Name</t>
  </si>
  <si>
    <t>Sample Label</t>
  </si>
  <si>
    <t>CSH Ternary</t>
  </si>
  <si>
    <t>Na</t>
  </si>
  <si>
    <t>K</t>
  </si>
  <si>
    <t>Mg</t>
  </si>
  <si>
    <t>SiO2</t>
  </si>
  <si>
    <t>F</t>
  </si>
  <si>
    <t>CO3</t>
  </si>
  <si>
    <t>NH4</t>
  </si>
  <si>
    <t>As</t>
  </si>
  <si>
    <t>Fe</t>
  </si>
  <si>
    <t>Mn</t>
  </si>
  <si>
    <t>Mature</t>
  </si>
  <si>
    <t>NKM Ternary</t>
  </si>
  <si>
    <t>Mg^.5</t>
  </si>
  <si>
    <t>NKM</t>
  </si>
  <si>
    <t>KM v KC</t>
  </si>
  <si>
    <t>and</t>
  </si>
  <si>
    <t>chalcedony</t>
  </si>
  <si>
    <t>quartz</t>
  </si>
  <si>
    <t>alpha Cristo</t>
  </si>
  <si>
    <t>Mg+Ca v K+Na</t>
  </si>
  <si>
    <t>K+Na</t>
  </si>
  <si>
    <t>Mg+Ca</t>
  </si>
  <si>
    <t>K/Na factor=</t>
  </si>
  <si>
    <t>delO-18</t>
  </si>
  <si>
    <t>delD</t>
  </si>
  <si>
    <t>sum cations</t>
  </si>
  <si>
    <t>sum anions</t>
  </si>
  <si>
    <t>isotopes</t>
  </si>
  <si>
    <t>del O-18</t>
  </si>
  <si>
    <t>Del D</t>
  </si>
  <si>
    <t>origin</t>
  </si>
  <si>
    <t>Meteoric trend line</t>
  </si>
  <si>
    <t>Magmatic water</t>
  </si>
  <si>
    <t>Del O-18</t>
  </si>
  <si>
    <t>Temp C</t>
  </si>
  <si>
    <t>H steam</t>
  </si>
  <si>
    <t>M</t>
  </si>
  <si>
    <t>AC</t>
  </si>
  <si>
    <t>Tqtz</t>
  </si>
  <si>
    <t>Elevation</t>
  </si>
  <si>
    <t>10Mg/(Ca+10Mg)</t>
  </si>
  <si>
    <t>10Mg/(10Mg+Ca)</t>
  </si>
  <si>
    <t>10K/(10K+Na)</t>
  </si>
  <si>
    <r>
      <t>log(K</t>
    </r>
    <r>
      <rPr>
        <vertAlign val="superscript"/>
        <sz val="10"/>
        <rFont val="Arial"/>
        <family val="2"/>
      </rPr>
      <t>2</t>
    </r>
    <r>
      <rPr>
        <sz val="10"/>
        <rFont val="Arial"/>
      </rPr>
      <t>/Ca)</t>
    </r>
  </si>
  <si>
    <t>Mg^0.5</t>
  </si>
  <si>
    <t>UTM east</t>
  </si>
  <si>
    <t>UTM north</t>
  </si>
  <si>
    <t>CFB Ternary</t>
  </si>
  <si>
    <t>Tqtz Enthalpy  kj/kg</t>
  </si>
  <si>
    <t>Fixed address field for input data</t>
  </si>
  <si>
    <t>E</t>
  </si>
  <si>
    <t>UTM East</t>
  </si>
  <si>
    <t>UTM North</t>
  </si>
  <si>
    <t>G</t>
  </si>
  <si>
    <t>H</t>
  </si>
  <si>
    <t>I</t>
  </si>
  <si>
    <t>J</t>
  </si>
  <si>
    <t>L</t>
  </si>
  <si>
    <t>N</t>
  </si>
  <si>
    <t>O</t>
  </si>
  <si>
    <t>P</t>
  </si>
  <si>
    <t>Q</t>
  </si>
  <si>
    <t>R</t>
  </si>
  <si>
    <t>S</t>
  </si>
  <si>
    <t>T</t>
  </si>
  <si>
    <t>U</t>
  </si>
  <si>
    <t>V</t>
  </si>
  <si>
    <t>W</t>
  </si>
  <si>
    <t>Z</t>
  </si>
  <si>
    <t>AA</t>
  </si>
  <si>
    <t>AB</t>
  </si>
  <si>
    <t>AD</t>
  </si>
  <si>
    <t>AE</t>
  </si>
  <si>
    <t>AF</t>
  </si>
  <si>
    <t>log(K^2/Ca)</t>
  </si>
  <si>
    <t>log(K^2/Mg)</t>
  </si>
  <si>
    <t>D</t>
  </si>
  <si>
    <t>Amorphous Silica</t>
  </si>
  <si>
    <t>Na-K-Ca</t>
  </si>
  <si>
    <t>Geothermometers</t>
  </si>
  <si>
    <r>
      <t>log(K</t>
    </r>
    <r>
      <rPr>
        <vertAlign val="superscript"/>
        <sz val="10"/>
        <rFont val="Arial"/>
        <family val="2"/>
      </rPr>
      <t>2</t>
    </r>
    <r>
      <rPr>
        <sz val="10"/>
        <rFont val="Arial"/>
      </rPr>
      <t>/Mg)</t>
    </r>
  </si>
  <si>
    <t>rCO2 liquid</t>
  </si>
  <si>
    <t>Full Equilibrium</t>
  </si>
  <si>
    <t>rCO2 vapor expressed in PCO2</t>
  </si>
  <si>
    <t>Data entry field:</t>
  </si>
  <si>
    <t>1)</t>
  </si>
  <si>
    <t>2)</t>
  </si>
  <si>
    <t>3)</t>
  </si>
  <si>
    <t>4)</t>
  </si>
  <si>
    <t>5)</t>
  </si>
  <si>
    <t>6)</t>
  </si>
  <si>
    <t>7)</t>
  </si>
  <si>
    <t>8)</t>
  </si>
  <si>
    <t>Notes:</t>
  </si>
  <si>
    <t>Graphics can be edited directly as EXCEL97 graphics and certain grid dimentions (e.g. multipliers on ternary diagrams and evaporation cluster location on the stable isotope grid) can be changed on the 'input' sheet.  Fields for changing these parameters are located above the data entry field.</t>
  </si>
  <si>
    <t xml:space="preserve">Columns AG to BI are hidden.  These cells copy the cells in the input field based upon fixed cell addresses, so that data can be cut/pasted and moved in the input data field without changing cell addresses in the calculations.  </t>
  </si>
  <si>
    <t>Columns BM to CT are hidden.  These cells contain the geothermometer and ternary grid calculations</t>
  </si>
  <si>
    <r>
      <t xml:space="preserve">Two additional sheets used to generate the plots are hidden but available.  </t>
    </r>
    <r>
      <rPr>
        <b/>
        <sz val="12"/>
        <rFont val="Arial"/>
        <family val="2"/>
      </rPr>
      <t>Tgrid</t>
    </r>
    <r>
      <rPr>
        <sz val="12"/>
        <rFont val="Arial"/>
        <family val="2"/>
      </rPr>
      <t xml:space="preserve"> has the plot data for the ternary grids.  </t>
    </r>
    <r>
      <rPr>
        <b/>
        <sz val="12"/>
        <rFont val="Arial"/>
        <family val="2"/>
      </rPr>
      <t>Ref</t>
    </r>
    <r>
      <rPr>
        <sz val="12"/>
        <rFont val="Arial"/>
        <family val="2"/>
      </rPr>
      <t xml:space="preserve"> has reference plot data for the ternaries and cross plots.</t>
    </r>
  </si>
  <si>
    <t>Na-K-Ca Mg corr</t>
  </si>
  <si>
    <t>delta T R&gt;5</t>
  </si>
  <si>
    <t>delta T R&lt;5</t>
  </si>
  <si>
    <t>R factor Mg corr</t>
  </si>
  <si>
    <r>
      <t xml:space="preserve">Cond </t>
    </r>
    <r>
      <rPr>
        <b/>
        <sz val="8"/>
        <color indexed="62"/>
        <rFont val="Arial"/>
        <family val="2"/>
      </rPr>
      <t xml:space="preserve"> umhos/cm</t>
    </r>
  </si>
  <si>
    <t>Lab Number</t>
  </si>
  <si>
    <t>isotope labels</t>
  </si>
  <si>
    <t>Vertices for ternary diagrams</t>
  </si>
  <si>
    <t>tie lines</t>
  </si>
  <si>
    <t xml:space="preserve">Just for the </t>
  </si>
  <si>
    <t>Fractionation trends</t>
  </si>
  <si>
    <t>Chloride-enthalpy steam origin</t>
  </si>
  <si>
    <t>set from input sheet</t>
  </si>
  <si>
    <t>Rocks</t>
  </si>
  <si>
    <t>Tie Lines</t>
  </si>
  <si>
    <t>Cation equilibrium trends</t>
  </si>
  <si>
    <t>from input sheet</t>
  </si>
  <si>
    <t>Calcite sat lower limit</t>
  </si>
  <si>
    <t>Position of fractionation cluster</t>
  </si>
  <si>
    <t>Position of meteoric trend line label</t>
  </si>
  <si>
    <t>Isotopes</t>
  </si>
  <si>
    <t>Ternary plot multiplier factors:</t>
  </si>
  <si>
    <t>Charge Balance</t>
  </si>
  <si>
    <t>log (Ca^.5/Na) + 2.06</t>
  </si>
  <si>
    <t>T beta = 4/3</t>
  </si>
  <si>
    <t>beta</t>
  </si>
  <si>
    <t>10K/(Na+10K)</t>
  </si>
  <si>
    <t>Quartz adiabatic</t>
  </si>
  <si>
    <t>This spreadsheet accepts water chemistry and stable isotope data and plots them in standard ternary and geothermometer grids.  Data are pasted into the 'Input' sheet and appear on all the graphics applicable to that data type.  Data may also be cut, pasted and moved within the data entry field without changing cell addresses in the calculations.</t>
  </si>
  <si>
    <t>mg/kg =&gt; meq/litre</t>
  </si>
  <si>
    <t>Cond umohs/cm</t>
  </si>
  <si>
    <r>
      <t>Rows 7 through 36 accept data for the plots (30 data points).  The first 3 columns (</t>
    </r>
    <r>
      <rPr>
        <b/>
        <sz val="12"/>
        <rFont val="Arial"/>
        <family val="2"/>
      </rPr>
      <t>Sample Name</t>
    </r>
    <r>
      <rPr>
        <sz val="12"/>
        <rFont val="Arial"/>
        <family val="2"/>
      </rPr>
      <t>,</t>
    </r>
    <r>
      <rPr>
        <b/>
        <sz val="12"/>
        <rFont val="Arial"/>
        <family val="2"/>
      </rPr>
      <t xml:space="preserve"> Lab Number </t>
    </r>
    <r>
      <rPr>
        <sz val="12"/>
        <rFont val="Arial"/>
        <family val="2"/>
      </rPr>
      <t xml:space="preserve">&amp; </t>
    </r>
    <r>
      <rPr>
        <b/>
        <sz val="12"/>
        <rFont val="Arial"/>
        <family val="2"/>
      </rPr>
      <t>Date</t>
    </r>
    <r>
      <rPr>
        <sz val="12"/>
        <rFont val="Arial"/>
        <family val="2"/>
      </rPr>
      <t>) are not referenced by the plots and are there for user reference.</t>
    </r>
  </si>
  <si>
    <r>
      <t>Sample Label</t>
    </r>
    <r>
      <rPr>
        <sz val="12"/>
        <rFont val="Arial"/>
        <family val="2"/>
      </rPr>
      <t>' in column D is a text field that will determine the label for points on the plots.  The Excel 97 add-in 'X-Y chart labeler 97' can also be used to label the charts</t>
    </r>
  </si>
  <si>
    <r>
      <t xml:space="preserve">Columns E, F, G &amp; H are for </t>
    </r>
    <r>
      <rPr>
        <b/>
        <sz val="12"/>
        <rFont val="Arial"/>
        <family val="2"/>
      </rPr>
      <t>UTM location</t>
    </r>
    <r>
      <rPr>
        <sz val="12"/>
        <rFont val="Arial"/>
        <family val="2"/>
      </rPr>
      <t xml:space="preserve">, </t>
    </r>
    <r>
      <rPr>
        <b/>
        <sz val="12"/>
        <rFont val="Arial"/>
        <family val="2"/>
      </rPr>
      <t>elevation</t>
    </r>
    <r>
      <rPr>
        <sz val="12"/>
        <rFont val="Arial"/>
        <family val="2"/>
      </rPr>
      <t xml:space="preserve"> and</t>
    </r>
    <r>
      <rPr>
        <b/>
        <sz val="12"/>
        <rFont val="Arial"/>
        <family val="2"/>
      </rPr>
      <t xml:space="preserve"> </t>
    </r>
    <r>
      <rPr>
        <sz val="12"/>
        <rFont val="Arial"/>
        <family val="2"/>
      </rPr>
      <t>sample</t>
    </r>
    <r>
      <rPr>
        <b/>
        <sz val="12"/>
        <rFont val="Arial"/>
        <family val="2"/>
      </rPr>
      <t xml:space="preserve"> temperature</t>
    </r>
    <r>
      <rPr>
        <sz val="12"/>
        <rFont val="Arial"/>
        <family val="2"/>
      </rPr>
      <t>.  These will be used to plot the locations on the "Map" sheet.  Scales on the "Map" chart will need to be adjusted to accomodate the locations.  A square-dimentioned empty text box is included in the upper left corner to assist in rectifying the N-S and E-W grid scales of the map</t>
    </r>
  </si>
  <si>
    <t>Temperatures in degrees C</t>
  </si>
  <si>
    <t>Ternary vertex multipliers (the amounts multiplying the elements in the ternary plots) can be changed in the boxes above the data input field.  It should be noted that in most cases the values in the box are those used by the plot originator (i.e, W Giggenbach).   The location of the evaporation trend cluster in the isotope chart ("Iso") and the meteoric trend line label can be changed in the box on the upper right.</t>
  </si>
  <si>
    <t xml:space="preserve">The "Report" sheet gives the results of standard geothermometer calculations for the chemical analysis, along with sample name, source and date.  </t>
  </si>
  <si>
    <t>Points plotted on the grids are accompanied by labels input in column D.  Empty data rows (rows without input chemical or isotope data) are plotted outside of the chart area (99, -99, 999, etc) and their data labels are blank. Labels for incomplete data will sometimes be plotted to the left outside the chart area.  These can be removed for presentation by adjusting the plot ranges of the charts.  This may, however, permanently remove the labels from the data range beyond the plot range.  It is recommended that graphs to be altered for presentation should be moved to a separate sheet (Menu:"Edit"/"Move or Copy Sheet"/"Create a Copy" checkbox)</t>
  </si>
  <si>
    <t>Input units are in mg/kg of the chemical species indicated.  Data reported for a different variety of that species (i.e., NH3 rather than NH4) needs to be adjusted by the ratio of molecular weights (i.e. mg/kg NH4 = mg/kg NH3*(18/17))</t>
  </si>
  <si>
    <r>
      <t>Some labs report total inorganic carbon (H2CO3+HCO3</t>
    </r>
    <r>
      <rPr>
        <vertAlign val="superscript"/>
        <sz val="12"/>
        <rFont val="Arial"/>
        <family val="2"/>
      </rPr>
      <t>-</t>
    </r>
    <r>
      <rPr>
        <sz val="12"/>
        <rFont val="Arial"/>
        <family val="2"/>
      </rPr>
      <t>+CO3</t>
    </r>
    <r>
      <rPr>
        <vertAlign val="superscript"/>
        <sz val="12"/>
        <rFont val="Arial"/>
        <family val="2"/>
      </rPr>
      <t>=</t>
    </r>
    <r>
      <rPr>
        <sz val="12"/>
        <rFont val="Arial"/>
        <family val="2"/>
      </rPr>
      <t>) instead of bicarbonate and carbonate.  This is generally reported in units of bicarbonate ("as bicarbonate") and, confusingly, is often called bicarbonate.  If total inorganic carbon is entered into the bicarbonate field it will result in an excess of anions over cations because H2CO3 does not have a charge in solution. Data should be requested as concentrations of these separate carbonate specie (i.e., carbonic acid or dissolved CO2, bicarbonate and carbonate)</t>
    </r>
  </si>
  <si>
    <t>The charts and geothermometry report in this spreadsheet are described in an accompanying article by T Powell &amp; W Cumming delivered at the 35th Workshop on Geothermal Reservoir Engineering, Stanford University, Stanford, California, February 1-3, 2010.  References for the calculations and charts can be found in that document</t>
  </si>
  <si>
    <t>9)</t>
  </si>
  <si>
    <r>
      <t>Enter stable isotope data as "del" expressed in per mil (parts per thousand) in columns AE and AF.  Del values are computed relative to the SMOW standard, such that del = (R - R</t>
    </r>
    <r>
      <rPr>
        <vertAlign val="subscript"/>
        <sz val="12"/>
        <rFont val="Arial"/>
        <family val="2"/>
      </rPr>
      <t>SMOW</t>
    </r>
    <r>
      <rPr>
        <sz val="12"/>
        <rFont val="Arial"/>
        <family val="2"/>
      </rPr>
      <t>) / R</t>
    </r>
    <r>
      <rPr>
        <vertAlign val="subscript"/>
        <sz val="12"/>
        <rFont val="Arial"/>
        <family val="2"/>
      </rPr>
      <t>SMOW</t>
    </r>
    <r>
      <rPr>
        <sz val="12"/>
        <rFont val="Arial"/>
        <family val="2"/>
      </rPr>
      <t>, where R is the isotope ratio of the sample (</t>
    </r>
    <r>
      <rPr>
        <vertAlign val="superscript"/>
        <sz val="12"/>
        <rFont val="Arial"/>
        <family val="2"/>
      </rPr>
      <t>18</t>
    </r>
    <r>
      <rPr>
        <sz val="12"/>
        <rFont val="Arial"/>
        <family val="2"/>
      </rPr>
      <t>O/</t>
    </r>
    <r>
      <rPr>
        <vertAlign val="superscript"/>
        <sz val="12"/>
        <rFont val="Arial"/>
        <family val="2"/>
      </rPr>
      <t>16</t>
    </r>
    <r>
      <rPr>
        <sz val="12"/>
        <rFont val="Arial"/>
        <family val="2"/>
      </rPr>
      <t>O or D/H) and R</t>
    </r>
    <r>
      <rPr>
        <vertAlign val="subscript"/>
        <sz val="12"/>
        <rFont val="Arial"/>
        <family val="2"/>
      </rPr>
      <t>SMOW</t>
    </r>
    <r>
      <rPr>
        <sz val="12"/>
        <rFont val="Arial"/>
        <family val="2"/>
      </rPr>
      <t xml:space="preserve"> is the isotope ratio of the standard.  For most geothermal fluids both del </t>
    </r>
    <r>
      <rPr>
        <vertAlign val="superscript"/>
        <sz val="12"/>
        <rFont val="Arial"/>
        <family val="2"/>
      </rPr>
      <t>18</t>
    </r>
    <r>
      <rPr>
        <sz val="12"/>
        <rFont val="Arial"/>
        <family val="2"/>
      </rPr>
      <t xml:space="preserve">O and del D will be negative. </t>
    </r>
  </si>
  <si>
    <r>
      <t xml:space="preserve">del </t>
    </r>
    <r>
      <rPr>
        <b/>
        <vertAlign val="superscript"/>
        <sz val="10"/>
        <color indexed="62"/>
        <rFont val="Arial"/>
        <family val="2"/>
      </rPr>
      <t>18</t>
    </r>
    <r>
      <rPr>
        <b/>
        <sz val="10"/>
        <color indexed="62"/>
        <rFont val="Arial"/>
        <family val="2"/>
      </rPr>
      <t>O</t>
    </r>
  </si>
  <si>
    <t>del D</t>
  </si>
  <si>
    <r>
      <t>Columns BJ through BL present the sums of cations and anions charge (in meq/mg) and the charge balance as a percentage of the total ionic charge of the solution  [cations-anions]/[cations+anions]. Charge in milliequivalents per kg (meq/kg) is calculated using the conversion factors in Row 5 of hidden columns AG to BI. The conversion factor for iron assumes Fe</t>
    </r>
    <r>
      <rPr>
        <vertAlign val="superscript"/>
        <sz val="12"/>
        <rFont val="Arial"/>
        <family val="2"/>
      </rPr>
      <t>+2</t>
    </r>
    <r>
      <rPr>
        <sz val="12"/>
        <rFont val="Arial"/>
        <family val="2"/>
      </rPr>
      <t>.  The sum of cations includes pH only if a pH value is entered. Charge balances greater than +-5% are highlighted in red font.  An excess of anions or cations greater than this indicates an erroneous analysis of one of the major ionic species or a missing major ionic species</t>
    </r>
  </si>
  <si>
    <t>Versions:</t>
  </si>
  <si>
    <t>Copy water chemistry data into data field below.  Use negative numbers to indicate detection limit.  Data will be plotted at detection.  Cut &amp; paste or move data but do not delete lines or columns.</t>
  </si>
  <si>
    <t>factor</t>
  </si>
  <si>
    <t>XYZ Ternary</t>
  </si>
  <si>
    <t>column</t>
  </si>
  <si>
    <t>element</t>
  </si>
  <si>
    <t>Elements</t>
  </si>
  <si>
    <t xml:space="preserve">- Change to magnesium ion correction at R&lt;5 to correct for error in equasion.  Error caused temperature correction to be 2 deg C too great </t>
  </si>
  <si>
    <t xml:space="preserve"> - Added User defined XYZ ternary chart, so that User can define elements for the ternary, as well as multiplier factors.  Elements are chosen by inputing row letter in left column of box</t>
  </si>
  <si>
    <t>-Added row to top of input sheet to accommodate User Defined XYZ ternary</t>
  </si>
  <si>
    <t>-Fixed cell address of Sample Name in Report page, due to added row at top of Input page</t>
  </si>
  <si>
    <t>Steam Fraction</t>
  </si>
  <si>
    <t>AG</t>
  </si>
  <si>
    <t xml:space="preserve">Enter or copy in laboratory analysis data (as mg/kg) in columns I through AD.  Parts per million (ppm) is equivalent to mg/kg.  Data in moles/liter can be converted to mg/kg by multipying by the appropriate molecular weight of the analyte.  Henley, Truesdell &amp; Barton (1984) suggest that mg/litre can be converted directly to mg/kg without noticable error below about 35,000 mg/kg total dissolved solids, which can be approximated by the sum of analytes.  At higher concentrations a correction for the density of the sample is needed. Data are sometimes listed in weight percent, which can be directly converted to mg/kg (1wt%=10,000 mg/kg).  For a more complete discussion of units reported in analyses and their conversion to mg/kg, see Hem (1970).  Negative values are interpreted a "below detection" and are plotted at the detection limit.  </t>
  </si>
  <si>
    <t>input field column:</t>
  </si>
  <si>
    <t>Copy of input columns using indirect cell addresses to prevent changes to data addresses due to cut and move editing.  Converts values to absolute to plot at detection limit. Values in Row 6 are factors to convert mg/kg to miliequivalents per litre for charge balance calculation.</t>
  </si>
  <si>
    <t>-Corrected R&gt;5 equation for NaKCa Mg ion correction to equation in Fournier &amp; Potter 1979 GCA paper</t>
  </si>
  <si>
    <t>Alpha Cristobalite</t>
  </si>
  <si>
    <t>Beta Cristobalite</t>
  </si>
  <si>
    <t>Chalcedony conductive</t>
  </si>
  <si>
    <t>Quartz conductive</t>
  </si>
  <si>
    <t>Na/K  Fournier 1979</t>
  </si>
  <si>
    <t>Na/K  Truesdell 1976</t>
  </si>
  <si>
    <t>Na/K Giggenbach 1988</t>
  </si>
  <si>
    <t>Na/K Tonani 1980</t>
  </si>
  <si>
    <t>Na/K              Nieva &amp; Nieva        1987</t>
  </si>
  <si>
    <t>Na/K     Arnorsson    1983</t>
  </si>
  <si>
    <t>K/Mg Giggenbach 1986</t>
  </si>
  <si>
    <t>amorph</t>
  </si>
  <si>
    <t>Trilinear diagram</t>
  </si>
  <si>
    <t>Add:</t>
  </si>
  <si>
    <t>AddX:</t>
  </si>
  <si>
    <t>AddY:</t>
  </si>
  <si>
    <t>Cations percentage grid</t>
  </si>
  <si>
    <t>Anions percentage grid</t>
  </si>
  <si>
    <t>Na+K</t>
  </si>
  <si>
    <t>Piper plot parameters</t>
  </si>
  <si>
    <t>Separation of plot fields</t>
  </si>
  <si>
    <t>Cation ternary</t>
  </si>
  <si>
    <t>Anion ternary</t>
  </si>
  <si>
    <t>combined ternary</t>
  </si>
  <si>
    <t>Powell Geoscience Ltd.  3 September 2012</t>
  </si>
  <si>
    <t>Liquid chemistry plotting spreadsheet version 3</t>
  </si>
  <si>
    <t>Vent Enthalpy</t>
  </si>
  <si>
    <t>Corrected Chloride</t>
  </si>
  <si>
    <t>Chloride enthalpy plots</t>
  </si>
  <si>
    <t>beta Cristo</t>
  </si>
  <si>
    <t>SIO2</t>
  </si>
  <si>
    <t>Piper Plot</t>
  </si>
  <si>
    <t>From Input Sheet</t>
  </si>
  <si>
    <t>-Added column for steam fraction, so that well samples can be corrected for steam loss.  This correction is applled to geothermometer values, geothermometer plots and chloride enthalpy plot.  If steam fraction is left blank, a zero value is assumed and no correction is applied.  No correction is made to isotope data</t>
  </si>
  <si>
    <t>-Added enthalpy-chloride plot for discharge enthalpy, sheet "XClHdisch"</t>
  </si>
  <si>
    <t>-Added solubilities for alpha &amp; beta cristobalite and amorphous silica to Xkms plot</t>
  </si>
  <si>
    <t>-Added alpha &amp; beta cristobalite and additional Na/K geothermometers to "Report" sheet.</t>
  </si>
  <si>
    <t>-The steam fraction correction is made by multiplying the sample concentration by the liquid fraction, which is the complement (1-X) of the steam fraction.  Samples with an excess steam correction can be corrected by entering the complement of the liquid correction factor for the value of steam fraction</t>
  </si>
  <si>
    <t>Liquid_Analysis_v3_Powell&amp;Cumming_2010_StanfordGW  Geochemical Plotting Spreadsheet</t>
  </si>
  <si>
    <t>-Added Piper (Trilinear) Plot in sheet "Piper".  Data are plotted as milliequivalents/litre, not ppm.  Legend can be cropped by decreasing box size.  Separation of plot fields can be increased by changing spacing in Input field above charge balance</t>
  </si>
  <si>
    <t>Plumas County Warm Springs at Twain</t>
  </si>
  <si>
    <t>San Diego County Warner Hot Springs</t>
  </si>
  <si>
    <t>San Bernardino County Waterman Hot Spring</t>
  </si>
  <si>
    <t>Lassen County Wendel Hot Springs</t>
  </si>
  <si>
    <t>Ventura County Wheelers Hot Springs</t>
  </si>
  <si>
    <t>Napa County White Sulfur Springs</t>
  </si>
  <si>
    <t>Mono County Buckeye Hot Springs</t>
  </si>
  <si>
    <t>Shasta County Bumpass Hell</t>
  </si>
  <si>
    <t>Tulare County California Hot Springs</t>
  </si>
  <si>
    <t>Mono County Fales Hot Springs</t>
  </si>
  <si>
    <t>Imperial County Fish Springs</t>
  </si>
  <si>
    <t>Santa Clara County Gilroy Hot Spring</t>
  </si>
  <si>
    <t>Lake County Gordon Hot Spring</t>
  </si>
  <si>
    <t>Inyo County Grapevine Spring</t>
  </si>
  <si>
    <t>Lake County Grizzly Spring</t>
  </si>
  <si>
    <t>San Diego County De Luz Warm Springs</t>
  </si>
  <si>
    <t>Ventura County Vickers Hot Springs</t>
  </si>
  <si>
    <t>Inyo County Warm Spring</t>
  </si>
  <si>
    <t>Kern County Delonegha Hot Springs</t>
  </si>
  <si>
    <t>Kern County Democrat Hot Springs</t>
  </si>
  <si>
    <t>Lake County Seigler Hot Springs</t>
  </si>
  <si>
    <t>Ventura County Sespe Hot Springs</t>
  </si>
  <si>
    <t>Modoc County Seyferth Hot Springs</t>
  </si>
  <si>
    <t>San Bernardino County Sheep Creek Spring</t>
  </si>
  <si>
    <t>Inyo County Shoshone Spring</t>
  </si>
  <si>
    <t>Sonoma County Skaggs Springs</t>
  </si>
  <si>
    <t>Alpine County Grovers Hot Springs</t>
  </si>
  <si>
    <t>Alpine County Growler Hot Spring</t>
  </si>
  <si>
    <t>Lake County Harbin Springs</t>
  </si>
  <si>
    <t>Wendel Hot Springs area</t>
  </si>
  <si>
    <t>Lake County Highland Springs</t>
  </si>
  <si>
    <t>Riverside County Highland Springs</t>
  </si>
  <si>
    <t>Lake County Hog Hollow Spring</t>
  </si>
  <si>
    <t>Mono County Hot Bubbling Pool</t>
  </si>
  <si>
    <t>Mono County Hot Creek Springs</t>
  </si>
  <si>
    <t>Lake County Howard Hot Springs</t>
  </si>
  <si>
    <t>Madera County Reds Meadow Hot Springs</t>
  </si>
  <si>
    <t>Marin County Rocky Point Springs</t>
  </si>
  <si>
    <t>Stanislaus County Salt Grass Springs</t>
  </si>
  <si>
    <t>Orange County San Juan Hot Springs</t>
  </si>
  <si>
    <t>Merced County San Luis Forebay Spring</t>
  </si>
  <si>
    <t>Santa Barbara County San Marcos Hot Springs</t>
  </si>
  <si>
    <t>Mono County Unnamed Spring</t>
  </si>
  <si>
    <t>Napa County Unnamed Spring</t>
  </si>
  <si>
    <t>Orange County Unnamed Spring</t>
  </si>
  <si>
    <t>Siskiyou County Unnamed Spring</t>
  </si>
  <si>
    <t>San Joaquin County Unnamed Spring</t>
  </si>
  <si>
    <t>San Luis Obispo County Unnamed Spring</t>
  </si>
  <si>
    <t>Imperial County Unnamed Mud Pot</t>
  </si>
  <si>
    <t>Contra Costa County Unnamed Spring</t>
  </si>
  <si>
    <t>Inyo County Unnamed Spring</t>
  </si>
  <si>
    <t>Kern County Unnamed Spring</t>
  </si>
  <si>
    <t>Merced County Unnamed Spring</t>
  </si>
  <si>
    <t>Solano County Unnamed Spring</t>
  </si>
  <si>
    <t>Sonoma County Unnamed Spring</t>
  </si>
  <si>
    <t>Mendocino County Orr Hot Springs Trilby Spring</t>
  </si>
  <si>
    <t>Mendocino County Orrs Hot Springs</t>
  </si>
  <si>
    <t>Inyo County Palm Spring</t>
  </si>
  <si>
    <t>San Bernardino County Paradise Spring</t>
  </si>
  <si>
    <t>Monterey County Paraiso Springs</t>
  </si>
  <si>
    <t>San Luis Obispo County Paso Robles Artesian Spring</t>
  </si>
  <si>
    <t>San Luis Obispo County Paso Robles Mud Bath Springs</t>
  </si>
  <si>
    <t>Mendocino County Pinches Spring</t>
  </si>
  <si>
    <t>Kern County Placer Claim Springs</t>
  </si>
  <si>
    <t>Mono County Benton Hot Springs</t>
  </si>
  <si>
    <t>Alpine County Stinking Springs</t>
  </si>
  <si>
    <t>Lake County Sulfur Creek Spring</t>
  </si>
  <si>
    <t>Shasta County Hunt Hot Springs</t>
  </si>
  <si>
    <t>Merced County Iridat Spring</t>
  </si>
  <si>
    <t>Mendocino County Jackson Valley Mud Springs</t>
  </si>
  <si>
    <t>San Diego County Jacumba Hot Springs</t>
  </si>
  <si>
    <t>Tulare County Jordan Hot Spring</t>
  </si>
  <si>
    <t>Inyo County Keane Wonder Hot Spring</t>
  </si>
  <si>
    <t>Lassen County Kellog Hot Spring</t>
  </si>
  <si>
    <t>Modoc County Kelly Hot Spring</t>
  </si>
  <si>
    <t>Inyo County Keough Hot Springs</t>
  </si>
  <si>
    <t>Monterey County Sulfur Spring</t>
  </si>
  <si>
    <t>San Benito County Sulfur Springs</t>
  </si>
  <si>
    <t>Lake County Sulphur Bank Hot Springs</t>
  </si>
  <si>
    <t>Contra Costa County Sulphur Spring</t>
  </si>
  <si>
    <t>Siskiyou County Sulphur Springs</t>
  </si>
  <si>
    <t>Modoc County SX Ranch Spring</t>
  </si>
  <si>
    <t>Monterey County Table Mountain (Spring)</t>
  </si>
  <si>
    <t>Monterey County Tassajara Hot Springs</t>
  </si>
  <si>
    <t>Inyo County Tecopa Hot Springs</t>
  </si>
  <si>
    <t>Riverside County Temecula Hot Springs</t>
  </si>
  <si>
    <t>Sonoma County The Geysers (Devils Kitchen)</t>
  </si>
  <si>
    <t>Mono County The Hot Springs</t>
  </si>
  <si>
    <t>Solano County Tolenas Springs</t>
  </si>
  <si>
    <t>Mono County Travertine Hot Spring</t>
  </si>
  <si>
    <t>Alpine County Tuscan Springs</t>
  </si>
  <si>
    <t>Modoc County Unnamed Spring</t>
  </si>
  <si>
    <t>Santa Barbara County Unnamed Spring,Tecolote Tun.</t>
  </si>
  <si>
    <t>Mono County Unnamed Springs</t>
  </si>
  <si>
    <t>Inyo County Upper Warm Springs</t>
  </si>
  <si>
    <t>San Diego County Vallecitos Spring</t>
  </si>
  <si>
    <t>Plumas County White Sulfur Springs</t>
  </si>
  <si>
    <t>Santa Clara County White Sulphur Spring</t>
  </si>
  <si>
    <t>Mono County Whitmore Hot Springs</t>
  </si>
  <si>
    <t>Colusa County Wilbur Hot Spring</t>
  </si>
  <si>
    <t>Ventura County Willet Hot Springs</t>
  </si>
  <si>
    <t>Lassen County Zamboni Hot Springs</t>
  </si>
  <si>
    <t>Napa County Aetna Springs</t>
  </si>
  <si>
    <t>Riverside County Agua Caliente Spring</t>
  </si>
  <si>
    <t>Santa Barbara County Agua Caliente Spring</t>
  </si>
  <si>
    <t>San Diego County Agua Caliente Springs</t>
  </si>
  <si>
    <t>Lassen County Amedee Hot Springs</t>
  </si>
  <si>
    <t>San Bernardino County Arrowhead Hot Springs</t>
  </si>
  <si>
    <t>Inyo County Bainter Spring</t>
  </si>
  <si>
    <t>Lake County Baker Soda Spring</t>
  </si>
  <si>
    <t>Lassen County Bare Ranch Spring</t>
  </si>
  <si>
    <t>Modoc County Benmac Hot Springs</t>
  </si>
  <si>
    <t>Los Angeles County El Encino Springs</t>
  </si>
  <si>
    <t>Colusa County Elgin Mine (Spring)</t>
  </si>
  <si>
    <t>Fresno County Escarpado Spring</t>
  </si>
  <si>
    <t>Siskiyou County Bogus Soda Springs</t>
  </si>
  <si>
    <t>Santa Barbara County Boron Spring</t>
  </si>
  <si>
    <t>Placer County Brockway Hot Springs</t>
  </si>
  <si>
    <t>Modoc County Leonards Hot Springs (East)</t>
  </si>
  <si>
    <t>Modoc County Leonards Hot Springs (West)</t>
  </si>
  <si>
    <t>Modoc County Little Hot Spring</t>
  </si>
  <si>
    <t>Inyo County Little Hunter Canyon Springs</t>
  </si>
  <si>
    <t>Sierra County Campbell Hot Springs</t>
  </si>
  <si>
    <t>Riverside County Canyon Spring</t>
  </si>
  <si>
    <t>Lake County Chalk Mt. Spring</t>
  </si>
  <si>
    <t>Lake County Complexion Spring</t>
  </si>
  <si>
    <t>Riverside County Corn Spring</t>
  </si>
  <si>
    <t>Democrat Hot Springs</t>
  </si>
  <si>
    <t>Hot Spring 21PSI</t>
  </si>
  <si>
    <t>Hot well for Roosevelt swimming pool</t>
  </si>
  <si>
    <t>Aqua Caliente</t>
  </si>
  <si>
    <t>Amadee Hot Springs (near house)</t>
  </si>
  <si>
    <t>Amadee Hot Springs (south)</t>
  </si>
  <si>
    <t>Bassett Hot Springs</t>
  </si>
  <si>
    <t>Arrowhead Hot Springs</t>
  </si>
  <si>
    <t>Artesian well</t>
  </si>
  <si>
    <t>Artesian well in Saline Valley</t>
  </si>
  <si>
    <t>De Paoli artesian well</t>
  </si>
  <si>
    <t>Deadshot Spring</t>
  </si>
  <si>
    <t>Agua Caliente (covered spring)</t>
  </si>
  <si>
    <t>Geysers A-10 steam entry 5638 Ft.</t>
  </si>
  <si>
    <t>Geyser's location (2) 8</t>
  </si>
  <si>
    <t>Hot spring (pool)</t>
  </si>
  <si>
    <t>Hot well, SW part of Clear Lake</t>
  </si>
  <si>
    <t>Howard Springs</t>
  </si>
  <si>
    <t>Benton Hot Springs</t>
  </si>
  <si>
    <t>Casa Diablo Springs - Endogenous well #2</t>
  </si>
  <si>
    <t>Casa Diablo steam well, Magma-Ritchie #5</t>
  </si>
  <si>
    <t>Spring at Casa Diablo</t>
  </si>
  <si>
    <t>Big Soda Spring (island)</t>
  </si>
  <si>
    <t>Big Soda Springs</t>
  </si>
  <si>
    <t>CV Ranch House (artesian well)</t>
  </si>
  <si>
    <t>Blayney Meadows Hot Springs</t>
  </si>
  <si>
    <t>Buckeye Hot Springs</t>
  </si>
  <si>
    <t>California Hot Springs</t>
  </si>
  <si>
    <t>Hot Creek Gorge, east side of creek</t>
  </si>
  <si>
    <t>Hot Creek Gorge, west side of creek</t>
  </si>
  <si>
    <t>New Idria Mine B</t>
  </si>
  <si>
    <t>Campbell Hot Springs (Hobo Springs)</t>
  </si>
  <si>
    <t>Coalinga Mineral Springs (?)</t>
  </si>
  <si>
    <t>Coffee's Hotel &amp; Public Spa</t>
  </si>
  <si>
    <t>Colton Spring</t>
  </si>
  <si>
    <t>Cordero well</t>
  </si>
  <si>
    <t>Crabtree Hot Spring #1</t>
  </si>
  <si>
    <t>Crabtree Hot Spring #2</t>
  </si>
  <si>
    <t>Death Valley Shorty's well</t>
  </si>
  <si>
    <t>Deep aquifer well</t>
  </si>
  <si>
    <t>DX-2 steam well</t>
  </si>
  <si>
    <t>Niland Warm Spring</t>
  </si>
  <si>
    <t>Old dry ice plant well</t>
  </si>
  <si>
    <t>Orrs Hot Spring</t>
  </si>
  <si>
    <t>Upper Warm Spring</t>
  </si>
  <si>
    <t>Warm spring</t>
  </si>
  <si>
    <t>Warm spring 1.75 miles SW of Clayton</t>
  </si>
  <si>
    <t>DX-5 steam well</t>
  </si>
  <si>
    <t>Fales Hot Springs</t>
  </si>
  <si>
    <t>Skaggs Spring #2</t>
  </si>
  <si>
    <t>Skaggs Spring #3</t>
  </si>
  <si>
    <t>Hot Creek Gorge - new spring</t>
  </si>
  <si>
    <t>New Idria Mine C</t>
  </si>
  <si>
    <t>New Idria Mine D</t>
  </si>
  <si>
    <t>Spring near Big Sulphur Creek</t>
  </si>
  <si>
    <t>Spring near Palmdale bulge</t>
  </si>
  <si>
    <t>State of California No. 1 well (Shell Oil Company)</t>
  </si>
  <si>
    <t>Adit drainage (Unn. warm spring)</t>
  </si>
  <si>
    <t>Aetna Springs</t>
  </si>
  <si>
    <t>Amadee Hot Springs</t>
  </si>
  <si>
    <t>Filipini well</t>
  </si>
  <si>
    <t>Fort Bidwell Indian Reservation well</t>
  </si>
  <si>
    <t>Little Hot Creek Springs</t>
  </si>
  <si>
    <t>Amadee Hot Springs (west)</t>
  </si>
  <si>
    <t>Boiling well</t>
  </si>
  <si>
    <t>Brockway Hot Springs</t>
  </si>
  <si>
    <t>Ettawa Springs</t>
  </si>
  <si>
    <t>Skaggs well</t>
  </si>
  <si>
    <t>Sulphur spring in Aqua Caliente</t>
  </si>
  <si>
    <t>Fumerole and water seep</t>
  </si>
  <si>
    <t>Geyser Gun Club No 1 steam well</t>
  </si>
  <si>
    <t>Geyser's location (3) 9</t>
  </si>
  <si>
    <t>Gordon Warm Spring</t>
  </si>
  <si>
    <t>Grizzly Spring</t>
  </si>
  <si>
    <t>Grovers Hot Springs</t>
  </si>
  <si>
    <t>Hagge Ranch well</t>
  </si>
  <si>
    <t>Harbin Springs</t>
  </si>
  <si>
    <t>Hot Creek Gorge</t>
  </si>
  <si>
    <t>Hot Creek Ranch well</t>
  </si>
  <si>
    <t>Hot mineral well</t>
  </si>
  <si>
    <t>Hot Pool</t>
  </si>
  <si>
    <t>Hot spring 28HS1</t>
  </si>
  <si>
    <t>Hot spring 31AS1</t>
  </si>
  <si>
    <t>Hot spring 31ASI</t>
  </si>
  <si>
    <t>Hot spring on the East Fork of the Carson River</t>
  </si>
  <si>
    <t>Sulphur Bank #5 - spring NE of pond</t>
  </si>
  <si>
    <t>Sulphur Bank 14 steam well</t>
  </si>
  <si>
    <t>Sulphur spring in Griswold Canyon</t>
  </si>
  <si>
    <t>Hot springs 31AS1</t>
  </si>
  <si>
    <t>Hot springs 34KS1</t>
  </si>
  <si>
    <t>Hot Springs Creek at Sespe Hot Springs</t>
  </si>
  <si>
    <t>Hot Springs Gorge - new spring (clear bubbling pool)</t>
  </si>
  <si>
    <t>Hot Springs Gorge - new spring (mud pool)</t>
  </si>
  <si>
    <t>Howard Springs (Lithia Spring)</t>
  </si>
  <si>
    <t>Howard Springs (Men's Spring)</t>
  </si>
  <si>
    <t>Hudson No. 1 well</t>
  </si>
  <si>
    <t>Hunt Hot Spring</t>
  </si>
  <si>
    <t>I.I.D. #3 well (Mortopn salt injection well)</t>
  </si>
  <si>
    <t>I.I.D.#1</t>
  </si>
  <si>
    <t>Imperial Spa</t>
  </si>
  <si>
    <t>Indian Valley Hot Springs</t>
  </si>
  <si>
    <t>J.J. Elmore No. 1 well</t>
  </si>
  <si>
    <t>Jordan Hot Spring</t>
  </si>
  <si>
    <t>Kane Spring</t>
  </si>
  <si>
    <t>Kellog Hot Spring</t>
  </si>
  <si>
    <t>Kelly Hot Spring</t>
  </si>
  <si>
    <t>Keough Hot Springs</t>
  </si>
  <si>
    <t>Kern Hot Spring</t>
  </si>
  <si>
    <t>Klamath Hot Springs</t>
  </si>
  <si>
    <t>Klamath Hot Springs (swimming pool)</t>
  </si>
  <si>
    <t>Lake City (Parman) Hot Springs</t>
  </si>
  <si>
    <t>Lake City (Purman) Hot Springs</t>
  </si>
  <si>
    <t>Las Cruces Hot Spring</t>
  </si>
  <si>
    <t>Little Hot Creek Spring - #1</t>
  </si>
  <si>
    <t>Little Hot Creek Spring - #2</t>
  </si>
  <si>
    <t>Little Hot Creek Spring - #3</t>
  </si>
  <si>
    <t>Little Hot Creek Spring - #4</t>
  </si>
  <si>
    <t>Little Hot Spring</t>
  </si>
  <si>
    <t>Long Valley, LVCH-7 - well</t>
  </si>
  <si>
    <t>Lower Warm Springs</t>
  </si>
  <si>
    <t>Magma Sulphur Bank #1 well</t>
  </si>
  <si>
    <t>Magma well</t>
  </si>
  <si>
    <t>Magmamax #1 steam well (Brine sample #13)</t>
  </si>
  <si>
    <t>Magmamax #1 steam well (Brine sample #30)</t>
  </si>
  <si>
    <t>Magmamax #1 steam well (Brine sample #6)</t>
  </si>
  <si>
    <t>Magmamax #1 steam well (Steam sample #13)</t>
  </si>
  <si>
    <t>Magmamax #1 steam well (Steam sample #5)</t>
  </si>
  <si>
    <t>Roosevelt Swimming Pool well</t>
  </si>
  <si>
    <t>Rorabaugh A-5 steam well</t>
  </si>
  <si>
    <t>Sulphur Spring</t>
  </si>
  <si>
    <t>Unnamed hot spring near Twain</t>
  </si>
  <si>
    <t>Geyser's location (4) 10</t>
  </si>
  <si>
    <t>Hot spring 21PS1</t>
  </si>
  <si>
    <t>Acid sulfate spring on top of Mt. Shasta</t>
  </si>
  <si>
    <t>Adit drainage</t>
  </si>
  <si>
    <t>New Idria Mine A</t>
  </si>
  <si>
    <t>San Luis Obispo County Santa Ysabel Springs</t>
  </si>
  <si>
    <t>Santa Clara County Sargent Estate Warm Spring</t>
  </si>
  <si>
    <t>Kern County Scovern Hot Springs</t>
  </si>
  <si>
    <t>Mendocino County Vichy Springs</t>
  </si>
  <si>
    <t>Wendel Hot Springs - Magma well</t>
  </si>
  <si>
    <t>Marble Hot well (N.)</t>
  </si>
  <si>
    <t>Marble Hot well (S.)</t>
  </si>
  <si>
    <t>Menlo Hot Springs</t>
  </si>
  <si>
    <t>Mercey Hot Springs</t>
  </si>
  <si>
    <t>Miracle Hot Springs</t>
  </si>
  <si>
    <t>Mono Hot Springs</t>
  </si>
  <si>
    <t>Mudpots</t>
  </si>
  <si>
    <t>Napa Rock Soda Spring</t>
  </si>
  <si>
    <t>Pachateau's well #5 (Calistoga)</t>
  </si>
  <si>
    <t>Palm Spring</t>
  </si>
  <si>
    <t>Red Eye Spring area</t>
  </si>
  <si>
    <t>Red's Meadow Hot Springs</t>
  </si>
  <si>
    <t>Sportsman mud volcano</t>
  </si>
  <si>
    <t>Sulphur Bank Mine - warm spring</t>
  </si>
  <si>
    <t>Sulphur Bank pond</t>
  </si>
  <si>
    <t>Seigler Springs</t>
  </si>
  <si>
    <t>West Valley Reservoir Hot Springs</t>
  </si>
  <si>
    <t>Napa Soda Springs</t>
  </si>
  <si>
    <t>River Ranch #1 well</t>
  </si>
  <si>
    <t>River Ranch #1 well, Earth Energy Inc. (Pure Oil)</t>
  </si>
  <si>
    <t>Rorabaugh A-8 steam well</t>
  </si>
  <si>
    <t>Sakai well #2 (Calistoga)</t>
  </si>
  <si>
    <t>Salt spring at Crystal Creek - west</t>
  </si>
  <si>
    <t>Salt spring at Crystal Creek-east</t>
  </si>
  <si>
    <t>Salt spring in Death Valley</t>
  </si>
  <si>
    <t>Salton Sea well</t>
  </si>
  <si>
    <t>Saratoga Springs in Death Valley</t>
  </si>
  <si>
    <t>Scovern Hot Springs</t>
  </si>
  <si>
    <t>Seep (west of Camel Back Ridge)</t>
  </si>
  <si>
    <t>Sespe Hot Springs</t>
  </si>
  <si>
    <t>Sespe Hot Springs A</t>
  </si>
  <si>
    <t>Sespe Hot Springs B</t>
  </si>
  <si>
    <t>Shallow well</t>
  </si>
  <si>
    <t>Shell Oil IID #2 well</t>
  </si>
  <si>
    <t>Siegler Springs</t>
  </si>
  <si>
    <t>Signal MLM #1 steam well</t>
  </si>
  <si>
    <t>Sinclair brine well #3</t>
  </si>
  <si>
    <t>Sinclair No 4 well</t>
  </si>
  <si>
    <t>Skaggs Spring #1</t>
  </si>
  <si>
    <t>Spring (Capay Hills)</t>
  </si>
  <si>
    <t>Steam well at Randsburg</t>
  </si>
  <si>
    <t>Fresno County Mercy Hot Springs</t>
  </si>
  <si>
    <t>El Dorado County Meyers Warm Spring</t>
  </si>
  <si>
    <t>Kern County Miracle Hot Springs</t>
  </si>
  <si>
    <t>Kern County Mize Spring</t>
  </si>
  <si>
    <t>Alameda County Warm Springs</t>
  </si>
  <si>
    <t>Los Angeles County Warm Springs</t>
  </si>
  <si>
    <t>Inyo County Devils Kitchen Fumarole</t>
  </si>
  <si>
    <t>Monterey County Dolans Hot Springs</t>
  </si>
  <si>
    <t>Riverside County Dos Palmas Spring</t>
  </si>
  <si>
    <t>Mono County Warm Springs</t>
  </si>
  <si>
    <t>Plumas County Drake Hot Springs</t>
  </si>
  <si>
    <t>Riverside County Eden Hot Springs</t>
  </si>
  <si>
    <t>San Joaquin County Lone Tree Mnr. Spring</t>
  </si>
  <si>
    <t>Inyo County Lower Burro Warm Spring</t>
  </si>
  <si>
    <t>Sonoma County Mark West Springs</t>
  </si>
  <si>
    <t>Riverside County McCoy Spring</t>
  </si>
  <si>
    <t>Modoc County Menlo Baths Hot Springs</t>
  </si>
  <si>
    <t>Tulare County Kern Hot Spring</t>
  </si>
  <si>
    <t>Siskiyou County Klamath Hot Springs</t>
  </si>
  <si>
    <t>Modoc County Lake City Mud Volcano Spring</t>
  </si>
  <si>
    <t>Santa Barbara County Las Cruces Hot Springs</t>
  </si>
  <si>
    <t>Fresno County Mono Hot Springs</t>
  </si>
  <si>
    <t>Santa Barbara County Montecito Hot Springs</t>
  </si>
  <si>
    <t>Alpine County Morgan Hot Springs</t>
  </si>
  <si>
    <t>Mendocino County Muir Springs</t>
  </si>
  <si>
    <t>Riverside County Murrieta Hot Springs</t>
  </si>
  <si>
    <t>Napa County Napa Rock Soda Springs</t>
  </si>
  <si>
    <t>Inyo County Nevares Springs</t>
  </si>
  <si>
    <t>Lake County Newman Spring</t>
  </si>
  <si>
    <t>Mendocino County Orr Hot Springs Pool Spring</t>
  </si>
  <si>
    <t>Mendocino County Point Arena Hot Springs</t>
  </si>
  <si>
    <t>Colusa County Red Eye Spring</t>
  </si>
  <si>
    <t>Inyo County Coso Hot Springs Well</t>
  </si>
  <si>
    <t>Lake County Crabtree Hot Springs</t>
  </si>
  <si>
    <t>Alameda County Crohare Spring</t>
  </si>
  <si>
    <t>Mono County Big Alkali Lake Spring</t>
  </si>
  <si>
    <t>Shasta County Big Bend Hot Springs</t>
  </si>
  <si>
    <t>Fresno County Blaney Meadows Hot Springs</t>
  </si>
  <si>
    <t>Monterey County Slates Hot Springs</t>
  </si>
  <si>
    <t>Tulare County Soda Spring</t>
  </si>
  <si>
    <t>San Bernardino County Soda Station Springs</t>
  </si>
  <si>
    <t>Lake County Spiers Spring</t>
  </si>
  <si>
    <t>DX State 3395-1</t>
  </si>
  <si>
    <t>Steam well, Rorabaugh A-1</t>
  </si>
  <si>
    <t>Steam well, Rorabaugh A-2</t>
  </si>
  <si>
    <t>Steam well, Rorabaugh A-3</t>
  </si>
  <si>
    <t>Sulfur Bank No. 14 steam well</t>
  </si>
  <si>
    <t>Sulfur spring in Sulfur Creek Canyon</t>
  </si>
  <si>
    <t>Sulphur Bank - spring NW of pond</t>
  </si>
  <si>
    <t>Sulphur spring on Salt Creek</t>
  </si>
  <si>
    <t>Surprise Valley Hot Springs</t>
  </si>
  <si>
    <t>Sycamore well</t>
  </si>
  <si>
    <t>Tassajara Hot Spring A</t>
  </si>
  <si>
    <t>Tassajara Hot Spring B</t>
  </si>
  <si>
    <t>Tecopa Hot Springs</t>
  </si>
  <si>
    <t>The Geysers #1 - Magnesia Spring</t>
  </si>
  <si>
    <t>The Geysers #2 - Devils Ink Well Spring</t>
  </si>
  <si>
    <t>The Geysers #4 Whistling Annie mud pots</t>
  </si>
  <si>
    <t>The Hot Springs</t>
  </si>
  <si>
    <t>Thermal #7 steam well</t>
  </si>
  <si>
    <t>Thermal No 14 steam well</t>
  </si>
  <si>
    <t>Thermal well</t>
  </si>
  <si>
    <t>Tolenas Spring</t>
  </si>
  <si>
    <t>Travertine Hot Springs</t>
  </si>
  <si>
    <t>Unnamed hot spring</t>
  </si>
  <si>
    <t>Unnamed hot spring northeast of Wendel Hot Springs</t>
  </si>
  <si>
    <t>Unnamed hot spring, north shore of Mono Lake</t>
  </si>
  <si>
    <t>Unnamed hot spring, Paoha Island, Mono Lake</t>
  </si>
  <si>
    <t>Unnamed hot spring, south shore of Mono Lake</t>
  </si>
  <si>
    <t>Unnamed sulfur spring</t>
  </si>
  <si>
    <t>Unnamed thermal spring</t>
  </si>
  <si>
    <t>Unnamed warm spring</t>
  </si>
  <si>
    <t>Warm well 1.75 miles SW of Clayton, Calif.</t>
  </si>
  <si>
    <t>Wendel Hot Spring, main spring</t>
  </si>
  <si>
    <t>Wendel Hot Springs</t>
  </si>
  <si>
    <t>Wendel Hot Springs area (greenhouse)</t>
  </si>
  <si>
    <t>White Sulphur Spring</t>
  </si>
  <si>
    <t>Napa County Unnamed Well 165</t>
  </si>
  <si>
    <t>Napa County Unnamed Well 172</t>
  </si>
  <si>
    <t>Napa County Unnamed Well 173</t>
  </si>
  <si>
    <t>Napa County Unnamed Well 327</t>
  </si>
  <si>
    <t>Sonoma County Well 5N/5W-31A1 M</t>
  </si>
  <si>
    <t>Sonoma County Well 8N/8W-35P M</t>
  </si>
  <si>
    <t>Sonoma County Unnamed Well 370</t>
  </si>
  <si>
    <t>Sonoma County Unnamed Well 369</t>
  </si>
  <si>
    <t>Sonoma County Well 6N/7W-9A M</t>
  </si>
  <si>
    <t>Sonoma County Unnamed Well 371</t>
  </si>
  <si>
    <t>Sonoma County Well 8N/8W-35L M</t>
  </si>
  <si>
    <t>Contra Costa County Unnamed Well 134</t>
  </si>
  <si>
    <t>Santa Cruz County Maplethorpe Well</t>
  </si>
  <si>
    <t>Sonoma County Well 7N/7W-25G M</t>
  </si>
  <si>
    <t>Wilbur Springs</t>
  </si>
  <si>
    <t>Wiley Rest Stop well</t>
  </si>
  <si>
    <t>Williams Ranch well</t>
  </si>
  <si>
    <t>Wister Mudpots</t>
  </si>
  <si>
    <t>Zamboni Hot Springs</t>
  </si>
  <si>
    <t>Lassen County Bassett Hot Springs</t>
  </si>
  <si>
    <t>Lake County Ettawa Springs</t>
  </si>
  <si>
    <t>Magnolia School artesian well</t>
  </si>
  <si>
    <t>Sulphur Bank well</t>
  </si>
  <si>
    <t>Massion's artesian well</t>
  </si>
  <si>
    <t>Southern Pacific Railroad well</t>
  </si>
  <si>
    <t>Napa County Unnamed Well 345</t>
  </si>
  <si>
    <t>Napa County Unnamed Well 159</t>
  </si>
  <si>
    <t>Napa County Unnamed Well 160</t>
  </si>
  <si>
    <t>Napa County Unnamed Well 161</t>
  </si>
  <si>
    <t>Napa County Unnamed Well 162</t>
  </si>
  <si>
    <t>Napa County Unnamed Well 351</t>
  </si>
  <si>
    <t>Napa County Unnamed Well 323</t>
  </si>
  <si>
    <t>Napa County Unnamed Well 158</t>
  </si>
  <si>
    <t>Napa County Unnamed Well 335</t>
  </si>
  <si>
    <t>Napa County Unnamed Well 330</t>
  </si>
  <si>
    <t>Napa County Unnamed Well 329</t>
  </si>
  <si>
    <t>Napa County Unnamed Well 328</t>
  </si>
  <si>
    <t>Napa County Unnamed Well 337</t>
  </si>
  <si>
    <t>Napa County Unnamed Well 326</t>
  </si>
  <si>
    <t>Napa County Unnamed Well 338</t>
  </si>
  <si>
    <t>Napa County Unnamed Well 320</t>
  </si>
  <si>
    <t>Napa County Unnamed Well 163</t>
  </si>
  <si>
    <t>Napa County Unnamed Well 164</t>
  </si>
  <si>
    <t>Napa County Unnamed Well 336</t>
  </si>
  <si>
    <t>Napa County Unnamed Well 348</t>
  </si>
  <si>
    <t>Napa County Unnamed Well 177</t>
  </si>
  <si>
    <t>Napa County Unnamed Well 344</t>
  </si>
  <si>
    <t>Napa County Unnamed Well 343</t>
  </si>
  <si>
    <t>Napa County Unnamed Well 342</t>
  </si>
  <si>
    <t>Napa County Unnamed Well 341</t>
  </si>
  <si>
    <t>Napa County Unnamed Well 340</t>
  </si>
  <si>
    <t>Napa County Unnamed Well 339</t>
  </si>
  <si>
    <t>Napa County Unnamed Well 349</t>
  </si>
  <si>
    <t>Napa County Calistoga Spa Hot Well 2</t>
  </si>
  <si>
    <t>Napa County Unnamed Well 179</t>
  </si>
  <si>
    <t>Napa County Dr. Wilkinson's Hot Springs</t>
  </si>
  <si>
    <t>Napa County Unnamed Well 180</t>
  </si>
  <si>
    <t>Napa County Unnamed Well 181</t>
  </si>
  <si>
    <t>Imperial County Chevron, Nowlin Partner</t>
  </si>
  <si>
    <t>Napa County Unnamed Well 174</t>
  </si>
  <si>
    <t>Napa County Calistoga Spa Main Well</t>
  </si>
  <si>
    <t>Napa County Golden Haven Spa</t>
  </si>
  <si>
    <t>Napa County Calistoga Spa Cold Well 2</t>
  </si>
  <si>
    <t>Mendocino County Well</t>
  </si>
  <si>
    <t>Napa County Unnamed Well 334</t>
  </si>
  <si>
    <t>Napa County Unnamed Well 333</t>
  </si>
  <si>
    <t>Napa County Unnamed Well 332</t>
  </si>
  <si>
    <t>Napa County Unnamed Well 331</t>
  </si>
  <si>
    <t>Napa County Calvert 1</t>
  </si>
  <si>
    <t>Napa County Pacheteau's Well 3</t>
  </si>
  <si>
    <t>Napa County Unnamed Well 324</t>
  </si>
  <si>
    <t>Napa County Unnamed Well 182</t>
  </si>
  <si>
    <t>Napa County Mt. View Hotel</t>
  </si>
  <si>
    <t>Napa County Nance's Hot Springs Well</t>
  </si>
  <si>
    <t>Napa County Fairgrounds</t>
  </si>
  <si>
    <t>Napa County 01019</t>
  </si>
  <si>
    <t>Napa County Unnamed Well 178</t>
  </si>
  <si>
    <t>Napa County Pacheteau's Well 2</t>
  </si>
  <si>
    <t>Napa County Godward 1</t>
  </si>
  <si>
    <t>Napa County Roman Spa Well 1</t>
  </si>
  <si>
    <t>Napa County Roman Spa Well 2</t>
  </si>
  <si>
    <t>Napa County Hideway Hot Springs Well 2</t>
  </si>
  <si>
    <t>Napa County Hideway Hot Springs Well 1</t>
  </si>
  <si>
    <t>Napa County Unnamed Well 176</t>
  </si>
  <si>
    <t>Napa County Pacheteau's Well 1</t>
  </si>
  <si>
    <t>Napa County Unnamed Well 154</t>
  </si>
  <si>
    <t>Napa County Unnamed Well 321</t>
  </si>
  <si>
    <t>Napa County Turner 2</t>
  </si>
  <si>
    <t>Napa County Turner 1</t>
  </si>
  <si>
    <t>Napa County Unnamed Well 142</t>
  </si>
  <si>
    <t>Napa County Unnamed Well 144</t>
  </si>
  <si>
    <t>Napa County Unnamed Well 145</t>
  </si>
  <si>
    <t>Napa County Well 9N/7W-26 M</t>
  </si>
  <si>
    <t>Napa County Unnamed Well 148</t>
  </si>
  <si>
    <t>Napa County Unnamed Well 151</t>
  </si>
  <si>
    <t>Napa County Well 9N/7W-36 M</t>
  </si>
  <si>
    <t>Napa County Unnamed Well 157</t>
  </si>
  <si>
    <t>Napa County Unnamed Well 156</t>
  </si>
  <si>
    <t>Napa County Unnamed Well 153</t>
  </si>
  <si>
    <t>Napa County Unnamed Well 155</t>
  </si>
  <si>
    <t>Sonoma County Unnamed Well 356</t>
  </si>
  <si>
    <t>Sonoma County Well 5N/5W-28R1 M</t>
  </si>
  <si>
    <t>Sonoma County Unnamed Well 358</t>
  </si>
  <si>
    <t>Sonoma County Unnamed Well 359</t>
  </si>
  <si>
    <t>San Luis Obispo County Sycamore Hot Springs Well</t>
  </si>
  <si>
    <t>San Benito County San Benito Mnr. Well</t>
  </si>
  <si>
    <t>Sonoma County Well 7N/8W-12E M</t>
  </si>
  <si>
    <t>Lake County Unnamed Well 137</t>
  </si>
  <si>
    <t>Sonoma County Unnamed Well 366</t>
  </si>
  <si>
    <t>San Bernardino County Patton Hospital #14</t>
  </si>
  <si>
    <t>Modoc County Well 44N/16E-6E2 M</t>
  </si>
  <si>
    <t>Riverside County Well 6S/2W-15D1 S</t>
  </si>
  <si>
    <t>Plumas County Well 23N/15E-36J2 M</t>
  </si>
  <si>
    <t>Riverside County Well 3S/3W-2L1 S</t>
  </si>
  <si>
    <t>San Bernardino County Roy Lye Well No.1</t>
  </si>
  <si>
    <t>Los Angeles County Well 2S/14W-14C2 S</t>
  </si>
  <si>
    <t>San Bernardino County Well 2N/7E-3B1 S</t>
  </si>
  <si>
    <t>San Diego County Well 18S/2E-14E1 S</t>
  </si>
  <si>
    <t>Sierra County Well 21N/15E-6Q3 M</t>
  </si>
  <si>
    <t>Imperial County Well 9S/9E-23M1 S</t>
  </si>
  <si>
    <t>San Diego County Well 18S/2W-28L1 S</t>
  </si>
  <si>
    <t>San Diego County Well 12S/2W-17H1 S</t>
  </si>
  <si>
    <t>Lassen County Eagle Lake Lumber Well</t>
  </si>
  <si>
    <t>San Diego County Well 10S/1W-23N1 S</t>
  </si>
  <si>
    <t>San Diego County Well 16S/2W-16C1 S</t>
  </si>
  <si>
    <t>Sonoma County Well 5N/5W-7G M</t>
  </si>
  <si>
    <t>Shasta County Indian Springs School Well</t>
  </si>
  <si>
    <t>Riverside County Well 5S/1W-32Q1 S</t>
  </si>
  <si>
    <t>Lassen County Southern Pacific RR Well</t>
  </si>
  <si>
    <t>Orange County Well 7S/8W-16Q1 S</t>
  </si>
  <si>
    <t>Modoc County Well 46N/16E-31R1 M</t>
  </si>
  <si>
    <t>Plumas County Well 22N/15E-23C1 M</t>
  </si>
  <si>
    <t>San Diego County Well 19S/1W-3E1 S</t>
  </si>
  <si>
    <t>Imperial County Well 14S/11E-32R1 S</t>
  </si>
  <si>
    <t>Imperial County Davis Spring (Well)</t>
  </si>
  <si>
    <t>San Diego County Well 18S/1W-34N1 S</t>
  </si>
  <si>
    <t>San Diego County Well 18S/2W-21H1 S</t>
  </si>
  <si>
    <t>Los Angeles County Well 4S/13W-27N1 S</t>
  </si>
  <si>
    <t>Sonoma County Unnamed Well 357</t>
  </si>
  <si>
    <t>Sonoma County Well 6N/6W-35E M</t>
  </si>
  <si>
    <t>Plumas County Well 22N/15E-17C3 M</t>
  </si>
  <si>
    <t>Imperial County Well 14S/16E-15K1 S</t>
  </si>
  <si>
    <t>Sonoma County Fetters Hot Springs Well</t>
  </si>
  <si>
    <t>Imperial County Well 15S/15E-36D1 S</t>
  </si>
  <si>
    <t>Riverside County Well 8S/3W-7D3 S</t>
  </si>
  <si>
    <t>Sierra County Well 21N/15E-5P1 M</t>
  </si>
  <si>
    <t>Imperial County H.D. Currey Well</t>
  </si>
  <si>
    <t>Imperial County Well 13S/15E-1Q1 S</t>
  </si>
  <si>
    <t>Imperial County R. Garewal Well</t>
  </si>
  <si>
    <t>San Bernardino County Unnamed Well 354</t>
  </si>
  <si>
    <t>Imperial County Well 13S/16E-6J1 S</t>
  </si>
  <si>
    <t>Riverside County Well 8S/8E-10B1 S</t>
  </si>
  <si>
    <t>Imperial County Texaco Station Well</t>
  </si>
  <si>
    <t>Inyo County Dirty Socks Hot Springs Well</t>
  </si>
  <si>
    <t>Riverside County Blythe-Julian Well</t>
  </si>
  <si>
    <t>Shasta County Unnamed Well 355</t>
  </si>
  <si>
    <t>Imperial County J. Greene Well</t>
  </si>
  <si>
    <t>Riverside County Lake Elsinore,GW 3</t>
  </si>
  <si>
    <t>Sonoma County Unnamed Well 364</t>
  </si>
  <si>
    <t>Kern County Well 27S/40E-7G1 M</t>
  </si>
  <si>
    <t>San Bernardino County Roy Lye Well No.2</t>
  </si>
  <si>
    <t>San Diego County Well 17S/5E-3R1 S</t>
  </si>
  <si>
    <t>Napa County Well 7N/5W-26E1 M</t>
  </si>
  <si>
    <t>Kern County Well 26S/40E-30K2 M</t>
  </si>
  <si>
    <t>Riverside County Blythe-Mesa Verde Well</t>
  </si>
  <si>
    <t>Mono County Benton Indian Well</t>
  </si>
  <si>
    <t>Sonoma County Well 7N/8W-24A4 M</t>
  </si>
  <si>
    <t>Imperial County Unnamed Well 135</t>
  </si>
  <si>
    <t>San Bernardino County M.H. Morris Well</t>
  </si>
  <si>
    <t>Sierra County Well 21N/15E-4L1 M</t>
  </si>
  <si>
    <t>Sonoma County Well 6N/7W-5A M</t>
  </si>
  <si>
    <t>Imperial County Jenson Well</t>
  </si>
  <si>
    <t>Sonoma County Well 7N/7W-32G9 M</t>
  </si>
  <si>
    <t>Imperial County Well 12S/15E-3A1 S</t>
  </si>
  <si>
    <t>Riverside County Basha # 1 Well</t>
  </si>
  <si>
    <t>Imperial County J. Birger Well</t>
  </si>
  <si>
    <t>Imperial County Well 9S/13E-20E1 S</t>
  </si>
  <si>
    <t>San Diego County Well 15S/1W-14Q1 S</t>
  </si>
  <si>
    <t>San Luis Obispo County Well 26S/13E-11L1 M</t>
  </si>
  <si>
    <t>Riverside County E. Fortner Well</t>
  </si>
  <si>
    <t>Santa Barbara County Well 5N/32W-35F1 S</t>
  </si>
  <si>
    <t>Sonoma County Morton's Warm Springs Well</t>
  </si>
  <si>
    <t>Sonoma County Well 7N/7W-16G M</t>
  </si>
  <si>
    <t>Imperial County Well 13S/16E-6P1 S</t>
  </si>
  <si>
    <t>Kern County Well 26S/40E-22P1 M</t>
  </si>
  <si>
    <t>Riverside County Cal Trans Well</t>
  </si>
  <si>
    <t>Riverside County Well 8S/8E-13Q1 S</t>
  </si>
  <si>
    <t>San Bernardino County JeWell Well</t>
  </si>
  <si>
    <t>Imperial County J. Birger No. 2 Well</t>
  </si>
  <si>
    <t>Imperial County Well 15S/15E-10G1 S</t>
  </si>
  <si>
    <t>Riverside County Hunter's Spring Wells</t>
  </si>
  <si>
    <t>Ventura County Well 8N/23W-20H1 S</t>
  </si>
  <si>
    <t>Riverside County Well 7S/9E-18M1 S</t>
  </si>
  <si>
    <t>Inyo County Well 24S/43E-22M1 M</t>
  </si>
  <si>
    <t>San Luis Obispo County Well 26S/12E-29C M</t>
  </si>
  <si>
    <t>San Diego County De Anza Trail Inn Well</t>
  </si>
  <si>
    <t>Imperial County Gaddis Well</t>
  </si>
  <si>
    <t>Riverside County Well 7S/2W-2P2 S</t>
  </si>
  <si>
    <t>Imperial County Well 16S/16E-15B1 S</t>
  </si>
  <si>
    <t>Imperial County L. Bornt Well</t>
  </si>
  <si>
    <t>Riverside County Well 6S/2W-10D1 S</t>
  </si>
  <si>
    <t>Riverside County Unnamed Well 352</t>
  </si>
  <si>
    <t>Imperial County Well 15S/15E-25D1 S</t>
  </si>
  <si>
    <t>Imperial County Well 15S/15E-1H1 S</t>
  </si>
  <si>
    <t>Imperial County F. Borchard Well</t>
  </si>
  <si>
    <t>Imperial County Unnamed Well 372</t>
  </si>
  <si>
    <t>Sonoma County Well 5N/6W-25P2 M</t>
  </si>
  <si>
    <t>San Luis Obispo County Paso Robles City Baths</t>
  </si>
  <si>
    <t>Lassen County Roosevelt Pool Well</t>
  </si>
  <si>
    <t>Imperial County C. Ansiel Well</t>
  </si>
  <si>
    <t>Mendocino County Orr Hot Springs Well</t>
  </si>
  <si>
    <t>Riverside County Well 5S/1W-16C1 S</t>
  </si>
  <si>
    <t>Santa Barbara County Well 5N/30W-32P1 S</t>
  </si>
  <si>
    <t>San Diego County Well 18S/1W-31H1 S</t>
  </si>
  <si>
    <t>Santa Barbara County Well 10N/27W-5L1 S</t>
  </si>
  <si>
    <t>Imperial County Well 15S/15E-9E1 S</t>
  </si>
  <si>
    <t>Imperial County J. Massion Well</t>
  </si>
  <si>
    <t>Imperial County Well 13S/15E-16Q1 S</t>
  </si>
  <si>
    <t>Imperial County A. Fusi Jr. Well</t>
  </si>
  <si>
    <t>Mono County Sierra E. Mobile Pk. Well</t>
  </si>
  <si>
    <t>San Bernardino County Well 1S/4W-15L3 S</t>
  </si>
  <si>
    <t>San Bernardino County Well 1N/5E-12D1 S</t>
  </si>
  <si>
    <t>Imperial County Well 14S/16E-22D1 S</t>
  </si>
  <si>
    <t>Imperial County Moiola Feed Lot Well</t>
  </si>
  <si>
    <t>Santa Barbara County Well 7N/35W-17Q1 S</t>
  </si>
  <si>
    <t>San Bernardino County Well 1S/24E-16B1 S</t>
  </si>
  <si>
    <t>Sonoma County Boyes Hot Springs Well</t>
  </si>
  <si>
    <t>Riverside County Well 6S/4W-35D1 S</t>
  </si>
  <si>
    <t>San Bernardino County Meeks &amp; Daly #59</t>
  </si>
  <si>
    <t>Imperial County Well 13S/15E-24N1 S</t>
  </si>
  <si>
    <t>Imperial County Miller's Serv. Sta. Well</t>
  </si>
  <si>
    <t>Imperial County Well 15S/16E-23F1 S</t>
  </si>
  <si>
    <t>Imperial County Well 12S/15E-27R1 S</t>
  </si>
  <si>
    <t>Plumas County Plumas School District, GHS-1</t>
  </si>
  <si>
    <t>Imperial County Well 14S/16E-11H1 S</t>
  </si>
  <si>
    <t>Imperial County Well 14S/16E-16B1 S</t>
  </si>
  <si>
    <t>Imperial County Well 15S/16E-22L1 S</t>
  </si>
  <si>
    <t>Sonoma County Agua Caliente Springs Well</t>
  </si>
  <si>
    <t>Imperial County Well 14S/16E-21B1 S</t>
  </si>
  <si>
    <t>Riverside County Morrison Well</t>
  </si>
  <si>
    <t>San Diego County Well 18S/2W-33L10 S</t>
  </si>
  <si>
    <t>San Diego County Agua Tibia Spring Well</t>
  </si>
  <si>
    <t>San Bernardino County Patton Hospital #9</t>
  </si>
  <si>
    <t>San Diego County Well 18S/2W-28P1 S</t>
  </si>
  <si>
    <t>Imperial County Hooke Well</t>
  </si>
  <si>
    <t>San Bernardino County Zuncich Well</t>
  </si>
  <si>
    <t>Imperial County J. Birger No. 1 Well</t>
  </si>
  <si>
    <t>Imperial County Well 12S/16E-31N1 S</t>
  </si>
  <si>
    <t>Imperial County Well 13S/15E-5D1 S</t>
  </si>
  <si>
    <t>Riverside County Well 8S/9E-29R1 S</t>
  </si>
  <si>
    <t>Plumas County Well 22N/14E-25H1 M</t>
  </si>
  <si>
    <t>San Bernardino County Flamingo Well</t>
  </si>
  <si>
    <t>San Bernardino County Patton Hospital #11</t>
  </si>
  <si>
    <t>Riverside County Well 7S/2W-3N1 S</t>
  </si>
  <si>
    <t>Imperial County Well 13S/15E-3N1 S</t>
  </si>
  <si>
    <t>Riverside County Well 6S/4W-34J2 S</t>
  </si>
  <si>
    <t>Imperial County Well 15S/15E-26B1 S</t>
  </si>
  <si>
    <t>Imperial County C. Allen Well</t>
  </si>
  <si>
    <t>Riverside County Well 8S/9E-29Q1 S</t>
  </si>
  <si>
    <t>Orange County La Vida Mnr. Spring Well</t>
  </si>
  <si>
    <t>Ventura County Matilija Hot Springs</t>
  </si>
  <si>
    <t>Los Angeles County Alvarado Hot Springs Well</t>
  </si>
  <si>
    <t>Riverside County Unnamed Well 353</t>
  </si>
  <si>
    <t>Imperial County M. Phegley Well</t>
  </si>
  <si>
    <t>Sierra County Well 21N/15E-5D1 M</t>
  </si>
  <si>
    <t>Modoc County Van Loan Well</t>
  </si>
  <si>
    <t>San Bernardino County Well 1S/4W-22A1 S</t>
  </si>
  <si>
    <t>Plumas County W. Hagge Well No.1</t>
  </si>
  <si>
    <t>Imperial County Watton Camp Well</t>
  </si>
  <si>
    <t>Imperial County T. Shank Well</t>
  </si>
  <si>
    <t>Imperial County Well 11S/14E-2A1 S</t>
  </si>
  <si>
    <t>Modoc County Fort BidWell Hot Spring Well</t>
  </si>
  <si>
    <t>Riverside County Elsinore Hot Springs</t>
  </si>
  <si>
    <t>Imperial County Well 15S/15E-35A1 S</t>
  </si>
  <si>
    <t>Los Angeles County Seminole Hot Springs Well</t>
  </si>
  <si>
    <t>Modoc County Fort BidWell Geo. Well</t>
  </si>
  <si>
    <t>Imperial County Fish Springs Well</t>
  </si>
  <si>
    <t>Santa Barbara County Well 5N/33W-31A1 S</t>
  </si>
  <si>
    <t>Modoc County Weidner Well</t>
  </si>
  <si>
    <t>Riverside County Desert Ctr. Airport Well</t>
  </si>
  <si>
    <t>Plumas County Indian Val. HoSpring, GRN-1</t>
  </si>
  <si>
    <t>Imperial County Gisler-Bowman Well</t>
  </si>
  <si>
    <t>Inyo County Well 21N/7E-28P1 S</t>
  </si>
  <si>
    <t>Riverside County Well 5S/1E-5M2 S</t>
  </si>
  <si>
    <t>Lassen County Church of L.D.S. Well</t>
  </si>
  <si>
    <t>Riverside County Well 6S/2W-10E1 S</t>
  </si>
  <si>
    <t>Shasta County Indian Springs School,ISS 1</t>
  </si>
  <si>
    <t>Contra Costa County Byron Hot Springs</t>
  </si>
  <si>
    <t>Sierra County Well 21N/15E-5E2 M</t>
  </si>
  <si>
    <t>San Bernardino County Palm Well #1</t>
  </si>
  <si>
    <t>Imperial County Mendiburu Lot Well</t>
  </si>
  <si>
    <t>Modoc County Well 45N/16E-17M1 M</t>
  </si>
  <si>
    <t>San Bernardino County Well 1N/8E-2N1 S</t>
  </si>
  <si>
    <t>Imperial County Magnolia School Well</t>
  </si>
  <si>
    <t>Imperial County N. Fifield Well</t>
  </si>
  <si>
    <t>Imperial County Well 13S/15E-1B1 S</t>
  </si>
  <si>
    <t>Riverside County Glen Ivy Hot Spring Well</t>
  </si>
  <si>
    <t>Plumas County Well 22N/15E-28L1 M</t>
  </si>
  <si>
    <t>San Bernardino County Meeks &amp; Daly #66</t>
  </si>
  <si>
    <t>Los Angeles County Well 1N/16W-14K1 S</t>
  </si>
  <si>
    <t>Imperial County Well 13S/15E-23Q1 S</t>
  </si>
  <si>
    <t>Sonoma County Sonoma Mission Inn,SV 1</t>
  </si>
  <si>
    <t>Imperial County Holly Corp. Hot Mnr. Well</t>
  </si>
  <si>
    <t>Inyo County Well 24S/43E-9P1 M</t>
  </si>
  <si>
    <t>Riverside County Well 6S/1W-4J2 S</t>
  </si>
  <si>
    <t>Imperial County Fountain Of Youth Well</t>
  </si>
  <si>
    <t>Lassen County N. State Growers Well</t>
  </si>
  <si>
    <t>Colusa County Jones Hot Spring (W)</t>
  </si>
  <si>
    <t>San Bernardino County Well 1N/9E-14C1 S</t>
  </si>
  <si>
    <t>Lake County Agricultural Park #3 Well</t>
  </si>
  <si>
    <t>Mono County Dechambeau Well</t>
  </si>
  <si>
    <t>Plumas County Marble Hot Wells</t>
  </si>
  <si>
    <t>Orange County Well 3S/9W-22C2 S</t>
  </si>
  <si>
    <t>Imperial County Unnamed Well 136</t>
  </si>
  <si>
    <t>San Bernardino County Waterman Hot Springs (W)</t>
  </si>
  <si>
    <t>San Luis Obispo County Avila Hot Springs Well</t>
  </si>
  <si>
    <t>Riverside County New Pilger Hot Mnr. Well</t>
  </si>
  <si>
    <t>Imperial County U.C. Riverside 127 Well</t>
  </si>
  <si>
    <t>San Bernardino County Arrowhead Hot Springs (W)</t>
  </si>
  <si>
    <t>San Bernardino County Mud Bath Well</t>
  </si>
  <si>
    <t>Modoc County Surprise Val. Mnr. Well</t>
  </si>
  <si>
    <t>Modoc County Modoc School District,AL 1</t>
  </si>
  <si>
    <t>Imperial County Hot Mineral Spa Well</t>
  </si>
  <si>
    <t>Plumas County Well 22N/15E-32F1 M</t>
  </si>
  <si>
    <t>Napa County Pacheteau Well</t>
  </si>
  <si>
    <t>Imperial County IID 3 - Imp. Therm. Pr.</t>
  </si>
  <si>
    <t>Lassen County Magma Power Amedee 1,2</t>
  </si>
  <si>
    <t>Imperial County Magma Ener. Holtz 2</t>
  </si>
  <si>
    <t>Modoc County Magma Energy Wells</t>
  </si>
  <si>
    <t>Lake County Sulphur Bank Wells</t>
  </si>
  <si>
    <t>Imperial County Magma Ener. Holtz 1</t>
  </si>
  <si>
    <t>Imperial County Mesa 6-2 U.S.B.R.</t>
  </si>
  <si>
    <t>Imperial County Mesa 6-1 U.S.B.R.</t>
  </si>
  <si>
    <t>Imperial County Sinclair 4</t>
  </si>
  <si>
    <t>Imperial County Magmamax 1 Magma Power</t>
  </si>
  <si>
    <t>Imperial County Sinclair 3</t>
  </si>
  <si>
    <t>Imperial County O'Neill Geothermal Inc.</t>
  </si>
  <si>
    <t>Imperial County IID 1 - Imp. Therm. Pr.</t>
  </si>
  <si>
    <t>Imperial County Elmore 1 Well</t>
  </si>
  <si>
    <t>Imperial County IID 2 - Imp. Therm. Pr.</t>
  </si>
  <si>
    <t>Seyforth Hot Springs</t>
  </si>
  <si>
    <t>Lake County Big Soda Spring</t>
  </si>
  <si>
    <t>Hot Creek Gorge #5</t>
  </si>
  <si>
    <t>Geyser</t>
  </si>
  <si>
    <t>Hot Creek Gorge #7</t>
  </si>
  <si>
    <t>Hot Creek Gorge #6</t>
  </si>
  <si>
    <t>Hot Creek Gorge #4</t>
  </si>
  <si>
    <t>Hot Creek Gorge #3</t>
  </si>
  <si>
    <t>Hot Creek Gorge #2</t>
  </si>
  <si>
    <t>Hot Creek Gorge #1</t>
  </si>
  <si>
    <t>Sulphur Bank Mine - thermal spring</t>
  </si>
  <si>
    <t>Hot Creek Gorge sample #2</t>
  </si>
  <si>
    <t>Sulphur Bank Mine - spring</t>
  </si>
  <si>
    <t>Sulphur Bank Mine - bubbling spring</t>
  </si>
  <si>
    <t>Sulphur Bank Mine - small stream</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</si>
</sst>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0.0"/>
    <numFmt numFmtId="165" formatCode="0.00000"/>
    <numFmt numFmtId="166" formatCode="0.0000"/>
    <numFmt numFmtId="167" formatCode="0.000"/>
    <numFmt numFmtId="168" formatCode="0.000000"/>
    <numFmt numFmtId="169" formatCode="0.00E+00;[Red]\&lt;0.00E+00"/>
    <numFmt numFmtId="170" formatCode="dd\-mmm\-yy"/>
  </numFmts>
  <fonts count="79" x14ac:knownFonts="1">
    <font>
      <sz val="10"/>
      <name val="Arial"/>
    </font>
    <font>
      <sz val="11"/>
      <color theme="1"/>
      <name val="Calibri"/>
      <family val="2"/>
      <scheme val="minor"/>
    </font>
    <font>
      <sz val="10"/>
      <name val="Arial"/>
    </font>
    <font>
      <sz val="10"/>
      <color indexed="12"/>
      <name val="Arial"/>
      <family val="2"/>
    </font>
    <font>
      <sz val="10"/>
      <name val="Arial"/>
      <family val="2"/>
    </font>
    <font>
      <b/>
      <sz val="12"/>
      <name val="Arial"/>
      <family val="2"/>
    </font>
    <font>
      <b/>
      <sz val="10"/>
      <name val="Arial"/>
      <family val="2"/>
    </font>
    <font>
      <sz val="10"/>
      <color indexed="8"/>
      <name val="Arial"/>
    </font>
    <font>
      <sz val="10"/>
      <color indexed="62"/>
      <name val="Arial"/>
      <family val="2"/>
    </font>
    <font>
      <b/>
      <sz val="10"/>
      <color indexed="62"/>
      <name val="Arial"/>
      <family val="2"/>
    </font>
    <font>
      <b/>
      <sz val="12"/>
      <color indexed="62"/>
      <name val="Arial"/>
      <family val="2"/>
    </font>
    <font>
      <sz val="8"/>
      <name val="Arial"/>
      <family val="2"/>
    </font>
    <font>
      <b/>
      <sz val="14"/>
      <name val="Arial"/>
      <family val="2"/>
    </font>
    <font>
      <vertAlign val="superscript"/>
      <sz val="10"/>
      <name val="Arial"/>
      <family val="2"/>
    </font>
    <font>
      <sz val="10"/>
      <color indexed="56"/>
      <name val="Arial"/>
      <family val="2"/>
    </font>
    <font>
      <sz val="12"/>
      <name val="Arial"/>
      <family val="2"/>
    </font>
    <font>
      <sz val="10"/>
      <color indexed="18"/>
      <name val="Arial"/>
      <family val="2"/>
    </font>
    <font>
      <sz val="8"/>
      <color indexed="81"/>
      <name val="Tahoma"/>
      <charset val="1"/>
    </font>
    <font>
      <b/>
      <sz val="8"/>
      <color indexed="81"/>
      <name val="Tahoma"/>
      <charset val="1"/>
    </font>
    <font>
      <b/>
      <sz val="16"/>
      <name val="Arial"/>
      <family val="2"/>
    </font>
    <font>
      <sz val="8"/>
      <color indexed="8"/>
      <name val="Arial"/>
    </font>
    <font>
      <b/>
      <sz val="8"/>
      <color indexed="62"/>
      <name val="Arial"/>
      <family val="2"/>
    </font>
    <font>
      <b/>
      <sz val="8"/>
      <color indexed="81"/>
      <name val="Tahoma"/>
    </font>
    <font>
      <sz val="8"/>
      <color indexed="81"/>
      <name val="Tahoma"/>
    </font>
    <font>
      <vertAlign val="superscript"/>
      <sz val="12"/>
      <name val="Arial"/>
      <family val="2"/>
    </font>
    <font>
      <vertAlign val="subscript"/>
      <sz val="12"/>
      <name val="Arial"/>
      <family val="2"/>
    </font>
    <font>
      <b/>
      <vertAlign val="superscript"/>
      <sz val="10"/>
      <color indexed="62"/>
      <name val="Arial"/>
      <family val="2"/>
    </font>
    <font>
      <sz val="9"/>
      <color indexed="81"/>
      <name val="Tahoma"/>
      <family val="2"/>
    </font>
    <font>
      <b/>
      <sz val="9"/>
      <color indexed="81"/>
      <name val="Tahoma"/>
      <family val="2"/>
    </font>
    <font>
      <sz val="1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1"/>
      <color indexed="8"/>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u/>
      <sz val="10"/>
      <color indexed="12"/>
      <name val="Arial"/>
      <family val="2"/>
    </font>
    <font>
      <sz val="10"/>
      <name val="Times New Roman"/>
      <family val="1"/>
    </font>
    <font>
      <sz val="11"/>
      <color theme="1"/>
      <name val="Calibri"/>
      <family val="2"/>
    </font>
    <font>
      <sz val="11"/>
      <color theme="0"/>
      <name val="Calibri"/>
      <family val="2"/>
    </font>
    <font>
      <sz val="11"/>
      <color rgb="FF9C0006"/>
      <name val="Calibri"/>
      <family val="2"/>
    </font>
    <font>
      <sz val="11"/>
      <color indexed="20"/>
      <name val="Calibri"/>
      <family val="2"/>
      <scheme val="minor"/>
    </font>
    <font>
      <b/>
      <sz val="11"/>
      <color indexed="52"/>
      <name val="Calibri"/>
      <family val="2"/>
      <scheme val="minor"/>
    </font>
    <font>
      <b/>
      <sz val="11"/>
      <color rgb="FFFA7D00"/>
      <name val="Calibri"/>
      <family val="2"/>
    </font>
    <font>
      <b/>
      <sz val="11"/>
      <color theme="0"/>
      <name val="Calibri"/>
      <family val="2"/>
    </font>
    <font>
      <i/>
      <sz val="11"/>
      <color rgb="FF7F7F7F"/>
      <name val="Calibri"/>
      <family val="2"/>
    </font>
    <font>
      <sz val="11"/>
      <color rgb="FF006100"/>
      <name val="Calibri"/>
      <family val="2"/>
    </font>
    <font>
      <b/>
      <sz val="15"/>
      <color theme="3"/>
      <name val="Calibri"/>
      <family val="2"/>
    </font>
    <font>
      <b/>
      <sz val="15"/>
      <color indexed="56"/>
      <name val="Calibri"/>
      <family val="2"/>
      <scheme val="minor"/>
    </font>
    <font>
      <b/>
      <sz val="13"/>
      <color theme="3"/>
      <name val="Calibri"/>
      <family val="2"/>
    </font>
    <font>
      <b/>
      <sz val="13"/>
      <color indexed="56"/>
      <name val="Calibri"/>
      <family val="2"/>
      <scheme val="minor"/>
    </font>
    <font>
      <b/>
      <sz val="11"/>
      <color theme="3"/>
      <name val="Calibri"/>
      <family val="2"/>
    </font>
    <font>
      <b/>
      <sz val="11"/>
      <color indexed="56"/>
      <name val="Calibri"/>
      <family val="2"/>
      <scheme val="minor"/>
    </font>
    <font>
      <u/>
      <sz val="11"/>
      <color theme="10"/>
      <name val="Calibri"/>
      <family val="2"/>
      <scheme val="minor"/>
    </font>
    <font>
      <u/>
      <sz val="10"/>
      <color theme="10"/>
      <name val="Arial"/>
      <family val="2"/>
    </font>
    <font>
      <sz val="11"/>
      <color rgb="FF3F3F76"/>
      <name val="Calibri"/>
      <family val="2"/>
    </font>
    <font>
      <sz val="11"/>
      <color rgb="FFFA7D00"/>
      <name val="Calibri"/>
      <family val="2"/>
    </font>
    <font>
      <sz val="11"/>
      <color indexed="60"/>
      <name val="Calibri"/>
      <family val="2"/>
      <scheme val="minor"/>
    </font>
    <font>
      <sz val="11"/>
      <color rgb="FF9C6500"/>
      <name val="Calibri"/>
      <family val="2"/>
    </font>
    <font>
      <b/>
      <sz val="11"/>
      <color rgb="FF3F3F3F"/>
      <name val="Calibri"/>
      <family val="2"/>
    </font>
    <font>
      <b/>
      <sz val="18"/>
      <color indexed="56"/>
      <name val="Cambria"/>
      <family val="2"/>
      <scheme val="major"/>
    </font>
    <font>
      <b/>
      <sz val="11"/>
      <color theme="1"/>
      <name val="Calibri"/>
      <family val="2"/>
    </font>
    <font>
      <sz val="11"/>
      <color rgb="FFFF0000"/>
      <name val="Calibri"/>
      <family val="2"/>
    </font>
  </fonts>
  <fills count="57">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6" tint="0.79998168889431442"/>
        <bgColor indexed="64"/>
      </patternFill>
    </fill>
  </fills>
  <borders count="40">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diagonal/>
    </border>
    <border>
      <left style="medium">
        <color indexed="64"/>
      </left>
      <right/>
      <top/>
      <bottom/>
      <diagonal/>
    </border>
    <border>
      <left/>
      <right/>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style="thin">
        <color indexed="62"/>
      </top>
      <bottom style="double">
        <color indexed="62"/>
      </bottom>
      <diagonal/>
    </border>
  </borders>
  <cellStyleXfs count="374">
    <xf numFmtId="0" fontId="0" fillId="0" borderId="0"/>
    <xf numFmtId="43" fontId="2" fillId="0" borderId="0" applyFont="0" applyFill="0" applyBorder="0" applyAlignment="0" applyProtection="0"/>
    <xf numFmtId="0" fontId="7" fillId="0" borderId="0"/>
    <xf numFmtId="9" fontId="2" fillId="0" borderId="0" applyFont="0" applyFill="0" applyBorder="0" applyAlignment="0" applyProtection="0"/>
    <xf numFmtId="0" fontId="30" fillId="0" borderId="0" applyNumberFormat="0" applyFill="0" applyBorder="0" applyAlignment="0" applyProtection="0"/>
    <xf numFmtId="0" fontId="31" fillId="0" borderId="25" applyNumberFormat="0" applyFill="0" applyAlignment="0" applyProtection="0"/>
    <xf numFmtId="0" fontId="32" fillId="0" borderId="26" applyNumberFormat="0" applyFill="0" applyAlignment="0" applyProtection="0"/>
    <xf numFmtId="0" fontId="33" fillId="0" borderId="27" applyNumberFormat="0" applyFill="0" applyAlignment="0" applyProtection="0"/>
    <xf numFmtId="0" fontId="33" fillId="0" borderId="0" applyNumberFormat="0" applyFill="0" applyBorder="0" applyAlignment="0" applyProtection="0"/>
    <xf numFmtId="0" fontId="34" fillId="8" borderId="0" applyNumberFormat="0" applyBorder="0" applyAlignment="0" applyProtection="0"/>
    <xf numFmtId="0" fontId="35" fillId="9" borderId="0" applyNumberFormat="0" applyBorder="0" applyAlignment="0" applyProtection="0"/>
    <xf numFmtId="0" fontId="36" fillId="10" borderId="0" applyNumberFormat="0" applyBorder="0" applyAlignment="0" applyProtection="0"/>
    <xf numFmtId="0" fontId="37" fillId="11" borderId="28" applyNumberFormat="0" applyAlignment="0" applyProtection="0"/>
    <xf numFmtId="0" fontId="38" fillId="12" borderId="29" applyNumberFormat="0" applyAlignment="0" applyProtection="0"/>
    <xf numFmtId="0" fontId="39" fillId="12" borderId="28" applyNumberFormat="0" applyAlignment="0" applyProtection="0"/>
    <xf numFmtId="0" fontId="40" fillId="0" borderId="30" applyNumberFormat="0" applyFill="0" applyAlignment="0" applyProtection="0"/>
    <xf numFmtId="0" fontId="41" fillId="13" borderId="31" applyNumberFormat="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4" fillId="0" borderId="33" applyNumberFormat="0" applyFill="0" applyAlignment="0" applyProtection="0"/>
    <xf numFmtId="0" fontId="45"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45" fillId="18" borderId="0" applyNumberFormat="0" applyBorder="0" applyAlignment="0" applyProtection="0"/>
    <xf numFmtId="0" fontId="45"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45" fillId="22" borderId="0" applyNumberFormat="0" applyBorder="0" applyAlignment="0" applyProtection="0"/>
    <xf numFmtId="0" fontId="45"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45" fillId="26" borderId="0" applyNumberFormat="0" applyBorder="0" applyAlignment="0" applyProtection="0"/>
    <xf numFmtId="0" fontId="45"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45" fillId="38" borderId="0" applyNumberFormat="0" applyBorder="0" applyAlignment="0" applyProtection="0"/>
    <xf numFmtId="0" fontId="46" fillId="0" borderId="0" applyProtection="0"/>
    <xf numFmtId="0" fontId="1" fillId="39"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4" fillId="16"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54" fillId="20"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54" fillId="2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4" fillId="28" borderId="0" applyNumberFormat="0" applyBorder="0" applyAlignment="0" applyProtection="0"/>
    <xf numFmtId="0" fontId="1" fillId="4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54" fillId="3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4" fillId="36" borderId="0" applyNumberFormat="0" applyBorder="0" applyAlignment="0" applyProtection="0"/>
    <xf numFmtId="0" fontId="1" fillId="44"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54" fillId="17" borderId="0" applyNumberFormat="0" applyBorder="0" applyAlignment="0" applyProtection="0"/>
    <xf numFmtId="0" fontId="1" fillId="44"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54" fillId="21" borderId="0" applyNumberFormat="0" applyBorder="0" applyAlignment="0" applyProtection="0"/>
    <xf numFmtId="0" fontId="1" fillId="46"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4" fillId="25" borderId="0" applyNumberFormat="0" applyBorder="0" applyAlignment="0" applyProtection="0"/>
    <xf numFmtId="0" fontId="1" fillId="46" borderId="0" applyNumberFormat="0" applyBorder="0" applyAlignment="0" applyProtection="0"/>
    <xf numFmtId="0" fontId="1" fillId="42"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4" fillId="29" borderId="0" applyNumberFormat="0" applyBorder="0" applyAlignment="0" applyProtection="0"/>
    <xf numFmtId="0" fontId="1" fillId="42" borderId="0" applyNumberFormat="0" applyBorder="0" applyAlignment="0" applyProtection="0"/>
    <xf numFmtId="0" fontId="1" fillId="44"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54" fillId="33" borderId="0" applyNumberFormat="0" applyBorder="0" applyAlignment="0" applyProtection="0"/>
    <xf numFmtId="0" fontId="1" fillId="4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4" fillId="37" borderId="0" applyNumberFormat="0" applyBorder="0" applyAlignment="0" applyProtection="0"/>
    <xf numFmtId="0" fontId="1" fillId="47" borderId="0" applyNumberFormat="0" applyBorder="0" applyAlignment="0" applyProtection="0"/>
    <xf numFmtId="0" fontId="45" fillId="48" borderId="0" applyNumberFormat="0" applyBorder="0" applyAlignment="0" applyProtection="0"/>
    <xf numFmtId="0" fontId="45" fillId="18" borderId="0" applyNumberFormat="0" applyBorder="0" applyAlignment="0" applyProtection="0"/>
    <xf numFmtId="0" fontId="45" fillId="1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55" fillId="18" borderId="0" applyNumberFormat="0" applyBorder="0" applyAlignment="0" applyProtection="0"/>
    <xf numFmtId="0" fontId="45" fillId="48" borderId="0" applyNumberFormat="0" applyBorder="0" applyAlignment="0" applyProtection="0"/>
    <xf numFmtId="0" fontId="45" fillId="45" borderId="0" applyNumberFormat="0" applyBorder="0" applyAlignment="0" applyProtection="0"/>
    <xf numFmtId="0" fontId="45" fillId="22" borderId="0" applyNumberFormat="0" applyBorder="0" applyAlignment="0" applyProtection="0"/>
    <xf numFmtId="0" fontId="45" fillId="22" borderId="0" applyNumberFormat="0" applyBorder="0" applyAlignment="0" applyProtection="0"/>
    <xf numFmtId="0" fontId="45" fillId="45" borderId="0" applyNumberFormat="0" applyBorder="0" applyAlignment="0" applyProtection="0"/>
    <xf numFmtId="0" fontId="45" fillId="45" borderId="0" applyNumberFormat="0" applyBorder="0" applyAlignment="0" applyProtection="0"/>
    <xf numFmtId="0" fontId="55" fillId="22" borderId="0" applyNumberFormat="0" applyBorder="0" applyAlignment="0" applyProtection="0"/>
    <xf numFmtId="0" fontId="45" fillId="46" borderId="0" applyNumberFormat="0" applyBorder="0" applyAlignment="0" applyProtection="0"/>
    <xf numFmtId="0" fontId="45" fillId="26" borderId="0" applyNumberFormat="0" applyBorder="0" applyAlignment="0" applyProtection="0"/>
    <xf numFmtId="0" fontId="45" fillId="26" borderId="0" applyNumberFormat="0" applyBorder="0" applyAlignment="0" applyProtection="0"/>
    <xf numFmtId="0" fontId="45" fillId="46" borderId="0" applyNumberFormat="0" applyBorder="0" applyAlignment="0" applyProtection="0"/>
    <xf numFmtId="0" fontId="45" fillId="46" borderId="0" applyNumberFormat="0" applyBorder="0" applyAlignment="0" applyProtection="0"/>
    <xf numFmtId="0" fontId="55" fillId="26" borderId="0" applyNumberFormat="0" applyBorder="0" applyAlignment="0" applyProtection="0"/>
    <xf numFmtId="0" fontId="45" fillId="46" borderId="0" applyNumberFormat="0" applyBorder="0" applyAlignment="0" applyProtection="0"/>
    <xf numFmtId="0" fontId="45" fillId="49"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55" fillId="30" borderId="0" applyNumberFormat="0" applyBorder="0" applyAlignment="0" applyProtection="0"/>
    <xf numFmtId="0" fontId="45" fillId="49" borderId="0" applyNumberFormat="0" applyBorder="0" applyAlignment="0" applyProtection="0"/>
    <xf numFmtId="0" fontId="45" fillId="50"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55" fillId="34" borderId="0" applyNumberFormat="0" applyBorder="0" applyAlignment="0" applyProtection="0"/>
    <xf numFmtId="0" fontId="45" fillId="51"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55" fillId="38" borderId="0" applyNumberFormat="0" applyBorder="0" applyAlignment="0" applyProtection="0"/>
    <xf numFmtId="0" fontId="45" fillId="51" borderId="0" applyNumberFormat="0" applyBorder="0" applyAlignment="0" applyProtection="0"/>
    <xf numFmtId="0" fontId="45" fillId="52" borderId="0" applyNumberFormat="0" applyBorder="0" applyAlignment="0" applyProtection="0"/>
    <xf numFmtId="0" fontId="45" fillId="15" borderId="0" applyNumberFormat="0" applyBorder="0" applyAlignment="0" applyProtection="0"/>
    <xf numFmtId="0" fontId="45" fillId="15"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55" fillId="15" borderId="0" applyNumberFormat="0" applyBorder="0" applyAlignment="0" applyProtection="0"/>
    <xf numFmtId="0" fontId="45" fillId="52" borderId="0" applyNumberFormat="0" applyBorder="0" applyAlignment="0" applyProtection="0"/>
    <xf numFmtId="0" fontId="45" fillId="53" borderId="0" applyNumberFormat="0" applyBorder="0" applyAlignment="0" applyProtection="0"/>
    <xf numFmtId="0" fontId="45" fillId="19" borderId="0" applyNumberFormat="0" applyBorder="0" applyAlignment="0" applyProtection="0"/>
    <xf numFmtId="0" fontId="45" fillId="19" borderId="0" applyNumberFormat="0" applyBorder="0" applyAlignment="0" applyProtection="0"/>
    <xf numFmtId="0" fontId="45" fillId="53" borderId="0" applyNumberFormat="0" applyBorder="0" applyAlignment="0" applyProtection="0"/>
    <xf numFmtId="0" fontId="45" fillId="53" borderId="0" applyNumberFormat="0" applyBorder="0" applyAlignment="0" applyProtection="0"/>
    <xf numFmtId="0" fontId="55" fillId="19" borderId="0" applyNumberFormat="0" applyBorder="0" applyAlignment="0" applyProtection="0"/>
    <xf numFmtId="0" fontId="45" fillId="53" borderId="0" applyNumberFormat="0" applyBorder="0" applyAlignment="0" applyProtection="0"/>
    <xf numFmtId="0" fontId="45" fillId="54" borderId="0" applyNumberFormat="0" applyBorder="0" applyAlignment="0" applyProtection="0"/>
    <xf numFmtId="0" fontId="45" fillId="23" borderId="0" applyNumberFormat="0" applyBorder="0" applyAlignment="0" applyProtection="0"/>
    <xf numFmtId="0" fontId="45" fillId="23"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55" fillId="23" borderId="0" applyNumberFormat="0" applyBorder="0" applyAlignment="0" applyProtection="0"/>
    <xf numFmtId="0" fontId="45" fillId="54" borderId="0" applyNumberFormat="0" applyBorder="0" applyAlignment="0" applyProtection="0"/>
    <xf numFmtId="0" fontId="45" fillId="49" borderId="0" applyNumberFormat="0" applyBorder="0" applyAlignment="0" applyProtection="0"/>
    <xf numFmtId="0" fontId="45" fillId="27" borderId="0" applyNumberFormat="0" applyBorder="0" applyAlignment="0" applyProtection="0"/>
    <xf numFmtId="0" fontId="45" fillId="27"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55" fillId="27" borderId="0" applyNumberFormat="0" applyBorder="0" applyAlignment="0" applyProtection="0"/>
    <xf numFmtId="0" fontId="45" fillId="49"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55" fillId="31" borderId="0" applyNumberFormat="0" applyBorder="0" applyAlignment="0" applyProtection="0"/>
    <xf numFmtId="0" fontId="45" fillId="5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55" fillId="35" borderId="0" applyNumberFormat="0" applyBorder="0" applyAlignment="0" applyProtection="0"/>
    <xf numFmtId="0" fontId="35" fillId="40"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56" fillId="9" borderId="0" applyNumberFormat="0" applyBorder="0" applyAlignment="0" applyProtection="0"/>
    <xf numFmtId="0" fontId="57" fillId="9" borderId="0" applyNumberFormat="0" applyBorder="0" applyAlignment="0" applyProtection="0"/>
    <xf numFmtId="0" fontId="58" fillId="43" borderId="28" applyNumberFormat="0" applyAlignment="0" applyProtection="0"/>
    <xf numFmtId="0" fontId="39" fillId="12" borderId="28" applyNumberFormat="0" applyAlignment="0" applyProtection="0"/>
    <xf numFmtId="0" fontId="39" fillId="12" borderId="28" applyNumberFormat="0" applyAlignment="0" applyProtection="0"/>
    <xf numFmtId="0" fontId="58" fillId="43" borderId="28" applyNumberFormat="0" applyAlignment="0" applyProtection="0"/>
    <xf numFmtId="0" fontId="58" fillId="43" borderId="28" applyNumberFormat="0" applyAlignment="0" applyProtection="0"/>
    <xf numFmtId="0" fontId="59" fillId="12" borderId="28" applyNumberFormat="0" applyAlignment="0" applyProtection="0"/>
    <xf numFmtId="0" fontId="39" fillId="43" borderId="28" applyNumberFormat="0" applyAlignment="0" applyProtection="0"/>
    <xf numFmtId="0" fontId="41" fillId="13" borderId="31" applyNumberFormat="0" applyAlignment="0" applyProtection="0"/>
    <xf numFmtId="0" fontId="41" fillId="13" borderId="31" applyNumberFormat="0" applyAlignment="0" applyProtection="0"/>
    <xf numFmtId="0" fontId="60" fillId="13" borderId="31" applyNumberFormat="0" applyAlignment="0" applyProtection="0"/>
    <xf numFmtId="43" fontId="4" fillId="0" borderId="0" applyFont="0" applyFill="0" applyBorder="0" applyAlignment="0" applyProtection="0"/>
    <xf numFmtId="0" fontId="6" fillId="56" borderId="34">
      <alignment wrapText="1"/>
    </xf>
    <xf numFmtId="0" fontId="43" fillId="0" borderId="0" applyNumberFormat="0" applyFill="0" applyBorder="0" applyAlignment="0" applyProtection="0"/>
    <xf numFmtId="0" fontId="43" fillId="0" borderId="0" applyNumberFormat="0" applyFill="0" applyBorder="0" applyAlignment="0" applyProtection="0"/>
    <xf numFmtId="0" fontId="61" fillId="0" borderId="0" applyNumberFormat="0" applyFill="0" applyBorder="0" applyAlignment="0" applyProtection="0"/>
    <xf numFmtId="0" fontId="34" fillId="41"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62" fillId="8" borderId="0" applyNumberFormat="0" applyBorder="0" applyAlignment="0" applyProtection="0"/>
    <xf numFmtId="0" fontId="48" fillId="0" borderId="35" applyNumberFormat="0" applyFill="0" applyAlignment="0" applyProtection="0"/>
    <xf numFmtId="0" fontId="31" fillId="0" borderId="25" applyNumberFormat="0" applyFill="0" applyAlignment="0" applyProtection="0"/>
    <xf numFmtId="0" fontId="31" fillId="0" borderId="25" applyNumberFormat="0" applyFill="0" applyAlignment="0" applyProtection="0"/>
    <xf numFmtId="0" fontId="48" fillId="0" borderId="35" applyNumberFormat="0" applyFill="0" applyAlignment="0" applyProtection="0"/>
    <xf numFmtId="0" fontId="48" fillId="0" borderId="35" applyNumberFormat="0" applyFill="0" applyAlignment="0" applyProtection="0"/>
    <xf numFmtId="0" fontId="63" fillId="0" borderId="25" applyNumberFormat="0" applyFill="0" applyAlignment="0" applyProtection="0"/>
    <xf numFmtId="0" fontId="64" fillId="0" borderId="35" applyNumberFormat="0" applyFill="0" applyAlignment="0" applyProtection="0"/>
    <xf numFmtId="0" fontId="49" fillId="0" borderId="36" applyNumberFormat="0" applyFill="0" applyAlignment="0" applyProtection="0"/>
    <xf numFmtId="0" fontId="32" fillId="0" borderId="26" applyNumberFormat="0" applyFill="0" applyAlignment="0" applyProtection="0"/>
    <xf numFmtId="0" fontId="32" fillId="0" borderId="26" applyNumberFormat="0" applyFill="0" applyAlignment="0" applyProtection="0"/>
    <xf numFmtId="0" fontId="49" fillId="0" borderId="36" applyNumberFormat="0" applyFill="0" applyAlignment="0" applyProtection="0"/>
    <xf numFmtId="0" fontId="49" fillId="0" borderId="36" applyNumberFormat="0" applyFill="0" applyAlignment="0" applyProtection="0"/>
    <xf numFmtId="0" fontId="65" fillId="0" borderId="26" applyNumberFormat="0" applyFill="0" applyAlignment="0" applyProtection="0"/>
    <xf numFmtId="0" fontId="66" fillId="0" borderId="26" applyNumberFormat="0" applyFill="0" applyAlignment="0" applyProtection="0"/>
    <xf numFmtId="0" fontId="50" fillId="0" borderId="37" applyNumberFormat="0" applyFill="0" applyAlignment="0" applyProtection="0"/>
    <xf numFmtId="0" fontId="33" fillId="0" borderId="27" applyNumberFormat="0" applyFill="0" applyAlignment="0" applyProtection="0"/>
    <xf numFmtId="0" fontId="33" fillId="0" borderId="2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67" fillId="0" borderId="27" applyNumberFormat="0" applyFill="0" applyAlignment="0" applyProtection="0"/>
    <xf numFmtId="0" fontId="68" fillId="0" borderId="37" applyNumberFormat="0" applyFill="0" applyAlignment="0" applyProtection="0"/>
    <xf numFmtId="0" fontId="50"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52" fillId="0" borderId="0" applyNumberFormat="0" applyFill="0" applyBorder="0" applyAlignment="0" applyProtection="0">
      <alignment vertical="top"/>
      <protection locked="0"/>
    </xf>
    <xf numFmtId="0" fontId="69"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52" fillId="0" borderId="0" applyNumberFormat="0" applyFill="0" applyBorder="0" applyAlignment="0" applyProtection="0"/>
    <xf numFmtId="0" fontId="37" fillId="43" borderId="28" applyNumberFormat="0" applyAlignment="0" applyProtection="0"/>
    <xf numFmtId="0" fontId="37" fillId="11" borderId="28" applyNumberFormat="0" applyAlignment="0" applyProtection="0"/>
    <xf numFmtId="0" fontId="37" fillId="11" borderId="28" applyNumberFormat="0" applyAlignment="0" applyProtection="0"/>
    <xf numFmtId="0" fontId="37" fillId="43" borderId="28" applyNumberFormat="0" applyAlignment="0" applyProtection="0"/>
    <xf numFmtId="0" fontId="37" fillId="43" borderId="28" applyNumberFormat="0" applyAlignment="0" applyProtection="0"/>
    <xf numFmtId="0" fontId="71" fillId="11" borderId="28" applyNumberFormat="0" applyAlignment="0" applyProtection="0"/>
    <xf numFmtId="0" fontId="51" fillId="0" borderId="38" applyNumberFormat="0" applyFill="0" applyAlignment="0" applyProtection="0"/>
    <xf numFmtId="0" fontId="40" fillId="0" borderId="30" applyNumberFormat="0" applyFill="0" applyAlignment="0" applyProtection="0"/>
    <xf numFmtId="0" fontId="40" fillId="0" borderId="30" applyNumberFormat="0" applyFill="0" applyAlignment="0" applyProtection="0"/>
    <xf numFmtId="0" fontId="51" fillId="0" borderId="38" applyNumberFormat="0" applyFill="0" applyAlignment="0" applyProtection="0"/>
    <xf numFmtId="0" fontId="51" fillId="0" borderId="38" applyNumberFormat="0" applyFill="0" applyAlignment="0" applyProtection="0"/>
    <xf numFmtId="0" fontId="72" fillId="0" borderId="30" applyNumberFormat="0" applyFill="0" applyAlignment="0" applyProtection="0"/>
    <xf numFmtId="0" fontId="73"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4" fillId="10" borderId="0" applyNumberFormat="0" applyBorder="0" applyAlignment="0" applyProtection="0"/>
    <xf numFmtId="0" fontId="4" fillId="0" borderId="0"/>
    <xf numFmtId="0" fontId="4" fillId="0" borderId="0"/>
    <xf numFmtId="0" fontId="4" fillId="0" borderId="0"/>
    <xf numFmtId="0" fontId="1" fillId="0" borderId="0"/>
    <xf numFmtId="0" fontId="4" fillId="0" borderId="0"/>
    <xf numFmtId="0" fontId="1" fillId="0" borderId="0"/>
    <xf numFmtId="0" fontId="54" fillId="0" borderId="0"/>
    <xf numFmtId="0" fontId="1" fillId="0" borderId="0"/>
    <xf numFmtId="0" fontId="54"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14" borderId="32" applyNumberFormat="0" applyFont="0" applyAlignment="0" applyProtection="0"/>
    <xf numFmtId="0" fontId="47" fillId="14" borderId="32" applyNumberFormat="0" applyFont="0" applyAlignment="0" applyProtection="0"/>
    <xf numFmtId="0" fontId="1" fillId="14" borderId="32" applyNumberFormat="0" applyFont="0" applyAlignment="0" applyProtection="0"/>
    <xf numFmtId="0" fontId="1" fillId="0" borderId="0"/>
    <xf numFmtId="0" fontId="1" fillId="14" borderId="32" applyNumberFormat="0" applyFont="0" applyAlignment="0" applyProtection="0"/>
    <xf numFmtId="0" fontId="1" fillId="0" borderId="0"/>
    <xf numFmtId="0" fontId="1" fillId="0" borderId="0"/>
    <xf numFmtId="0" fontId="1" fillId="0" borderId="0"/>
    <xf numFmtId="0" fontId="47" fillId="14" borderId="32" applyNumberFormat="0" applyFont="0" applyAlignment="0" applyProtection="0"/>
    <xf numFmtId="0" fontId="47" fillId="14" borderId="32" applyNumberFormat="0" applyFont="0" applyAlignment="0" applyProtection="0"/>
    <xf numFmtId="0" fontId="1" fillId="0" borderId="0"/>
    <xf numFmtId="0" fontId="47" fillId="14" borderId="32" applyNumberFormat="0" applyFont="0" applyAlignment="0" applyProtection="0"/>
    <xf numFmtId="0" fontId="1" fillId="0" borderId="0"/>
    <xf numFmtId="0" fontId="47" fillId="14" borderId="32" applyNumberFormat="0" applyFont="0" applyAlignment="0" applyProtection="0"/>
    <xf numFmtId="0" fontId="38" fillId="43" borderId="29" applyNumberFormat="0" applyAlignment="0" applyProtection="0"/>
    <xf numFmtId="0" fontId="1" fillId="0" borderId="0"/>
    <xf numFmtId="0" fontId="38" fillId="12" borderId="29" applyNumberFormat="0" applyAlignment="0" applyProtection="0"/>
    <xf numFmtId="0" fontId="38" fillId="12" borderId="29" applyNumberFormat="0" applyAlignment="0" applyProtection="0"/>
    <xf numFmtId="0" fontId="1" fillId="0" borderId="0"/>
    <xf numFmtId="0" fontId="38" fillId="12" borderId="29" applyNumberFormat="0" applyAlignment="0" applyProtection="0"/>
    <xf numFmtId="0" fontId="1" fillId="0" borderId="0"/>
    <xf numFmtId="0" fontId="38" fillId="12" borderId="29" applyNumberFormat="0" applyAlignment="0" applyProtection="0"/>
    <xf numFmtId="0" fontId="1" fillId="0" borderId="0"/>
    <xf numFmtId="0" fontId="38" fillId="12" borderId="29" applyNumberFormat="0" applyAlignment="0" applyProtection="0"/>
    <xf numFmtId="0" fontId="75" fillId="12" borderId="29" applyNumberFormat="0" applyAlignment="0" applyProtection="0"/>
    <xf numFmtId="9" fontId="4" fillId="0" borderId="0" applyFont="0" applyFill="0" applyBorder="0" applyAlignment="0" applyProtection="0"/>
    <xf numFmtId="0" fontId="1" fillId="0" borderId="0"/>
    <xf numFmtId="0" fontId="30" fillId="0" borderId="0" applyNumberFormat="0" applyFill="0" applyBorder="0" applyAlignment="0" applyProtection="0"/>
    <xf numFmtId="0" fontId="30" fillId="0" borderId="0" applyNumberFormat="0" applyFill="0" applyBorder="0" applyAlignment="0" applyProtection="0"/>
    <xf numFmtId="0" fontId="1" fillId="0" borderId="0"/>
    <xf numFmtId="0" fontId="30" fillId="0" borderId="0" applyNumberFormat="0" applyFill="0" applyBorder="0" applyAlignment="0" applyProtection="0"/>
    <xf numFmtId="0" fontId="1" fillId="0" borderId="0"/>
    <xf numFmtId="0" fontId="1" fillId="0" borderId="0"/>
    <xf numFmtId="0" fontId="30" fillId="0" borderId="0" applyNumberFormat="0" applyFill="0" applyBorder="0" applyAlignment="0" applyProtection="0"/>
    <xf numFmtId="0" fontId="76" fillId="0" borderId="0" applyNumberFormat="0" applyFill="0" applyBorder="0" applyAlignment="0" applyProtection="0"/>
    <xf numFmtId="0" fontId="44" fillId="0" borderId="39" applyNumberFormat="0" applyFill="0" applyAlignment="0" applyProtection="0"/>
    <xf numFmtId="0" fontId="1" fillId="0" borderId="0"/>
    <xf numFmtId="0" fontId="44" fillId="0" borderId="33" applyNumberFormat="0" applyFill="0" applyAlignment="0" applyProtection="0"/>
    <xf numFmtId="0" fontId="44" fillId="0" borderId="33" applyNumberFormat="0" applyFill="0" applyAlignment="0" applyProtection="0"/>
    <xf numFmtId="0" fontId="1" fillId="0" borderId="0"/>
    <xf numFmtId="0" fontId="44" fillId="0" borderId="33" applyNumberFormat="0" applyFill="0" applyAlignment="0" applyProtection="0"/>
    <xf numFmtId="0" fontId="1" fillId="0" borderId="0"/>
    <xf numFmtId="0" fontId="44" fillId="0" borderId="33" applyNumberFormat="0" applyFill="0" applyAlignment="0" applyProtection="0"/>
    <xf numFmtId="0" fontId="1" fillId="0" borderId="0"/>
    <xf numFmtId="0" fontId="44" fillId="0" borderId="33" applyNumberFormat="0" applyFill="0" applyAlignment="0" applyProtection="0"/>
    <xf numFmtId="0" fontId="77" fillId="0" borderId="33" applyNumberFormat="0" applyFill="0" applyAlignment="0" applyProtection="0"/>
    <xf numFmtId="0" fontId="1" fillId="0" borderId="0"/>
    <xf numFmtId="0" fontId="42" fillId="0" borderId="0" applyNumberFormat="0" applyFill="0" applyBorder="0" applyAlignment="0" applyProtection="0"/>
    <xf numFmtId="0" fontId="42" fillId="0" borderId="0" applyNumberFormat="0" applyFill="0" applyBorder="0" applyAlignment="0" applyProtection="0"/>
    <xf numFmtId="0" fontId="1" fillId="0" borderId="0"/>
    <xf numFmtId="0" fontId="42" fillId="0" borderId="0" applyNumberFormat="0" applyFill="0" applyBorder="0" applyAlignment="0" applyProtection="0"/>
    <xf numFmtId="0" fontId="1" fillId="0" borderId="0"/>
    <xf numFmtId="0" fontId="42" fillId="0" borderId="0" applyNumberFormat="0" applyFill="0" applyBorder="0" applyAlignment="0" applyProtection="0"/>
    <xf numFmtId="0" fontId="1" fillId="0" borderId="0"/>
    <xf numFmtId="0" fontId="42" fillId="0" borderId="0" applyNumberFormat="0" applyFill="0" applyBorder="0" applyAlignment="0" applyProtection="0"/>
    <xf numFmtId="0" fontId="78" fillId="0" borderId="0" applyNumberFormat="0" applyFill="0" applyBorder="0" applyAlignment="0" applyProtection="0"/>
  </cellStyleXfs>
  <cellXfs count="431">
    <xf numFmtId="0" fontId="0" fillId="0" borderId="0" xfId="0"/>
    <xf numFmtId="0" fontId="0" fillId="0" borderId="1" xfId="0" applyBorder="1" applyAlignment="1">
      <alignment horizontal="right"/>
    </xf>
    <xf numFmtId="0" fontId="0" fillId="0" borderId="2" xfId="0" applyBorder="1" applyAlignment="1">
      <alignment horizontal="right"/>
    </xf>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0" xfId="0" applyBorder="1" applyAlignment="1">
      <alignment horizontal="right"/>
    </xf>
    <xf numFmtId="9" fontId="0" fillId="0" borderId="1" xfId="3" applyFont="1" applyBorder="1"/>
    <xf numFmtId="9" fontId="0" fillId="0" borderId="0" xfId="3" applyFont="1" applyBorder="1"/>
    <xf numFmtId="43" fontId="0" fillId="0" borderId="2" xfId="1" applyFont="1" applyBorder="1"/>
    <xf numFmtId="9" fontId="0" fillId="0" borderId="3" xfId="3" applyFont="1" applyBorder="1"/>
    <xf numFmtId="9" fontId="0" fillId="0" borderId="5" xfId="3" applyFont="1" applyBorder="1"/>
    <xf numFmtId="0" fontId="0" fillId="0" borderId="5" xfId="0" applyBorder="1"/>
    <xf numFmtId="43" fontId="0" fillId="0" borderId="4" xfId="1" applyFont="1" applyBorder="1"/>
    <xf numFmtId="2" fontId="0" fillId="0" borderId="2" xfId="1" applyNumberFormat="1" applyFont="1" applyBorder="1"/>
    <xf numFmtId="2" fontId="0" fillId="0" borderId="4" xfId="1" applyNumberFormat="1" applyFont="1" applyBorder="1"/>
    <xf numFmtId="167" fontId="0" fillId="0" borderId="0" xfId="0" applyNumberFormat="1"/>
    <xf numFmtId="2" fontId="0" fillId="0" borderId="0" xfId="0" applyNumberFormat="1"/>
    <xf numFmtId="0" fontId="5" fillId="0" borderId="0" xfId="0" applyFont="1"/>
    <xf numFmtId="0" fontId="4" fillId="0" borderId="0" xfId="0" applyFont="1" applyFill="1" applyBorder="1" applyAlignment="1" applyProtection="1">
      <alignment horizontal="center"/>
      <protection locked="0"/>
    </xf>
    <xf numFmtId="0" fontId="0" fillId="0" borderId="0" xfId="0" applyBorder="1" applyProtection="1">
      <protection locked="0"/>
    </xf>
    <xf numFmtId="0" fontId="5" fillId="0" borderId="0" xfId="0" applyFont="1" applyProtection="1">
      <protection hidden="1"/>
    </xf>
    <xf numFmtId="0" fontId="0" fillId="0" borderId="0" xfId="0" applyProtection="1">
      <protection hidden="1"/>
    </xf>
    <xf numFmtId="0" fontId="0" fillId="0" borderId="6" xfId="0" applyBorder="1" applyProtection="1">
      <protection hidden="1"/>
    </xf>
    <xf numFmtId="0" fontId="0" fillId="0" borderId="7" xfId="0" applyBorder="1" applyProtection="1">
      <protection hidden="1"/>
    </xf>
    <xf numFmtId="0" fontId="6" fillId="0" borderId="7" xfId="0" applyFont="1" applyBorder="1" applyProtection="1">
      <protection hidden="1"/>
    </xf>
    <xf numFmtId="0" fontId="0" fillId="0" borderId="8" xfId="0" applyBorder="1" applyProtection="1">
      <protection hidden="1"/>
    </xf>
    <xf numFmtId="0" fontId="0" fillId="0" borderId="6" xfId="0" applyBorder="1" applyAlignment="1" applyProtection="1">
      <alignment horizontal="right"/>
      <protection hidden="1"/>
    </xf>
    <xf numFmtId="0" fontId="0" fillId="0" borderId="7" xfId="0" applyBorder="1" applyAlignment="1" applyProtection="1">
      <alignment horizontal="right"/>
      <protection hidden="1"/>
    </xf>
    <xf numFmtId="0" fontId="0" fillId="0" borderId="8" xfId="0" applyBorder="1" applyAlignment="1" applyProtection="1">
      <alignment horizontal="right"/>
      <protection hidden="1"/>
    </xf>
    <xf numFmtId="0" fontId="6" fillId="0" borderId="0" xfId="0" applyFont="1" applyProtection="1">
      <protection hidden="1"/>
    </xf>
    <xf numFmtId="0" fontId="6" fillId="0" borderId="5" xfId="0" applyFont="1" applyBorder="1" applyAlignment="1" applyProtection="1">
      <alignment horizontal="center"/>
      <protection hidden="1"/>
    </xf>
    <xf numFmtId="0" fontId="6" fillId="0" borderId="5" xfId="0" applyFont="1" applyBorder="1" applyProtection="1">
      <protection hidden="1"/>
    </xf>
    <xf numFmtId="0" fontId="6" fillId="0" borderId="4" xfId="0" applyFont="1" applyBorder="1" applyProtection="1">
      <protection hidden="1"/>
    </xf>
    <xf numFmtId="0" fontId="0" fillId="0" borderId="0" xfId="0" applyAlignment="1" applyProtection="1">
      <alignment horizontal="right"/>
      <protection hidden="1"/>
    </xf>
    <xf numFmtId="0" fontId="4" fillId="0" borderId="0" xfId="0" applyFont="1" applyBorder="1" applyProtection="1">
      <protection hidden="1"/>
    </xf>
    <xf numFmtId="0" fontId="4" fillId="0" borderId="2" xfId="0" applyFont="1" applyBorder="1" applyProtection="1">
      <protection hidden="1"/>
    </xf>
    <xf numFmtId="9" fontId="0" fillId="0" borderId="0" xfId="3" applyFont="1" applyBorder="1" applyAlignment="1" applyProtection="1">
      <alignment horizontal="center"/>
      <protection hidden="1"/>
    </xf>
    <xf numFmtId="167" fontId="0" fillId="0" borderId="0" xfId="0" applyNumberFormat="1" applyBorder="1" applyProtection="1">
      <protection hidden="1"/>
    </xf>
    <xf numFmtId="167" fontId="0" fillId="0" borderId="2" xfId="0" applyNumberFormat="1" applyBorder="1" applyProtection="1">
      <protection hidden="1"/>
    </xf>
    <xf numFmtId="1" fontId="0" fillId="0" borderId="0" xfId="0" applyNumberFormat="1" applyProtection="1">
      <protection hidden="1"/>
    </xf>
    <xf numFmtId="0" fontId="0" fillId="0" borderId="0" xfId="0" applyBorder="1" applyProtection="1">
      <protection hidden="1"/>
    </xf>
    <xf numFmtId="164" fontId="0" fillId="0" borderId="0" xfId="0" applyNumberFormat="1" applyProtection="1">
      <protection hidden="1"/>
    </xf>
    <xf numFmtId="2" fontId="0" fillId="0" borderId="0" xfId="0" applyNumberFormat="1" applyProtection="1">
      <protection hidden="1"/>
    </xf>
    <xf numFmtId="164" fontId="0" fillId="0" borderId="0" xfId="0" applyNumberFormat="1" applyAlignment="1" applyProtection="1">
      <alignment horizontal="right"/>
      <protection hidden="1"/>
    </xf>
    <xf numFmtId="0" fontId="8" fillId="0" borderId="0" xfId="0" applyFont="1"/>
    <xf numFmtId="164" fontId="0" fillId="0" borderId="0" xfId="0" applyNumberFormat="1"/>
    <xf numFmtId="0" fontId="10" fillId="0" borderId="0" xfId="0" applyFont="1"/>
    <xf numFmtId="0" fontId="10" fillId="0" borderId="1" xfId="0" applyFont="1" applyBorder="1" applyAlignment="1">
      <alignment horizontal="left"/>
    </xf>
    <xf numFmtId="0" fontId="9" fillId="0" borderId="0" xfId="0" applyFont="1" applyBorder="1" applyAlignment="1">
      <alignment horizontal="right"/>
    </xf>
    <xf numFmtId="1" fontId="4" fillId="0" borderId="0" xfId="0" applyNumberFormat="1" applyFont="1"/>
    <xf numFmtId="0" fontId="0" fillId="0" borderId="0" xfId="0" applyFill="1"/>
    <xf numFmtId="0" fontId="0" fillId="0" borderId="0" xfId="0" applyFill="1" applyBorder="1"/>
    <xf numFmtId="0" fontId="4" fillId="0" borderId="0" xfId="0" applyFont="1"/>
    <xf numFmtId="167" fontId="4" fillId="0" borderId="0" xfId="0" applyNumberFormat="1" applyFont="1"/>
    <xf numFmtId="0" fontId="0" fillId="0" borderId="0" xfId="0" applyAlignment="1">
      <alignment horizontal="centerContinuous"/>
    </xf>
    <xf numFmtId="0" fontId="4" fillId="0" borderId="0" xfId="0" applyFont="1" applyAlignment="1">
      <alignment horizontal="centerContinuous"/>
    </xf>
    <xf numFmtId="9" fontId="0" fillId="0" borderId="0" xfId="3" applyFont="1"/>
    <xf numFmtId="0" fontId="14" fillId="0" borderId="0" xfId="0" applyFont="1"/>
    <xf numFmtId="0" fontId="14" fillId="0" borderId="0" xfId="0" applyFont="1" applyAlignment="1">
      <alignment horizontal="right"/>
    </xf>
    <xf numFmtId="1" fontId="14" fillId="0" borderId="0" xfId="0" applyNumberFormat="1" applyFont="1" applyAlignment="1">
      <alignment horizontal="right"/>
    </xf>
    <xf numFmtId="164" fontId="14" fillId="0" borderId="0" xfId="0" applyNumberFormat="1" applyFont="1" applyAlignment="1">
      <alignment horizontal="right"/>
    </xf>
    <xf numFmtId="2" fontId="4" fillId="0" borderId="0" xfId="0" applyNumberFormat="1" applyFont="1"/>
    <xf numFmtId="167" fontId="14" fillId="0" borderId="0" xfId="0" applyNumberFormat="1" applyFont="1" applyAlignment="1">
      <alignment horizontal="right"/>
    </xf>
    <xf numFmtId="164" fontId="14" fillId="0" borderId="0" xfId="0" applyNumberFormat="1" applyFont="1"/>
    <xf numFmtId="1" fontId="14" fillId="0" borderId="0" xfId="0" applyNumberFormat="1" applyFont="1"/>
    <xf numFmtId="164" fontId="4" fillId="0" borderId="0" xfId="0" applyNumberFormat="1" applyFont="1"/>
    <xf numFmtId="1" fontId="4" fillId="0" borderId="0" xfId="0" applyNumberFormat="1" applyFont="1" applyAlignment="1">
      <alignment horizontal="right"/>
    </xf>
    <xf numFmtId="1" fontId="0" fillId="0" borderId="0" xfId="0" applyNumberFormat="1" applyBorder="1"/>
    <xf numFmtId="0" fontId="11" fillId="0" borderId="0" xfId="0" applyFont="1"/>
    <xf numFmtId="0" fontId="4" fillId="0" borderId="0" xfId="0" applyFont="1" applyFill="1" applyBorder="1" applyProtection="1"/>
    <xf numFmtId="0" fontId="4" fillId="0" borderId="0" xfId="0" applyFont="1" applyFill="1" applyBorder="1" applyAlignment="1">
      <alignment horizontal="right"/>
    </xf>
    <xf numFmtId="0" fontId="0" fillId="0" borderId="0" xfId="0" applyAlignment="1">
      <alignment horizontal="center"/>
    </xf>
    <xf numFmtId="0" fontId="5" fillId="0" borderId="9" xfId="0" applyFont="1" applyBorder="1"/>
    <xf numFmtId="0" fontId="4" fillId="0" borderId="10" xfId="0" applyFont="1" applyFill="1" applyBorder="1" applyProtection="1"/>
    <xf numFmtId="1" fontId="0" fillId="0" borderId="0" xfId="0" applyNumberFormat="1" applyBorder="1" applyAlignment="1">
      <alignment horizontal="center"/>
    </xf>
    <xf numFmtId="1" fontId="0" fillId="0" borderId="11" xfId="0" applyNumberFormat="1" applyBorder="1" applyAlignment="1">
      <alignment horizontal="center"/>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19" fillId="0" borderId="0" xfId="0" applyFont="1"/>
    <xf numFmtId="0" fontId="0" fillId="0" borderId="0" xfId="0" quotePrefix="1" applyProtection="1">
      <protection hidden="1"/>
    </xf>
    <xf numFmtId="166" fontId="0" fillId="0" borderId="0" xfId="0" quotePrefix="1" applyNumberFormat="1" applyProtection="1">
      <protection hidden="1"/>
    </xf>
    <xf numFmtId="0" fontId="12" fillId="0" borderId="0" xfId="0" applyFont="1"/>
    <xf numFmtId="0" fontId="15" fillId="0" borderId="0" xfId="0" applyFont="1"/>
    <xf numFmtId="0" fontId="15" fillId="0" borderId="0" xfId="0" applyFont="1" applyAlignment="1">
      <alignment vertical="center"/>
    </xf>
    <xf numFmtId="0" fontId="15" fillId="0" borderId="0" xfId="0" quotePrefix="1" applyFont="1" applyAlignment="1">
      <alignment horizontal="left" vertical="center"/>
    </xf>
    <xf numFmtId="0" fontId="15" fillId="0" borderId="0" xfId="0" applyFont="1" applyAlignment="1">
      <alignment horizontal="left" vertical="center"/>
    </xf>
    <xf numFmtId="0" fontId="4" fillId="0" borderId="0" xfId="0" applyFont="1" applyFill="1" applyBorder="1" applyAlignment="1" applyProtection="1">
      <alignment horizontal="left"/>
      <protection locked="0"/>
    </xf>
    <xf numFmtId="1" fontId="0" fillId="0" borderId="0" xfId="0" applyNumberFormat="1" applyFill="1" applyBorder="1" applyAlignment="1">
      <alignment horizontal="center"/>
    </xf>
    <xf numFmtId="0" fontId="9" fillId="0" borderId="9" xfId="0" applyFont="1" applyFill="1" applyBorder="1" applyAlignment="1">
      <alignment horizontal="left" wrapText="1"/>
    </xf>
    <xf numFmtId="0" fontId="9" fillId="0" borderId="12" xfId="0" applyFont="1" applyFill="1" applyBorder="1" applyAlignment="1">
      <alignment horizontal="left" wrapText="1"/>
    </xf>
    <xf numFmtId="0" fontId="9" fillId="0" borderId="12" xfId="0" applyFont="1" applyFill="1" applyBorder="1" applyAlignment="1">
      <alignment horizontal="center" wrapText="1"/>
    </xf>
    <xf numFmtId="0" fontId="9" fillId="0" borderId="12" xfId="0" applyFont="1" applyFill="1" applyBorder="1" applyAlignment="1">
      <alignment horizontal="center" vertical="center" wrapText="1"/>
    </xf>
    <xf numFmtId="0" fontId="9" fillId="0" borderId="13" xfId="0" applyFont="1" applyFill="1" applyBorder="1" applyAlignment="1">
      <alignment horizontal="center" wrapText="1"/>
    </xf>
    <xf numFmtId="0" fontId="4" fillId="0" borderId="12" xfId="0" applyFont="1" applyFill="1" applyBorder="1" applyAlignment="1" applyProtection="1">
      <alignment horizontal="left"/>
      <protection locked="0"/>
    </xf>
    <xf numFmtId="0" fontId="4" fillId="0" borderId="12" xfId="0" applyFont="1" applyFill="1" applyBorder="1" applyAlignment="1" applyProtection="1">
      <alignment horizontal="center"/>
      <protection locked="0"/>
    </xf>
    <xf numFmtId="0" fontId="0" fillId="2" borderId="0" xfId="0" applyFill="1" applyProtection="1">
      <protection hidden="1"/>
    </xf>
    <xf numFmtId="0" fontId="0" fillId="2" borderId="0" xfId="0" applyFill="1" applyBorder="1" applyProtection="1">
      <protection hidden="1"/>
    </xf>
    <xf numFmtId="167" fontId="0" fillId="2" borderId="0" xfId="0" applyNumberFormat="1" applyFill="1" applyBorder="1" applyProtection="1">
      <protection hidden="1"/>
    </xf>
    <xf numFmtId="167" fontId="0" fillId="2" borderId="2" xfId="0" applyNumberFormat="1" applyFill="1" applyBorder="1" applyProtection="1">
      <protection hidden="1"/>
    </xf>
    <xf numFmtId="0" fontId="0" fillId="0" borderId="0" xfId="0" applyFill="1" applyProtection="1">
      <protection hidden="1"/>
    </xf>
    <xf numFmtId="164" fontId="0" fillId="0" borderId="0" xfId="0" applyNumberFormat="1" applyFill="1" applyProtection="1">
      <protection hidden="1"/>
    </xf>
    <xf numFmtId="1" fontId="0" fillId="0" borderId="0" xfId="0" applyNumberFormat="1" applyFill="1" applyProtection="1">
      <protection hidden="1"/>
    </xf>
    <xf numFmtId="167" fontId="0" fillId="0" borderId="0" xfId="0" applyNumberFormat="1" applyFill="1" applyBorder="1" applyProtection="1">
      <protection hidden="1"/>
    </xf>
    <xf numFmtId="0" fontId="0" fillId="0" borderId="0" xfId="0" applyFill="1" applyBorder="1" applyProtection="1">
      <protection hidden="1"/>
    </xf>
    <xf numFmtId="9" fontId="3" fillId="0" borderId="0" xfId="3" applyFont="1" applyFill="1" applyProtection="1">
      <protection hidden="1"/>
    </xf>
    <xf numFmtId="0" fontId="0" fillId="0" borderId="0" xfId="0" applyFill="1" applyBorder="1" applyAlignment="1" applyProtection="1">
      <alignment horizontal="right"/>
      <protection hidden="1"/>
    </xf>
    <xf numFmtId="1" fontId="0" fillId="0" borderId="0" xfId="0" applyNumberFormat="1" applyFill="1" applyBorder="1" applyProtection="1">
      <protection hidden="1"/>
    </xf>
    <xf numFmtId="0" fontId="4" fillId="0" borderId="0" xfId="0" applyFont="1" applyBorder="1" applyAlignment="1">
      <alignment horizontal="center"/>
    </xf>
    <xf numFmtId="164" fontId="4" fillId="0" borderId="0" xfId="0" applyNumberFormat="1" applyFont="1" applyFill="1" applyBorder="1" applyProtection="1"/>
    <xf numFmtId="1" fontId="0" fillId="0" borderId="11" xfId="0" applyNumberFormat="1" applyFill="1" applyBorder="1" applyAlignment="1">
      <alignment horizontal="center"/>
    </xf>
    <xf numFmtId="0" fontId="9" fillId="0" borderId="0" xfId="0" applyFont="1" applyBorder="1" applyAlignment="1">
      <alignment horizontal="center"/>
    </xf>
    <xf numFmtId="170" fontId="20" fillId="0" borderId="0" xfId="2" applyNumberFormat="1" applyFont="1" applyFill="1" applyBorder="1" applyAlignment="1" applyProtection="1">
      <alignment horizontal="right" wrapText="1"/>
      <protection locked="0"/>
    </xf>
    <xf numFmtId="0" fontId="0" fillId="0" borderId="0" xfId="0" applyNumberFormat="1" applyBorder="1" applyAlignment="1" applyProtection="1">
      <alignment horizontal="center"/>
      <protection locked="0"/>
    </xf>
    <xf numFmtId="0" fontId="2" fillId="0" borderId="0" xfId="0" applyNumberFormat="1" applyFont="1" applyFill="1" applyBorder="1" applyAlignment="1" applyProtection="1">
      <alignment horizontal="center"/>
      <protection locked="0"/>
    </xf>
    <xf numFmtId="0" fontId="11" fillId="0" borderId="0" xfId="0" applyFon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169" fontId="0" fillId="0" borderId="0" xfId="0" applyNumberFormat="1" applyFill="1" applyBorder="1" applyAlignment="1" applyProtection="1">
      <alignment horizontal="center"/>
      <protection locked="0"/>
    </xf>
    <xf numFmtId="0" fontId="6" fillId="0" borderId="3" xfId="0" applyFont="1" applyBorder="1" applyProtection="1">
      <protection hidden="1"/>
    </xf>
    <xf numFmtId="9" fontId="0" fillId="0" borderId="1" xfId="3" applyFont="1" applyBorder="1" applyAlignment="1" applyProtection="1">
      <alignment horizontal="center"/>
      <protection hidden="1"/>
    </xf>
    <xf numFmtId="0" fontId="0" fillId="0" borderId="1" xfId="0" applyBorder="1" applyProtection="1">
      <protection hidden="1"/>
    </xf>
    <xf numFmtId="0" fontId="0" fillId="0" borderId="2" xfId="0" applyBorder="1" applyProtection="1">
      <protection hidden="1"/>
    </xf>
    <xf numFmtId="0" fontId="0" fillId="0" borderId="1" xfId="0" applyFill="1" applyBorder="1" applyProtection="1">
      <protection hidden="1"/>
    </xf>
    <xf numFmtId="0" fontId="0" fillId="0" borderId="2" xfId="0" applyFill="1" applyBorder="1" applyProtection="1">
      <protection hidden="1"/>
    </xf>
    <xf numFmtId="0" fontId="0" fillId="0" borderId="1" xfId="0" applyBorder="1" applyAlignment="1" applyProtection="1">
      <alignment horizontal="right"/>
      <protection hidden="1"/>
    </xf>
    <xf numFmtId="0" fontId="0" fillId="0" borderId="0" xfId="0" applyBorder="1" applyAlignment="1" applyProtection="1">
      <alignment horizontal="right"/>
      <protection hidden="1"/>
    </xf>
    <xf numFmtId="0" fontId="0" fillId="0" borderId="2" xfId="0" applyBorder="1" applyAlignment="1" applyProtection="1">
      <alignment horizontal="right"/>
      <protection hidden="1"/>
    </xf>
    <xf numFmtId="167" fontId="0" fillId="2" borderId="5" xfId="0" applyNumberFormat="1" applyFill="1" applyBorder="1" applyProtection="1">
      <protection hidden="1"/>
    </xf>
    <xf numFmtId="167" fontId="0" fillId="2" borderId="4" xfId="0" applyNumberFormat="1" applyFill="1" applyBorder="1" applyProtection="1">
      <protection hidden="1"/>
    </xf>
    <xf numFmtId="0" fontId="0" fillId="0" borderId="5" xfId="0" applyBorder="1" applyProtection="1">
      <protection hidden="1"/>
    </xf>
    <xf numFmtId="9" fontId="0" fillId="2" borderId="0" xfId="3" applyFont="1" applyFill="1" applyBorder="1" applyAlignment="1" applyProtection="1">
      <alignment horizontal="center"/>
      <protection hidden="1"/>
    </xf>
    <xf numFmtId="9" fontId="0" fillId="2" borderId="1" xfId="3" applyFont="1" applyFill="1" applyBorder="1" applyAlignment="1" applyProtection="1">
      <alignment horizontal="center"/>
      <protection hidden="1"/>
    </xf>
    <xf numFmtId="0" fontId="0" fillId="2" borderId="1" xfId="0" applyFill="1" applyBorder="1" applyProtection="1">
      <protection hidden="1"/>
    </xf>
    <xf numFmtId="0" fontId="0" fillId="2" borderId="2" xfId="0" applyFill="1" applyBorder="1" applyProtection="1">
      <protection hidden="1"/>
    </xf>
    <xf numFmtId="9" fontId="0" fillId="2" borderId="3" xfId="3" applyFont="1" applyFill="1" applyBorder="1" applyAlignment="1" applyProtection="1">
      <alignment horizontal="center"/>
      <protection hidden="1"/>
    </xf>
    <xf numFmtId="9" fontId="0" fillId="2" borderId="5" xfId="3" applyFont="1" applyFill="1" applyBorder="1" applyAlignment="1" applyProtection="1">
      <alignment horizontal="center"/>
      <protection hidden="1"/>
    </xf>
    <xf numFmtId="0" fontId="0" fillId="3" borderId="0" xfId="0" applyFill="1" applyProtection="1">
      <protection hidden="1"/>
    </xf>
    <xf numFmtId="9" fontId="0" fillId="3" borderId="1" xfId="3" applyFont="1" applyFill="1" applyBorder="1" applyAlignment="1" applyProtection="1">
      <alignment horizontal="center"/>
      <protection hidden="1"/>
    </xf>
    <xf numFmtId="9" fontId="0" fillId="3" borderId="0" xfId="3" applyFont="1" applyFill="1" applyBorder="1" applyAlignment="1" applyProtection="1">
      <alignment horizontal="center"/>
      <protection hidden="1"/>
    </xf>
    <xf numFmtId="167" fontId="0" fillId="3" borderId="0" xfId="0" applyNumberFormat="1" applyFill="1" applyBorder="1" applyProtection="1">
      <protection hidden="1"/>
    </xf>
    <xf numFmtId="167" fontId="0" fillId="3" borderId="2" xfId="0" applyNumberFormat="1" applyFill="1" applyBorder="1" applyProtection="1">
      <protection hidden="1"/>
    </xf>
    <xf numFmtId="0" fontId="0" fillId="4" borderId="0" xfId="0" applyFill="1" applyProtection="1">
      <protection hidden="1"/>
    </xf>
    <xf numFmtId="9" fontId="0" fillId="4" borderId="1" xfId="3" applyFont="1" applyFill="1" applyBorder="1" applyAlignment="1" applyProtection="1">
      <alignment horizontal="center"/>
      <protection hidden="1"/>
    </xf>
    <xf numFmtId="9" fontId="0" fillId="4" borderId="0" xfId="3" applyFont="1" applyFill="1" applyBorder="1" applyAlignment="1" applyProtection="1">
      <alignment horizontal="center"/>
      <protection hidden="1"/>
    </xf>
    <xf numFmtId="167" fontId="0" fillId="4" borderId="0" xfId="0" applyNumberFormat="1" applyFill="1" applyBorder="1" applyProtection="1">
      <protection hidden="1"/>
    </xf>
    <xf numFmtId="167" fontId="0" fillId="4" borderId="2" xfId="0" applyNumberFormat="1" applyFill="1" applyBorder="1" applyProtection="1">
      <protection hidden="1"/>
    </xf>
    <xf numFmtId="0" fontId="0" fillId="4" borderId="5" xfId="0" applyFill="1" applyBorder="1" applyProtection="1">
      <protection hidden="1"/>
    </xf>
    <xf numFmtId="9" fontId="0" fillId="4" borderId="3" xfId="3" applyFont="1" applyFill="1" applyBorder="1" applyAlignment="1" applyProtection="1">
      <alignment horizontal="center"/>
      <protection hidden="1"/>
    </xf>
    <xf numFmtId="9" fontId="0" fillId="4" borderId="5" xfId="3" applyFont="1" applyFill="1" applyBorder="1" applyAlignment="1" applyProtection="1">
      <alignment horizontal="center"/>
      <protection hidden="1"/>
    </xf>
    <xf numFmtId="167" fontId="0" fillId="4" borderId="5" xfId="0" applyNumberFormat="1" applyFill="1" applyBorder="1" applyProtection="1">
      <protection hidden="1"/>
    </xf>
    <xf numFmtId="167" fontId="0" fillId="4" borderId="4" xfId="0" applyNumberFormat="1" applyFill="1" applyBorder="1" applyProtection="1">
      <protection hidden="1"/>
    </xf>
    <xf numFmtId="1" fontId="0" fillId="5" borderId="0" xfId="0" applyNumberFormat="1" applyFill="1" applyProtection="1">
      <protection hidden="1"/>
    </xf>
    <xf numFmtId="9" fontId="0" fillId="5" borderId="1" xfId="3" applyFont="1" applyFill="1" applyBorder="1" applyProtection="1">
      <protection hidden="1"/>
    </xf>
    <xf numFmtId="9" fontId="0" fillId="5" borderId="0" xfId="3" applyFont="1" applyFill="1" applyBorder="1" applyProtection="1">
      <protection hidden="1"/>
    </xf>
    <xf numFmtId="167" fontId="0" fillId="5" borderId="0" xfId="0" applyNumberFormat="1" applyFill="1" applyBorder="1" applyProtection="1">
      <protection hidden="1"/>
    </xf>
    <xf numFmtId="167" fontId="0" fillId="5" borderId="2" xfId="0" applyNumberFormat="1" applyFill="1" applyBorder="1" applyProtection="1">
      <protection hidden="1"/>
    </xf>
    <xf numFmtId="0" fontId="0" fillId="5" borderId="0" xfId="0" applyFill="1" applyProtection="1">
      <protection hidden="1"/>
    </xf>
    <xf numFmtId="164" fontId="0" fillId="5" borderId="0" xfId="0" applyNumberFormat="1" applyFill="1" applyProtection="1">
      <protection hidden="1"/>
    </xf>
    <xf numFmtId="9" fontId="0" fillId="5" borderId="3" xfId="3" applyFont="1" applyFill="1" applyBorder="1" applyProtection="1">
      <protection hidden="1"/>
    </xf>
    <xf numFmtId="9" fontId="0" fillId="5" borderId="5" xfId="3" applyFont="1" applyFill="1" applyBorder="1" applyProtection="1">
      <protection hidden="1"/>
    </xf>
    <xf numFmtId="167" fontId="0" fillId="5" borderId="5" xfId="0" applyNumberFormat="1" applyFill="1" applyBorder="1" applyProtection="1">
      <protection hidden="1"/>
    </xf>
    <xf numFmtId="167" fontId="0" fillId="5" borderId="4" xfId="0" applyNumberFormat="1" applyFill="1" applyBorder="1" applyProtection="1">
      <protection hidden="1"/>
    </xf>
    <xf numFmtId="0" fontId="0" fillId="6" borderId="0" xfId="0" applyFill="1" applyProtection="1">
      <protection hidden="1"/>
    </xf>
    <xf numFmtId="9" fontId="0" fillId="6" borderId="1" xfId="3" applyFont="1" applyFill="1" applyBorder="1" applyAlignment="1" applyProtection="1">
      <alignment horizontal="center"/>
      <protection hidden="1"/>
    </xf>
    <xf numFmtId="9" fontId="0" fillId="6" borderId="0" xfId="3" applyFont="1" applyFill="1" applyBorder="1" applyAlignment="1" applyProtection="1">
      <alignment horizontal="center"/>
      <protection hidden="1"/>
    </xf>
    <xf numFmtId="167" fontId="0" fillId="6" borderId="0" xfId="0" applyNumberFormat="1" applyFill="1" applyBorder="1" applyProtection="1">
      <protection hidden="1"/>
    </xf>
    <xf numFmtId="167" fontId="0" fillId="6" borderId="2" xfId="0" applyNumberFormat="1" applyFill="1" applyBorder="1" applyProtection="1">
      <protection hidden="1"/>
    </xf>
    <xf numFmtId="2" fontId="0" fillId="6" borderId="0" xfId="0" applyNumberFormat="1" applyFill="1"/>
    <xf numFmtId="0" fontId="0" fillId="6" borderId="1" xfId="0" applyFill="1" applyBorder="1" applyProtection="1">
      <protection hidden="1"/>
    </xf>
    <xf numFmtId="0" fontId="0" fillId="6" borderId="0" xfId="0" applyFill="1" applyBorder="1" applyProtection="1">
      <protection hidden="1"/>
    </xf>
    <xf numFmtId="0" fontId="0" fillId="6" borderId="2" xfId="0" applyFill="1" applyBorder="1" applyProtection="1">
      <protection hidden="1"/>
    </xf>
    <xf numFmtId="9" fontId="0" fillId="6" borderId="3" xfId="3" applyFont="1" applyFill="1" applyBorder="1" applyAlignment="1" applyProtection="1">
      <alignment horizontal="center"/>
      <protection hidden="1"/>
    </xf>
    <xf numFmtId="9" fontId="0" fillId="6" borderId="5" xfId="3" applyFont="1" applyFill="1" applyBorder="1" applyAlignment="1" applyProtection="1">
      <alignment horizontal="center"/>
      <protection hidden="1"/>
    </xf>
    <xf numFmtId="167" fontId="0" fillId="6" borderId="5" xfId="0" applyNumberFormat="1" applyFill="1" applyBorder="1" applyProtection="1">
      <protection hidden="1"/>
    </xf>
    <xf numFmtId="167" fontId="0" fillId="6" borderId="4" xfId="0" applyNumberFormat="1" applyFill="1" applyBorder="1" applyProtection="1">
      <protection hidden="1"/>
    </xf>
    <xf numFmtId="0" fontId="4" fillId="3" borderId="0" xfId="0" applyFont="1" applyFill="1" applyProtection="1">
      <protection hidden="1"/>
    </xf>
    <xf numFmtId="1" fontId="4" fillId="3" borderId="0" xfId="0" applyNumberFormat="1" applyFont="1" applyFill="1" applyProtection="1">
      <protection hidden="1"/>
    </xf>
    <xf numFmtId="0" fontId="0" fillId="7" borderId="0" xfId="0" applyFill="1" applyProtection="1">
      <protection hidden="1"/>
    </xf>
    <xf numFmtId="1" fontId="0" fillId="7" borderId="0" xfId="0" applyNumberFormat="1" applyFill="1" applyProtection="1">
      <protection hidden="1"/>
    </xf>
    <xf numFmtId="164" fontId="0" fillId="7" borderId="0" xfId="0" applyNumberFormat="1" applyFill="1" applyProtection="1">
      <protection hidden="1"/>
    </xf>
    <xf numFmtId="167" fontId="0" fillId="7" borderId="0" xfId="0" applyNumberFormat="1" applyFill="1" applyProtection="1">
      <protection hidden="1"/>
    </xf>
    <xf numFmtId="168" fontId="0" fillId="7" borderId="0" xfId="0" applyNumberFormat="1" applyFill="1" applyProtection="1">
      <protection hidden="1"/>
    </xf>
    <xf numFmtId="2" fontId="0" fillId="7" borderId="0" xfId="0" applyNumberFormat="1" applyFill="1" applyProtection="1">
      <protection hidden="1"/>
    </xf>
    <xf numFmtId="166" fontId="0" fillId="7" borderId="0" xfId="0" applyNumberFormat="1" applyFill="1" applyProtection="1">
      <protection hidden="1"/>
    </xf>
    <xf numFmtId="9" fontId="0" fillId="7" borderId="1" xfId="3" applyFont="1" applyFill="1" applyBorder="1" applyAlignment="1" applyProtection="1">
      <alignment horizontal="center"/>
      <protection hidden="1"/>
    </xf>
    <xf numFmtId="9" fontId="0" fillId="7" borderId="0" xfId="3" applyFont="1" applyFill="1" applyBorder="1" applyAlignment="1" applyProtection="1">
      <alignment horizontal="center"/>
      <protection hidden="1"/>
    </xf>
    <xf numFmtId="167" fontId="0" fillId="7" borderId="0" xfId="0" applyNumberFormat="1" applyFill="1" applyBorder="1" applyProtection="1">
      <protection hidden="1"/>
    </xf>
    <xf numFmtId="167" fontId="0" fillId="7" borderId="2" xfId="0" applyNumberFormat="1" applyFill="1" applyBorder="1" applyProtection="1">
      <protection hidden="1"/>
    </xf>
    <xf numFmtId="0" fontId="0" fillId="7" borderId="0" xfId="0" applyFill="1" applyAlignment="1" applyProtection="1">
      <alignment horizontal="right"/>
      <protection hidden="1"/>
    </xf>
    <xf numFmtId="0" fontId="0" fillId="7" borderId="0" xfId="0" applyFill="1" applyBorder="1" applyProtection="1">
      <protection hidden="1"/>
    </xf>
    <xf numFmtId="1" fontId="3" fillId="7" borderId="0" xfId="0" applyNumberFormat="1" applyFont="1" applyFill="1" applyProtection="1">
      <protection hidden="1"/>
    </xf>
    <xf numFmtId="0" fontId="3" fillId="7" borderId="0" xfId="0" applyFont="1" applyFill="1" applyBorder="1" applyAlignment="1" applyProtection="1">
      <alignment horizontal="center"/>
      <protection hidden="1"/>
    </xf>
    <xf numFmtId="1" fontId="0" fillId="3" borderId="0" xfId="0" applyNumberFormat="1" applyFill="1" applyProtection="1">
      <protection hidden="1"/>
    </xf>
    <xf numFmtId="2" fontId="0" fillId="3" borderId="0" xfId="0" applyNumberFormat="1" applyFill="1" applyProtection="1">
      <protection hidden="1"/>
    </xf>
    <xf numFmtId="164" fontId="0" fillId="3" borderId="0" xfId="0" applyNumberFormat="1" applyFill="1" applyProtection="1">
      <protection hidden="1"/>
    </xf>
    <xf numFmtId="167" fontId="0" fillId="3" borderId="0" xfId="0" applyNumberFormat="1" applyFill="1" applyProtection="1">
      <protection hidden="1"/>
    </xf>
    <xf numFmtId="168" fontId="0" fillId="3" borderId="0" xfId="0" applyNumberFormat="1" applyFill="1" applyProtection="1">
      <protection hidden="1"/>
    </xf>
    <xf numFmtId="11" fontId="0" fillId="3" borderId="0" xfId="0" applyNumberFormat="1" applyFill="1" applyProtection="1">
      <protection hidden="1"/>
    </xf>
    <xf numFmtId="0" fontId="4" fillId="0" borderId="0" xfId="0" applyFont="1" applyBorder="1" applyAlignment="1">
      <alignment horizontal="right"/>
    </xf>
    <xf numFmtId="14" fontId="4" fillId="0" borderId="0" xfId="0" applyNumberFormat="1" applyFont="1" applyBorder="1" applyAlignment="1">
      <alignment horizontal="right"/>
    </xf>
    <xf numFmtId="167" fontId="4" fillId="0" borderId="0" xfId="0" applyNumberFormat="1" applyFont="1" applyBorder="1" applyAlignment="1">
      <alignment horizontal="center"/>
    </xf>
    <xf numFmtId="9" fontId="3" fillId="6" borderId="0" xfId="3" applyFont="1" applyFill="1" applyProtection="1">
      <protection hidden="1"/>
    </xf>
    <xf numFmtId="164" fontId="0" fillId="6" borderId="0" xfId="0" applyNumberFormat="1" applyFill="1" applyProtection="1">
      <protection hidden="1"/>
    </xf>
    <xf numFmtId="0" fontId="0" fillId="5" borderId="0" xfId="0" applyFill="1"/>
    <xf numFmtId="0" fontId="0" fillId="4" borderId="0" xfId="0" applyFill="1"/>
    <xf numFmtId="0" fontId="0" fillId="5" borderId="0" xfId="0" applyFill="1" applyAlignment="1">
      <alignment horizontal="right"/>
    </xf>
    <xf numFmtId="0" fontId="0" fillId="6" borderId="0" xfId="0" applyFill="1" applyAlignment="1" applyProtection="1">
      <alignment horizontal="right"/>
      <protection hidden="1"/>
    </xf>
    <xf numFmtId="0" fontId="6" fillId="0" borderId="14" xfId="0" applyFont="1" applyBorder="1" applyProtection="1">
      <protection hidden="1"/>
    </xf>
    <xf numFmtId="0" fontId="6" fillId="6" borderId="14" xfId="0" applyFont="1" applyFill="1" applyBorder="1" applyProtection="1">
      <protection hidden="1"/>
    </xf>
    <xf numFmtId="0" fontId="6" fillId="5" borderId="14" xfId="0" applyFont="1" applyFill="1" applyBorder="1"/>
    <xf numFmtId="0" fontId="6" fillId="0" borderId="9" xfId="0" applyFont="1" applyBorder="1" applyProtection="1">
      <protection locked="0"/>
    </xf>
    <xf numFmtId="0" fontId="6" fillId="0" borderId="15" xfId="0" applyFont="1" applyBorder="1" applyProtection="1">
      <protection locked="0"/>
    </xf>
    <xf numFmtId="170" fontId="20" fillId="0" borderId="12" xfId="2" applyNumberFormat="1" applyFont="1" applyFill="1" applyBorder="1" applyAlignment="1" applyProtection="1">
      <alignment horizontal="right" wrapText="1"/>
      <protection locked="0"/>
    </xf>
    <xf numFmtId="0" fontId="11" fillId="0" borderId="12" xfId="0" applyFont="1" applyBorder="1" applyAlignment="1" applyProtection="1">
      <alignment horizontal="center"/>
      <protection locked="0"/>
    </xf>
    <xf numFmtId="0" fontId="9" fillId="0" borderId="9" xfId="0" applyFont="1" applyFill="1" applyBorder="1" applyAlignment="1">
      <alignment horizontal="center" wrapText="1"/>
    </xf>
    <xf numFmtId="0" fontId="4" fillId="0" borderId="12" xfId="0" applyFont="1" applyFill="1" applyBorder="1" applyProtection="1"/>
    <xf numFmtId="0" fontId="4" fillId="0" borderId="0" xfId="0" applyFont="1" applyBorder="1" applyAlignment="1" applyProtection="1">
      <alignment horizontal="center"/>
      <protection locked="0"/>
    </xf>
    <xf numFmtId="0" fontId="4" fillId="0" borderId="15" xfId="0" applyFont="1" applyFill="1" applyBorder="1" applyProtection="1"/>
    <xf numFmtId="164" fontId="0" fillId="0" borderId="0" xfId="0" applyNumberFormat="1" applyBorder="1" applyAlignment="1">
      <alignment horizontal="center"/>
    </xf>
    <xf numFmtId="167" fontId="0" fillId="0" borderId="0" xfId="0" applyNumberFormat="1" applyBorder="1" applyAlignment="1">
      <alignment horizontal="center"/>
    </xf>
    <xf numFmtId="167" fontId="0" fillId="0" borderId="11" xfId="0" applyNumberFormat="1" applyBorder="1" applyAlignment="1">
      <alignment horizontal="center"/>
    </xf>
    <xf numFmtId="164" fontId="0" fillId="0" borderId="11" xfId="0" applyNumberFormat="1" applyBorder="1" applyAlignment="1">
      <alignment horizontal="center"/>
    </xf>
    <xf numFmtId="164" fontId="0" fillId="0" borderId="0" xfId="0" applyNumberFormat="1" applyFill="1" applyBorder="1" applyAlignment="1">
      <alignment horizontal="center"/>
    </xf>
    <xf numFmtId="2" fontId="4" fillId="0" borderId="12" xfId="0" applyNumberFormat="1" applyFont="1" applyFill="1" applyBorder="1" applyProtection="1"/>
    <xf numFmtId="2" fontId="4" fillId="0" borderId="0" xfId="0" applyNumberFormat="1" applyFont="1" applyFill="1" applyBorder="1" applyProtection="1"/>
    <xf numFmtId="164" fontId="2" fillId="0" borderId="0" xfId="0" applyNumberFormat="1" applyFont="1" applyFill="1" applyBorder="1" applyAlignment="1" applyProtection="1">
      <alignment horizontal="center"/>
      <protection locked="0"/>
    </xf>
    <xf numFmtId="0" fontId="6" fillId="0" borderId="0" xfId="0" applyFont="1" applyBorder="1" applyAlignment="1">
      <alignment horizontal="center" vertical="center" wrapText="1"/>
    </xf>
    <xf numFmtId="1" fontId="4" fillId="0" borderId="0" xfId="0" applyNumberFormat="1" applyFont="1" applyBorder="1" applyAlignment="1">
      <alignment horizontal="center"/>
    </xf>
    <xf numFmtId="1" fontId="4" fillId="0" borderId="0" xfId="0" applyNumberFormat="1" applyFont="1" applyFill="1" applyBorder="1" applyAlignment="1">
      <alignment horizontal="center"/>
    </xf>
    <xf numFmtId="1" fontId="0" fillId="0" borderId="17" xfId="0" applyNumberFormat="1" applyBorder="1" applyAlignment="1">
      <alignment horizontal="center"/>
    </xf>
    <xf numFmtId="1" fontId="0" fillId="0" borderId="17" xfId="0" applyNumberFormat="1" applyFill="1" applyBorder="1" applyAlignment="1">
      <alignment horizontal="center"/>
    </xf>
    <xf numFmtId="1" fontId="0" fillId="0" borderId="16" xfId="0" applyNumberFormat="1" applyBorder="1" applyAlignment="1">
      <alignment horizontal="center"/>
    </xf>
    <xf numFmtId="0" fontId="0" fillId="0" borderId="0" xfId="0" applyFill="1" applyBorder="1" applyProtection="1">
      <protection locked="0"/>
    </xf>
    <xf numFmtId="0" fontId="0" fillId="0" borderId="0" xfId="0" applyProtection="1">
      <protection locked="0"/>
    </xf>
    <xf numFmtId="0" fontId="6" fillId="0" borderId="0" xfId="0" applyFont="1" applyBorder="1" applyProtection="1"/>
    <xf numFmtId="0" fontId="0" fillId="0" borderId="0" xfId="0" applyBorder="1" applyProtection="1"/>
    <xf numFmtId="0" fontId="5" fillId="0" borderId="0" xfId="0" applyFont="1" applyProtection="1"/>
    <xf numFmtId="0" fontId="0" fillId="0" borderId="0" xfId="0" applyProtection="1"/>
    <xf numFmtId="0" fontId="0" fillId="0" borderId="6" xfId="0" applyBorder="1" applyAlignment="1" applyProtection="1">
      <alignment horizontal="right"/>
    </xf>
    <xf numFmtId="0" fontId="0" fillId="0" borderId="7" xfId="0" applyBorder="1" applyAlignment="1" applyProtection="1">
      <alignment horizontal="right"/>
    </xf>
    <xf numFmtId="0" fontId="0" fillId="0" borderId="7" xfId="0" applyBorder="1" applyProtection="1"/>
    <xf numFmtId="0" fontId="0" fillId="0" borderId="8" xfId="0" applyBorder="1" applyProtection="1"/>
    <xf numFmtId="0" fontId="0" fillId="0" borderId="1" xfId="0" applyBorder="1" applyAlignment="1" applyProtection="1">
      <alignment horizontal="right"/>
    </xf>
    <xf numFmtId="0" fontId="0" fillId="0" borderId="0" xfId="0" applyBorder="1" applyAlignment="1" applyProtection="1">
      <alignment horizontal="right"/>
    </xf>
    <xf numFmtId="0" fontId="0" fillId="0" borderId="2" xfId="0" applyBorder="1" applyProtection="1"/>
    <xf numFmtId="0" fontId="0" fillId="0" borderId="19" xfId="0" applyBorder="1" applyAlignment="1" applyProtection="1">
      <alignment horizontal="center"/>
    </xf>
    <xf numFmtId="0" fontId="0" fillId="0" borderId="7" xfId="0" applyBorder="1" applyAlignment="1" applyProtection="1">
      <alignment horizontal="center"/>
    </xf>
    <xf numFmtId="0" fontId="0" fillId="0" borderId="20" xfId="0" applyBorder="1" applyAlignment="1" applyProtection="1">
      <alignment horizontal="center"/>
    </xf>
    <xf numFmtId="0" fontId="0" fillId="0" borderId="18" xfId="0" applyBorder="1" applyProtection="1"/>
    <xf numFmtId="0" fontId="0" fillId="0" borderId="19" xfId="0" applyBorder="1" applyProtection="1"/>
    <xf numFmtId="165" fontId="0" fillId="0" borderId="19" xfId="0" applyNumberFormat="1" applyBorder="1" applyProtection="1"/>
    <xf numFmtId="0" fontId="0" fillId="0" borderId="20" xfId="0" applyBorder="1" applyProtection="1"/>
    <xf numFmtId="0" fontId="0" fillId="0" borderId="0" xfId="0" applyAlignment="1" applyProtection="1">
      <alignment horizontal="right"/>
    </xf>
    <xf numFmtId="0" fontId="8" fillId="0" borderId="1" xfId="0" applyFont="1" applyBorder="1" applyProtection="1"/>
    <xf numFmtId="0" fontId="8" fillId="0" borderId="0" xfId="0" applyFont="1" applyBorder="1" applyProtection="1"/>
    <xf numFmtId="0" fontId="4" fillId="0" borderId="15" xfId="0" applyFont="1" applyFill="1" applyBorder="1" applyAlignment="1" applyProtection="1">
      <alignment horizontal="center" wrapText="1"/>
    </xf>
    <xf numFmtId="0" fontId="4" fillId="0" borderId="0" xfId="0" applyFont="1" applyFill="1" applyBorder="1" applyAlignment="1" applyProtection="1">
      <alignment horizontal="center" vertical="center" wrapText="1"/>
    </xf>
    <xf numFmtId="0" fontId="4" fillId="0" borderId="0" xfId="0" applyFont="1" applyFill="1" applyBorder="1" applyAlignment="1" applyProtection="1">
      <alignment horizontal="center" wrapText="1"/>
    </xf>
    <xf numFmtId="0" fontId="4" fillId="0" borderId="11" xfId="0" applyFont="1" applyFill="1" applyBorder="1" applyAlignment="1" applyProtection="1">
      <alignment horizontal="center" wrapText="1"/>
    </xf>
    <xf numFmtId="0" fontId="9" fillId="0" borderId="11" xfId="0" applyFont="1" applyFill="1" applyBorder="1" applyAlignment="1" applyProtection="1">
      <alignment horizontal="center" wrapText="1"/>
    </xf>
    <xf numFmtId="0" fontId="8" fillId="0" borderId="0" xfId="0" applyFont="1" applyAlignment="1" applyProtection="1">
      <alignment horizontal="right"/>
    </xf>
    <xf numFmtId="0" fontId="8" fillId="0" borderId="3" xfId="0" applyFont="1" applyBorder="1" applyAlignment="1" applyProtection="1">
      <alignment horizontal="right"/>
    </xf>
    <xf numFmtId="0" fontId="8" fillId="0" borderId="5" xfId="0" applyFont="1" applyBorder="1" applyAlignment="1" applyProtection="1">
      <alignment horizontal="right"/>
    </xf>
    <xf numFmtId="0" fontId="8" fillId="0" borderId="4" xfId="0" applyFont="1" applyBorder="1" applyAlignment="1" applyProtection="1">
      <alignment horizontal="right"/>
    </xf>
    <xf numFmtId="0" fontId="8" fillId="0" borderId="0" xfId="0" applyFont="1" applyProtection="1"/>
    <xf numFmtId="0" fontId="8" fillId="0" borderId="0" xfId="0" applyFont="1" applyFill="1" applyBorder="1" applyAlignment="1" applyProtection="1">
      <alignment horizontal="right"/>
    </xf>
    <xf numFmtId="0" fontId="8" fillId="0" borderId="0" xfId="0" applyFont="1" applyFill="1" applyAlignment="1" applyProtection="1">
      <alignment horizontal="center"/>
    </xf>
    <xf numFmtId="0" fontId="8" fillId="0" borderId="0" xfId="0" applyFont="1" applyFill="1" applyBorder="1" applyAlignment="1" applyProtection="1">
      <alignment horizontal="center" vertical="center" wrapText="1"/>
    </xf>
    <xf numFmtId="2" fontId="8" fillId="0" borderId="12" xfId="0" applyNumberFormat="1" applyFont="1" applyFill="1" applyBorder="1" applyAlignment="1" applyProtection="1">
      <alignment horizontal="center"/>
    </xf>
    <xf numFmtId="9" fontId="16" fillId="0" borderId="13" xfId="3" applyNumberFormat="1" applyFont="1" applyFill="1" applyBorder="1" applyAlignment="1" applyProtection="1">
      <alignment horizontal="center"/>
    </xf>
    <xf numFmtId="2" fontId="0" fillId="0" borderId="0" xfId="0" applyNumberFormat="1" applyFill="1" applyBorder="1" applyProtection="1"/>
    <xf numFmtId="9" fontId="0" fillId="0" borderId="0" xfId="3" applyFont="1" applyFill="1" applyBorder="1" applyAlignment="1" applyProtection="1">
      <alignment horizontal="center"/>
    </xf>
    <xf numFmtId="167" fontId="0" fillId="0" borderId="0" xfId="0" applyNumberFormat="1" applyFill="1" applyBorder="1" applyProtection="1"/>
    <xf numFmtId="167" fontId="0" fillId="0" borderId="2" xfId="0" applyNumberFormat="1" applyFill="1" applyBorder="1" applyProtection="1"/>
    <xf numFmtId="0" fontId="0" fillId="0" borderId="0" xfId="0" applyFill="1" applyProtection="1"/>
    <xf numFmtId="2" fontId="0" fillId="0" borderId="0" xfId="0" applyNumberFormat="1" applyFill="1" applyProtection="1"/>
    <xf numFmtId="167" fontId="0" fillId="0" borderId="0" xfId="0" applyNumberFormat="1" applyFill="1" applyProtection="1"/>
    <xf numFmtId="164" fontId="0" fillId="0" borderId="0" xfId="0" applyNumberFormat="1" applyFill="1" applyAlignment="1" applyProtection="1">
      <alignment horizontal="center"/>
    </xf>
    <xf numFmtId="2" fontId="8" fillId="0" borderId="0" xfId="0" applyNumberFormat="1" applyFont="1" applyFill="1" applyBorder="1" applyAlignment="1" applyProtection="1">
      <alignment horizontal="center"/>
    </xf>
    <xf numFmtId="9" fontId="16" fillId="0" borderId="17" xfId="3" applyNumberFormat="1" applyFont="1" applyFill="1" applyBorder="1" applyAlignment="1" applyProtection="1">
      <alignment horizontal="center"/>
    </xf>
    <xf numFmtId="0" fontId="3" fillId="0" borderId="0" xfId="0" applyFont="1" applyFill="1" applyProtection="1"/>
    <xf numFmtId="0" fontId="0" fillId="0" borderId="0" xfId="0" applyFill="1" applyBorder="1" applyProtection="1"/>
    <xf numFmtId="0" fontId="5" fillId="0" borderId="1" xfId="0" applyFont="1" applyBorder="1" applyAlignment="1" applyProtection="1">
      <alignment horizontal="center"/>
    </xf>
    <xf numFmtId="0" fontId="5" fillId="0" borderId="0" xfId="0" applyFont="1" applyBorder="1" applyAlignment="1" applyProtection="1">
      <alignment horizontal="center"/>
    </xf>
    <xf numFmtId="0" fontId="5" fillId="0" borderId="6" xfId="0" applyFont="1" applyBorder="1" applyAlignment="1" applyProtection="1">
      <alignment horizontal="center"/>
    </xf>
    <xf numFmtId="0" fontId="5" fillId="0" borderId="7" xfId="0" applyFont="1" applyBorder="1" applyAlignment="1" applyProtection="1">
      <alignment horizontal="center"/>
    </xf>
    <xf numFmtId="0" fontId="5" fillId="0" borderId="8" xfId="0" applyFont="1" applyBorder="1" applyAlignment="1" applyProtection="1">
      <alignment horizontal="center"/>
    </xf>
    <xf numFmtId="0" fontId="6" fillId="0" borderId="6" xfId="0" applyFont="1" applyBorder="1" applyProtection="1">
      <protection locked="0"/>
    </xf>
    <xf numFmtId="0" fontId="6" fillId="0" borderId="1" xfId="0" applyFont="1" applyBorder="1" applyProtection="1">
      <protection locked="0"/>
    </xf>
    <xf numFmtId="0" fontId="9" fillId="0" borderId="2" xfId="0" applyFont="1" applyBorder="1" applyAlignment="1">
      <alignment horizontal="right"/>
    </xf>
    <xf numFmtId="0" fontId="9" fillId="0" borderId="1" xfId="0" applyFont="1" applyBorder="1" applyAlignment="1">
      <alignment horizontal="right"/>
    </xf>
    <xf numFmtId="0" fontId="9" fillId="0" borderId="3" xfId="0" applyFont="1" applyBorder="1" applyAlignment="1">
      <alignment horizontal="right"/>
    </xf>
    <xf numFmtId="0" fontId="10" fillId="0" borderId="1" xfId="0" applyFont="1" applyBorder="1" applyAlignment="1">
      <alignment horizontal="center"/>
    </xf>
    <xf numFmtId="0" fontId="9" fillId="0" borderId="5" xfId="0" applyFont="1" applyBorder="1" applyAlignment="1">
      <alignment horizontal="right"/>
    </xf>
    <xf numFmtId="0" fontId="8" fillId="0" borderId="5" xfId="0" applyFont="1" applyBorder="1" applyAlignment="1" applyProtection="1">
      <alignment horizontal="center"/>
    </xf>
    <xf numFmtId="0" fontId="9" fillId="0" borderId="7" xfId="0" applyFont="1" applyBorder="1" applyAlignment="1" applyProtection="1">
      <alignment horizontal="right"/>
    </xf>
    <xf numFmtId="0" fontId="9" fillId="0" borderId="0" xfId="0" applyFont="1" applyBorder="1" applyAlignment="1" applyProtection="1">
      <alignment horizontal="right"/>
    </xf>
    <xf numFmtId="0" fontId="9" fillId="0" borderId="5" xfId="0" applyFont="1" applyBorder="1" applyAlignment="1" applyProtection="1">
      <alignment horizontal="right"/>
    </xf>
    <xf numFmtId="0" fontId="8" fillId="0" borderId="0" xfId="0" applyFont="1" applyBorder="1" applyAlignment="1" applyProtection="1">
      <alignment horizontal="center"/>
    </xf>
    <xf numFmtId="0" fontId="0" fillId="0" borderId="6" xfId="0" applyBorder="1" applyProtection="1"/>
    <xf numFmtId="0" fontId="0" fillId="0" borderId="1" xfId="0" applyBorder="1" applyProtection="1"/>
    <xf numFmtId="0" fontId="8" fillId="0" borderId="1" xfId="0" applyFont="1" applyBorder="1" applyAlignment="1" applyProtection="1">
      <alignment horizontal="center"/>
    </xf>
    <xf numFmtId="0" fontId="8" fillId="0" borderId="2" xfId="0" applyFont="1" applyBorder="1" applyAlignment="1" applyProtection="1">
      <alignment horizontal="center"/>
    </xf>
    <xf numFmtId="9" fontId="0" fillId="0" borderId="6" xfId="3" applyFont="1" applyFill="1" applyBorder="1" applyAlignment="1" applyProtection="1">
      <alignment horizontal="center"/>
    </xf>
    <xf numFmtId="9" fontId="0" fillId="0" borderId="1" xfId="3" applyFont="1" applyFill="1" applyBorder="1" applyAlignment="1" applyProtection="1">
      <alignment horizontal="center"/>
    </xf>
    <xf numFmtId="0" fontId="8" fillId="0" borderId="3" xfId="0" applyFont="1" applyBorder="1" applyAlignment="1" applyProtection="1">
      <alignment horizontal="center"/>
    </xf>
    <xf numFmtId="0" fontId="8" fillId="0" borderId="4" xfId="0" applyFont="1" applyBorder="1" applyAlignment="1" applyProtection="1">
      <alignment horizontal="center"/>
    </xf>
    <xf numFmtId="0" fontId="6" fillId="0" borderId="3" xfId="0" applyFont="1" applyBorder="1" applyProtection="1">
      <protection locked="0"/>
    </xf>
    <xf numFmtId="0" fontId="6" fillId="0" borderId="21" xfId="0" applyFont="1" applyBorder="1" applyAlignment="1" applyProtection="1">
      <alignment horizontal="center"/>
      <protection locked="0"/>
    </xf>
    <xf numFmtId="0" fontId="6" fillId="0" borderId="22" xfId="0" applyFont="1" applyBorder="1" applyAlignment="1" applyProtection="1">
      <alignment horizontal="center"/>
      <protection locked="0"/>
    </xf>
    <xf numFmtId="0" fontId="6" fillId="0" borderId="23" xfId="0" applyFont="1" applyBorder="1" applyAlignment="1" applyProtection="1">
      <alignment horizontal="center"/>
      <protection locked="0"/>
    </xf>
    <xf numFmtId="0" fontId="6" fillId="0" borderId="21" xfId="0" applyFont="1" applyBorder="1" applyProtection="1">
      <protection locked="0"/>
    </xf>
    <xf numFmtId="0" fontId="6" fillId="0" borderId="22" xfId="0" applyFont="1" applyBorder="1" applyProtection="1">
      <protection locked="0"/>
    </xf>
    <xf numFmtId="0" fontId="6" fillId="0" borderId="23" xfId="0" applyFont="1" applyBorder="1" applyProtection="1">
      <protection locked="0"/>
    </xf>
    <xf numFmtId="0" fontId="9" fillId="0" borderId="5" xfId="0" applyFont="1" applyBorder="1" applyAlignment="1">
      <alignment horizontal="center"/>
    </xf>
    <xf numFmtId="0" fontId="4" fillId="0" borderId="12" xfId="0" applyFont="1" applyFill="1" applyBorder="1" applyAlignment="1" applyProtection="1">
      <alignment horizontal="center"/>
    </xf>
    <xf numFmtId="0" fontId="4" fillId="0" borderId="0" xfId="0" applyFont="1" applyFill="1" applyBorder="1" applyAlignment="1" applyProtection="1">
      <alignment horizontal="center"/>
    </xf>
    <xf numFmtId="164" fontId="0" fillId="0" borderId="0" xfId="0" applyNumberFormat="1" applyFill="1" applyBorder="1" applyProtection="1"/>
    <xf numFmtId="0" fontId="6" fillId="0" borderId="0" xfId="0" applyFont="1" applyProtection="1"/>
    <xf numFmtId="0" fontId="4" fillId="0" borderId="0" xfId="0" applyFont="1" applyBorder="1" applyProtection="1"/>
    <xf numFmtId="9" fontId="4" fillId="0" borderId="12" xfId="3" applyFont="1" applyFill="1" applyBorder="1" applyAlignment="1" applyProtection="1">
      <alignment horizontal="center"/>
      <protection locked="0"/>
    </xf>
    <xf numFmtId="9" fontId="4" fillId="0" borderId="0" xfId="0" applyNumberFormat="1" applyFont="1" applyFill="1" applyBorder="1" applyAlignment="1" applyProtection="1">
      <alignment horizontal="center"/>
      <protection locked="0"/>
    </xf>
    <xf numFmtId="0" fontId="4" fillId="0" borderId="0" xfId="0" applyFont="1" applyProtection="1">
      <protection hidden="1"/>
    </xf>
    <xf numFmtId="0" fontId="6" fillId="0" borderId="0" xfId="0" applyFont="1"/>
    <xf numFmtId="0" fontId="0" fillId="0" borderId="0" xfId="0" applyAlignment="1">
      <alignment horizontal="right"/>
    </xf>
    <xf numFmtId="43" fontId="0" fillId="0" borderId="0" xfId="1" applyFont="1" applyBorder="1"/>
    <xf numFmtId="2" fontId="0" fillId="0" borderId="0" xfId="1" applyNumberFormat="1" applyFont="1" applyBorder="1"/>
    <xf numFmtId="9" fontId="0" fillId="0" borderId="0" xfId="3" applyFont="1" applyBorder="1" applyAlignment="1">
      <alignment horizontal="center"/>
    </xf>
    <xf numFmtId="167" fontId="0" fillId="0" borderId="0" xfId="0" applyNumberFormat="1" applyBorder="1"/>
    <xf numFmtId="167" fontId="0" fillId="0" borderId="2" xfId="0" applyNumberFormat="1" applyBorder="1"/>
    <xf numFmtId="0" fontId="0" fillId="0" borderId="6" xfId="0" applyBorder="1" applyAlignment="1">
      <alignment horizontal="right"/>
    </xf>
    <xf numFmtId="0" fontId="0" fillId="0" borderId="7" xfId="0" applyBorder="1" applyAlignment="1">
      <alignment horizontal="right"/>
    </xf>
    <xf numFmtId="0" fontId="0" fillId="0" borderId="8" xfId="0" applyBorder="1" applyAlignment="1">
      <alignment horizontal="right"/>
    </xf>
    <xf numFmtId="9" fontId="0" fillId="0" borderId="1" xfId="3" applyFont="1" applyBorder="1" applyAlignment="1">
      <alignment horizontal="center"/>
    </xf>
    <xf numFmtId="9" fontId="0" fillId="0" borderId="1" xfId="0" applyNumberFormat="1" applyBorder="1"/>
    <xf numFmtId="9" fontId="0" fillId="0" borderId="0" xfId="0" applyNumberFormat="1" applyBorder="1"/>
    <xf numFmtId="43" fontId="0" fillId="0" borderId="5" xfId="1" applyFont="1" applyBorder="1"/>
    <xf numFmtId="0" fontId="8" fillId="0" borderId="0" xfId="0" applyFont="1" applyFill="1"/>
    <xf numFmtId="0" fontId="8" fillId="0" borderId="0" xfId="0" applyFont="1" applyAlignment="1">
      <alignment horizontal="center" wrapText="1"/>
    </xf>
    <xf numFmtId="1" fontId="0" fillId="0" borderId="0" xfId="0" applyNumberFormat="1" applyFill="1" applyAlignment="1" applyProtection="1">
      <alignment horizontal="center"/>
    </xf>
    <xf numFmtId="0" fontId="6" fillId="0" borderId="10" xfId="0" applyFont="1" applyBorder="1" applyProtection="1">
      <protection locked="0"/>
    </xf>
    <xf numFmtId="0" fontId="0" fillId="0" borderId="6" xfId="0" applyBorder="1"/>
    <xf numFmtId="0" fontId="5" fillId="0" borderId="7" xfId="0" applyFont="1" applyBorder="1"/>
    <xf numFmtId="0" fontId="10" fillId="0" borderId="7" xfId="0" applyFont="1" applyBorder="1"/>
    <xf numFmtId="0" fontId="5" fillId="0" borderId="8" xfId="0" applyFont="1" applyBorder="1"/>
    <xf numFmtId="0" fontId="5" fillId="0" borderId="0" xfId="0" applyFont="1" applyBorder="1"/>
    <xf numFmtId="0" fontId="10" fillId="0" borderId="0" xfId="0" applyFont="1" applyBorder="1"/>
    <xf numFmtId="0" fontId="5" fillId="0" borderId="2" xfId="0" applyFont="1" applyBorder="1"/>
    <xf numFmtId="0" fontId="6" fillId="0" borderId="9" xfId="0" applyFont="1" applyBorder="1" applyAlignment="1" applyProtection="1">
      <alignment horizontal="center"/>
      <protection locked="0"/>
    </xf>
    <xf numFmtId="0" fontId="6" fillId="0" borderId="15" xfId="0" applyFont="1" applyBorder="1" applyAlignment="1" applyProtection="1">
      <alignment horizontal="center"/>
      <protection locked="0"/>
    </xf>
    <xf numFmtId="0" fontId="6" fillId="0" borderId="24" xfId="0" applyFont="1" applyBorder="1" applyAlignment="1" applyProtection="1">
      <alignment horizontal="center"/>
      <protection locked="0"/>
    </xf>
    <xf numFmtId="0" fontId="6" fillId="0" borderId="13" xfId="0" applyFont="1" applyBorder="1" applyAlignment="1" applyProtection="1">
      <alignment horizontal="center"/>
      <protection locked="0"/>
    </xf>
    <xf numFmtId="0" fontId="6" fillId="0" borderId="16" xfId="0" applyFont="1" applyBorder="1" applyAlignment="1" applyProtection="1">
      <alignment horizontal="center"/>
      <protection locked="0"/>
    </xf>
    <xf numFmtId="0" fontId="29" fillId="0" borderId="0" xfId="0" applyFont="1"/>
    <xf numFmtId="0" fontId="10" fillId="0" borderId="6" xfId="0" applyFont="1" applyBorder="1"/>
    <xf numFmtId="0" fontId="5" fillId="0" borderId="7" xfId="0" applyFont="1" applyBorder="1" applyProtection="1"/>
    <xf numFmtId="0" fontId="5" fillId="0" borderId="8" xfId="0" applyFont="1" applyBorder="1" applyProtection="1"/>
    <xf numFmtId="0" fontId="10" fillId="0" borderId="1" xfId="0" applyFont="1" applyBorder="1"/>
    <xf numFmtId="0" fontId="5" fillId="0" borderId="0" xfId="0" applyFont="1" applyBorder="1" applyProtection="1"/>
    <xf numFmtId="0" fontId="5" fillId="0" borderId="2" xfId="0" applyFont="1" applyBorder="1" applyProtection="1"/>
    <xf numFmtId="0" fontId="0" fillId="0" borderId="3" xfId="0" applyBorder="1" applyProtection="1"/>
    <xf numFmtId="0" fontId="0" fillId="0" borderId="5" xfId="0" applyBorder="1" applyProtection="1"/>
    <xf numFmtId="0" fontId="0" fillId="0" borderId="4" xfId="0" applyBorder="1" applyProtection="1"/>
    <xf numFmtId="0" fontId="1" fillId="0" borderId="0" xfId="281"/>
    <xf numFmtId="0" fontId="1" fillId="0" borderId="0" xfId="281"/>
    <xf numFmtId="0" fontId="1" fillId="0" borderId="0" xfId="281"/>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4" fillId="0" borderId="6" xfId="0" applyFont="1" applyBorder="1" applyAlignment="1">
      <alignment horizontal="center"/>
    </xf>
    <xf numFmtId="0" fontId="0" fillId="0" borderId="0" xfId="0" applyBorder="1" applyAlignment="1">
      <alignment horizontal="center"/>
    </xf>
    <xf numFmtId="0" fontId="0" fillId="0" borderId="18" xfId="0" applyBorder="1" applyAlignment="1" applyProtection="1">
      <alignment horizontal="center"/>
      <protection hidden="1"/>
    </xf>
    <xf numFmtId="0" fontId="0" fillId="0" borderId="19" xfId="0" applyBorder="1" applyAlignment="1" applyProtection="1">
      <alignment horizontal="center"/>
      <protection hidden="1"/>
    </xf>
    <xf numFmtId="0" fontId="0" fillId="0" borderId="20" xfId="0" applyBorder="1" applyAlignment="1" applyProtection="1">
      <alignment horizontal="center"/>
      <protection hidden="1"/>
    </xf>
    <xf numFmtId="0" fontId="5" fillId="0" borderId="18" xfId="0" applyFont="1" applyBorder="1" applyAlignment="1" applyProtection="1">
      <alignment horizontal="center"/>
      <protection hidden="1"/>
    </xf>
    <xf numFmtId="0" fontId="5" fillId="0" borderId="19" xfId="0" applyFont="1" applyBorder="1" applyAlignment="1" applyProtection="1">
      <alignment horizontal="center"/>
      <protection hidden="1"/>
    </xf>
    <xf numFmtId="0" fontId="5" fillId="0" borderId="20" xfId="0" applyFont="1" applyBorder="1" applyAlignment="1" applyProtection="1">
      <alignment horizontal="center"/>
      <protection hidden="1"/>
    </xf>
    <xf numFmtId="0" fontId="5" fillId="0" borderId="6" xfId="0" applyFont="1" applyBorder="1" applyAlignment="1" applyProtection="1">
      <alignment horizontal="center"/>
      <protection hidden="1"/>
    </xf>
    <xf numFmtId="0" fontId="5" fillId="0" borderId="7" xfId="0" applyFont="1" applyBorder="1" applyAlignment="1" applyProtection="1">
      <alignment horizontal="center"/>
      <protection hidden="1"/>
    </xf>
    <xf numFmtId="0" fontId="5" fillId="0" borderId="8" xfId="0" applyFont="1" applyBorder="1" applyAlignment="1" applyProtection="1">
      <alignment horizontal="center"/>
      <protection hidden="1"/>
    </xf>
    <xf numFmtId="0" fontId="5" fillId="0" borderId="1" xfId="0" applyFont="1" applyBorder="1" applyAlignment="1" applyProtection="1">
      <alignment horizontal="center"/>
      <protection hidden="1"/>
    </xf>
    <xf numFmtId="0" fontId="5" fillId="0" borderId="0" xfId="0" applyFont="1" applyBorder="1" applyAlignment="1" applyProtection="1">
      <alignment horizontal="center"/>
      <protection hidden="1"/>
    </xf>
    <xf numFmtId="0" fontId="5" fillId="0" borderId="2" xfId="0" applyFont="1" applyBorder="1" applyAlignment="1" applyProtection="1">
      <alignment horizontal="center"/>
      <protection hidden="1"/>
    </xf>
    <xf numFmtId="0" fontId="4" fillId="0" borderId="18" xfId="0" applyFont="1" applyBorder="1" applyAlignment="1" applyProtection="1">
      <alignment horizontal="center"/>
    </xf>
    <xf numFmtId="0" fontId="4" fillId="0" borderId="19" xfId="0" applyFont="1" applyBorder="1" applyAlignment="1" applyProtection="1">
      <alignment horizontal="center"/>
    </xf>
    <xf numFmtId="0" fontId="4" fillId="0" borderId="20" xfId="0" applyFont="1" applyBorder="1" applyAlignment="1" applyProtection="1">
      <alignment horizontal="center"/>
    </xf>
    <xf numFmtId="0" fontId="4" fillId="0" borderId="3" xfId="0" applyFont="1" applyBorder="1" applyAlignment="1">
      <alignment horizontal="center"/>
    </xf>
    <xf numFmtId="0" fontId="4" fillId="0" borderId="5" xfId="0" applyFont="1" applyBorder="1" applyAlignment="1">
      <alignment horizontal="center"/>
    </xf>
    <xf numFmtId="0" fontId="5" fillId="0" borderId="18" xfId="0" applyFont="1" applyBorder="1" applyAlignment="1" applyProtection="1">
      <alignment horizontal="center"/>
    </xf>
    <xf numFmtId="0" fontId="5" fillId="0" borderId="19" xfId="0" applyFont="1" applyBorder="1" applyAlignment="1" applyProtection="1">
      <alignment horizontal="center"/>
    </xf>
    <xf numFmtId="0" fontId="5" fillId="0" borderId="20" xfId="0" applyFont="1" applyBorder="1" applyAlignment="1" applyProtection="1">
      <alignment horizontal="center"/>
    </xf>
    <xf numFmtId="0" fontId="5" fillId="0" borderId="1" xfId="0" applyFont="1" applyBorder="1" applyAlignment="1" applyProtection="1">
      <alignment horizontal="center"/>
    </xf>
    <xf numFmtId="0" fontId="5" fillId="0" borderId="0" xfId="0" applyFont="1" applyBorder="1" applyAlignment="1" applyProtection="1">
      <alignment horizontal="center"/>
    </xf>
    <xf numFmtId="0" fontId="5" fillId="0" borderId="2" xfId="0" applyFont="1" applyBorder="1" applyAlignment="1" applyProtection="1">
      <alignment horizontal="center"/>
    </xf>
    <xf numFmtId="0" fontId="4" fillId="0" borderId="1" xfId="0" applyFont="1" applyBorder="1" applyAlignment="1" applyProtection="1">
      <alignment horizontal="center"/>
    </xf>
    <xf numFmtId="0" fontId="4" fillId="0" borderId="0" xfId="0" applyFont="1" applyBorder="1" applyAlignment="1" applyProtection="1">
      <alignment horizontal="center"/>
    </xf>
    <xf numFmtId="0" fontId="4" fillId="0" borderId="2" xfId="0" applyFont="1" applyBorder="1" applyAlignment="1" applyProtection="1">
      <alignment horizontal="center"/>
    </xf>
    <xf numFmtId="0" fontId="9" fillId="0" borderId="6" xfId="0" applyFont="1" applyBorder="1" applyAlignment="1">
      <alignment horizontal="center"/>
    </xf>
    <xf numFmtId="0" fontId="9" fillId="0" borderId="7" xfId="0" applyFont="1" applyBorder="1" applyAlignment="1">
      <alignment horizontal="center"/>
    </xf>
    <xf numFmtId="0" fontId="9" fillId="0" borderId="0" xfId="0" applyFont="1" applyBorder="1" applyAlignment="1">
      <alignment horizontal="center"/>
    </xf>
    <xf numFmtId="0" fontId="9" fillId="0" borderId="2" xfId="0" applyFont="1" applyBorder="1" applyAlignment="1">
      <alignment horizontal="center"/>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0" borderId="1" xfId="0" applyFont="1" applyBorder="1" applyAlignment="1">
      <alignment horizontal="center" vertical="center" wrapText="1"/>
    </xf>
    <xf numFmtId="0" fontId="9" fillId="0" borderId="0" xfId="0" applyFont="1" applyBorder="1" applyAlignment="1">
      <alignment horizontal="center" vertical="center" wrapText="1"/>
    </xf>
    <xf numFmtId="0" fontId="10" fillId="0" borderId="6" xfId="0" applyFont="1" applyBorder="1" applyAlignment="1">
      <alignment horizontal="center"/>
    </xf>
    <xf numFmtId="0" fontId="10" fillId="0" borderId="8" xfId="0" applyFont="1" applyBorder="1" applyAlignment="1">
      <alignment horizontal="center"/>
    </xf>
    <xf numFmtId="0" fontId="10" fillId="0" borderId="7" xfId="0" applyFont="1" applyBorder="1" applyAlignment="1">
      <alignment horizontal="center"/>
    </xf>
    <xf numFmtId="0" fontId="10" fillId="0" borderId="1" xfId="0" applyFont="1" applyBorder="1" applyAlignment="1">
      <alignment horizontal="center"/>
    </xf>
    <xf numFmtId="0" fontId="10" fillId="0" borderId="0" xfId="0" applyFont="1" applyBorder="1" applyAlignment="1">
      <alignment horizontal="center"/>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1" xfId="0" applyFont="1" applyBorder="1" applyAlignment="1">
      <alignment horizontal="center" vertical="center" wrapText="1"/>
    </xf>
    <xf numFmtId="0" fontId="8" fillId="0" borderId="0"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5" xfId="0" applyFont="1" applyBorder="1" applyAlignment="1">
      <alignment horizontal="center" vertical="center" wrapText="1"/>
    </xf>
    <xf numFmtId="0" fontId="8" fillId="0" borderId="4" xfId="0" applyFont="1" applyBorder="1" applyAlignment="1">
      <alignment horizontal="center" vertical="center" wrapText="1"/>
    </xf>
    <xf numFmtId="0" fontId="15" fillId="0" borderId="0" xfId="0" quotePrefix="1" applyFont="1" applyAlignment="1">
      <alignment horizontal="left" vertical="top" wrapText="1"/>
    </xf>
    <xf numFmtId="0" fontId="6" fillId="0" borderId="0" xfId="0" applyFont="1" applyAlignment="1">
      <alignment horizontal="center" vertical="center"/>
    </xf>
    <xf numFmtId="0" fontId="15" fillId="0" borderId="0" xfId="0" quotePrefix="1" applyFont="1" applyAlignment="1">
      <alignment horizontal="left" vertical="top"/>
    </xf>
    <xf numFmtId="0" fontId="15" fillId="0" borderId="0" xfId="0" quotePrefix="1" applyFont="1" applyAlignment="1">
      <alignment horizontal="left"/>
    </xf>
    <xf numFmtId="0" fontId="5" fillId="0" borderId="0" xfId="0" applyFont="1" applyAlignment="1">
      <alignment horizontal="center" vertical="center"/>
    </xf>
    <xf numFmtId="0" fontId="15" fillId="0" borderId="0" xfId="0" quotePrefix="1" applyFont="1" applyAlignment="1">
      <alignment horizontal="left" vertical="center" wrapText="1"/>
    </xf>
    <xf numFmtId="0" fontId="15" fillId="0" borderId="0" xfId="0" applyFont="1" applyAlignment="1">
      <alignment horizontal="left" vertical="center" wrapText="1"/>
    </xf>
    <xf numFmtId="0" fontId="15" fillId="0" borderId="0" xfId="0" quotePrefix="1" applyFont="1" applyAlignment="1">
      <alignment horizontal="left" wrapText="1"/>
    </xf>
    <xf numFmtId="0" fontId="15" fillId="0" borderId="0" xfId="0" applyFont="1" applyAlignment="1">
      <alignment horizontal="left" wrapText="1"/>
    </xf>
    <xf numFmtId="0" fontId="5" fillId="0" borderId="0" xfId="0" quotePrefix="1" applyFont="1" applyAlignment="1">
      <alignment horizontal="left" vertical="center" wrapText="1"/>
    </xf>
  </cellXfs>
  <cellStyles count="374">
    <cellStyle name="20% - Accent1" xfId="21" builtinId="30" customBuiltin="1"/>
    <cellStyle name="20% - Accent1 2" xfId="45"/>
    <cellStyle name="20% - Accent1 2 2" xfId="46"/>
    <cellStyle name="20% - Accent1 3" xfId="47"/>
    <cellStyle name="20% - Accent1 3 2" xfId="48"/>
    <cellStyle name="20% - Accent1 4" xfId="49"/>
    <cellStyle name="20% - Accent1 5" xfId="50"/>
    <cellStyle name="20% - Accent1 6" xfId="51"/>
    <cellStyle name="20% - Accent2" xfId="25" builtinId="34" customBuiltin="1"/>
    <cellStyle name="20% - Accent2 2" xfId="52"/>
    <cellStyle name="20% - Accent2 2 2" xfId="53"/>
    <cellStyle name="20% - Accent2 3" xfId="54"/>
    <cellStyle name="20% - Accent2 3 2" xfId="55"/>
    <cellStyle name="20% - Accent2 4" xfId="56"/>
    <cellStyle name="20% - Accent2 5" xfId="57"/>
    <cellStyle name="20% - Accent2 6" xfId="58"/>
    <cellStyle name="20% - Accent3" xfId="29" builtinId="38" customBuiltin="1"/>
    <cellStyle name="20% - Accent3 2" xfId="59"/>
    <cellStyle name="20% - Accent3 2 2" xfId="60"/>
    <cellStyle name="20% - Accent3 3" xfId="61"/>
    <cellStyle name="20% - Accent3 3 2" xfId="62"/>
    <cellStyle name="20% - Accent3 4" xfId="63"/>
    <cellStyle name="20% - Accent3 5" xfId="64"/>
    <cellStyle name="20% - Accent3 6" xfId="65"/>
    <cellStyle name="20% - Accent4" xfId="33" builtinId="42" customBuiltin="1"/>
    <cellStyle name="20% - Accent4 2" xfId="66"/>
    <cellStyle name="20% - Accent4 2 2" xfId="67"/>
    <cellStyle name="20% - Accent4 3" xfId="68"/>
    <cellStyle name="20% - Accent4 3 2" xfId="69"/>
    <cellStyle name="20% - Accent4 4" xfId="70"/>
    <cellStyle name="20% - Accent4 5" xfId="71"/>
    <cellStyle name="20% - Accent4 6" xfId="72"/>
    <cellStyle name="20% - Accent5" xfId="37" builtinId="46" customBuiltin="1"/>
    <cellStyle name="20% - Accent5 2" xfId="73"/>
    <cellStyle name="20% - Accent5 3" xfId="74"/>
    <cellStyle name="20% - Accent5 4" xfId="75"/>
    <cellStyle name="20% - Accent6" xfId="41" builtinId="50" customBuiltin="1"/>
    <cellStyle name="20% - Accent6 2" xfId="76"/>
    <cellStyle name="20% - Accent6 2 2" xfId="77"/>
    <cellStyle name="20% - Accent6 3" xfId="78"/>
    <cellStyle name="20% - Accent6 3 2" xfId="79"/>
    <cellStyle name="20% - Accent6 4" xfId="80"/>
    <cellStyle name="20% - Accent6 5" xfId="81"/>
    <cellStyle name="40% - Accent1" xfId="22" builtinId="31" customBuiltin="1"/>
    <cellStyle name="40% - Accent1 2" xfId="82"/>
    <cellStyle name="40% - Accent1 2 2" xfId="83"/>
    <cellStyle name="40% - Accent1 3" xfId="84"/>
    <cellStyle name="40% - Accent1 3 2" xfId="85"/>
    <cellStyle name="40% - Accent1 4" xfId="86"/>
    <cellStyle name="40% - Accent1 5" xfId="87"/>
    <cellStyle name="40% - Accent1 6" xfId="88"/>
    <cellStyle name="40% - Accent2" xfId="26" builtinId="35" customBuiltin="1"/>
    <cellStyle name="40% - Accent2 2" xfId="89"/>
    <cellStyle name="40% - Accent2 3" xfId="90"/>
    <cellStyle name="40% - Accent2 4" xfId="91"/>
    <cellStyle name="40% - Accent3" xfId="30" builtinId="39" customBuiltin="1"/>
    <cellStyle name="40% - Accent3 2" xfId="92"/>
    <cellStyle name="40% - Accent3 2 2" xfId="93"/>
    <cellStyle name="40% - Accent3 3" xfId="94"/>
    <cellStyle name="40% - Accent3 3 2" xfId="95"/>
    <cellStyle name="40% - Accent3 4" xfId="96"/>
    <cellStyle name="40% - Accent3 5" xfId="97"/>
    <cellStyle name="40% - Accent3 6" xfId="98"/>
    <cellStyle name="40% - Accent4" xfId="34" builtinId="43" customBuiltin="1"/>
    <cellStyle name="40% - Accent4 2" xfId="99"/>
    <cellStyle name="40% - Accent4 2 2" xfId="100"/>
    <cellStyle name="40% - Accent4 3" xfId="101"/>
    <cellStyle name="40% - Accent4 3 2" xfId="102"/>
    <cellStyle name="40% - Accent4 4" xfId="103"/>
    <cellStyle name="40% - Accent4 5" xfId="104"/>
    <cellStyle name="40% - Accent4 6" xfId="105"/>
    <cellStyle name="40% - Accent5" xfId="38" builtinId="47" customBuiltin="1"/>
    <cellStyle name="40% - Accent5 2" xfId="106"/>
    <cellStyle name="40% - Accent5 2 2" xfId="107"/>
    <cellStyle name="40% - Accent5 3" xfId="108"/>
    <cellStyle name="40% - Accent5 3 2" xfId="109"/>
    <cellStyle name="40% - Accent5 4" xfId="110"/>
    <cellStyle name="40% - Accent5 5" xfId="111"/>
    <cellStyle name="40% - Accent6" xfId="42" builtinId="51" customBuiltin="1"/>
    <cellStyle name="40% - Accent6 2" xfId="112"/>
    <cellStyle name="40% - Accent6 2 2" xfId="113"/>
    <cellStyle name="40% - Accent6 3" xfId="114"/>
    <cellStyle name="40% - Accent6 3 2" xfId="115"/>
    <cellStyle name="40% - Accent6 4" xfId="116"/>
    <cellStyle name="40% - Accent6 5" xfId="117"/>
    <cellStyle name="40% - Accent6 6" xfId="118"/>
    <cellStyle name="60% - Accent1" xfId="23" builtinId="32" customBuiltin="1"/>
    <cellStyle name="60% - Accent1 2" xfId="119"/>
    <cellStyle name="60% - Accent1 2 2" xfId="120"/>
    <cellStyle name="60% - Accent1 3" xfId="121"/>
    <cellStyle name="60% - Accent1 3 2" xfId="122"/>
    <cellStyle name="60% - Accent1 4" xfId="123"/>
    <cellStyle name="60% - Accent1 5" xfId="124"/>
    <cellStyle name="60% - Accent1 6" xfId="125"/>
    <cellStyle name="60% - Accent2" xfId="27" builtinId="36" customBuiltin="1"/>
    <cellStyle name="60% - Accent2 2" xfId="126"/>
    <cellStyle name="60% - Accent2 2 2" xfId="127"/>
    <cellStyle name="60% - Accent2 3" xfId="128"/>
    <cellStyle name="60% - Accent2 3 2" xfId="129"/>
    <cellStyle name="60% - Accent2 4" xfId="130"/>
    <cellStyle name="60% - Accent2 5" xfId="131"/>
    <cellStyle name="60% - Accent3" xfId="31" builtinId="40" customBuiltin="1"/>
    <cellStyle name="60% - Accent3 2" xfId="132"/>
    <cellStyle name="60% - Accent3 2 2" xfId="133"/>
    <cellStyle name="60% - Accent3 3" xfId="134"/>
    <cellStyle name="60% - Accent3 3 2" xfId="135"/>
    <cellStyle name="60% - Accent3 4" xfId="136"/>
    <cellStyle name="60% - Accent3 5" xfId="137"/>
    <cellStyle name="60% - Accent3 6" xfId="138"/>
    <cellStyle name="60% - Accent4" xfId="35" builtinId="44" customBuiltin="1"/>
    <cellStyle name="60% - Accent4 2" xfId="139"/>
    <cellStyle name="60% - Accent4 2 2" xfId="140"/>
    <cellStyle name="60% - Accent4 3" xfId="141"/>
    <cellStyle name="60% - Accent4 3 2" xfId="142"/>
    <cellStyle name="60% - Accent4 4" xfId="143"/>
    <cellStyle name="60% - Accent4 5" xfId="144"/>
    <cellStyle name="60% - Accent4 6" xfId="145"/>
    <cellStyle name="60% - Accent5" xfId="39" builtinId="48" customBuiltin="1"/>
    <cellStyle name="60% - Accent5 2" xfId="146"/>
    <cellStyle name="60% - Accent5 2 2" xfId="147"/>
    <cellStyle name="60% - Accent5 3" xfId="148"/>
    <cellStyle name="60% - Accent5 3 2" xfId="149"/>
    <cellStyle name="60% - Accent5 4" xfId="150"/>
    <cellStyle name="60% - Accent5 5" xfId="151"/>
    <cellStyle name="60% - Accent6" xfId="43" builtinId="52" customBuiltin="1"/>
    <cellStyle name="60% - Accent6 2" xfId="152"/>
    <cellStyle name="60% - Accent6 2 2" xfId="153"/>
    <cellStyle name="60% - Accent6 3" xfId="154"/>
    <cellStyle name="60% - Accent6 3 2" xfId="155"/>
    <cellStyle name="60% - Accent6 4" xfId="156"/>
    <cellStyle name="60% - Accent6 5" xfId="157"/>
    <cellStyle name="60% - Accent6 6" xfId="158"/>
    <cellStyle name="Accent1" xfId="20" builtinId="29" customBuiltin="1"/>
    <cellStyle name="Accent1 2" xfId="159"/>
    <cellStyle name="Accent1 2 2" xfId="160"/>
    <cellStyle name="Accent1 3" xfId="161"/>
    <cellStyle name="Accent1 3 2" xfId="162"/>
    <cellStyle name="Accent1 4" xfId="163"/>
    <cellStyle name="Accent1 5" xfId="164"/>
    <cellStyle name="Accent1 6" xfId="165"/>
    <cellStyle name="Accent2" xfId="24" builtinId="33" customBuiltin="1"/>
    <cellStyle name="Accent2 2" xfId="166"/>
    <cellStyle name="Accent2 2 2" xfId="167"/>
    <cellStyle name="Accent2 3" xfId="168"/>
    <cellStyle name="Accent2 3 2" xfId="169"/>
    <cellStyle name="Accent2 4" xfId="170"/>
    <cellStyle name="Accent2 5" xfId="171"/>
    <cellStyle name="Accent2 6" xfId="172"/>
    <cellStyle name="Accent3" xfId="28" builtinId="37" customBuiltin="1"/>
    <cellStyle name="Accent3 2" xfId="173"/>
    <cellStyle name="Accent3 2 2" xfId="174"/>
    <cellStyle name="Accent3 3" xfId="175"/>
    <cellStyle name="Accent3 3 2" xfId="176"/>
    <cellStyle name="Accent3 4" xfId="177"/>
    <cellStyle name="Accent3 5" xfId="178"/>
    <cellStyle name="Accent3 6" xfId="179"/>
    <cellStyle name="Accent4" xfId="32" builtinId="41" customBuiltin="1"/>
    <cellStyle name="Accent4 2" xfId="180"/>
    <cellStyle name="Accent4 2 2" xfId="181"/>
    <cellStyle name="Accent4 3" xfId="182"/>
    <cellStyle name="Accent4 3 2" xfId="183"/>
    <cellStyle name="Accent4 4" xfId="184"/>
    <cellStyle name="Accent4 5" xfId="185"/>
    <cellStyle name="Accent4 6" xfId="186"/>
    <cellStyle name="Accent5" xfId="36" builtinId="45" customBuiltin="1"/>
    <cellStyle name="Accent5 2" xfId="187"/>
    <cellStyle name="Accent5 3" xfId="188"/>
    <cellStyle name="Accent5 4" xfId="189"/>
    <cellStyle name="Accent6" xfId="40" builtinId="49" customBuiltin="1"/>
    <cellStyle name="Accent6 2" xfId="190"/>
    <cellStyle name="Accent6 2 2" xfId="191"/>
    <cellStyle name="Accent6 3" xfId="192"/>
    <cellStyle name="Accent6 3 2" xfId="193"/>
    <cellStyle name="Accent6 4" xfId="194"/>
    <cellStyle name="Accent6 5" xfId="195"/>
    <cellStyle name="Bad" xfId="10" builtinId="27" customBuiltin="1"/>
    <cellStyle name="Bad 2" xfId="196"/>
    <cellStyle name="Bad 2 2" xfId="197"/>
    <cellStyle name="Bad 3" xfId="198"/>
    <cellStyle name="Bad 3 2" xfId="199"/>
    <cellStyle name="Bad 4" xfId="200"/>
    <cellStyle name="Bad 5" xfId="201"/>
    <cellStyle name="Bad 6" xfId="202"/>
    <cellStyle name="Calculation" xfId="14" builtinId="22" customBuiltin="1"/>
    <cellStyle name="Calculation 2" xfId="203"/>
    <cellStyle name="Calculation 2 2" xfId="204"/>
    <cellStyle name="Calculation 3" xfId="205"/>
    <cellStyle name="Calculation 3 2" xfId="206"/>
    <cellStyle name="Calculation 4" xfId="207"/>
    <cellStyle name="Calculation 5" xfId="208"/>
    <cellStyle name="Calculation 6" xfId="209"/>
    <cellStyle name="Check Cell" xfId="16" builtinId="23" customBuiltin="1"/>
    <cellStyle name="Check Cell 2" xfId="210"/>
    <cellStyle name="Check Cell 3" xfId="211"/>
    <cellStyle name="Check Cell 4" xfId="212"/>
    <cellStyle name="Comma" xfId="1" builtinId="3"/>
    <cellStyle name="Comma 2" xfId="213"/>
    <cellStyle name="depth" xfId="214"/>
    <cellStyle name="Explanatory Text" xfId="18" builtinId="53" customBuiltin="1"/>
    <cellStyle name="Explanatory Text 2" xfId="215"/>
    <cellStyle name="Explanatory Text 3" xfId="216"/>
    <cellStyle name="Explanatory Text 4" xfId="217"/>
    <cellStyle name="Good" xfId="9" builtinId="26" customBuiltin="1"/>
    <cellStyle name="Good 2" xfId="218"/>
    <cellStyle name="Good 2 2" xfId="219"/>
    <cellStyle name="Good 3" xfId="220"/>
    <cellStyle name="Good 3 2" xfId="221"/>
    <cellStyle name="Good 4" xfId="222"/>
    <cellStyle name="Good 5" xfId="223"/>
    <cellStyle name="Heading 1" xfId="5" builtinId="16" customBuiltin="1"/>
    <cellStyle name="Heading 1 2" xfId="224"/>
    <cellStyle name="Heading 1 2 2" xfId="225"/>
    <cellStyle name="Heading 1 3" xfId="226"/>
    <cellStyle name="Heading 1 3 2" xfId="227"/>
    <cellStyle name="Heading 1 4" xfId="228"/>
    <cellStyle name="Heading 1 5" xfId="229"/>
    <cellStyle name="Heading 1 6" xfId="230"/>
    <cellStyle name="Heading 2" xfId="6" builtinId="17" customBuiltin="1"/>
    <cellStyle name="Heading 2 2" xfId="231"/>
    <cellStyle name="Heading 2 2 2" xfId="232"/>
    <cellStyle name="Heading 2 3" xfId="233"/>
    <cellStyle name="Heading 2 3 2" xfId="234"/>
    <cellStyle name="Heading 2 4" xfId="235"/>
    <cellStyle name="Heading 2 5" xfId="236"/>
    <cellStyle name="Heading 2 6" xfId="237"/>
    <cellStyle name="Heading 3" xfId="7" builtinId="18" customBuiltin="1"/>
    <cellStyle name="Heading 3 2" xfId="238"/>
    <cellStyle name="Heading 3 2 2" xfId="239"/>
    <cellStyle name="Heading 3 3" xfId="240"/>
    <cellStyle name="Heading 3 3 2" xfId="241"/>
    <cellStyle name="Heading 3 4" xfId="242"/>
    <cellStyle name="Heading 3 5" xfId="243"/>
    <cellStyle name="Heading 3 6" xfId="244"/>
    <cellStyle name="Heading 4" xfId="8" builtinId="19" customBuiltin="1"/>
    <cellStyle name="Heading 4 2" xfId="245"/>
    <cellStyle name="Heading 4 2 2" xfId="246"/>
    <cellStyle name="Heading 4 3" xfId="247"/>
    <cellStyle name="Heading 4 3 2" xfId="248"/>
    <cellStyle name="Heading 4 4" xfId="249"/>
    <cellStyle name="Heading 4 5" xfId="250"/>
    <cellStyle name="Heading 4 6" xfId="251"/>
    <cellStyle name="Hyperlink 2" xfId="252"/>
    <cellStyle name="Hyperlink 2 2" xfId="253"/>
    <cellStyle name="Hyperlink 3" xfId="254"/>
    <cellStyle name="Hyperlink 4" xfId="255"/>
    <cellStyle name="Hyperlink 5" xfId="256"/>
    <cellStyle name="Hyperlink 6" xfId="257"/>
    <cellStyle name="Hyperlink 7" xfId="258"/>
    <cellStyle name="Hyperlink 8" xfId="259"/>
    <cellStyle name="Input" xfId="12" builtinId="20" customBuiltin="1"/>
    <cellStyle name="Input 2" xfId="260"/>
    <cellStyle name="Input 2 2" xfId="261"/>
    <cellStyle name="Input 3" xfId="262"/>
    <cellStyle name="Input 3 2" xfId="263"/>
    <cellStyle name="Input 4" xfId="264"/>
    <cellStyle name="Input 5" xfId="265"/>
    <cellStyle name="Linked Cell" xfId="15" builtinId="24" customBuiltin="1"/>
    <cellStyle name="Linked Cell 2" xfId="266"/>
    <cellStyle name="Linked Cell 2 2" xfId="267"/>
    <cellStyle name="Linked Cell 3" xfId="268"/>
    <cellStyle name="Linked Cell 3 2" xfId="269"/>
    <cellStyle name="Linked Cell 4" xfId="270"/>
    <cellStyle name="Linked Cell 5" xfId="271"/>
    <cellStyle name="Neutral" xfId="11" builtinId="28" customBuiltin="1"/>
    <cellStyle name="Neutral 2" xfId="272"/>
    <cellStyle name="Neutral 2 2" xfId="273"/>
    <cellStyle name="Neutral 3" xfId="274"/>
    <cellStyle name="Neutral 3 2" xfId="275"/>
    <cellStyle name="Neutral 4" xfId="276"/>
    <cellStyle name="Neutral 5" xfId="277"/>
    <cellStyle name="Normal" xfId="0" builtinId="0"/>
    <cellStyle name="Normal 10" xfId="278"/>
    <cellStyle name="Normal 11" xfId="279"/>
    <cellStyle name="Normal 11 2" xfId="280"/>
    <cellStyle name="Normal 12" xfId="281"/>
    <cellStyle name="Normal 12 2" xfId="282"/>
    <cellStyle name="Normal 12 3" xfId="283"/>
    <cellStyle name="Normal 13" xfId="284"/>
    <cellStyle name="Normal 14" xfId="285"/>
    <cellStyle name="Normal 15" xfId="286"/>
    <cellStyle name="Normal 16" xfId="287"/>
    <cellStyle name="Normal 17" xfId="44"/>
    <cellStyle name="Normal 2" xfId="288"/>
    <cellStyle name="Normal 2 10 2 2 2 2" xfId="289"/>
    <cellStyle name="Normal 2 2" xfId="290"/>
    <cellStyle name="Normal 2 2 2" xfId="291"/>
    <cellStyle name="Normal 2 3" xfId="292"/>
    <cellStyle name="Normal 2 3 2" xfId="293"/>
    <cellStyle name="Normal 2 4" xfId="294"/>
    <cellStyle name="Normal 2 4 2" xfId="295"/>
    <cellStyle name="Normal 2 5" xfId="296"/>
    <cellStyle name="Normal 2_DataMappingView" xfId="297"/>
    <cellStyle name="Normal 3" xfId="298"/>
    <cellStyle name="Normal 3 2" xfId="299"/>
    <cellStyle name="Normal 3 2 2" xfId="300"/>
    <cellStyle name="Normal 3 2 2 2" xfId="301"/>
    <cellStyle name="Normal 3 2 3" xfId="302"/>
    <cellStyle name="Normal 3 2 3 2" xfId="303"/>
    <cellStyle name="Normal 3 2 4" xfId="304"/>
    <cellStyle name="Normal 3 2_DataMappingView" xfId="305"/>
    <cellStyle name="Normal 3 3" xfId="306"/>
    <cellStyle name="Normal 3 3 2" xfId="307"/>
    <cellStyle name="Normal 3 4" xfId="308"/>
    <cellStyle name="Normal 3 5" xfId="309"/>
    <cellStyle name="Normal 4" xfId="310"/>
    <cellStyle name="Normal 4 2" xfId="311"/>
    <cellStyle name="Normal 4 3" xfId="312"/>
    <cellStyle name="Normal 5" xfId="313"/>
    <cellStyle name="Normal 6" xfId="314"/>
    <cellStyle name="Normal 7" xfId="315"/>
    <cellStyle name="Normal 8" xfId="316"/>
    <cellStyle name="Normal 9" xfId="317"/>
    <cellStyle name="Normal_Sheet1_1" xfId="2"/>
    <cellStyle name="Note 10" xfId="318"/>
    <cellStyle name="Note 11" xfId="319"/>
    <cellStyle name="Note 2" xfId="320"/>
    <cellStyle name="Note 2 2" xfId="321"/>
    <cellStyle name="Note 2 3" xfId="322"/>
    <cellStyle name="Note 2 4" xfId="323"/>
    <cellStyle name="Note 3" xfId="324"/>
    <cellStyle name="Note 4" xfId="325"/>
    <cellStyle name="Note 5" xfId="326"/>
    <cellStyle name="Note 6" xfId="327"/>
    <cellStyle name="Note 6 2" xfId="328"/>
    <cellStyle name="Note 7" xfId="329"/>
    <cellStyle name="Note 8" xfId="330"/>
    <cellStyle name="Note 9" xfId="331"/>
    <cellStyle name="Output" xfId="13" builtinId="21" customBuiltin="1"/>
    <cellStyle name="Output 10" xfId="332"/>
    <cellStyle name="Output 2" xfId="333"/>
    <cellStyle name="Output 2 2" xfId="334"/>
    <cellStyle name="Output 3" xfId="335"/>
    <cellStyle name="Output 4" xfId="336"/>
    <cellStyle name="Output 5" xfId="337"/>
    <cellStyle name="Output 5 2" xfId="338"/>
    <cellStyle name="Output 6" xfId="339"/>
    <cellStyle name="Output 7" xfId="340"/>
    <cellStyle name="Output 8" xfId="341"/>
    <cellStyle name="Output 9" xfId="342"/>
    <cellStyle name="Percent" xfId="3" builtinId="5"/>
    <cellStyle name="Percent 2" xfId="343"/>
    <cellStyle name="Title" xfId="4" builtinId="15" customBuiltin="1"/>
    <cellStyle name="Title 2" xfId="344"/>
    <cellStyle name="Title 2 2" xfId="345"/>
    <cellStyle name="Title 3" xfId="346"/>
    <cellStyle name="Title 4" xfId="347"/>
    <cellStyle name="Title 5" xfId="348"/>
    <cellStyle name="Title 5 2" xfId="349"/>
    <cellStyle name="Title 6" xfId="350"/>
    <cellStyle name="Title 7" xfId="351"/>
    <cellStyle name="Title 8" xfId="352"/>
    <cellStyle name="Total" xfId="19" builtinId="25" customBuiltin="1"/>
    <cellStyle name="Total 10" xfId="353"/>
    <cellStyle name="Total 2" xfId="354"/>
    <cellStyle name="Total 2 2" xfId="355"/>
    <cellStyle name="Total 3" xfId="356"/>
    <cellStyle name="Total 4" xfId="357"/>
    <cellStyle name="Total 5" xfId="358"/>
    <cellStyle name="Total 5 2" xfId="359"/>
    <cellStyle name="Total 6" xfId="360"/>
    <cellStyle name="Total 7" xfId="361"/>
    <cellStyle name="Total 8" xfId="362"/>
    <cellStyle name="Total 9" xfId="363"/>
    <cellStyle name="Warning Text" xfId="17" builtinId="11" customBuiltin="1"/>
    <cellStyle name="Warning Text 2" xfId="364"/>
    <cellStyle name="Warning Text 2 2" xfId="365"/>
    <cellStyle name="Warning Text 3" xfId="366"/>
    <cellStyle name="Warning Text 4" xfId="367"/>
    <cellStyle name="Warning Text 5" xfId="368"/>
    <cellStyle name="Warning Text 5 2" xfId="369"/>
    <cellStyle name="Warning Text 6" xfId="370"/>
    <cellStyle name="Warning Text 7" xfId="371"/>
    <cellStyle name="Warning Text 8" xfId="372"/>
    <cellStyle name="Warning Text 9" xfId="373"/>
  </cellStyles>
  <dxfs count="2">
    <dxf>
      <font>
        <b/>
        <i val="0"/>
        <condense val="0"/>
        <extend val="0"/>
        <color indexed="10"/>
      </font>
    </dxf>
    <dxf>
      <font>
        <condense val="0"/>
        <extend val="0"/>
        <color indexed="18"/>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8.xml"/><Relationship Id="rId13" Type="http://schemas.openxmlformats.org/officeDocument/2006/relationships/chartsheet" Target="chartsheets/sheet13.xml"/><Relationship Id="rId18" Type="http://schemas.openxmlformats.org/officeDocument/2006/relationships/worksheet" Target="worksheets/sheet4.xml"/><Relationship Id="rId3" Type="http://schemas.openxmlformats.org/officeDocument/2006/relationships/chartsheet" Target="chartsheets/sheet3.xml"/><Relationship Id="rId21" Type="http://schemas.openxmlformats.org/officeDocument/2006/relationships/styles" Target="styles.xml"/><Relationship Id="rId7" Type="http://schemas.openxmlformats.org/officeDocument/2006/relationships/chartsheet" Target="chartsheets/sheet7.xml"/><Relationship Id="rId12" Type="http://schemas.openxmlformats.org/officeDocument/2006/relationships/chartsheet" Target="chartsheets/sheet12.xml"/><Relationship Id="rId17" Type="http://schemas.openxmlformats.org/officeDocument/2006/relationships/worksheet" Target="worksheets/sheet3.xml"/><Relationship Id="rId2" Type="http://schemas.openxmlformats.org/officeDocument/2006/relationships/chartsheet" Target="chartsheets/sheet2.xml"/><Relationship Id="rId16"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chartsheet" Target="chartsheets/sheet1.xml"/><Relationship Id="rId6" Type="http://schemas.openxmlformats.org/officeDocument/2006/relationships/chartsheet" Target="chartsheets/sheet6.xml"/><Relationship Id="rId11" Type="http://schemas.openxmlformats.org/officeDocument/2006/relationships/chartsheet" Target="chartsheets/sheet11.xml"/><Relationship Id="rId5" Type="http://schemas.openxmlformats.org/officeDocument/2006/relationships/chartsheet" Target="chartsheets/sheet5.xml"/><Relationship Id="rId15" Type="http://schemas.openxmlformats.org/officeDocument/2006/relationships/worksheet" Target="worksheets/sheet1.xml"/><Relationship Id="rId23" Type="http://schemas.openxmlformats.org/officeDocument/2006/relationships/calcChain" Target="calcChain.xml"/><Relationship Id="rId10" Type="http://schemas.openxmlformats.org/officeDocument/2006/relationships/chartsheet" Target="chartsheets/sheet10.xml"/><Relationship Id="rId19" Type="http://schemas.openxmlformats.org/officeDocument/2006/relationships/worksheet" Target="worksheets/sheet5.xml"/><Relationship Id="rId4" Type="http://schemas.openxmlformats.org/officeDocument/2006/relationships/chartsheet" Target="chartsheets/sheet4.xml"/><Relationship Id="rId9" Type="http://schemas.openxmlformats.org/officeDocument/2006/relationships/chartsheet" Target="chartsheets/sheet9.xml"/><Relationship Id="rId14" Type="http://schemas.openxmlformats.org/officeDocument/2006/relationships/chartsheet" Target="chart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8779134295227528E-2"/>
          <c:y val="6.5252854812398078E-2"/>
          <c:w val="0.88346281908989999"/>
          <c:h val="0.78466557911908663"/>
        </c:manualLayout>
      </c:layout>
      <c:scatterChart>
        <c:scatterStyle val="lineMarker"/>
        <c:varyColors val="0"/>
        <c:ser>
          <c:idx val="1"/>
          <c:order val="0"/>
          <c:tx>
            <c:v>Meteoric trend line</c:v>
          </c:tx>
          <c:spPr>
            <a:ln w="25400">
              <a:solidFill>
                <a:srgbClr val="808080"/>
              </a:solidFill>
              <a:prstDash val="solid"/>
            </a:ln>
          </c:spPr>
          <c:marker>
            <c:symbol val="none"/>
          </c:marker>
          <c:dLbls>
            <c:dLbl>
              <c:idx val="1"/>
              <c:layout>
                <c:manualLayout>
                  <c:x val="-0.13583425823159453"/>
                  <c:y val="-1.5524698890615841E-2"/>
                </c:manualLayout>
              </c:layout>
              <c:tx>
                <c:rich>
                  <a:bodyPr rot="-2580000" vert="horz"/>
                  <a:lstStyle/>
                  <a:p>
                    <a:pPr algn="ctr">
                      <a:defRPr sz="1375" b="1" i="0" u="none" strike="noStrike" baseline="0">
                        <a:solidFill>
                          <a:srgbClr val="808080"/>
                        </a:solidFill>
                        <a:latin typeface="Arial"/>
                        <a:ea typeface="Arial"/>
                        <a:cs typeface="Arial"/>
                      </a:defRPr>
                    </a:pPr>
                    <a:r>
                      <a:rPr lang="en-NZ"/>
                      <a:t>Meteoric Trend Line</a:t>
                    </a:r>
                  </a:p>
                </c:rich>
              </c:tx>
              <c:spPr>
                <a:noFill/>
                <a:ln w="25400">
                  <a:noFill/>
                </a:ln>
              </c:spPr>
              <c:dLblPos val="r"/>
              <c:showLegendKey val="0"/>
              <c:showVal val="0"/>
              <c:showCatName val="0"/>
              <c:showSerName val="0"/>
              <c:showPercent val="0"/>
              <c:showBubbleSize val="0"/>
            </c:dLbl>
            <c:showLegendKey val="0"/>
            <c:showVal val="0"/>
            <c:showCatName val="0"/>
            <c:showSerName val="0"/>
            <c:showPercent val="0"/>
            <c:showBubbleSize val="0"/>
          </c:dLbls>
          <c:xVal>
            <c:numRef>
              <c:f>Ref!$B$69:$B$71</c:f>
              <c:numCache>
                <c:formatCode>General</c:formatCode>
                <c:ptCount val="3"/>
                <c:pt idx="0">
                  <c:v>-1</c:v>
                </c:pt>
                <c:pt idx="1">
                  <c:v>-16</c:v>
                </c:pt>
                <c:pt idx="2">
                  <c:v>-22</c:v>
                </c:pt>
              </c:numCache>
            </c:numRef>
          </c:xVal>
          <c:yVal>
            <c:numRef>
              <c:f>Ref!$C$69:$C$71</c:f>
              <c:numCache>
                <c:formatCode>General</c:formatCode>
                <c:ptCount val="3"/>
                <c:pt idx="0">
                  <c:v>2</c:v>
                </c:pt>
                <c:pt idx="1">
                  <c:v>-118</c:v>
                </c:pt>
                <c:pt idx="2">
                  <c:v>-166</c:v>
                </c:pt>
              </c:numCache>
            </c:numRef>
          </c:yVal>
          <c:smooth val="0"/>
        </c:ser>
        <c:ser>
          <c:idx val="4"/>
          <c:order val="1"/>
          <c:tx>
            <c:v>Magmatic Water</c:v>
          </c:tx>
          <c:spPr>
            <a:ln w="38100">
              <a:solidFill>
                <a:srgbClr val="800080"/>
              </a:solidFill>
              <a:prstDash val="solid"/>
            </a:ln>
          </c:spPr>
          <c:marker>
            <c:symbol val="none"/>
          </c:marker>
          <c:dLbls>
            <c:dLbl>
              <c:idx val="0"/>
              <c:delete val="1"/>
            </c:dLbl>
            <c:dLbl>
              <c:idx val="1"/>
              <c:layout>
                <c:manualLayout>
                  <c:x val="-6.2693245475281115E-2"/>
                  <c:y val="-0.10958266432030417"/>
                </c:manualLayout>
              </c:layout>
              <c:tx>
                <c:rich>
                  <a:bodyPr/>
                  <a:lstStyle/>
                  <a:p>
                    <a:pPr>
                      <a:defRPr sz="1175" b="1" i="0" u="none" strike="noStrike" baseline="0">
                        <a:solidFill>
                          <a:srgbClr val="969696"/>
                        </a:solidFill>
                        <a:latin typeface="Arial"/>
                        <a:ea typeface="Arial"/>
                        <a:cs typeface="Arial"/>
                      </a:defRPr>
                    </a:pPr>
                    <a:r>
                      <a:rPr lang="en-NZ"/>
                      <a:t>Andesitic
 Water</a:t>
                    </a:r>
                  </a:p>
                </c:rich>
              </c:tx>
              <c:spPr>
                <a:noFill/>
                <a:ln w="25400">
                  <a:noFill/>
                </a:ln>
              </c:spPr>
              <c:dLblPos val="r"/>
              <c:showLegendKey val="0"/>
              <c:showVal val="0"/>
              <c:showCatName val="0"/>
              <c:showSerName val="0"/>
              <c:showPercent val="0"/>
              <c:showBubbleSize val="0"/>
            </c:dLbl>
            <c:dLbl>
              <c:idx val="2"/>
              <c:layout>
                <c:manualLayout>
                  <c:x val="-0.32677019701061238"/>
                  <c:y val="0.13056513939020267"/>
                </c:manualLayout>
              </c:layout>
              <c:tx>
                <c:rich>
                  <a:bodyPr rot="-960000" vert="horz"/>
                  <a:lstStyle/>
                  <a:p>
                    <a:pPr algn="ctr">
                      <a:defRPr sz="1175" b="1" i="0" u="none" strike="noStrike" baseline="0">
                        <a:solidFill>
                          <a:srgbClr val="969696"/>
                        </a:solidFill>
                        <a:latin typeface="Arial"/>
                        <a:ea typeface="Arial"/>
                        <a:cs typeface="Arial"/>
                      </a:defRPr>
                    </a:pPr>
                    <a:r>
                      <a:rPr lang="en-NZ"/>
                      <a:t>Mixing Line</a:t>
                    </a:r>
                  </a:p>
                </c:rich>
              </c:tx>
              <c:spPr>
                <a:noFill/>
                <a:ln w="25400">
                  <a:noFill/>
                </a:ln>
              </c:spPr>
              <c:dLblPos val="r"/>
              <c:showLegendKey val="0"/>
              <c:showVal val="0"/>
              <c:showCatName val="0"/>
              <c:showSerName val="0"/>
              <c:showPercent val="0"/>
              <c:showBubbleSize val="0"/>
            </c:dLbl>
            <c:dLbl>
              <c:idx val="3"/>
              <c:delete val="1"/>
            </c:dLbl>
            <c:dLbl>
              <c:idx val="4"/>
              <c:delete val="1"/>
            </c:dLbl>
            <c:spPr>
              <a:noFill/>
              <a:ln w="25400">
                <a:noFill/>
              </a:ln>
            </c:spPr>
            <c:txPr>
              <a:bodyPr/>
              <a:lstStyle/>
              <a:p>
                <a:pPr>
                  <a:defRPr sz="1175" b="0" i="0" u="none" strike="noStrike" baseline="0">
                    <a:solidFill>
                      <a:srgbClr val="969696"/>
                    </a:solidFill>
                    <a:latin typeface="Arial"/>
                    <a:ea typeface="Arial"/>
                    <a:cs typeface="Arial"/>
                  </a:defRPr>
                </a:pPr>
                <a:endParaRPr lang="en-US"/>
              </a:p>
            </c:txPr>
            <c:showLegendKey val="0"/>
            <c:showVal val="1"/>
            <c:showCatName val="0"/>
            <c:showSerName val="0"/>
            <c:showPercent val="0"/>
            <c:showBubbleSize val="0"/>
            <c:showLeaderLines val="0"/>
          </c:dLbls>
          <c:xVal>
            <c:numRef>
              <c:f>Ref!$B$73:$B$77</c:f>
              <c:numCache>
                <c:formatCode>General</c:formatCode>
                <c:ptCount val="5"/>
                <c:pt idx="0">
                  <c:v>8</c:v>
                </c:pt>
                <c:pt idx="1">
                  <c:v>8</c:v>
                </c:pt>
                <c:pt idx="2">
                  <c:v>10</c:v>
                </c:pt>
                <c:pt idx="3">
                  <c:v>10</c:v>
                </c:pt>
                <c:pt idx="4">
                  <c:v>8</c:v>
                </c:pt>
              </c:numCache>
            </c:numRef>
          </c:xVal>
          <c:yVal>
            <c:numRef>
              <c:f>Ref!$C$73:$C$77</c:f>
              <c:numCache>
                <c:formatCode>General</c:formatCode>
                <c:ptCount val="5"/>
                <c:pt idx="0">
                  <c:v>-10</c:v>
                </c:pt>
                <c:pt idx="1">
                  <c:v>-30</c:v>
                </c:pt>
                <c:pt idx="2">
                  <c:v>-30</c:v>
                </c:pt>
                <c:pt idx="3">
                  <c:v>-10</c:v>
                </c:pt>
                <c:pt idx="4">
                  <c:v>-10</c:v>
                </c:pt>
              </c:numCache>
            </c:numRef>
          </c:yVal>
          <c:smooth val="0"/>
        </c:ser>
        <c:ser>
          <c:idx val="5"/>
          <c:order val="2"/>
          <c:tx>
            <c:v>100C</c:v>
          </c:tx>
          <c:spPr>
            <a:ln w="12700">
              <a:solidFill>
                <a:srgbClr val="808080"/>
              </a:solidFill>
              <a:prstDash val="solid"/>
            </a:ln>
          </c:spPr>
          <c:marker>
            <c:symbol val="none"/>
          </c:marker>
          <c:dLbls>
            <c:dLbl>
              <c:idx val="0"/>
              <c:delete val="1"/>
            </c:dLbl>
            <c:dLbl>
              <c:idx val="1"/>
              <c:layout/>
              <c:tx>
                <c:rich>
                  <a:bodyPr/>
                  <a:lstStyle/>
                  <a:p>
                    <a:r>
                      <a:rPr lang="en-NZ"/>
                      <a:t>100 C</a:t>
                    </a:r>
                  </a:p>
                </c:rich>
              </c:tx>
              <c:dLblPos val="l"/>
              <c:showLegendKey val="0"/>
              <c:showVal val="0"/>
              <c:showCatName val="0"/>
              <c:showSerName val="0"/>
              <c:showPercent val="0"/>
              <c:showBubbleSize val="0"/>
            </c:dLbl>
            <c:spPr>
              <a:noFill/>
              <a:ln w="25400">
                <a:noFill/>
              </a:ln>
            </c:spPr>
            <c:txPr>
              <a:bodyPr/>
              <a:lstStyle/>
              <a:p>
                <a:pPr>
                  <a:defRPr sz="800" b="0" i="0" u="none" strike="noStrike" baseline="0">
                    <a:solidFill>
                      <a:srgbClr val="808080"/>
                    </a:solidFill>
                    <a:latin typeface="Arial"/>
                    <a:ea typeface="Arial"/>
                    <a:cs typeface="Arial"/>
                  </a:defRPr>
                </a:pPr>
                <a:endParaRPr lang="en-US"/>
              </a:p>
            </c:txPr>
            <c:dLblPos val="l"/>
            <c:showLegendKey val="0"/>
            <c:showVal val="1"/>
            <c:showCatName val="0"/>
            <c:showSerName val="0"/>
            <c:showPercent val="0"/>
            <c:showBubbleSize val="0"/>
            <c:showLeaderLines val="0"/>
          </c:dLbls>
          <c:xVal>
            <c:numRef>
              <c:f>Ref!$B$55:$B$56</c:f>
              <c:numCache>
                <c:formatCode>General</c:formatCode>
                <c:ptCount val="2"/>
                <c:pt idx="0">
                  <c:v>-10</c:v>
                </c:pt>
                <c:pt idx="1">
                  <c:v>-15.24</c:v>
                </c:pt>
              </c:numCache>
            </c:numRef>
          </c:xVal>
          <c:yVal>
            <c:numRef>
              <c:f>Ref!$C$55:$C$56</c:f>
              <c:numCache>
                <c:formatCode>General</c:formatCode>
                <c:ptCount val="2"/>
                <c:pt idx="0">
                  <c:v>-20</c:v>
                </c:pt>
                <c:pt idx="1">
                  <c:v>-47.8</c:v>
                </c:pt>
              </c:numCache>
            </c:numRef>
          </c:yVal>
          <c:smooth val="0"/>
        </c:ser>
        <c:ser>
          <c:idx val="6"/>
          <c:order val="3"/>
          <c:tx>
            <c:v>120C</c:v>
          </c:tx>
          <c:spPr>
            <a:ln w="12700">
              <a:solidFill>
                <a:srgbClr val="808080"/>
              </a:solidFill>
              <a:prstDash val="solid"/>
            </a:ln>
          </c:spPr>
          <c:marker>
            <c:symbol val="none"/>
          </c:marker>
          <c:dLbls>
            <c:dLbl>
              <c:idx val="0"/>
              <c:delete val="1"/>
            </c:dLbl>
            <c:dLbl>
              <c:idx val="1"/>
              <c:layout/>
              <c:tx>
                <c:rich>
                  <a:bodyPr/>
                  <a:lstStyle/>
                  <a:p>
                    <a:r>
                      <a:rPr lang="en-NZ"/>
                      <a:t>120 C</a:t>
                    </a:r>
                  </a:p>
                </c:rich>
              </c:tx>
              <c:dLblPos val="l"/>
              <c:showLegendKey val="0"/>
              <c:showVal val="0"/>
              <c:showCatName val="0"/>
              <c:showSerName val="0"/>
              <c:showPercent val="0"/>
              <c:showBubbleSize val="0"/>
            </c:dLbl>
            <c:spPr>
              <a:noFill/>
              <a:ln w="25400">
                <a:noFill/>
              </a:ln>
            </c:spPr>
            <c:txPr>
              <a:bodyPr/>
              <a:lstStyle/>
              <a:p>
                <a:pPr>
                  <a:defRPr sz="800" b="0" i="0" u="none" strike="noStrike" baseline="0">
                    <a:solidFill>
                      <a:srgbClr val="808080"/>
                    </a:solidFill>
                    <a:latin typeface="Arial"/>
                    <a:ea typeface="Arial"/>
                    <a:cs typeface="Arial"/>
                  </a:defRPr>
                </a:pPr>
                <a:endParaRPr lang="en-US"/>
              </a:p>
            </c:txPr>
            <c:dLblPos val="l"/>
            <c:showLegendKey val="0"/>
            <c:showVal val="1"/>
            <c:showCatName val="0"/>
            <c:showSerName val="0"/>
            <c:showPercent val="0"/>
            <c:showBubbleSize val="0"/>
            <c:showLeaderLines val="0"/>
          </c:dLbls>
          <c:xVal>
            <c:numRef>
              <c:f>(Ref!$B$55,Ref!$B$57)</c:f>
              <c:numCache>
                <c:formatCode>General</c:formatCode>
                <c:ptCount val="2"/>
                <c:pt idx="0">
                  <c:v>-10</c:v>
                </c:pt>
                <c:pt idx="1">
                  <c:v>-14.530000000000001</c:v>
                </c:pt>
              </c:numCache>
            </c:numRef>
          </c:xVal>
          <c:yVal>
            <c:numRef>
              <c:f>(Ref!$C$55,Ref!$C$57)</c:f>
              <c:numCache>
                <c:formatCode>General</c:formatCode>
                <c:ptCount val="2"/>
                <c:pt idx="0">
                  <c:v>-20</c:v>
                </c:pt>
                <c:pt idx="1">
                  <c:v>-41.5</c:v>
                </c:pt>
              </c:numCache>
            </c:numRef>
          </c:yVal>
          <c:smooth val="0"/>
        </c:ser>
        <c:ser>
          <c:idx val="7"/>
          <c:order val="4"/>
          <c:tx>
            <c:v>140C</c:v>
          </c:tx>
          <c:spPr>
            <a:ln w="12700">
              <a:solidFill>
                <a:srgbClr val="808080"/>
              </a:solidFill>
              <a:prstDash val="solid"/>
            </a:ln>
          </c:spPr>
          <c:marker>
            <c:symbol val="none"/>
          </c:marker>
          <c:dLbls>
            <c:dLbl>
              <c:idx val="0"/>
              <c:delete val="1"/>
            </c:dLbl>
            <c:dLbl>
              <c:idx val="1"/>
              <c:layout/>
              <c:tx>
                <c:rich>
                  <a:bodyPr/>
                  <a:lstStyle/>
                  <a:p>
                    <a:r>
                      <a:rPr lang="en-NZ"/>
                      <a:t>140 C</a:t>
                    </a:r>
                  </a:p>
                </c:rich>
              </c:tx>
              <c:dLblPos val="l"/>
              <c:showLegendKey val="0"/>
              <c:showVal val="0"/>
              <c:showCatName val="0"/>
              <c:showSerName val="0"/>
              <c:showPercent val="0"/>
              <c:showBubbleSize val="0"/>
            </c:dLbl>
            <c:spPr>
              <a:noFill/>
              <a:ln w="25400">
                <a:noFill/>
              </a:ln>
            </c:spPr>
            <c:txPr>
              <a:bodyPr/>
              <a:lstStyle/>
              <a:p>
                <a:pPr>
                  <a:defRPr sz="800" b="0" i="0" u="none" strike="noStrike" baseline="0">
                    <a:solidFill>
                      <a:srgbClr val="808080"/>
                    </a:solidFill>
                    <a:latin typeface="Arial"/>
                    <a:ea typeface="Arial"/>
                    <a:cs typeface="Arial"/>
                  </a:defRPr>
                </a:pPr>
                <a:endParaRPr lang="en-US"/>
              </a:p>
            </c:txPr>
            <c:dLblPos val="l"/>
            <c:showLegendKey val="0"/>
            <c:showVal val="1"/>
            <c:showCatName val="0"/>
            <c:showSerName val="0"/>
            <c:showPercent val="0"/>
            <c:showBubbleSize val="0"/>
            <c:showLeaderLines val="0"/>
          </c:dLbls>
          <c:xVal>
            <c:numRef>
              <c:f>(Ref!$B$55,Ref!$B$58)</c:f>
              <c:numCache>
                <c:formatCode>General</c:formatCode>
                <c:ptCount val="2"/>
                <c:pt idx="0">
                  <c:v>-10</c:v>
                </c:pt>
                <c:pt idx="1">
                  <c:v>-13.91</c:v>
                </c:pt>
              </c:numCache>
            </c:numRef>
          </c:xVal>
          <c:yVal>
            <c:numRef>
              <c:f>(Ref!$C$55,Ref!$C$58)</c:f>
              <c:numCache>
                <c:formatCode>General</c:formatCode>
                <c:ptCount val="2"/>
                <c:pt idx="0">
                  <c:v>-20</c:v>
                </c:pt>
                <c:pt idx="1">
                  <c:v>-36.299999999999997</c:v>
                </c:pt>
              </c:numCache>
            </c:numRef>
          </c:yVal>
          <c:smooth val="0"/>
        </c:ser>
        <c:ser>
          <c:idx val="8"/>
          <c:order val="5"/>
          <c:tx>
            <c:v>160C</c:v>
          </c:tx>
          <c:spPr>
            <a:ln w="12700">
              <a:solidFill>
                <a:srgbClr val="808080"/>
              </a:solidFill>
              <a:prstDash val="solid"/>
            </a:ln>
          </c:spPr>
          <c:marker>
            <c:symbol val="none"/>
          </c:marker>
          <c:dLbls>
            <c:dLbl>
              <c:idx val="0"/>
              <c:delete val="1"/>
            </c:dLbl>
            <c:dLbl>
              <c:idx val="1"/>
              <c:layout/>
              <c:tx>
                <c:rich>
                  <a:bodyPr/>
                  <a:lstStyle/>
                  <a:p>
                    <a:r>
                      <a:rPr lang="en-NZ"/>
                      <a:t>160 C</a:t>
                    </a:r>
                  </a:p>
                </c:rich>
              </c:tx>
              <c:dLblPos val="l"/>
              <c:showLegendKey val="0"/>
              <c:showVal val="0"/>
              <c:showCatName val="0"/>
              <c:showSerName val="0"/>
              <c:showPercent val="0"/>
              <c:showBubbleSize val="0"/>
            </c:dLbl>
            <c:spPr>
              <a:noFill/>
              <a:ln w="25400">
                <a:noFill/>
              </a:ln>
            </c:spPr>
            <c:txPr>
              <a:bodyPr/>
              <a:lstStyle/>
              <a:p>
                <a:pPr>
                  <a:defRPr sz="800" b="0" i="0" u="none" strike="noStrike" baseline="0">
                    <a:solidFill>
                      <a:srgbClr val="808080"/>
                    </a:solidFill>
                    <a:latin typeface="Arial"/>
                    <a:ea typeface="Arial"/>
                    <a:cs typeface="Arial"/>
                  </a:defRPr>
                </a:pPr>
                <a:endParaRPr lang="en-US"/>
              </a:p>
            </c:txPr>
            <c:dLblPos val="l"/>
            <c:showLegendKey val="0"/>
            <c:showVal val="1"/>
            <c:showCatName val="0"/>
            <c:showSerName val="0"/>
            <c:showPercent val="0"/>
            <c:showBubbleSize val="0"/>
            <c:showLeaderLines val="0"/>
          </c:dLbls>
          <c:xVal>
            <c:numRef>
              <c:f>(Ref!$B$55,Ref!$B$59)</c:f>
              <c:numCache>
                <c:formatCode>General</c:formatCode>
                <c:ptCount val="2"/>
                <c:pt idx="0">
                  <c:v>-10</c:v>
                </c:pt>
                <c:pt idx="1">
                  <c:v>-13.370000000000001</c:v>
                </c:pt>
              </c:numCache>
            </c:numRef>
          </c:xVal>
          <c:yVal>
            <c:numRef>
              <c:f>(Ref!$C$55,Ref!$C$59)</c:f>
              <c:numCache>
                <c:formatCode>General</c:formatCode>
                <c:ptCount val="2"/>
                <c:pt idx="0">
                  <c:v>-20</c:v>
                </c:pt>
                <c:pt idx="1">
                  <c:v>-31.7</c:v>
                </c:pt>
              </c:numCache>
            </c:numRef>
          </c:yVal>
          <c:smooth val="0"/>
        </c:ser>
        <c:ser>
          <c:idx val="9"/>
          <c:order val="6"/>
          <c:tx>
            <c:v>180C</c:v>
          </c:tx>
          <c:spPr>
            <a:ln w="12700">
              <a:solidFill>
                <a:srgbClr val="808080"/>
              </a:solidFill>
              <a:prstDash val="solid"/>
            </a:ln>
          </c:spPr>
          <c:marker>
            <c:symbol val="none"/>
          </c:marker>
          <c:dLbls>
            <c:dLbl>
              <c:idx val="1"/>
              <c:layout/>
              <c:tx>
                <c:rich>
                  <a:bodyPr/>
                  <a:lstStyle/>
                  <a:p>
                    <a:pPr>
                      <a:defRPr sz="800" b="0" i="0" u="none" strike="noStrike" baseline="0">
                        <a:solidFill>
                          <a:srgbClr val="808080"/>
                        </a:solidFill>
                        <a:latin typeface="Arial"/>
                        <a:ea typeface="Arial"/>
                        <a:cs typeface="Arial"/>
                      </a:defRPr>
                    </a:pPr>
                    <a:r>
                      <a:rPr lang="en-NZ"/>
                      <a:t>180 C</a:t>
                    </a:r>
                  </a:p>
                </c:rich>
              </c:tx>
              <c:spPr>
                <a:noFill/>
                <a:ln w="25400">
                  <a:noFill/>
                </a:ln>
              </c:spPr>
              <c:dLblPos val="l"/>
              <c:showLegendKey val="0"/>
              <c:showVal val="0"/>
              <c:showCatName val="0"/>
              <c:showSerName val="0"/>
              <c:showPercent val="0"/>
              <c:showBubbleSize val="0"/>
            </c:dLbl>
            <c:showLegendKey val="0"/>
            <c:showVal val="0"/>
            <c:showCatName val="0"/>
            <c:showSerName val="0"/>
            <c:showPercent val="0"/>
            <c:showBubbleSize val="0"/>
          </c:dLbls>
          <c:xVal>
            <c:numRef>
              <c:f>(Ref!$B$55,Ref!$B$60)</c:f>
              <c:numCache>
                <c:formatCode>General</c:formatCode>
                <c:ptCount val="2"/>
                <c:pt idx="0">
                  <c:v>-10</c:v>
                </c:pt>
                <c:pt idx="1">
                  <c:v>-12.9</c:v>
                </c:pt>
              </c:numCache>
            </c:numRef>
          </c:xVal>
          <c:yVal>
            <c:numRef>
              <c:f>(Ref!$C$55,Ref!$C$60)</c:f>
              <c:numCache>
                <c:formatCode>General</c:formatCode>
                <c:ptCount val="2"/>
                <c:pt idx="0">
                  <c:v>-20</c:v>
                </c:pt>
                <c:pt idx="1">
                  <c:v>-27.4</c:v>
                </c:pt>
              </c:numCache>
            </c:numRef>
          </c:yVal>
          <c:smooth val="0"/>
        </c:ser>
        <c:ser>
          <c:idx val="10"/>
          <c:order val="7"/>
          <c:tx>
            <c:v>200C</c:v>
          </c:tx>
          <c:spPr>
            <a:ln w="12700">
              <a:solidFill>
                <a:srgbClr val="808080"/>
              </a:solidFill>
              <a:prstDash val="solid"/>
            </a:ln>
          </c:spPr>
          <c:marker>
            <c:symbol val="none"/>
          </c:marker>
          <c:dLbls>
            <c:dLbl>
              <c:idx val="1"/>
              <c:layout/>
              <c:tx>
                <c:rich>
                  <a:bodyPr/>
                  <a:lstStyle/>
                  <a:p>
                    <a:pPr>
                      <a:defRPr sz="800" b="0" i="0" u="none" strike="noStrike" baseline="0">
                        <a:solidFill>
                          <a:srgbClr val="808080"/>
                        </a:solidFill>
                        <a:latin typeface="Arial"/>
                        <a:ea typeface="Arial"/>
                        <a:cs typeface="Arial"/>
                      </a:defRPr>
                    </a:pPr>
                    <a:r>
                      <a:rPr lang="en-NZ"/>
                      <a:t>200 C</a:t>
                    </a:r>
                  </a:p>
                </c:rich>
              </c:tx>
              <c:spPr>
                <a:noFill/>
                <a:ln w="25400">
                  <a:noFill/>
                </a:ln>
              </c:spPr>
              <c:dLblPos val="l"/>
              <c:showLegendKey val="0"/>
              <c:showVal val="0"/>
              <c:showCatName val="0"/>
              <c:showSerName val="0"/>
              <c:showPercent val="0"/>
              <c:showBubbleSize val="0"/>
            </c:dLbl>
            <c:showLegendKey val="0"/>
            <c:showVal val="0"/>
            <c:showCatName val="0"/>
            <c:showSerName val="0"/>
            <c:showPercent val="0"/>
            <c:showBubbleSize val="0"/>
          </c:dLbls>
          <c:xVal>
            <c:numRef>
              <c:f>(Ref!$B$55,Ref!$B$61)</c:f>
              <c:numCache>
                <c:formatCode>General</c:formatCode>
                <c:ptCount val="2"/>
                <c:pt idx="0">
                  <c:v>-10</c:v>
                </c:pt>
                <c:pt idx="1">
                  <c:v>-12.48</c:v>
                </c:pt>
              </c:numCache>
            </c:numRef>
          </c:xVal>
          <c:yVal>
            <c:numRef>
              <c:f>(Ref!$C$55,Ref!$C$61)</c:f>
              <c:numCache>
                <c:formatCode>General</c:formatCode>
                <c:ptCount val="2"/>
                <c:pt idx="0">
                  <c:v>-20</c:v>
                </c:pt>
                <c:pt idx="1">
                  <c:v>-23.5</c:v>
                </c:pt>
              </c:numCache>
            </c:numRef>
          </c:yVal>
          <c:smooth val="0"/>
        </c:ser>
        <c:ser>
          <c:idx val="11"/>
          <c:order val="8"/>
          <c:tx>
            <c:v>220C</c:v>
          </c:tx>
          <c:spPr>
            <a:ln w="12700">
              <a:solidFill>
                <a:srgbClr val="808080"/>
              </a:solidFill>
              <a:prstDash val="solid"/>
            </a:ln>
          </c:spPr>
          <c:marker>
            <c:symbol val="none"/>
          </c:marker>
          <c:dLbls>
            <c:dLbl>
              <c:idx val="1"/>
              <c:layout/>
              <c:tx>
                <c:rich>
                  <a:bodyPr/>
                  <a:lstStyle/>
                  <a:p>
                    <a:pPr>
                      <a:defRPr sz="800" b="0" i="0" u="none" strike="noStrike" baseline="0">
                        <a:solidFill>
                          <a:srgbClr val="808080"/>
                        </a:solidFill>
                        <a:latin typeface="Arial"/>
                        <a:ea typeface="Arial"/>
                        <a:cs typeface="Arial"/>
                      </a:defRPr>
                    </a:pPr>
                    <a:r>
                      <a:rPr lang="en-NZ"/>
                      <a:t>220 C</a:t>
                    </a:r>
                  </a:p>
                </c:rich>
              </c:tx>
              <c:spPr>
                <a:noFill/>
                <a:ln w="25400">
                  <a:noFill/>
                </a:ln>
              </c:spPr>
              <c:dLblPos val="l"/>
              <c:showLegendKey val="0"/>
              <c:showVal val="0"/>
              <c:showCatName val="0"/>
              <c:showSerName val="0"/>
              <c:showPercent val="0"/>
              <c:showBubbleSize val="0"/>
            </c:dLbl>
            <c:showLegendKey val="0"/>
            <c:showVal val="0"/>
            <c:showCatName val="0"/>
            <c:showSerName val="0"/>
            <c:showPercent val="0"/>
            <c:showBubbleSize val="0"/>
          </c:dLbls>
          <c:xVal>
            <c:numRef>
              <c:f>(Ref!$B$55,Ref!$B$62)</c:f>
              <c:numCache>
                <c:formatCode>General</c:formatCode>
                <c:ptCount val="2"/>
                <c:pt idx="0">
                  <c:v>-10</c:v>
                </c:pt>
                <c:pt idx="1">
                  <c:v>-12.1</c:v>
                </c:pt>
              </c:numCache>
            </c:numRef>
          </c:xVal>
          <c:yVal>
            <c:numRef>
              <c:f>(Ref!$C$55,Ref!$C$62)</c:f>
              <c:numCache>
                <c:formatCode>General</c:formatCode>
                <c:ptCount val="2"/>
                <c:pt idx="0">
                  <c:v>-20</c:v>
                </c:pt>
                <c:pt idx="1">
                  <c:v>-20.100000000000001</c:v>
                </c:pt>
              </c:numCache>
            </c:numRef>
          </c:yVal>
          <c:smooth val="0"/>
        </c:ser>
        <c:ser>
          <c:idx val="12"/>
          <c:order val="9"/>
          <c:tx>
            <c:v>240C</c:v>
          </c:tx>
          <c:spPr>
            <a:ln w="12700">
              <a:solidFill>
                <a:srgbClr val="808080"/>
              </a:solidFill>
              <a:prstDash val="solid"/>
            </a:ln>
          </c:spPr>
          <c:marker>
            <c:symbol val="none"/>
          </c:marker>
          <c:dLbls>
            <c:dLbl>
              <c:idx val="1"/>
              <c:layout/>
              <c:tx>
                <c:rich>
                  <a:bodyPr/>
                  <a:lstStyle/>
                  <a:p>
                    <a:pPr>
                      <a:defRPr sz="800" b="0" i="0" u="none" strike="noStrike" baseline="0">
                        <a:solidFill>
                          <a:srgbClr val="808080"/>
                        </a:solidFill>
                        <a:latin typeface="Arial"/>
                        <a:ea typeface="Arial"/>
                        <a:cs typeface="Arial"/>
                      </a:defRPr>
                    </a:pPr>
                    <a:r>
                      <a:rPr lang="en-NZ"/>
                      <a:t>240 C</a:t>
                    </a:r>
                  </a:p>
                </c:rich>
              </c:tx>
              <c:spPr>
                <a:noFill/>
                <a:ln w="25400">
                  <a:noFill/>
                </a:ln>
              </c:spPr>
              <c:dLblPos val="l"/>
              <c:showLegendKey val="0"/>
              <c:showVal val="0"/>
              <c:showCatName val="0"/>
              <c:showSerName val="0"/>
              <c:showPercent val="0"/>
              <c:showBubbleSize val="0"/>
            </c:dLbl>
            <c:showLegendKey val="0"/>
            <c:showVal val="0"/>
            <c:showCatName val="0"/>
            <c:showSerName val="0"/>
            <c:showPercent val="0"/>
            <c:showBubbleSize val="0"/>
          </c:dLbls>
          <c:xVal>
            <c:numRef>
              <c:f>(Ref!$B$55,Ref!$B$63)</c:f>
              <c:numCache>
                <c:formatCode>General</c:formatCode>
                <c:ptCount val="2"/>
                <c:pt idx="0">
                  <c:v>-10</c:v>
                </c:pt>
                <c:pt idx="1">
                  <c:v>-11.77</c:v>
                </c:pt>
              </c:numCache>
            </c:numRef>
          </c:xVal>
          <c:yVal>
            <c:numRef>
              <c:f>(Ref!$C$55,Ref!$C$63)</c:f>
              <c:numCache>
                <c:formatCode>General</c:formatCode>
                <c:ptCount val="2"/>
                <c:pt idx="0">
                  <c:v>-20</c:v>
                </c:pt>
                <c:pt idx="1">
                  <c:v>-17.8</c:v>
                </c:pt>
              </c:numCache>
            </c:numRef>
          </c:yVal>
          <c:smooth val="0"/>
        </c:ser>
        <c:ser>
          <c:idx val="13"/>
          <c:order val="10"/>
          <c:tx>
            <c:v>260C</c:v>
          </c:tx>
          <c:spPr>
            <a:ln w="12700">
              <a:solidFill>
                <a:srgbClr val="808080"/>
              </a:solidFill>
              <a:prstDash val="solid"/>
            </a:ln>
          </c:spPr>
          <c:marker>
            <c:symbol val="none"/>
          </c:marker>
          <c:dLbls>
            <c:dLbl>
              <c:idx val="1"/>
              <c:layout/>
              <c:tx>
                <c:rich>
                  <a:bodyPr/>
                  <a:lstStyle/>
                  <a:p>
                    <a:pPr>
                      <a:defRPr sz="800" b="0" i="0" u="none" strike="noStrike" baseline="0">
                        <a:solidFill>
                          <a:srgbClr val="808080"/>
                        </a:solidFill>
                        <a:latin typeface="Arial"/>
                        <a:ea typeface="Arial"/>
                        <a:cs typeface="Arial"/>
                      </a:defRPr>
                    </a:pPr>
                    <a:r>
                      <a:rPr lang="en-NZ"/>
                      <a:t>260 C</a:t>
                    </a:r>
                  </a:p>
                </c:rich>
              </c:tx>
              <c:spPr>
                <a:noFill/>
                <a:ln w="25400">
                  <a:noFill/>
                </a:ln>
              </c:spPr>
              <c:dLblPos val="l"/>
              <c:showLegendKey val="0"/>
              <c:showVal val="0"/>
              <c:showCatName val="0"/>
              <c:showSerName val="0"/>
              <c:showPercent val="0"/>
              <c:showBubbleSize val="0"/>
            </c:dLbl>
            <c:showLegendKey val="0"/>
            <c:showVal val="0"/>
            <c:showCatName val="0"/>
            <c:showSerName val="0"/>
            <c:showPercent val="0"/>
            <c:showBubbleSize val="0"/>
          </c:dLbls>
          <c:xVal>
            <c:numRef>
              <c:f>(Ref!$B$55,Ref!$B$64)</c:f>
              <c:numCache>
                <c:formatCode>General</c:formatCode>
                <c:ptCount val="2"/>
                <c:pt idx="0">
                  <c:v>-10</c:v>
                </c:pt>
                <c:pt idx="1">
                  <c:v>-11.46</c:v>
                </c:pt>
              </c:numCache>
            </c:numRef>
          </c:xVal>
          <c:yVal>
            <c:numRef>
              <c:f>(Ref!$C$55,Ref!$C$64)</c:f>
              <c:numCache>
                <c:formatCode>General</c:formatCode>
                <c:ptCount val="2"/>
                <c:pt idx="0">
                  <c:v>-20</c:v>
                </c:pt>
                <c:pt idx="1">
                  <c:v>-16.399999999999999</c:v>
                </c:pt>
              </c:numCache>
            </c:numRef>
          </c:yVal>
          <c:smooth val="0"/>
        </c:ser>
        <c:ser>
          <c:idx val="14"/>
          <c:order val="11"/>
          <c:tx>
            <c:v>280C</c:v>
          </c:tx>
          <c:spPr>
            <a:ln w="12700">
              <a:solidFill>
                <a:srgbClr val="808080"/>
              </a:solidFill>
              <a:prstDash val="solid"/>
            </a:ln>
          </c:spPr>
          <c:marker>
            <c:symbol val="none"/>
          </c:marker>
          <c:dLbls>
            <c:dLbl>
              <c:idx val="1"/>
              <c:layout>
                <c:manualLayout>
                  <c:x val="-2.3346820826087085E-2"/>
                  <c:y val="-1.4632738607510928E-2"/>
                </c:manualLayout>
              </c:layout>
              <c:tx>
                <c:rich>
                  <a:bodyPr/>
                  <a:lstStyle/>
                  <a:p>
                    <a:pPr>
                      <a:defRPr sz="800" b="0" i="0" u="none" strike="noStrike" baseline="0">
                        <a:solidFill>
                          <a:srgbClr val="808080"/>
                        </a:solidFill>
                        <a:latin typeface="Arial"/>
                        <a:ea typeface="Arial"/>
                        <a:cs typeface="Arial"/>
                      </a:defRPr>
                    </a:pPr>
                    <a:r>
                      <a:rPr lang="en-NZ"/>
                      <a:t>280 C</a:t>
                    </a:r>
                  </a:p>
                </c:rich>
              </c:tx>
              <c:spPr>
                <a:noFill/>
                <a:ln w="25400">
                  <a:noFill/>
                </a:ln>
              </c:spPr>
              <c:dLblPos val="r"/>
              <c:showLegendKey val="0"/>
              <c:showVal val="0"/>
              <c:showCatName val="0"/>
              <c:showSerName val="0"/>
              <c:showPercent val="0"/>
              <c:showBubbleSize val="0"/>
            </c:dLbl>
            <c:showLegendKey val="0"/>
            <c:showVal val="0"/>
            <c:showCatName val="0"/>
            <c:showSerName val="0"/>
            <c:showPercent val="0"/>
            <c:showBubbleSize val="0"/>
          </c:dLbls>
          <c:xVal>
            <c:numRef>
              <c:f>(Ref!$B$55,Ref!$B$65)</c:f>
              <c:numCache>
                <c:formatCode>General</c:formatCode>
                <c:ptCount val="2"/>
                <c:pt idx="0">
                  <c:v>-10</c:v>
                </c:pt>
                <c:pt idx="1">
                  <c:v>-11.19</c:v>
                </c:pt>
              </c:numCache>
            </c:numRef>
          </c:xVal>
          <c:yVal>
            <c:numRef>
              <c:f>(Ref!$C$55,Ref!$C$65)</c:f>
              <c:numCache>
                <c:formatCode>General</c:formatCode>
                <c:ptCount val="2"/>
                <c:pt idx="0">
                  <c:v>-20</c:v>
                </c:pt>
                <c:pt idx="1">
                  <c:v>-16</c:v>
                </c:pt>
              </c:numCache>
            </c:numRef>
          </c:yVal>
          <c:smooth val="0"/>
        </c:ser>
        <c:ser>
          <c:idx val="15"/>
          <c:order val="12"/>
          <c:tx>
            <c:v>300C</c:v>
          </c:tx>
          <c:spPr>
            <a:ln w="12700">
              <a:solidFill>
                <a:srgbClr val="808080"/>
              </a:solidFill>
              <a:prstDash val="solid"/>
            </a:ln>
          </c:spPr>
          <c:marker>
            <c:symbol val="none"/>
          </c:marker>
          <c:dLbls>
            <c:dLbl>
              <c:idx val="0"/>
              <c:layout/>
              <c:tx>
                <c:rich>
                  <a:bodyPr/>
                  <a:lstStyle/>
                  <a:p>
                    <a:pPr>
                      <a:defRPr sz="800" b="1" i="0" u="none" strike="noStrike" baseline="0">
                        <a:solidFill>
                          <a:srgbClr val="808080"/>
                        </a:solidFill>
                        <a:latin typeface="Arial"/>
                        <a:ea typeface="Arial"/>
                        <a:cs typeface="Arial"/>
                      </a:defRPr>
                    </a:pPr>
                    <a:r>
                      <a:rPr lang="en-NZ"/>
                      <a:t>Water</a:t>
                    </a:r>
                  </a:p>
                </c:rich>
              </c:tx>
              <c:spPr>
                <a:solidFill>
                  <a:srgbClr val="FFFFFF"/>
                </a:solidFill>
                <a:ln w="25400">
                  <a:noFill/>
                </a:ln>
              </c:spPr>
              <c:dLblPos val="r"/>
              <c:showLegendKey val="0"/>
              <c:showVal val="0"/>
              <c:showCatName val="0"/>
              <c:showSerName val="0"/>
              <c:showPercent val="0"/>
              <c:showBubbleSize val="0"/>
            </c:dLbl>
            <c:dLbl>
              <c:idx val="1"/>
              <c:layout/>
              <c:tx>
                <c:rich>
                  <a:bodyPr/>
                  <a:lstStyle/>
                  <a:p>
                    <a:pPr>
                      <a:defRPr sz="800" b="0" i="0" u="none" strike="noStrike" baseline="0">
                        <a:solidFill>
                          <a:srgbClr val="808080"/>
                        </a:solidFill>
                        <a:latin typeface="Arial"/>
                        <a:ea typeface="Arial"/>
                        <a:cs typeface="Arial"/>
                      </a:defRPr>
                    </a:pPr>
                    <a:r>
                      <a:rPr lang="en-NZ"/>
                      <a:t>300 C</a:t>
                    </a:r>
                  </a:p>
                </c:rich>
              </c:tx>
              <c:spPr>
                <a:noFill/>
                <a:ln w="25400">
                  <a:noFill/>
                </a:ln>
              </c:spPr>
              <c:dLblPos val="r"/>
              <c:showLegendKey val="0"/>
              <c:showVal val="0"/>
              <c:showCatName val="0"/>
              <c:showSerName val="0"/>
              <c:showPercent val="0"/>
              <c:showBubbleSize val="0"/>
            </c:dLbl>
            <c:showLegendKey val="0"/>
            <c:showVal val="0"/>
            <c:showCatName val="0"/>
            <c:showSerName val="0"/>
            <c:showPercent val="0"/>
            <c:showBubbleSize val="0"/>
          </c:dLbls>
          <c:xVal>
            <c:numRef>
              <c:f>(Ref!$B$55,Ref!$B$66)</c:f>
              <c:numCache>
                <c:formatCode>General</c:formatCode>
                <c:ptCount val="2"/>
                <c:pt idx="0">
                  <c:v>-10</c:v>
                </c:pt>
                <c:pt idx="1">
                  <c:v>-10.94</c:v>
                </c:pt>
              </c:numCache>
            </c:numRef>
          </c:xVal>
          <c:yVal>
            <c:numRef>
              <c:f>(Ref!$C$55,Ref!$C$66)</c:f>
              <c:numCache>
                <c:formatCode>General</c:formatCode>
                <c:ptCount val="2"/>
                <c:pt idx="0">
                  <c:v>-20</c:v>
                </c:pt>
                <c:pt idx="1">
                  <c:v>-16.600000000000001</c:v>
                </c:pt>
              </c:numCache>
            </c:numRef>
          </c:yVal>
          <c:smooth val="0"/>
        </c:ser>
        <c:ser>
          <c:idx val="0"/>
          <c:order val="13"/>
          <c:tx>
            <c:v>cluster label line</c:v>
          </c:tx>
          <c:spPr>
            <a:ln w="12700">
              <a:solidFill>
                <a:srgbClr val="808080"/>
              </a:solidFill>
              <a:prstDash val="solid"/>
            </a:ln>
          </c:spPr>
          <c:marker>
            <c:symbol val="none"/>
          </c:marker>
          <c:dLbls>
            <c:dLbl>
              <c:idx val="1"/>
              <c:layout/>
              <c:tx>
                <c:rich>
                  <a:bodyPr/>
                  <a:lstStyle/>
                  <a:p>
                    <a:pPr>
                      <a:defRPr sz="975" b="1" i="0" u="none" strike="noStrike" baseline="0">
                        <a:solidFill>
                          <a:srgbClr val="808080"/>
                        </a:solidFill>
                        <a:latin typeface="Arial"/>
                        <a:ea typeface="Arial"/>
                        <a:cs typeface="Arial"/>
                      </a:defRPr>
                    </a:pPr>
                    <a:r>
                      <a:rPr lang="en-NZ"/>
                      <a:t>Steam</a:t>
                    </a:r>
                  </a:p>
                </c:rich>
              </c:tx>
              <c:spPr>
                <a:noFill/>
                <a:ln w="25400">
                  <a:noFill/>
                </a:ln>
              </c:spPr>
              <c:showLegendKey val="0"/>
              <c:showVal val="0"/>
              <c:showCatName val="0"/>
              <c:showSerName val="0"/>
              <c:showPercent val="0"/>
              <c:showBubbleSize val="0"/>
            </c:dLbl>
            <c:showLegendKey val="0"/>
            <c:showVal val="0"/>
            <c:showCatName val="0"/>
            <c:showSerName val="0"/>
            <c:showPercent val="0"/>
            <c:showBubbleSize val="0"/>
          </c:dLbls>
          <c:xVal>
            <c:numRef>
              <c:f>Ref!$B$55:$B$56</c:f>
              <c:numCache>
                <c:formatCode>General</c:formatCode>
                <c:ptCount val="2"/>
                <c:pt idx="0">
                  <c:v>-10</c:v>
                </c:pt>
                <c:pt idx="1">
                  <c:v>-15.24</c:v>
                </c:pt>
              </c:numCache>
            </c:numRef>
          </c:xVal>
          <c:yVal>
            <c:numRef>
              <c:f>Ref!$C$55:$C$56</c:f>
              <c:numCache>
                <c:formatCode>General</c:formatCode>
                <c:ptCount val="2"/>
                <c:pt idx="0">
                  <c:v>-20</c:v>
                </c:pt>
                <c:pt idx="1">
                  <c:v>-47.8</c:v>
                </c:pt>
              </c:numCache>
            </c:numRef>
          </c:yVal>
          <c:smooth val="0"/>
        </c:ser>
        <c:ser>
          <c:idx val="2"/>
          <c:order val="14"/>
          <c:tx>
            <c:v>data</c:v>
          </c:tx>
          <c:spPr>
            <a:ln w="28575">
              <a:noFill/>
            </a:ln>
          </c:spPr>
          <c:marker>
            <c:symbol val="diamond"/>
            <c:size val="10"/>
            <c:spPr>
              <a:noFill/>
              <a:ln>
                <a:solidFill>
                  <a:srgbClr val="800080"/>
                </a:solidFill>
                <a:prstDash val="solid"/>
              </a:ln>
            </c:spPr>
          </c:marker>
          <c:dLbls>
            <c:dLbl>
              <c:idx val="0"/>
              <c:tx>
                <c:strRef>
                  <c:f>Input!$BL$8</c:f>
                  <c:strCache>
                    <c:ptCount val="1"/>
                  </c:strCache>
                </c:strRef>
              </c:tx>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
              <c:tx>
                <c:strRef>
                  <c:f>Input!$BL$9</c:f>
                  <c:strCache>
                    <c:ptCount val="1"/>
                  </c:strCache>
                </c:strRef>
              </c:tx>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
              <c:tx>
                <c:strRef>
                  <c:f>Input!$BL$10</c:f>
                  <c:strCache>
                    <c:ptCount val="1"/>
                  </c:strCache>
                </c:strRef>
              </c:tx>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3"/>
              <c:tx>
                <c:strRef>
                  <c:f>Input!$BL$11</c:f>
                  <c:strCache>
                    <c:ptCount val="1"/>
                  </c:strCache>
                </c:strRef>
              </c:tx>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4"/>
              <c:tx>
                <c:strRef>
                  <c:f>Input!$BL$12</c:f>
                  <c:strCache>
                    <c:ptCount val="1"/>
                  </c:strCache>
                </c:strRef>
              </c:tx>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5"/>
              <c:tx>
                <c:strRef>
                  <c:f>Input!$BL$13</c:f>
                  <c:strCache>
                    <c:ptCount val="1"/>
                  </c:strCache>
                </c:strRef>
              </c:tx>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6"/>
              <c:tx>
                <c:strRef>
                  <c:f>Input!$BL$14</c:f>
                  <c:strCache>
                    <c:ptCount val="1"/>
                  </c:strCache>
                </c:strRef>
              </c:tx>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7"/>
              <c:tx>
                <c:strRef>
                  <c:f>Input!$BL$15</c:f>
                  <c:strCache>
                    <c:ptCount val="1"/>
                  </c:strCache>
                </c:strRef>
              </c:tx>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8"/>
              <c:tx>
                <c:strRef>
                  <c:f>Input!$BL$16</c:f>
                  <c:strCache>
                    <c:ptCount val="1"/>
                  </c:strCache>
                </c:strRef>
              </c:tx>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9"/>
              <c:tx>
                <c:strRef>
                  <c:f>Input!$BL$17</c:f>
                  <c:strCache>
                    <c:ptCount val="1"/>
                  </c:strCache>
                </c:strRef>
              </c:tx>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0"/>
              <c:tx>
                <c:strRef>
                  <c:f>Input!$BL$18</c:f>
                  <c:strCache>
                    <c:ptCount val="1"/>
                  </c:strCache>
                </c:strRef>
              </c:tx>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1"/>
              <c:tx>
                <c:strRef>
                  <c:f>Input!$BL$19</c:f>
                  <c:strCache>
                    <c:ptCount val="1"/>
                  </c:strCache>
                </c:strRef>
              </c:tx>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2"/>
              <c:tx>
                <c:strRef>
                  <c:f>Input!$BL$20</c:f>
                  <c:strCache>
                    <c:ptCount val="1"/>
                  </c:strCache>
                </c:strRef>
              </c:tx>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3"/>
              <c:tx>
                <c:strRef>
                  <c:f>Input!$BL$21</c:f>
                  <c:strCache>
                    <c:ptCount val="1"/>
                  </c:strCache>
                </c:strRef>
              </c:tx>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4"/>
              <c:tx>
                <c:strRef>
                  <c:f>Input!$BL$22</c:f>
                  <c:strCache>
                    <c:ptCount val="1"/>
                  </c:strCache>
                </c:strRef>
              </c:tx>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5"/>
              <c:tx>
                <c:strRef>
                  <c:f>Input!$BL$23</c:f>
                  <c:strCache>
                    <c:ptCount val="1"/>
                  </c:strCache>
                </c:strRef>
              </c:tx>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6"/>
              <c:tx>
                <c:strRef>
                  <c:f>Input!$BL$24</c:f>
                  <c:strCache>
                    <c:ptCount val="1"/>
                  </c:strCache>
                </c:strRef>
              </c:tx>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7"/>
              <c:tx>
                <c:strRef>
                  <c:f>Input!$BL$25</c:f>
                  <c:strCache>
                    <c:ptCount val="1"/>
                  </c:strCache>
                </c:strRef>
              </c:tx>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8"/>
              <c:tx>
                <c:strRef>
                  <c:f>Input!$BL$26</c:f>
                  <c:strCache>
                    <c:ptCount val="1"/>
                  </c:strCache>
                </c:strRef>
              </c:tx>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9"/>
              <c:tx>
                <c:strRef>
                  <c:f>Input!$BL$27</c:f>
                  <c:strCache>
                    <c:ptCount val="1"/>
                  </c:strCache>
                </c:strRef>
              </c:tx>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0"/>
              <c:tx>
                <c:strRef>
                  <c:f>Input!$BL$28</c:f>
                  <c:strCache>
                    <c:ptCount val="1"/>
                  </c:strCache>
                </c:strRef>
              </c:tx>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1"/>
              <c:tx>
                <c:strRef>
                  <c:f>Input!$BL$29</c:f>
                  <c:strCache>
                    <c:ptCount val="1"/>
                  </c:strCache>
                </c:strRef>
              </c:tx>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2"/>
              <c:tx>
                <c:strRef>
                  <c:f>Input!$BL$30</c:f>
                  <c:strCache>
                    <c:ptCount val="1"/>
                  </c:strCache>
                </c:strRef>
              </c:tx>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3"/>
              <c:tx>
                <c:strRef>
                  <c:f>Input!$BL$31</c:f>
                  <c:strCache>
                    <c:ptCount val="1"/>
                  </c:strCache>
                </c:strRef>
              </c:tx>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4"/>
              <c:tx>
                <c:strRef>
                  <c:f>Input!$BL$32</c:f>
                  <c:strCache>
                    <c:ptCount val="1"/>
                  </c:strCache>
                </c:strRef>
              </c:tx>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5"/>
              <c:tx>
                <c:strRef>
                  <c:f>Input!$BL$33</c:f>
                  <c:strCache>
                    <c:ptCount val="1"/>
                  </c:strCache>
                </c:strRef>
              </c:tx>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6"/>
              <c:tx>
                <c:strRef>
                  <c:f>Input!$BL$34</c:f>
                  <c:strCache>
                    <c:ptCount val="1"/>
                  </c:strCache>
                </c:strRef>
              </c:tx>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7"/>
              <c:tx>
                <c:strRef>
                  <c:f>Input!$BL$35</c:f>
                  <c:strCache>
                    <c:ptCount val="1"/>
                  </c:strCache>
                </c:strRef>
              </c:tx>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8"/>
              <c:tx>
                <c:strRef>
                  <c:f>Input!$BL$36</c:f>
                  <c:strCache>
                    <c:ptCount val="1"/>
                  </c:strCache>
                </c:strRef>
              </c:tx>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9"/>
              <c:tx>
                <c:strRef>
                  <c:f>Input!$BL$37</c:f>
                  <c:strCache>
                    <c:ptCount val="1"/>
                  </c:strCache>
                </c:strRef>
              </c:tx>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showLegendKey val="0"/>
            <c:showVal val="0"/>
            <c:showCatName val="0"/>
            <c:showSerName val="0"/>
            <c:showPercent val="0"/>
            <c:showBubbleSize val="0"/>
          </c:dLbls>
          <c:xVal>
            <c:numRef>
              <c:f>Input!$BJ$8:$BJ$37</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xVal>
          <c:yVal>
            <c:numRef>
              <c:f>Input!$BK$8:$BK$37</c:f>
              <c:numCache>
                <c:formatCode>General</c:formatCode>
                <c:ptCount val="30"/>
                <c:pt idx="0">
                  <c:v>99</c:v>
                </c:pt>
                <c:pt idx="1">
                  <c:v>99</c:v>
                </c:pt>
                <c:pt idx="2">
                  <c:v>99</c:v>
                </c:pt>
                <c:pt idx="3">
                  <c:v>99</c:v>
                </c:pt>
                <c:pt idx="4">
                  <c:v>99</c:v>
                </c:pt>
                <c:pt idx="5">
                  <c:v>99</c:v>
                </c:pt>
                <c:pt idx="6">
                  <c:v>99</c:v>
                </c:pt>
                <c:pt idx="7">
                  <c:v>99</c:v>
                </c:pt>
                <c:pt idx="8">
                  <c:v>99</c:v>
                </c:pt>
                <c:pt idx="9">
                  <c:v>99</c:v>
                </c:pt>
                <c:pt idx="10">
                  <c:v>99</c:v>
                </c:pt>
                <c:pt idx="11">
                  <c:v>99</c:v>
                </c:pt>
                <c:pt idx="12">
                  <c:v>99</c:v>
                </c:pt>
                <c:pt idx="13">
                  <c:v>99</c:v>
                </c:pt>
                <c:pt idx="14">
                  <c:v>99</c:v>
                </c:pt>
                <c:pt idx="15">
                  <c:v>99</c:v>
                </c:pt>
                <c:pt idx="16">
                  <c:v>99</c:v>
                </c:pt>
                <c:pt idx="17">
                  <c:v>99</c:v>
                </c:pt>
                <c:pt idx="18">
                  <c:v>99</c:v>
                </c:pt>
                <c:pt idx="19">
                  <c:v>99</c:v>
                </c:pt>
                <c:pt idx="20">
                  <c:v>99</c:v>
                </c:pt>
                <c:pt idx="21">
                  <c:v>99</c:v>
                </c:pt>
                <c:pt idx="22">
                  <c:v>99</c:v>
                </c:pt>
                <c:pt idx="23">
                  <c:v>99</c:v>
                </c:pt>
                <c:pt idx="24">
                  <c:v>99</c:v>
                </c:pt>
                <c:pt idx="25">
                  <c:v>99</c:v>
                </c:pt>
                <c:pt idx="26">
                  <c:v>99</c:v>
                </c:pt>
                <c:pt idx="27">
                  <c:v>99</c:v>
                </c:pt>
                <c:pt idx="28">
                  <c:v>99</c:v>
                </c:pt>
                <c:pt idx="29">
                  <c:v>99</c:v>
                </c:pt>
              </c:numCache>
            </c:numRef>
          </c:yVal>
          <c:smooth val="0"/>
        </c:ser>
        <c:dLbls>
          <c:showLegendKey val="0"/>
          <c:showVal val="0"/>
          <c:showCatName val="0"/>
          <c:showSerName val="0"/>
          <c:showPercent val="0"/>
          <c:showBubbleSize val="0"/>
        </c:dLbls>
        <c:axId val="101179776"/>
        <c:axId val="101181696"/>
      </c:scatterChart>
      <c:valAx>
        <c:axId val="101179776"/>
        <c:scaling>
          <c:orientation val="minMax"/>
          <c:max val="10"/>
          <c:min val="-22"/>
        </c:scaling>
        <c:delete val="0"/>
        <c:axPos val="b"/>
        <c:title>
          <c:tx>
            <c:rich>
              <a:bodyPr/>
              <a:lstStyle/>
              <a:p>
                <a:pPr>
                  <a:defRPr sz="1375" b="1" i="0" u="none" strike="noStrike" baseline="0">
                    <a:solidFill>
                      <a:srgbClr val="000000"/>
                    </a:solidFill>
                    <a:latin typeface="Arial"/>
                    <a:ea typeface="Arial"/>
                    <a:cs typeface="Arial"/>
                  </a:defRPr>
                </a:pPr>
                <a:r>
                  <a:rPr lang="en-NZ"/>
                  <a:t>Delta Oxygen 18 - per mil</a:t>
                </a:r>
              </a:p>
            </c:rich>
          </c:tx>
          <c:layout>
            <c:manualLayout>
              <c:xMode val="edge"/>
              <c:yMode val="edge"/>
              <c:x val="0.41509433962264186"/>
              <c:y val="0.9200652528548127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375" b="0" i="0" u="none" strike="noStrike" baseline="0">
                <a:solidFill>
                  <a:srgbClr val="000000"/>
                </a:solidFill>
                <a:latin typeface="Arial"/>
                <a:ea typeface="Arial"/>
                <a:cs typeface="Arial"/>
              </a:defRPr>
            </a:pPr>
            <a:endParaRPr lang="en-US"/>
          </a:p>
        </c:txPr>
        <c:crossAx val="101181696"/>
        <c:crossesAt val="-160"/>
        <c:crossBetween val="midCat"/>
        <c:majorUnit val="2"/>
      </c:valAx>
      <c:valAx>
        <c:axId val="101181696"/>
        <c:scaling>
          <c:orientation val="minMax"/>
          <c:max val="0"/>
          <c:min val="-160"/>
        </c:scaling>
        <c:delete val="0"/>
        <c:axPos val="l"/>
        <c:title>
          <c:tx>
            <c:rich>
              <a:bodyPr/>
              <a:lstStyle/>
              <a:p>
                <a:pPr>
                  <a:defRPr sz="1375" b="1" i="0" u="none" strike="noStrike" baseline="0">
                    <a:solidFill>
                      <a:srgbClr val="000000"/>
                    </a:solidFill>
                    <a:latin typeface="Arial"/>
                    <a:ea typeface="Arial"/>
                    <a:cs typeface="Arial"/>
                  </a:defRPr>
                </a:pPr>
                <a:r>
                  <a:rPr lang="en-NZ"/>
                  <a:t>Delta Deuterium - per mil</a:t>
                </a:r>
              </a:p>
            </c:rich>
          </c:tx>
          <c:layout>
            <c:manualLayout>
              <c:xMode val="edge"/>
              <c:yMode val="edge"/>
              <c:x val="4.4395116537180911E-3"/>
              <c:y val="0.274061990212071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375" b="0" i="0" u="none" strike="noStrike" baseline="0">
                <a:solidFill>
                  <a:srgbClr val="000000"/>
                </a:solidFill>
                <a:latin typeface="Arial"/>
                <a:ea typeface="Arial"/>
                <a:cs typeface="Arial"/>
              </a:defRPr>
            </a:pPr>
            <a:endParaRPr lang="en-US"/>
          </a:p>
        </c:txPr>
        <c:crossAx val="101179776"/>
        <c:crossesAt val="-22"/>
        <c:crossBetween val="midCat"/>
        <c:majorUnit val="20"/>
      </c:valAx>
      <c:spPr>
        <a:noFill/>
        <a:ln w="25400">
          <a:solidFill>
            <a:srgbClr val="808080"/>
          </a:solidFill>
          <a:prstDash val="solid"/>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2208657047724751E-2"/>
          <c:y val="1.9801980198019813E-2"/>
          <c:w val="0.97669256381797998"/>
          <c:h val="0.96605374823196577"/>
        </c:manualLayout>
      </c:layout>
      <c:scatterChart>
        <c:scatterStyle val="lineMarker"/>
        <c:varyColors val="0"/>
        <c:ser>
          <c:idx val="0"/>
          <c:order val="0"/>
          <c:tx>
            <c:v>border</c:v>
          </c:tx>
          <c:spPr>
            <a:ln w="38100">
              <a:solidFill>
                <a:srgbClr val="000000"/>
              </a:solidFill>
              <a:prstDash val="solid"/>
            </a:ln>
          </c:spPr>
          <c:marker>
            <c:symbol val="none"/>
          </c:marker>
          <c:dLbls>
            <c:dLbl>
              <c:idx val="0"/>
              <c:delete val="1"/>
            </c:dLbl>
            <c:dLbl>
              <c:idx val="1"/>
              <c:layout/>
              <c:tx>
                <c:strRef>
                  <c:f>Input!$CA$7</c:f>
                  <c:strCache>
                    <c:ptCount val="1"/>
                    <c:pt idx="0">
                      <c:v>Li</c:v>
                    </c:pt>
                  </c:strCache>
                </c:strRef>
              </c:tx>
              <c:spPr>
                <a:noFill/>
                <a:ln w="25400">
                  <a:noFill/>
                </a:ln>
              </c:spPr>
              <c:txPr>
                <a:bodyPr/>
                <a:lstStyle/>
                <a:p>
                  <a:pPr algn="l">
                    <a:defRPr sz="1600" b="1"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
              <c:layout/>
              <c:tx>
                <c:strRef>
                  <c:f>Input!$CC$7</c:f>
                  <c:strCache>
                    <c:ptCount val="1"/>
                    <c:pt idx="0">
                      <c:v>10 Cs</c:v>
                    </c:pt>
                  </c:strCache>
                </c:strRef>
              </c:tx>
              <c:spPr>
                <a:noFill/>
                <a:ln w="25400">
                  <a:noFill/>
                </a:ln>
              </c:spPr>
              <c:txPr>
                <a:bodyPr/>
                <a:lstStyle/>
                <a:p>
                  <a:pPr algn="l">
                    <a:defRPr sz="1600" b="1"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3"/>
              <c:layout/>
              <c:tx>
                <c:strRef>
                  <c:f>Input!$CB$7</c:f>
                  <c:strCache>
                    <c:ptCount val="1"/>
                    <c:pt idx="0">
                      <c:v>4 Rb</c:v>
                    </c:pt>
                  </c:strCache>
                </c:strRef>
              </c:tx>
              <c:spPr>
                <a:noFill/>
                <a:ln w="25400">
                  <a:noFill/>
                </a:ln>
              </c:spPr>
              <c:txPr>
                <a:bodyPr/>
                <a:lstStyle/>
                <a:p>
                  <a:pPr>
                    <a:defRPr sz="1600" b="1" i="0" u="none" strike="noStrike" baseline="0">
                      <a:solidFill>
                        <a:srgbClr val="000000"/>
                      </a:solidFill>
                      <a:latin typeface="Arial"/>
                      <a:ea typeface="Arial"/>
                      <a:cs typeface="Arial"/>
                    </a:defRPr>
                  </a:pPr>
                  <a:endParaRPr lang="en-US"/>
                </a:p>
              </c:txPr>
              <c:dLblPos val="l"/>
              <c:showLegendKey val="0"/>
              <c:showVal val="0"/>
              <c:showCatName val="0"/>
              <c:showSerName val="0"/>
              <c:showPercent val="0"/>
              <c:showBubbleSize val="0"/>
            </c:dLbl>
            <c:spPr>
              <a:noFill/>
              <a:ln w="25400">
                <a:noFill/>
              </a:ln>
            </c:spPr>
            <c:txPr>
              <a:bodyPr/>
              <a:lstStyle/>
              <a:p>
                <a:pPr algn="l">
                  <a:defRPr sz="16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xVal>
            <c:numRef>
              <c:f>Tgrid!$A$5:$A$8</c:f>
              <c:numCache>
                <c:formatCode>General</c:formatCode>
                <c:ptCount val="4"/>
                <c:pt idx="0">
                  <c:v>0</c:v>
                </c:pt>
                <c:pt idx="1">
                  <c:v>0.57740000000000002</c:v>
                </c:pt>
                <c:pt idx="2">
                  <c:v>1.1547000000000001</c:v>
                </c:pt>
                <c:pt idx="3">
                  <c:v>0</c:v>
                </c:pt>
              </c:numCache>
            </c:numRef>
          </c:xVal>
          <c:yVal>
            <c:numRef>
              <c:f>Tgrid!$B$5:$B$8</c:f>
              <c:numCache>
                <c:formatCode>General</c:formatCode>
                <c:ptCount val="4"/>
                <c:pt idx="0">
                  <c:v>0</c:v>
                </c:pt>
                <c:pt idx="1">
                  <c:v>1</c:v>
                </c:pt>
                <c:pt idx="2">
                  <c:v>0</c:v>
                </c:pt>
                <c:pt idx="3">
                  <c:v>0</c:v>
                </c:pt>
              </c:numCache>
            </c:numRef>
          </c:yVal>
          <c:smooth val="0"/>
        </c:ser>
        <c:ser>
          <c:idx val="1"/>
          <c:order val="1"/>
          <c:tx>
            <c:v>A grid</c:v>
          </c:tx>
          <c:spPr>
            <a:ln w="3175">
              <a:solidFill>
                <a:srgbClr val="808080"/>
              </a:solidFill>
              <a:prstDash val="sysDash"/>
            </a:ln>
          </c:spPr>
          <c:marker>
            <c:symbol val="none"/>
          </c:marker>
          <c:dLbls>
            <c:dLbl>
              <c:idx val="0"/>
              <c:layout/>
              <c:tx>
                <c:rich>
                  <a:bodyPr/>
                  <a:lstStyle/>
                  <a:p>
                    <a:r>
                      <a:rPr lang="en-NZ"/>
                      <a:t>10%</a:t>
                    </a:r>
                  </a:p>
                </c:rich>
              </c:tx>
              <c:dLblPos val="l"/>
              <c:showLegendKey val="0"/>
              <c:showVal val="0"/>
              <c:showCatName val="0"/>
              <c:showSerName val="0"/>
              <c:showPercent val="0"/>
              <c:showBubbleSize val="0"/>
            </c:dLbl>
            <c:dLbl>
              <c:idx val="1"/>
              <c:delete val="1"/>
            </c:dLbl>
            <c:dLbl>
              <c:idx val="2"/>
              <c:delete val="1"/>
            </c:dLbl>
            <c:dLbl>
              <c:idx val="3"/>
              <c:layout/>
              <c:tx>
                <c:rich>
                  <a:bodyPr/>
                  <a:lstStyle/>
                  <a:p>
                    <a:r>
                      <a:rPr lang="en-NZ"/>
                      <a:t>20%</a:t>
                    </a:r>
                  </a:p>
                </c:rich>
              </c:tx>
              <c:dLblPos val="l"/>
              <c:showLegendKey val="0"/>
              <c:showVal val="0"/>
              <c:showCatName val="0"/>
              <c:showSerName val="0"/>
              <c:showPercent val="0"/>
              <c:showBubbleSize val="0"/>
            </c:dLbl>
            <c:dLbl>
              <c:idx val="4"/>
              <c:layout/>
              <c:tx>
                <c:rich>
                  <a:bodyPr/>
                  <a:lstStyle/>
                  <a:p>
                    <a:r>
                      <a:rPr lang="en-NZ"/>
                      <a:t>30%</a:t>
                    </a:r>
                  </a:p>
                </c:rich>
              </c:tx>
              <c:dLblPos val="l"/>
              <c:showLegendKey val="0"/>
              <c:showVal val="0"/>
              <c:showCatName val="0"/>
              <c:showSerName val="0"/>
              <c:showPercent val="0"/>
              <c:showBubbleSize val="0"/>
            </c:dLbl>
            <c:dLbl>
              <c:idx val="5"/>
              <c:delete val="1"/>
            </c:dLbl>
            <c:dLbl>
              <c:idx val="6"/>
              <c:delete val="1"/>
            </c:dLbl>
            <c:dLbl>
              <c:idx val="7"/>
              <c:layout/>
              <c:tx>
                <c:rich>
                  <a:bodyPr/>
                  <a:lstStyle/>
                  <a:p>
                    <a:r>
                      <a:rPr lang="en-NZ"/>
                      <a:t>40%</a:t>
                    </a:r>
                  </a:p>
                </c:rich>
              </c:tx>
              <c:dLblPos val="l"/>
              <c:showLegendKey val="0"/>
              <c:showVal val="0"/>
              <c:showCatName val="0"/>
              <c:showSerName val="0"/>
              <c:showPercent val="0"/>
              <c:showBubbleSize val="0"/>
            </c:dLbl>
            <c:dLbl>
              <c:idx val="8"/>
              <c:layout/>
              <c:tx>
                <c:rich>
                  <a:bodyPr/>
                  <a:lstStyle/>
                  <a:p>
                    <a:r>
                      <a:rPr lang="en-NZ"/>
                      <a:t>50%</a:t>
                    </a:r>
                  </a:p>
                </c:rich>
              </c:tx>
              <c:dLblPos val="l"/>
              <c:showLegendKey val="0"/>
              <c:showVal val="0"/>
              <c:showCatName val="0"/>
              <c:showSerName val="0"/>
              <c:showPercent val="0"/>
              <c:showBubbleSize val="0"/>
            </c:dLbl>
            <c:dLbl>
              <c:idx val="9"/>
              <c:delete val="1"/>
            </c:dLbl>
            <c:dLbl>
              <c:idx val="10"/>
              <c:delete val="1"/>
            </c:dLbl>
            <c:dLbl>
              <c:idx val="11"/>
              <c:layout/>
              <c:tx>
                <c:rich>
                  <a:bodyPr/>
                  <a:lstStyle/>
                  <a:p>
                    <a:r>
                      <a:rPr lang="en-NZ"/>
                      <a:t>60%</a:t>
                    </a:r>
                  </a:p>
                </c:rich>
              </c:tx>
              <c:dLblPos val="l"/>
              <c:showLegendKey val="0"/>
              <c:showVal val="0"/>
              <c:showCatName val="0"/>
              <c:showSerName val="0"/>
              <c:showPercent val="0"/>
              <c:showBubbleSize val="0"/>
            </c:dLbl>
            <c:dLbl>
              <c:idx val="12"/>
              <c:layout/>
              <c:tx>
                <c:rich>
                  <a:bodyPr/>
                  <a:lstStyle/>
                  <a:p>
                    <a:r>
                      <a:rPr lang="en-NZ"/>
                      <a:t>70%</a:t>
                    </a:r>
                  </a:p>
                </c:rich>
              </c:tx>
              <c:dLblPos val="l"/>
              <c:showLegendKey val="0"/>
              <c:showVal val="0"/>
              <c:showCatName val="0"/>
              <c:showSerName val="0"/>
              <c:showPercent val="0"/>
              <c:showBubbleSize val="0"/>
            </c:dLbl>
            <c:dLbl>
              <c:idx val="13"/>
              <c:delete val="1"/>
            </c:dLbl>
            <c:dLbl>
              <c:idx val="14"/>
              <c:delete val="1"/>
            </c:dLbl>
            <c:dLbl>
              <c:idx val="15"/>
              <c:layout/>
              <c:tx>
                <c:rich>
                  <a:bodyPr/>
                  <a:lstStyle/>
                  <a:p>
                    <a:r>
                      <a:rPr lang="en-NZ"/>
                      <a:t>80%</a:t>
                    </a:r>
                  </a:p>
                </c:rich>
              </c:tx>
              <c:dLblPos val="l"/>
              <c:showLegendKey val="0"/>
              <c:showVal val="0"/>
              <c:showCatName val="0"/>
              <c:showSerName val="0"/>
              <c:showPercent val="0"/>
              <c:showBubbleSize val="0"/>
            </c:dLbl>
            <c:dLbl>
              <c:idx val="16"/>
              <c:layout/>
              <c:tx>
                <c:rich>
                  <a:bodyPr/>
                  <a:lstStyle/>
                  <a:p>
                    <a:r>
                      <a:rPr lang="en-NZ"/>
                      <a:t>90%</a:t>
                    </a:r>
                  </a:p>
                </c:rich>
              </c:tx>
              <c:dLblPos val="l"/>
              <c:showLegendKey val="0"/>
              <c:showVal val="0"/>
              <c:showCatName val="0"/>
              <c:showSerName val="0"/>
              <c:showPercent val="0"/>
              <c:showBubbleSize val="0"/>
            </c:dLbl>
            <c:dLbl>
              <c:idx val="17"/>
              <c:delete val="1"/>
            </c:dLbl>
            <c:spPr>
              <a:noFill/>
              <a:ln w="25400">
                <a:noFill/>
              </a:ln>
            </c:spPr>
            <c:txPr>
              <a:bodyPr/>
              <a:lstStyle/>
              <a:p>
                <a:pPr>
                  <a:defRPr sz="1200" b="0" i="0" u="none" strike="noStrike" baseline="0">
                    <a:solidFill>
                      <a:srgbClr val="808080"/>
                    </a:solidFill>
                    <a:latin typeface="Arial"/>
                    <a:ea typeface="Arial"/>
                    <a:cs typeface="Arial"/>
                  </a:defRPr>
                </a:pPr>
                <a:endParaRPr lang="en-US"/>
              </a:p>
            </c:txPr>
            <c:dLblPos val="l"/>
            <c:showLegendKey val="0"/>
            <c:showVal val="1"/>
            <c:showCatName val="0"/>
            <c:showSerName val="0"/>
            <c:showPercent val="0"/>
            <c:showBubbleSize val="0"/>
            <c:showLeaderLines val="0"/>
          </c:dLbls>
          <c:xVal>
            <c:numRef>
              <c:f>Tgrid!$F$5:$F$22</c:f>
              <c:numCache>
                <c:formatCode>General</c:formatCode>
                <c:ptCount val="18"/>
                <c:pt idx="0">
                  <c:v>5.7740000000000007E-2</c:v>
                </c:pt>
                <c:pt idx="1">
                  <c:v>1.09697</c:v>
                </c:pt>
                <c:pt idx="2">
                  <c:v>1.0392400000000002</c:v>
                </c:pt>
                <c:pt idx="3">
                  <c:v>0.11548000000000001</c:v>
                </c:pt>
                <c:pt idx="4">
                  <c:v>0.17322000000000001</c:v>
                </c:pt>
                <c:pt idx="5">
                  <c:v>0.98150999999999999</c:v>
                </c:pt>
                <c:pt idx="6">
                  <c:v>0.92378000000000005</c:v>
                </c:pt>
                <c:pt idx="7">
                  <c:v>0.23096000000000003</c:v>
                </c:pt>
                <c:pt idx="8">
                  <c:v>0.28870000000000001</c:v>
                </c:pt>
                <c:pt idx="9">
                  <c:v>0.86604999999999999</c:v>
                </c:pt>
                <c:pt idx="10">
                  <c:v>0.80832000000000015</c:v>
                </c:pt>
                <c:pt idx="11">
                  <c:v>0.34644000000000003</c:v>
                </c:pt>
                <c:pt idx="12">
                  <c:v>0.40417999999999998</c:v>
                </c:pt>
                <c:pt idx="13">
                  <c:v>0.75058999999999998</c:v>
                </c:pt>
                <c:pt idx="14">
                  <c:v>0.69286000000000003</c:v>
                </c:pt>
                <c:pt idx="15">
                  <c:v>0.46192000000000005</c:v>
                </c:pt>
                <c:pt idx="16">
                  <c:v>0.51966000000000001</c:v>
                </c:pt>
                <c:pt idx="17">
                  <c:v>0.63512999999999997</c:v>
                </c:pt>
              </c:numCache>
            </c:numRef>
          </c:xVal>
          <c:yVal>
            <c:numRef>
              <c:f>Tgrid!$G$5:$G$22</c:f>
              <c:numCache>
                <c:formatCode>_(* #,##0.00_);_(* \(#,##0.00\);_(* "-"??_);_(@_)</c:formatCode>
                <c:ptCount val="18"/>
                <c:pt idx="0">
                  <c:v>0.1</c:v>
                </c:pt>
                <c:pt idx="1">
                  <c:v>0.1</c:v>
                </c:pt>
                <c:pt idx="2">
                  <c:v>0.2</c:v>
                </c:pt>
                <c:pt idx="3">
                  <c:v>0.2</c:v>
                </c:pt>
                <c:pt idx="4">
                  <c:v>0.3</c:v>
                </c:pt>
                <c:pt idx="5">
                  <c:v>0.3</c:v>
                </c:pt>
                <c:pt idx="6">
                  <c:v>0.4</c:v>
                </c:pt>
                <c:pt idx="7">
                  <c:v>0.4</c:v>
                </c:pt>
                <c:pt idx="8">
                  <c:v>0.5</c:v>
                </c:pt>
                <c:pt idx="9">
                  <c:v>0.5</c:v>
                </c:pt>
                <c:pt idx="10">
                  <c:v>0.6</c:v>
                </c:pt>
                <c:pt idx="11">
                  <c:v>0.6</c:v>
                </c:pt>
                <c:pt idx="12">
                  <c:v>0.7</c:v>
                </c:pt>
                <c:pt idx="13">
                  <c:v>0.7</c:v>
                </c:pt>
                <c:pt idx="14">
                  <c:v>0.8</c:v>
                </c:pt>
                <c:pt idx="15">
                  <c:v>0.8</c:v>
                </c:pt>
                <c:pt idx="16">
                  <c:v>0.9</c:v>
                </c:pt>
                <c:pt idx="17">
                  <c:v>0.9</c:v>
                </c:pt>
              </c:numCache>
            </c:numRef>
          </c:yVal>
          <c:smooth val="0"/>
        </c:ser>
        <c:ser>
          <c:idx val="2"/>
          <c:order val="2"/>
          <c:tx>
            <c:v>B grid</c:v>
          </c:tx>
          <c:spPr>
            <a:ln w="3175">
              <a:solidFill>
                <a:srgbClr val="808080"/>
              </a:solidFill>
              <a:prstDash val="sysDash"/>
            </a:ln>
          </c:spPr>
          <c:marker>
            <c:symbol val="none"/>
          </c:marker>
          <c:dLbls>
            <c:dLbl>
              <c:idx val="0"/>
              <c:layout>
                <c:manualLayout>
                  <c:x val="-2.0912080773477115E-2"/>
                  <c:y val="3.6075243069863837E-2"/>
                </c:manualLayout>
              </c:layout>
              <c:tx>
                <c:rich>
                  <a:bodyPr/>
                  <a:lstStyle/>
                  <a:p>
                    <a:r>
                      <a:rPr lang="en-NZ"/>
                      <a:t>90%</a:t>
                    </a:r>
                  </a:p>
                </c:rich>
              </c:tx>
              <c:dLblPos val="r"/>
              <c:showLegendKey val="0"/>
              <c:showVal val="0"/>
              <c:showCatName val="0"/>
              <c:showSerName val="0"/>
              <c:showPercent val="0"/>
              <c:showBubbleSize val="0"/>
            </c:dLbl>
            <c:dLbl>
              <c:idx val="1"/>
              <c:delete val="1"/>
            </c:dLbl>
            <c:dLbl>
              <c:idx val="2"/>
              <c:delete val="1"/>
            </c:dLbl>
            <c:dLbl>
              <c:idx val="3"/>
              <c:layout>
                <c:manualLayout>
                  <c:x val="-2.4806150063650511E-2"/>
                  <c:y val="3.3246388755861001E-2"/>
                </c:manualLayout>
              </c:layout>
              <c:tx>
                <c:rich>
                  <a:bodyPr/>
                  <a:lstStyle/>
                  <a:p>
                    <a:r>
                      <a:rPr lang="en-NZ"/>
                      <a:t>80%</a:t>
                    </a:r>
                  </a:p>
                </c:rich>
              </c:tx>
              <c:dLblPos val="r"/>
              <c:showLegendKey val="0"/>
              <c:showVal val="0"/>
              <c:showCatName val="0"/>
              <c:showSerName val="0"/>
              <c:showPercent val="0"/>
              <c:showBubbleSize val="0"/>
            </c:dLbl>
            <c:dLbl>
              <c:idx val="4"/>
              <c:layout>
                <c:manualLayout>
                  <c:x val="-1.982107952377208E-2"/>
                  <c:y val="3.6075243069863837E-2"/>
                </c:manualLayout>
              </c:layout>
              <c:tx>
                <c:rich>
                  <a:bodyPr/>
                  <a:lstStyle/>
                  <a:p>
                    <a:r>
                      <a:rPr lang="en-NZ"/>
                      <a:t>70%</a:t>
                    </a:r>
                  </a:p>
                </c:rich>
              </c:tx>
              <c:dLblPos val="r"/>
              <c:showLegendKey val="0"/>
              <c:showVal val="0"/>
              <c:showCatName val="0"/>
              <c:showSerName val="0"/>
              <c:showPercent val="0"/>
              <c:showBubbleSize val="0"/>
            </c:dLbl>
            <c:dLbl>
              <c:idx val="5"/>
              <c:delete val="1"/>
            </c:dLbl>
            <c:dLbl>
              <c:idx val="6"/>
              <c:delete val="1"/>
            </c:dLbl>
            <c:dLbl>
              <c:idx val="7"/>
              <c:layout>
                <c:manualLayout>
                  <c:x val="-2.1495392987086425E-2"/>
                  <c:y val="3.6075243069863837E-2"/>
                </c:manualLayout>
              </c:layout>
              <c:tx>
                <c:rich>
                  <a:bodyPr/>
                  <a:lstStyle/>
                  <a:p>
                    <a:r>
                      <a:rPr lang="en-NZ"/>
                      <a:t>60%</a:t>
                    </a:r>
                  </a:p>
                </c:rich>
              </c:tx>
              <c:dLblPos val="r"/>
              <c:showLegendKey val="0"/>
              <c:showVal val="0"/>
              <c:showCatName val="0"/>
              <c:showSerName val="0"/>
              <c:showPercent val="0"/>
              <c:showBubbleSize val="0"/>
            </c:dLbl>
            <c:dLbl>
              <c:idx val="8"/>
              <c:layout>
                <c:manualLayout>
                  <c:x val="-2.0949834100926112E-2"/>
                  <c:y val="3.6075243069863837E-2"/>
                </c:manualLayout>
              </c:layout>
              <c:tx>
                <c:rich>
                  <a:bodyPr/>
                  <a:lstStyle/>
                  <a:p>
                    <a:r>
                      <a:rPr lang="en-NZ"/>
                      <a:t>50%</a:t>
                    </a:r>
                  </a:p>
                </c:rich>
              </c:tx>
              <c:dLblPos val="r"/>
              <c:showLegendKey val="0"/>
              <c:showVal val="0"/>
              <c:showCatName val="0"/>
              <c:showSerName val="0"/>
              <c:showPercent val="0"/>
              <c:showBubbleSize val="0"/>
            </c:dLbl>
            <c:dLbl>
              <c:idx val="9"/>
              <c:delete val="1"/>
            </c:dLbl>
            <c:dLbl>
              <c:idx val="10"/>
              <c:delete val="1"/>
            </c:dLbl>
            <c:dLbl>
              <c:idx val="11"/>
              <c:layout>
                <c:manualLayout>
                  <c:x val="-2.040439173738133E-2"/>
                  <c:y val="3.6075243069863837E-2"/>
                </c:manualLayout>
              </c:layout>
              <c:tx>
                <c:rich>
                  <a:bodyPr/>
                  <a:lstStyle/>
                  <a:p>
                    <a:r>
                      <a:rPr lang="en-NZ"/>
                      <a:t>40%</a:t>
                    </a:r>
                  </a:p>
                </c:rich>
              </c:tx>
              <c:dLblPos val="r"/>
              <c:showLegendKey val="0"/>
              <c:showVal val="0"/>
              <c:showCatName val="0"/>
              <c:showSerName val="0"/>
              <c:showPercent val="0"/>
              <c:showBubbleSize val="0"/>
            </c:dLbl>
            <c:dLbl>
              <c:idx val="12"/>
              <c:layout>
                <c:manualLayout>
                  <c:x val="-1.9858832851220965E-2"/>
                  <c:y val="3.6075243069863837E-2"/>
                </c:manualLayout>
              </c:layout>
              <c:tx>
                <c:rich>
                  <a:bodyPr/>
                  <a:lstStyle/>
                  <a:p>
                    <a:r>
                      <a:rPr lang="en-NZ"/>
                      <a:t>30%</a:t>
                    </a:r>
                  </a:p>
                </c:rich>
              </c:tx>
              <c:dLblPos val="r"/>
              <c:showLegendKey val="0"/>
              <c:showVal val="0"/>
              <c:showCatName val="0"/>
              <c:showSerName val="0"/>
              <c:showPercent val="0"/>
              <c:showBubbleSize val="0"/>
            </c:dLbl>
            <c:dLbl>
              <c:idx val="13"/>
              <c:delete val="1"/>
            </c:dLbl>
            <c:dLbl>
              <c:idx val="14"/>
              <c:delete val="1"/>
            </c:dLbl>
            <c:dLbl>
              <c:idx val="15"/>
              <c:layout>
                <c:manualLayout>
                  <c:x val="-1.7093634660817238E-2"/>
                  <c:y val="3.3246388755861001E-2"/>
                </c:manualLayout>
              </c:layout>
              <c:tx>
                <c:rich>
                  <a:bodyPr/>
                  <a:lstStyle/>
                  <a:p>
                    <a:r>
                      <a:rPr lang="en-NZ"/>
                      <a:t>20%</a:t>
                    </a:r>
                  </a:p>
                </c:rich>
              </c:tx>
              <c:dLblPos val="r"/>
              <c:showLegendKey val="0"/>
              <c:showVal val="0"/>
              <c:showCatName val="0"/>
              <c:showSerName val="0"/>
              <c:showPercent val="0"/>
              <c:showBubbleSize val="0"/>
            </c:dLbl>
            <c:dLbl>
              <c:idx val="16"/>
              <c:layout>
                <c:manualLayout>
                  <c:x val="-2.0987587428375035E-2"/>
                  <c:y val="3.3246388755861001E-2"/>
                </c:manualLayout>
              </c:layout>
              <c:tx>
                <c:rich>
                  <a:bodyPr/>
                  <a:lstStyle/>
                  <a:p>
                    <a:r>
                      <a:rPr lang="en-NZ"/>
                      <a:t>10%</a:t>
                    </a:r>
                  </a:p>
                </c:rich>
              </c:tx>
              <c:dLblPos val="r"/>
              <c:showLegendKey val="0"/>
              <c:showVal val="0"/>
              <c:showCatName val="0"/>
              <c:showSerName val="0"/>
              <c:showPercent val="0"/>
              <c:showBubbleSize val="0"/>
            </c:dLbl>
            <c:dLbl>
              <c:idx val="17"/>
              <c:delete val="1"/>
            </c:dLbl>
            <c:spPr>
              <a:noFill/>
              <a:ln w="25400">
                <a:noFill/>
              </a:ln>
            </c:spPr>
            <c:txPr>
              <a:bodyPr rot="3600000" vert="horz"/>
              <a:lstStyle/>
              <a:p>
                <a:pPr algn="l">
                  <a:defRPr sz="1200" b="0" i="0" u="none" strike="noStrike" baseline="0">
                    <a:solidFill>
                      <a:srgbClr val="808080"/>
                    </a:solidFill>
                    <a:latin typeface="Arial"/>
                    <a:ea typeface="Arial"/>
                    <a:cs typeface="Arial"/>
                  </a:defRPr>
                </a:pPr>
                <a:endParaRPr lang="en-US"/>
              </a:p>
            </c:txPr>
            <c:dLblPos val="b"/>
            <c:showLegendKey val="0"/>
            <c:showVal val="1"/>
            <c:showCatName val="0"/>
            <c:showSerName val="0"/>
            <c:showPercent val="0"/>
            <c:showBubbleSize val="0"/>
            <c:showLeaderLines val="0"/>
          </c:dLbls>
          <c:xVal>
            <c:numRef>
              <c:f>Tgrid!$K$5:$K$22</c:f>
              <c:numCache>
                <c:formatCode>General</c:formatCode>
                <c:ptCount val="18"/>
                <c:pt idx="0">
                  <c:v>0.11547000000000002</c:v>
                </c:pt>
                <c:pt idx="1">
                  <c:v>5.7740000000000007E-2</c:v>
                </c:pt>
                <c:pt idx="2">
                  <c:v>0.11548000000000001</c:v>
                </c:pt>
                <c:pt idx="3">
                  <c:v>0.23094000000000003</c:v>
                </c:pt>
                <c:pt idx="4">
                  <c:v>0.34641</c:v>
                </c:pt>
                <c:pt idx="5">
                  <c:v>0.17322000000000001</c:v>
                </c:pt>
                <c:pt idx="6">
                  <c:v>0.23096000000000003</c:v>
                </c:pt>
                <c:pt idx="7">
                  <c:v>0.46188000000000007</c:v>
                </c:pt>
                <c:pt idx="8">
                  <c:v>0.57735000000000003</c:v>
                </c:pt>
                <c:pt idx="9">
                  <c:v>0.28870000000000001</c:v>
                </c:pt>
                <c:pt idx="10">
                  <c:v>0.34644000000000003</c:v>
                </c:pt>
                <c:pt idx="11">
                  <c:v>0.69281999999999999</c:v>
                </c:pt>
                <c:pt idx="12">
                  <c:v>0.80828999999999995</c:v>
                </c:pt>
                <c:pt idx="13">
                  <c:v>0.40417999999999998</c:v>
                </c:pt>
                <c:pt idx="14">
                  <c:v>0.46192000000000005</c:v>
                </c:pt>
                <c:pt idx="15">
                  <c:v>0.92376000000000014</c:v>
                </c:pt>
                <c:pt idx="16">
                  <c:v>1.0392300000000001</c:v>
                </c:pt>
                <c:pt idx="17">
                  <c:v>0.51966000000000001</c:v>
                </c:pt>
              </c:numCache>
            </c:numRef>
          </c:xVal>
          <c:yVal>
            <c:numRef>
              <c:f>Tgrid!$L$5:$L$22</c:f>
              <c:numCache>
                <c:formatCode>0.00</c:formatCode>
                <c:ptCount val="18"/>
                <c:pt idx="0">
                  <c:v>0</c:v>
                </c:pt>
                <c:pt idx="1">
                  <c:v>0.1</c:v>
                </c:pt>
                <c:pt idx="2">
                  <c:v>0.2</c:v>
                </c:pt>
                <c:pt idx="3">
                  <c:v>0</c:v>
                </c:pt>
                <c:pt idx="4">
                  <c:v>0</c:v>
                </c:pt>
                <c:pt idx="5">
                  <c:v>0.3</c:v>
                </c:pt>
                <c:pt idx="6">
                  <c:v>0.4</c:v>
                </c:pt>
                <c:pt idx="7">
                  <c:v>0</c:v>
                </c:pt>
                <c:pt idx="8">
                  <c:v>0</c:v>
                </c:pt>
                <c:pt idx="9">
                  <c:v>0.5</c:v>
                </c:pt>
                <c:pt idx="10">
                  <c:v>0.6</c:v>
                </c:pt>
                <c:pt idx="11">
                  <c:v>0</c:v>
                </c:pt>
                <c:pt idx="12">
                  <c:v>0</c:v>
                </c:pt>
                <c:pt idx="13">
                  <c:v>0.7</c:v>
                </c:pt>
                <c:pt idx="14">
                  <c:v>0.8</c:v>
                </c:pt>
                <c:pt idx="15">
                  <c:v>0</c:v>
                </c:pt>
                <c:pt idx="16">
                  <c:v>0</c:v>
                </c:pt>
                <c:pt idx="17">
                  <c:v>0.9</c:v>
                </c:pt>
              </c:numCache>
            </c:numRef>
          </c:yVal>
          <c:smooth val="0"/>
        </c:ser>
        <c:ser>
          <c:idx val="3"/>
          <c:order val="3"/>
          <c:tx>
            <c:v>C grid</c:v>
          </c:tx>
          <c:spPr>
            <a:ln w="3175">
              <a:solidFill>
                <a:srgbClr val="808080"/>
              </a:solidFill>
              <a:prstDash val="sysDash"/>
            </a:ln>
          </c:spPr>
          <c:marker>
            <c:symbol val="none"/>
          </c:marker>
          <c:dLbls>
            <c:dLbl>
              <c:idx val="0"/>
              <c:delete val="1"/>
            </c:dLbl>
            <c:dLbl>
              <c:idx val="1"/>
              <c:layout>
                <c:manualLayout>
                  <c:x val="-1.0715652774257784E-2"/>
                  <c:y val="-3.17162829893788E-2"/>
                </c:manualLayout>
              </c:layout>
              <c:tx>
                <c:rich>
                  <a:bodyPr/>
                  <a:lstStyle/>
                  <a:p>
                    <a:r>
                      <a:rPr lang="en-NZ"/>
                      <a:t>10%</a:t>
                    </a:r>
                  </a:p>
                </c:rich>
              </c:tx>
              <c:dLblPos val="r"/>
              <c:showLegendKey val="0"/>
              <c:showVal val="0"/>
              <c:showCatName val="0"/>
              <c:showSerName val="0"/>
              <c:showPercent val="0"/>
              <c:showBubbleSize val="0"/>
            </c:dLbl>
            <c:dLbl>
              <c:idx val="2"/>
              <c:layout>
                <c:manualLayout>
                  <c:x val="-1.2659599570031457E-2"/>
                  <c:y val="-3.1413202062613506E-2"/>
                </c:manualLayout>
              </c:layout>
              <c:tx>
                <c:rich>
                  <a:bodyPr/>
                  <a:lstStyle/>
                  <a:p>
                    <a:r>
                      <a:rPr lang="en-NZ"/>
                      <a:t>20%</a:t>
                    </a:r>
                  </a:p>
                </c:rich>
              </c:tx>
              <c:dLblPos val="r"/>
              <c:showLegendKey val="0"/>
              <c:showVal val="0"/>
              <c:showCatName val="0"/>
              <c:showSerName val="0"/>
              <c:showPercent val="0"/>
              <c:showBubbleSize val="0"/>
            </c:dLbl>
            <c:dLbl>
              <c:idx val="3"/>
              <c:delete val="1"/>
            </c:dLbl>
            <c:dLbl>
              <c:idx val="4"/>
              <c:delete val="1"/>
            </c:dLbl>
            <c:dLbl>
              <c:idx val="5"/>
              <c:layout>
                <c:manualLayout>
                  <c:x val="-1.2383790538946168E-2"/>
                  <c:y val="-3.6767829763853781E-2"/>
                </c:manualLayout>
              </c:layout>
              <c:tx>
                <c:rich>
                  <a:bodyPr/>
                  <a:lstStyle/>
                  <a:p>
                    <a:r>
                      <a:rPr lang="en-NZ"/>
                      <a:t>30%</a:t>
                    </a:r>
                  </a:p>
                </c:rich>
              </c:tx>
              <c:dLblPos val="r"/>
              <c:showLegendKey val="0"/>
              <c:showVal val="0"/>
              <c:showCatName val="0"/>
              <c:showSerName val="0"/>
              <c:showPercent val="0"/>
              <c:showBubbleSize val="0"/>
            </c:dLbl>
            <c:dLbl>
              <c:idx val="6"/>
              <c:layout>
                <c:manualLayout>
                  <c:x val="-1.2107981507860884E-2"/>
                  <c:y val="-3.9293603151091226E-2"/>
                </c:manualLayout>
              </c:layout>
              <c:tx>
                <c:rich>
                  <a:bodyPr/>
                  <a:lstStyle/>
                  <a:p>
                    <a:r>
                      <a:rPr lang="en-NZ"/>
                      <a:t>40%</a:t>
                    </a:r>
                  </a:p>
                </c:rich>
              </c:tx>
              <c:dLblPos val="r"/>
              <c:showLegendKey val="0"/>
              <c:showVal val="0"/>
              <c:showCatName val="0"/>
              <c:showSerName val="0"/>
              <c:showPercent val="0"/>
              <c:showBubbleSize val="0"/>
            </c:dLbl>
            <c:dLbl>
              <c:idx val="7"/>
              <c:delete val="1"/>
            </c:dLbl>
            <c:dLbl>
              <c:idx val="8"/>
              <c:delete val="1"/>
            </c:dLbl>
            <c:dLbl>
              <c:idx val="9"/>
              <c:layout>
                <c:manualLayout>
                  <c:x val="-1.7381562043923163E-2"/>
                  <c:y val="-4.3233655199040703E-2"/>
                </c:manualLayout>
              </c:layout>
              <c:tx>
                <c:rich>
                  <a:bodyPr/>
                  <a:lstStyle/>
                  <a:p>
                    <a:r>
                      <a:rPr lang="en-NZ"/>
                      <a:t>50%</a:t>
                    </a:r>
                  </a:p>
                </c:rich>
              </c:tx>
              <c:dLblPos val="r"/>
              <c:showLegendKey val="0"/>
              <c:showVal val="0"/>
              <c:showCatName val="0"/>
              <c:showSerName val="0"/>
              <c:showPercent val="0"/>
              <c:showBubbleSize val="0"/>
            </c:dLbl>
            <c:dLbl>
              <c:idx val="10"/>
              <c:layout>
                <c:manualLayout>
                  <c:x val="-1.2666241359119737E-2"/>
                  <c:y val="-4.4345001429276797E-2"/>
                </c:manualLayout>
              </c:layout>
              <c:tx>
                <c:rich>
                  <a:bodyPr/>
                  <a:lstStyle/>
                  <a:p>
                    <a:r>
                      <a:rPr lang="en-NZ"/>
                      <a:t>60%</a:t>
                    </a:r>
                  </a:p>
                </c:rich>
              </c:tx>
              <c:dLblPos val="r"/>
              <c:showLegendKey val="0"/>
              <c:showVal val="0"/>
              <c:showCatName val="0"/>
              <c:showSerName val="0"/>
              <c:showPercent val="0"/>
              <c:showBubbleSize val="0"/>
            </c:dLbl>
            <c:dLbl>
              <c:idx val="11"/>
              <c:delete val="1"/>
            </c:dLbl>
            <c:dLbl>
              <c:idx val="12"/>
              <c:delete val="1"/>
            </c:dLbl>
            <c:dLbl>
              <c:idx val="13"/>
              <c:layout>
                <c:manualLayout>
                  <c:x val="-1.0170793023790958E-2"/>
                  <c:y val="-4.1213066188508549E-2"/>
                </c:manualLayout>
              </c:layout>
              <c:tx>
                <c:rich>
                  <a:bodyPr/>
                  <a:lstStyle/>
                  <a:p>
                    <a:r>
                      <a:rPr lang="en-NZ"/>
                      <a:t>70%</a:t>
                    </a:r>
                  </a:p>
                </c:rich>
              </c:tx>
              <c:dLblPos val="r"/>
              <c:showLegendKey val="0"/>
              <c:showVal val="0"/>
              <c:showCatName val="0"/>
              <c:showSerName val="0"/>
              <c:showPercent val="0"/>
              <c:showBubbleSize val="0"/>
            </c:dLbl>
            <c:dLbl>
              <c:idx val="14"/>
              <c:layout>
                <c:manualLayout>
                  <c:x val="-1.2114739819564745E-2"/>
                  <c:y val="-4.0909985261743283E-2"/>
                </c:manualLayout>
              </c:layout>
              <c:tx>
                <c:rich>
                  <a:bodyPr/>
                  <a:lstStyle/>
                  <a:p>
                    <a:r>
                      <a:rPr lang="en-NZ"/>
                      <a:t>80%</a:t>
                    </a:r>
                  </a:p>
                </c:rich>
              </c:tx>
              <c:dLblPos val="r"/>
              <c:showLegendKey val="0"/>
              <c:showVal val="0"/>
              <c:showCatName val="0"/>
              <c:showSerName val="0"/>
              <c:showPercent val="0"/>
              <c:showBubbleSize val="0"/>
            </c:dLbl>
            <c:dLbl>
              <c:idx val="15"/>
              <c:delete val="1"/>
            </c:dLbl>
            <c:dLbl>
              <c:idx val="16"/>
              <c:delete val="1"/>
            </c:dLbl>
            <c:dLbl>
              <c:idx val="17"/>
              <c:layout>
                <c:manualLayout>
                  <c:x val="-1.2948808701908886E-2"/>
                  <c:y val="-4.6264612962983585E-2"/>
                </c:manualLayout>
              </c:layout>
              <c:tx>
                <c:rich>
                  <a:bodyPr/>
                  <a:lstStyle/>
                  <a:p>
                    <a:r>
                      <a:rPr lang="en-NZ"/>
                      <a:t>90%</a:t>
                    </a:r>
                  </a:p>
                </c:rich>
              </c:tx>
              <c:dLblPos val="r"/>
              <c:showLegendKey val="0"/>
              <c:showVal val="0"/>
              <c:showCatName val="0"/>
              <c:showSerName val="0"/>
              <c:showPercent val="0"/>
              <c:showBubbleSize val="0"/>
            </c:dLbl>
            <c:spPr>
              <a:noFill/>
              <a:ln w="25400">
                <a:noFill/>
              </a:ln>
            </c:spPr>
            <c:txPr>
              <a:bodyPr rot="-3600000" vert="horz"/>
              <a:lstStyle/>
              <a:p>
                <a:pPr algn="l">
                  <a:defRPr sz="1200" b="0" i="0" u="none" strike="noStrike" baseline="0">
                    <a:solidFill>
                      <a:srgbClr val="808080"/>
                    </a:solidFill>
                    <a:latin typeface="Arial"/>
                    <a:ea typeface="Arial"/>
                    <a:cs typeface="Arial"/>
                  </a:defRPr>
                </a:pPr>
                <a:endParaRPr lang="en-US"/>
              </a:p>
            </c:txPr>
            <c:dLblPos val="r"/>
            <c:showLegendKey val="0"/>
            <c:showVal val="1"/>
            <c:showCatName val="0"/>
            <c:showSerName val="0"/>
            <c:showPercent val="0"/>
            <c:showBubbleSize val="0"/>
            <c:showLeaderLines val="0"/>
          </c:dLbls>
          <c:xVal>
            <c:numRef>
              <c:f>Tgrid!$P$5:$P$22</c:f>
              <c:numCache>
                <c:formatCode>General</c:formatCode>
                <c:ptCount val="18"/>
                <c:pt idx="0">
                  <c:v>0.11547000000000002</c:v>
                </c:pt>
                <c:pt idx="1">
                  <c:v>0.63512999999999997</c:v>
                </c:pt>
                <c:pt idx="2">
                  <c:v>0.69286000000000003</c:v>
                </c:pt>
                <c:pt idx="3">
                  <c:v>0.23094000000000003</c:v>
                </c:pt>
                <c:pt idx="4">
                  <c:v>0.34641</c:v>
                </c:pt>
                <c:pt idx="5">
                  <c:v>0.75058999999999998</c:v>
                </c:pt>
                <c:pt idx="6">
                  <c:v>0.80832000000000015</c:v>
                </c:pt>
                <c:pt idx="7">
                  <c:v>0.46188000000000007</c:v>
                </c:pt>
                <c:pt idx="8">
                  <c:v>0.57735000000000003</c:v>
                </c:pt>
                <c:pt idx="9">
                  <c:v>0.86604999999999999</c:v>
                </c:pt>
                <c:pt idx="10">
                  <c:v>0.92378000000000005</c:v>
                </c:pt>
                <c:pt idx="11">
                  <c:v>0.69281999999999999</c:v>
                </c:pt>
                <c:pt idx="12">
                  <c:v>0.80828999999999995</c:v>
                </c:pt>
                <c:pt idx="13">
                  <c:v>0.98150999999999999</c:v>
                </c:pt>
                <c:pt idx="14">
                  <c:v>1.0392400000000002</c:v>
                </c:pt>
                <c:pt idx="15">
                  <c:v>0.92376000000000014</c:v>
                </c:pt>
                <c:pt idx="16">
                  <c:v>1.0392300000000001</c:v>
                </c:pt>
                <c:pt idx="17">
                  <c:v>1.09697</c:v>
                </c:pt>
              </c:numCache>
            </c:numRef>
          </c:xVal>
          <c:yVal>
            <c:numRef>
              <c:f>Tgrid!$Q$5:$Q$22</c:f>
              <c:numCache>
                <c:formatCode>0.00</c:formatCode>
                <c:ptCount val="18"/>
                <c:pt idx="0">
                  <c:v>0</c:v>
                </c:pt>
                <c:pt idx="1">
                  <c:v>0.9</c:v>
                </c:pt>
                <c:pt idx="2">
                  <c:v>0.8</c:v>
                </c:pt>
                <c:pt idx="3">
                  <c:v>0</c:v>
                </c:pt>
                <c:pt idx="4">
                  <c:v>0</c:v>
                </c:pt>
                <c:pt idx="5">
                  <c:v>0.7</c:v>
                </c:pt>
                <c:pt idx="6">
                  <c:v>0.6</c:v>
                </c:pt>
                <c:pt idx="7">
                  <c:v>0</c:v>
                </c:pt>
                <c:pt idx="8">
                  <c:v>0</c:v>
                </c:pt>
                <c:pt idx="9">
                  <c:v>0.5</c:v>
                </c:pt>
                <c:pt idx="10">
                  <c:v>0.4</c:v>
                </c:pt>
                <c:pt idx="11">
                  <c:v>0</c:v>
                </c:pt>
                <c:pt idx="12">
                  <c:v>0</c:v>
                </c:pt>
                <c:pt idx="13">
                  <c:v>0.3</c:v>
                </c:pt>
                <c:pt idx="14">
                  <c:v>0.2</c:v>
                </c:pt>
                <c:pt idx="15">
                  <c:v>0</c:v>
                </c:pt>
                <c:pt idx="16">
                  <c:v>0</c:v>
                </c:pt>
                <c:pt idx="17">
                  <c:v>0.1</c:v>
                </c:pt>
              </c:numCache>
            </c:numRef>
          </c:yVal>
          <c:smooth val="0"/>
        </c:ser>
        <c:ser>
          <c:idx val="6"/>
          <c:order val="4"/>
          <c:tx>
            <c:v>Granite trend</c:v>
          </c:tx>
          <c:spPr>
            <a:ln w="25400">
              <a:solidFill>
                <a:srgbClr val="993366"/>
              </a:solidFill>
              <a:prstDash val="lgDash"/>
            </a:ln>
          </c:spPr>
          <c:marker>
            <c:symbol val="none"/>
          </c:marker>
          <c:xVal>
            <c:numRef>
              <c:f>Ref!$AD$13:$AD$14</c:f>
              <c:numCache>
                <c:formatCode>0.000</c:formatCode>
                <c:ptCount val="2"/>
                <c:pt idx="0">
                  <c:v>0</c:v>
                </c:pt>
                <c:pt idx="1">
                  <c:v>0.89812222222222227</c:v>
                </c:pt>
              </c:numCache>
            </c:numRef>
          </c:xVal>
          <c:yVal>
            <c:numRef>
              <c:f>Ref!$AE$13:$AE$14</c:f>
              <c:numCache>
                <c:formatCode>0.000</c:formatCode>
                <c:ptCount val="2"/>
                <c:pt idx="0">
                  <c:v>0</c:v>
                </c:pt>
                <c:pt idx="1">
                  <c:v>0.44444444444444442</c:v>
                </c:pt>
              </c:numCache>
            </c:numRef>
          </c:yVal>
          <c:smooth val="0"/>
        </c:ser>
        <c:ser>
          <c:idx val="7"/>
          <c:order val="5"/>
          <c:tx>
            <c:v>basalt trend</c:v>
          </c:tx>
          <c:spPr>
            <a:ln w="25400">
              <a:solidFill>
                <a:srgbClr val="993366"/>
              </a:solidFill>
              <a:prstDash val="lgDash"/>
            </a:ln>
          </c:spPr>
          <c:marker>
            <c:symbol val="none"/>
          </c:marker>
          <c:xVal>
            <c:numRef>
              <c:f>Ref!$AD$15:$AD$16</c:f>
              <c:numCache>
                <c:formatCode>0.000</c:formatCode>
                <c:ptCount val="2"/>
                <c:pt idx="0">
                  <c:v>0</c:v>
                </c:pt>
                <c:pt idx="1">
                  <c:v>0.71485238095238091</c:v>
                </c:pt>
              </c:numCache>
            </c:numRef>
          </c:xVal>
          <c:yVal>
            <c:numRef>
              <c:f>Ref!$AE$15:$AE$16</c:f>
              <c:numCache>
                <c:formatCode>0.000</c:formatCode>
                <c:ptCount val="2"/>
                <c:pt idx="0">
                  <c:v>0</c:v>
                </c:pt>
                <c:pt idx="1">
                  <c:v>0.76190476190476186</c:v>
                </c:pt>
              </c:numCache>
            </c:numRef>
          </c:yVal>
          <c:smooth val="0"/>
        </c:ser>
        <c:ser>
          <c:idx val="5"/>
          <c:order val="6"/>
          <c:tx>
            <c:v>Rocks</c:v>
          </c:tx>
          <c:spPr>
            <a:ln w="28575">
              <a:noFill/>
            </a:ln>
          </c:spPr>
          <c:marker>
            <c:symbol val="square"/>
            <c:size val="6"/>
            <c:spPr>
              <a:solidFill>
                <a:srgbClr val="C0C0C0"/>
              </a:solidFill>
              <a:ln>
                <a:solidFill>
                  <a:srgbClr val="800000"/>
                </a:solidFill>
                <a:prstDash val="solid"/>
              </a:ln>
            </c:spPr>
          </c:marker>
          <c:dLbls>
            <c:dLbl>
              <c:idx val="0"/>
              <c:layout/>
              <c:tx>
                <c:strRef>
                  <c:f>Ref!$B$4</c:f>
                  <c:strCache>
                    <c:ptCount val="1"/>
                    <c:pt idx="0">
                      <c:v>Granite</c:v>
                    </c:pt>
                  </c:strCache>
                </c:strRef>
              </c:tx>
              <c:showLegendKey val="0"/>
              <c:showVal val="0"/>
              <c:showCatName val="0"/>
              <c:showSerName val="0"/>
              <c:showPercent val="0"/>
              <c:showBubbleSize val="0"/>
            </c:dLbl>
            <c:dLbl>
              <c:idx val="1"/>
              <c:tx>
                <c:strRef>
                  <c:f>Input!#REF!</c:f>
                  <c:strCache>
                    <c:ptCount val="1"/>
                    <c:pt idx="0">
                      <c:v>#REF!</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2"/>
              <c:layout/>
              <c:tx>
                <c:strRef>
                  <c:f>Ref!$B$6</c:f>
                  <c:strCache>
                    <c:ptCount val="1"/>
                    <c:pt idx="0">
                      <c:v>Basalt</c:v>
                    </c:pt>
                  </c:strCache>
                </c:strRef>
              </c:tx>
              <c:showLegendKey val="0"/>
              <c:showVal val="0"/>
              <c:showCatName val="0"/>
              <c:showSerName val="0"/>
              <c:showPercent val="0"/>
              <c:showBubbleSize val="0"/>
            </c:dLbl>
            <c:dLbl>
              <c:idx val="6"/>
              <c:layout/>
              <c:tx>
                <c:strRef>
                  <c:f>Ref!$B$10</c:f>
                  <c:strCache>
                    <c:ptCount val="1"/>
                    <c:pt idx="0">
                      <c:v>Shale</c:v>
                    </c:pt>
                  </c:strCache>
                </c:strRef>
              </c:tx>
              <c:showLegendKey val="0"/>
              <c:showVal val="0"/>
              <c:showCatName val="0"/>
              <c:showSerName val="0"/>
              <c:showPercent val="0"/>
              <c:showBubbleSize val="0"/>
            </c:dLbl>
            <c:dLbl>
              <c:idx val="7"/>
              <c:layout/>
              <c:tx>
                <c:strRef>
                  <c:f>Ref!$B$11</c:f>
                  <c:strCache>
                    <c:ptCount val="1"/>
                    <c:pt idx="0">
                      <c:v>Seawater</c:v>
                    </c:pt>
                  </c:strCache>
                </c:strRef>
              </c:tx>
              <c:showLegendKey val="0"/>
              <c:showVal val="0"/>
              <c:showCatName val="0"/>
              <c:showSerName val="0"/>
              <c:showPercent val="0"/>
              <c:showBubbleSize val="0"/>
            </c:dLbl>
            <c:spPr>
              <a:noFill/>
              <a:ln w="25400">
                <a:noFill/>
              </a:ln>
            </c:spPr>
            <c:txPr>
              <a:bodyPr/>
              <a:lstStyle/>
              <a:p>
                <a:pPr>
                  <a:defRPr sz="1200" b="1" i="0" u="none" strike="noStrike" baseline="0">
                    <a:solidFill>
                      <a:srgbClr val="808080"/>
                    </a:solidFill>
                    <a:latin typeface="Arial"/>
                    <a:ea typeface="Arial"/>
                    <a:cs typeface="Arial"/>
                  </a:defRPr>
                </a:pPr>
                <a:endParaRPr lang="en-US"/>
              </a:p>
            </c:txPr>
            <c:showLegendKey val="0"/>
            <c:showVal val="1"/>
            <c:showCatName val="0"/>
            <c:showSerName val="0"/>
            <c:showPercent val="0"/>
            <c:showBubbleSize val="0"/>
            <c:showLeaderLines val="0"/>
          </c:dLbls>
          <c:xVal>
            <c:numRef>
              <c:f>Ref!$AD$4:$AD$11</c:f>
              <c:numCache>
                <c:formatCode>0.000</c:formatCode>
                <c:ptCount val="8"/>
                <c:pt idx="0">
                  <c:v>0.11714637681159421</c:v>
                </c:pt>
                <c:pt idx="2">
                  <c:v>0.10646737588652483</c:v>
                </c:pt>
                <c:pt idx="6">
                  <c:v>9.923593750000001E-2</c:v>
                </c:pt>
                <c:pt idx="7">
                  <c:v>0.15867404580152672</c:v>
                </c:pt>
              </c:numCache>
            </c:numRef>
          </c:xVal>
          <c:yVal>
            <c:numRef>
              <c:f>Ref!$AE$4:$AE$11</c:f>
              <c:numCache>
                <c:formatCode>0.000</c:formatCode>
                <c:ptCount val="8"/>
                <c:pt idx="0">
                  <c:v>5.7971014492753624E-2</c:v>
                </c:pt>
                <c:pt idx="2">
                  <c:v>0.11347517730496454</c:v>
                </c:pt>
                <c:pt idx="6">
                  <c:v>7.8125E-2</c:v>
                </c:pt>
                <c:pt idx="7">
                  <c:v>0.25954198473282442</c:v>
                </c:pt>
              </c:numCache>
            </c:numRef>
          </c:yVal>
          <c:smooth val="0"/>
        </c:ser>
        <c:ser>
          <c:idx val="4"/>
          <c:order val="7"/>
          <c:tx>
            <c:v>data</c:v>
          </c:tx>
          <c:spPr>
            <a:ln w="28575">
              <a:noFill/>
            </a:ln>
          </c:spPr>
          <c:marker>
            <c:symbol val="diamond"/>
            <c:size val="7"/>
            <c:spPr>
              <a:solidFill>
                <a:srgbClr val="800080"/>
              </a:solidFill>
              <a:ln>
                <a:solidFill>
                  <a:srgbClr val="800080"/>
                </a:solidFill>
                <a:prstDash val="solid"/>
              </a:ln>
            </c:spPr>
          </c:marker>
          <c:dLbls>
            <c:dLbl>
              <c:idx val="0"/>
              <c:tx>
                <c:strRef>
                  <c:f>Input!$AH$8</c:f>
                  <c:strCache>
                    <c:ptCount val="1"/>
                    <c:pt idx="0">
                      <c:v>0</c:v>
                    </c:pt>
                  </c:strCache>
                </c:strRef>
              </c:tx>
              <c:dLblPos val="t"/>
              <c:showLegendKey val="0"/>
              <c:showVal val="0"/>
              <c:showCatName val="0"/>
              <c:showSerName val="0"/>
              <c:showPercent val="0"/>
              <c:showBubbleSize val="0"/>
            </c:dLbl>
            <c:dLbl>
              <c:idx val="1"/>
              <c:tx>
                <c:strRef>
                  <c:f>Input!$AH$9</c:f>
                  <c:strCache>
                    <c:ptCount val="1"/>
                    <c:pt idx="0">
                      <c:v>0</c:v>
                    </c:pt>
                  </c:strCache>
                </c:strRef>
              </c:tx>
              <c:dLblPos val="t"/>
              <c:showLegendKey val="0"/>
              <c:showVal val="0"/>
              <c:showCatName val="0"/>
              <c:showSerName val="0"/>
              <c:showPercent val="0"/>
              <c:showBubbleSize val="0"/>
            </c:dLbl>
            <c:dLbl>
              <c:idx val="2"/>
              <c:tx>
                <c:strRef>
                  <c:f>Input!$AH$10</c:f>
                  <c:strCache>
                    <c:ptCount val="1"/>
                    <c:pt idx="0">
                      <c:v>0</c:v>
                    </c:pt>
                  </c:strCache>
                </c:strRef>
              </c:tx>
              <c:dLblPos val="t"/>
              <c:showLegendKey val="0"/>
              <c:showVal val="0"/>
              <c:showCatName val="0"/>
              <c:showSerName val="0"/>
              <c:showPercent val="0"/>
              <c:showBubbleSize val="0"/>
            </c:dLbl>
            <c:dLbl>
              <c:idx val="3"/>
              <c:tx>
                <c:strRef>
                  <c:f>Input!$AH$11</c:f>
                  <c:strCache>
                    <c:ptCount val="1"/>
                    <c:pt idx="0">
                      <c:v>0</c:v>
                    </c:pt>
                  </c:strCache>
                </c:strRef>
              </c:tx>
              <c:dLblPos val="t"/>
              <c:showLegendKey val="0"/>
              <c:showVal val="0"/>
              <c:showCatName val="0"/>
              <c:showSerName val="0"/>
              <c:showPercent val="0"/>
              <c:showBubbleSize val="0"/>
            </c:dLbl>
            <c:dLbl>
              <c:idx val="4"/>
              <c:tx>
                <c:strRef>
                  <c:f>Input!$AH$12</c:f>
                  <c:strCache>
                    <c:ptCount val="1"/>
                    <c:pt idx="0">
                      <c:v>0</c:v>
                    </c:pt>
                  </c:strCache>
                </c:strRef>
              </c:tx>
              <c:dLblPos val="t"/>
              <c:showLegendKey val="0"/>
              <c:showVal val="0"/>
              <c:showCatName val="0"/>
              <c:showSerName val="0"/>
              <c:showPercent val="0"/>
              <c:showBubbleSize val="0"/>
            </c:dLbl>
            <c:dLbl>
              <c:idx val="5"/>
              <c:tx>
                <c:strRef>
                  <c:f>Input!$AH$13</c:f>
                  <c:strCache>
                    <c:ptCount val="1"/>
                    <c:pt idx="0">
                      <c:v>0</c:v>
                    </c:pt>
                  </c:strCache>
                </c:strRef>
              </c:tx>
              <c:dLblPos val="t"/>
              <c:showLegendKey val="0"/>
              <c:showVal val="0"/>
              <c:showCatName val="0"/>
              <c:showSerName val="0"/>
              <c:showPercent val="0"/>
              <c:showBubbleSize val="0"/>
            </c:dLbl>
            <c:dLbl>
              <c:idx val="6"/>
              <c:tx>
                <c:strRef>
                  <c:f>Input!$AH$14</c:f>
                  <c:strCache>
                    <c:ptCount val="1"/>
                    <c:pt idx="0">
                      <c:v>0</c:v>
                    </c:pt>
                  </c:strCache>
                </c:strRef>
              </c:tx>
              <c:dLblPos val="t"/>
              <c:showLegendKey val="0"/>
              <c:showVal val="0"/>
              <c:showCatName val="0"/>
              <c:showSerName val="0"/>
              <c:showPercent val="0"/>
              <c:showBubbleSize val="0"/>
            </c:dLbl>
            <c:dLbl>
              <c:idx val="7"/>
              <c:tx>
                <c:strRef>
                  <c:f>Input!$AH$15</c:f>
                  <c:strCache>
                    <c:ptCount val="1"/>
                    <c:pt idx="0">
                      <c:v>0</c:v>
                    </c:pt>
                  </c:strCache>
                </c:strRef>
              </c:tx>
              <c:dLblPos val="t"/>
              <c:showLegendKey val="0"/>
              <c:showVal val="0"/>
              <c:showCatName val="0"/>
              <c:showSerName val="0"/>
              <c:showPercent val="0"/>
              <c:showBubbleSize val="0"/>
            </c:dLbl>
            <c:dLbl>
              <c:idx val="8"/>
              <c:tx>
                <c:strRef>
                  <c:f>Input!$AH$16</c:f>
                  <c:strCache>
                    <c:ptCount val="1"/>
                    <c:pt idx="0">
                      <c:v>0</c:v>
                    </c:pt>
                  </c:strCache>
                </c:strRef>
              </c:tx>
              <c:dLblPos val="t"/>
              <c:showLegendKey val="0"/>
              <c:showVal val="0"/>
              <c:showCatName val="0"/>
              <c:showSerName val="0"/>
              <c:showPercent val="0"/>
              <c:showBubbleSize val="0"/>
            </c:dLbl>
            <c:dLbl>
              <c:idx val="9"/>
              <c:tx>
                <c:strRef>
                  <c:f>Input!$AH$17</c:f>
                  <c:strCache>
                    <c:ptCount val="1"/>
                    <c:pt idx="0">
                      <c:v>0</c:v>
                    </c:pt>
                  </c:strCache>
                </c:strRef>
              </c:tx>
              <c:dLblPos val="t"/>
              <c:showLegendKey val="0"/>
              <c:showVal val="0"/>
              <c:showCatName val="0"/>
              <c:showSerName val="0"/>
              <c:showPercent val="0"/>
              <c:showBubbleSize val="0"/>
            </c:dLbl>
            <c:dLbl>
              <c:idx val="10"/>
              <c:tx>
                <c:strRef>
                  <c:f>Input!$AH$18</c:f>
                  <c:strCache>
                    <c:ptCount val="1"/>
                    <c:pt idx="0">
                      <c:v>0</c:v>
                    </c:pt>
                  </c:strCache>
                </c:strRef>
              </c:tx>
              <c:dLblPos val="t"/>
              <c:showLegendKey val="0"/>
              <c:showVal val="0"/>
              <c:showCatName val="0"/>
              <c:showSerName val="0"/>
              <c:showPercent val="0"/>
              <c:showBubbleSize val="0"/>
            </c:dLbl>
            <c:dLbl>
              <c:idx val="11"/>
              <c:tx>
                <c:strRef>
                  <c:f>Input!$AH$19</c:f>
                  <c:strCache>
                    <c:ptCount val="1"/>
                    <c:pt idx="0">
                      <c:v>0</c:v>
                    </c:pt>
                  </c:strCache>
                </c:strRef>
              </c:tx>
              <c:dLblPos val="t"/>
              <c:showLegendKey val="0"/>
              <c:showVal val="0"/>
              <c:showCatName val="0"/>
              <c:showSerName val="0"/>
              <c:showPercent val="0"/>
              <c:showBubbleSize val="0"/>
            </c:dLbl>
            <c:dLbl>
              <c:idx val="12"/>
              <c:tx>
                <c:strRef>
                  <c:f>Input!$AH$20</c:f>
                  <c:strCache>
                    <c:ptCount val="1"/>
                    <c:pt idx="0">
                      <c:v>0</c:v>
                    </c:pt>
                  </c:strCache>
                </c:strRef>
              </c:tx>
              <c:dLblPos val="t"/>
              <c:showLegendKey val="0"/>
              <c:showVal val="0"/>
              <c:showCatName val="0"/>
              <c:showSerName val="0"/>
              <c:showPercent val="0"/>
              <c:showBubbleSize val="0"/>
            </c:dLbl>
            <c:dLbl>
              <c:idx val="13"/>
              <c:tx>
                <c:strRef>
                  <c:f>Input!$AH$21</c:f>
                  <c:strCache>
                    <c:ptCount val="1"/>
                    <c:pt idx="0">
                      <c:v>0</c:v>
                    </c:pt>
                  </c:strCache>
                </c:strRef>
              </c:tx>
              <c:dLblPos val="t"/>
              <c:showLegendKey val="0"/>
              <c:showVal val="0"/>
              <c:showCatName val="0"/>
              <c:showSerName val="0"/>
              <c:showPercent val="0"/>
              <c:showBubbleSize val="0"/>
            </c:dLbl>
            <c:dLbl>
              <c:idx val="14"/>
              <c:tx>
                <c:strRef>
                  <c:f>Input!$AH$22</c:f>
                  <c:strCache>
                    <c:ptCount val="1"/>
                    <c:pt idx="0">
                      <c:v>0</c:v>
                    </c:pt>
                  </c:strCache>
                </c:strRef>
              </c:tx>
              <c:dLblPos val="t"/>
              <c:showLegendKey val="0"/>
              <c:showVal val="0"/>
              <c:showCatName val="0"/>
              <c:showSerName val="0"/>
              <c:showPercent val="0"/>
              <c:showBubbleSize val="0"/>
            </c:dLbl>
            <c:dLbl>
              <c:idx val="15"/>
              <c:tx>
                <c:strRef>
                  <c:f>Input!$AH$23</c:f>
                  <c:strCache>
                    <c:ptCount val="1"/>
                    <c:pt idx="0">
                      <c:v>0</c:v>
                    </c:pt>
                  </c:strCache>
                </c:strRef>
              </c:tx>
              <c:dLblPos val="t"/>
              <c:showLegendKey val="0"/>
              <c:showVal val="0"/>
              <c:showCatName val="0"/>
              <c:showSerName val="0"/>
              <c:showPercent val="0"/>
              <c:showBubbleSize val="0"/>
            </c:dLbl>
            <c:dLbl>
              <c:idx val="16"/>
              <c:tx>
                <c:strRef>
                  <c:f>Input!$AH$24</c:f>
                  <c:strCache>
                    <c:ptCount val="1"/>
                    <c:pt idx="0">
                      <c:v>0</c:v>
                    </c:pt>
                  </c:strCache>
                </c:strRef>
              </c:tx>
              <c:dLblPos val="t"/>
              <c:showLegendKey val="0"/>
              <c:showVal val="0"/>
              <c:showCatName val="0"/>
              <c:showSerName val="0"/>
              <c:showPercent val="0"/>
              <c:showBubbleSize val="0"/>
            </c:dLbl>
            <c:dLbl>
              <c:idx val="17"/>
              <c:tx>
                <c:strRef>
                  <c:f>Input!$AH$25</c:f>
                  <c:strCache>
                    <c:ptCount val="1"/>
                    <c:pt idx="0">
                      <c:v>0</c:v>
                    </c:pt>
                  </c:strCache>
                </c:strRef>
              </c:tx>
              <c:dLblPos val="t"/>
              <c:showLegendKey val="0"/>
              <c:showVal val="0"/>
              <c:showCatName val="0"/>
              <c:showSerName val="0"/>
              <c:showPercent val="0"/>
              <c:showBubbleSize val="0"/>
            </c:dLbl>
            <c:dLbl>
              <c:idx val="18"/>
              <c:tx>
                <c:strRef>
                  <c:f>Input!$AH$26</c:f>
                  <c:strCache>
                    <c:ptCount val="1"/>
                    <c:pt idx="0">
                      <c:v>0</c:v>
                    </c:pt>
                  </c:strCache>
                </c:strRef>
              </c:tx>
              <c:dLblPos val="t"/>
              <c:showLegendKey val="0"/>
              <c:showVal val="0"/>
              <c:showCatName val="0"/>
              <c:showSerName val="0"/>
              <c:showPercent val="0"/>
              <c:showBubbleSize val="0"/>
            </c:dLbl>
            <c:dLbl>
              <c:idx val="19"/>
              <c:tx>
                <c:strRef>
                  <c:f>Input!$AH$27</c:f>
                  <c:strCache>
                    <c:ptCount val="1"/>
                    <c:pt idx="0">
                      <c:v>0</c:v>
                    </c:pt>
                  </c:strCache>
                </c:strRef>
              </c:tx>
              <c:dLblPos val="t"/>
              <c:showLegendKey val="0"/>
              <c:showVal val="0"/>
              <c:showCatName val="0"/>
              <c:showSerName val="0"/>
              <c:showPercent val="0"/>
              <c:showBubbleSize val="0"/>
            </c:dLbl>
            <c:dLbl>
              <c:idx val="20"/>
              <c:tx>
                <c:strRef>
                  <c:f>Input!$AH$28</c:f>
                  <c:strCache>
                    <c:ptCount val="1"/>
                    <c:pt idx="0">
                      <c:v>0</c:v>
                    </c:pt>
                  </c:strCache>
                </c:strRef>
              </c:tx>
              <c:dLblPos val="t"/>
              <c:showLegendKey val="0"/>
              <c:showVal val="0"/>
              <c:showCatName val="0"/>
              <c:showSerName val="0"/>
              <c:showPercent val="0"/>
              <c:showBubbleSize val="0"/>
            </c:dLbl>
            <c:dLbl>
              <c:idx val="21"/>
              <c:tx>
                <c:strRef>
                  <c:f>Input!$AH$29</c:f>
                  <c:strCache>
                    <c:ptCount val="1"/>
                    <c:pt idx="0">
                      <c:v>0</c:v>
                    </c:pt>
                  </c:strCache>
                </c:strRef>
              </c:tx>
              <c:dLblPos val="t"/>
              <c:showLegendKey val="0"/>
              <c:showVal val="0"/>
              <c:showCatName val="0"/>
              <c:showSerName val="0"/>
              <c:showPercent val="0"/>
              <c:showBubbleSize val="0"/>
            </c:dLbl>
            <c:dLbl>
              <c:idx val="22"/>
              <c:tx>
                <c:strRef>
                  <c:f>Input!$AH$30</c:f>
                  <c:strCache>
                    <c:ptCount val="1"/>
                    <c:pt idx="0">
                      <c:v>0</c:v>
                    </c:pt>
                  </c:strCache>
                </c:strRef>
              </c:tx>
              <c:dLblPos val="t"/>
              <c:showLegendKey val="0"/>
              <c:showVal val="0"/>
              <c:showCatName val="0"/>
              <c:showSerName val="0"/>
              <c:showPercent val="0"/>
              <c:showBubbleSize val="0"/>
            </c:dLbl>
            <c:dLbl>
              <c:idx val="23"/>
              <c:tx>
                <c:strRef>
                  <c:f>Input!$AH$31</c:f>
                  <c:strCache>
                    <c:ptCount val="1"/>
                    <c:pt idx="0">
                      <c:v>0</c:v>
                    </c:pt>
                  </c:strCache>
                </c:strRef>
              </c:tx>
              <c:dLblPos val="t"/>
              <c:showLegendKey val="0"/>
              <c:showVal val="0"/>
              <c:showCatName val="0"/>
              <c:showSerName val="0"/>
              <c:showPercent val="0"/>
              <c:showBubbleSize val="0"/>
            </c:dLbl>
            <c:dLbl>
              <c:idx val="24"/>
              <c:tx>
                <c:strRef>
                  <c:f>Input!$AH$32</c:f>
                  <c:strCache>
                    <c:ptCount val="1"/>
                    <c:pt idx="0">
                      <c:v>0</c:v>
                    </c:pt>
                  </c:strCache>
                </c:strRef>
              </c:tx>
              <c:dLblPos val="t"/>
              <c:showLegendKey val="0"/>
              <c:showVal val="0"/>
              <c:showCatName val="0"/>
              <c:showSerName val="0"/>
              <c:showPercent val="0"/>
              <c:showBubbleSize val="0"/>
            </c:dLbl>
            <c:dLbl>
              <c:idx val="25"/>
              <c:tx>
                <c:strRef>
                  <c:f>Input!$AH$33</c:f>
                  <c:strCache>
                    <c:ptCount val="1"/>
                    <c:pt idx="0">
                      <c:v>0</c:v>
                    </c:pt>
                  </c:strCache>
                </c:strRef>
              </c:tx>
              <c:dLblPos val="t"/>
              <c:showLegendKey val="0"/>
              <c:showVal val="0"/>
              <c:showCatName val="0"/>
              <c:showSerName val="0"/>
              <c:showPercent val="0"/>
              <c:showBubbleSize val="0"/>
            </c:dLbl>
            <c:dLbl>
              <c:idx val="26"/>
              <c:tx>
                <c:strRef>
                  <c:f>Input!$AH$34</c:f>
                  <c:strCache>
                    <c:ptCount val="1"/>
                    <c:pt idx="0">
                      <c:v>0</c:v>
                    </c:pt>
                  </c:strCache>
                </c:strRef>
              </c:tx>
              <c:dLblPos val="t"/>
              <c:showLegendKey val="0"/>
              <c:showVal val="0"/>
              <c:showCatName val="0"/>
              <c:showSerName val="0"/>
              <c:showPercent val="0"/>
              <c:showBubbleSize val="0"/>
            </c:dLbl>
            <c:dLbl>
              <c:idx val="27"/>
              <c:tx>
                <c:strRef>
                  <c:f>Input!$AH$35</c:f>
                  <c:strCache>
                    <c:ptCount val="1"/>
                    <c:pt idx="0">
                      <c:v>0</c:v>
                    </c:pt>
                  </c:strCache>
                </c:strRef>
              </c:tx>
              <c:dLblPos val="t"/>
              <c:showLegendKey val="0"/>
              <c:showVal val="0"/>
              <c:showCatName val="0"/>
              <c:showSerName val="0"/>
              <c:showPercent val="0"/>
              <c:showBubbleSize val="0"/>
            </c:dLbl>
            <c:dLbl>
              <c:idx val="28"/>
              <c:tx>
                <c:strRef>
                  <c:f>Input!$AH$36</c:f>
                  <c:strCache>
                    <c:ptCount val="1"/>
                    <c:pt idx="0">
                      <c:v>0</c:v>
                    </c:pt>
                  </c:strCache>
                </c:strRef>
              </c:tx>
              <c:dLblPos val="t"/>
              <c:showLegendKey val="0"/>
              <c:showVal val="0"/>
              <c:showCatName val="0"/>
              <c:showSerName val="0"/>
              <c:showPercent val="0"/>
              <c:showBubbleSize val="0"/>
            </c:dLbl>
            <c:dLbl>
              <c:idx val="29"/>
              <c:tx>
                <c:strRef>
                  <c:f>Input!$AH$37</c:f>
                  <c:strCache>
                    <c:ptCount val="1"/>
                    <c:pt idx="0">
                      <c:v>0</c:v>
                    </c:pt>
                  </c:strCache>
                </c:strRef>
              </c:tx>
              <c:dLblPos val="t"/>
              <c:showLegendKey val="0"/>
              <c:showVal val="0"/>
              <c:showCatName val="0"/>
              <c:showSerName val="0"/>
              <c:showPercent val="0"/>
              <c:showBubbleSize val="0"/>
            </c:dLbl>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dLbls>
          <c:xVal>
            <c:numRef>
              <c:f>Input!$CD$8:$CD$37</c:f>
              <c:numCache>
                <c:formatCode>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formatCode="General">
                  <c:v>0</c:v>
                </c:pt>
              </c:numCache>
            </c:numRef>
          </c:xVal>
          <c:yVal>
            <c:numRef>
              <c:f>Input!$CE$8:$CE$37</c:f>
              <c:numCache>
                <c:formatCode>0.000</c:formatCode>
                <c:ptCount val="3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formatCode="General">
                  <c:v>-1</c:v>
                </c:pt>
              </c:numCache>
            </c:numRef>
          </c:yVal>
          <c:smooth val="0"/>
        </c:ser>
        <c:dLbls>
          <c:showLegendKey val="0"/>
          <c:showVal val="0"/>
          <c:showCatName val="0"/>
          <c:showSerName val="0"/>
          <c:showPercent val="0"/>
          <c:showBubbleSize val="0"/>
        </c:dLbls>
        <c:axId val="113248512"/>
        <c:axId val="113262592"/>
      </c:scatterChart>
      <c:valAx>
        <c:axId val="113248512"/>
        <c:scaling>
          <c:orientation val="minMax"/>
          <c:max val="1.4"/>
          <c:min val="-0.2"/>
        </c:scaling>
        <c:delete val="1"/>
        <c:axPos val="b"/>
        <c:numFmt formatCode="General" sourceLinked="1"/>
        <c:majorTickMark val="out"/>
        <c:minorTickMark val="none"/>
        <c:tickLblPos val="none"/>
        <c:crossAx val="113262592"/>
        <c:crosses val="autoZero"/>
        <c:crossBetween val="midCat"/>
      </c:valAx>
      <c:valAx>
        <c:axId val="113262592"/>
        <c:scaling>
          <c:orientation val="minMax"/>
          <c:max val="1.2"/>
          <c:min val="-0.2"/>
        </c:scaling>
        <c:delete val="1"/>
        <c:axPos val="l"/>
        <c:numFmt formatCode="General" sourceLinked="1"/>
        <c:majorTickMark val="out"/>
        <c:minorTickMark val="none"/>
        <c:tickLblPos val="none"/>
        <c:crossAx val="113248512"/>
        <c:crosses val="autoZero"/>
        <c:crossBetween val="midCat"/>
      </c:valAx>
      <c:spPr>
        <a:noFill/>
        <a:ln w="25400">
          <a:noFill/>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2208657047724751E-2"/>
          <c:y val="1.9801980198019813E-2"/>
          <c:w val="0.94894561598224192"/>
          <c:h val="0.96605374823196577"/>
        </c:manualLayout>
      </c:layout>
      <c:scatterChart>
        <c:scatterStyle val="lineMarker"/>
        <c:varyColors val="0"/>
        <c:ser>
          <c:idx val="0"/>
          <c:order val="0"/>
          <c:tx>
            <c:v>border</c:v>
          </c:tx>
          <c:spPr>
            <a:ln w="38100">
              <a:solidFill>
                <a:srgbClr val="000000"/>
              </a:solidFill>
              <a:prstDash val="solid"/>
            </a:ln>
          </c:spPr>
          <c:marker>
            <c:symbol val="none"/>
          </c:marker>
          <c:dLbls>
            <c:dLbl>
              <c:idx val="0"/>
              <c:delete val="1"/>
            </c:dLbl>
            <c:dLbl>
              <c:idx val="1"/>
              <c:layout/>
              <c:tx>
                <c:strRef>
                  <c:f>Input!$BV$7</c:f>
                  <c:strCache>
                    <c:ptCount val="1"/>
                    <c:pt idx="0">
                      <c:v>Cl</c:v>
                    </c:pt>
                  </c:strCache>
                </c:strRef>
              </c:tx>
              <c:spPr>
                <a:noFill/>
                <a:ln w="25400">
                  <a:noFill/>
                </a:ln>
              </c:spPr>
              <c:txPr>
                <a:bodyPr/>
                <a:lstStyle/>
                <a:p>
                  <a:pPr algn="l">
                    <a:defRPr sz="1600" b="1"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
              <c:layout/>
              <c:tx>
                <c:strRef>
                  <c:f>Input!$BX$7</c:f>
                  <c:strCache>
                    <c:ptCount val="1"/>
                    <c:pt idx="0">
                      <c:v>25 B</c:v>
                    </c:pt>
                  </c:strCache>
                </c:strRef>
              </c:tx>
              <c:spPr>
                <a:noFill/>
                <a:ln w="25400">
                  <a:noFill/>
                </a:ln>
              </c:spPr>
              <c:txPr>
                <a:bodyPr/>
                <a:lstStyle/>
                <a:p>
                  <a:pPr algn="l">
                    <a:defRPr sz="1600" b="1"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3"/>
              <c:layout/>
              <c:tx>
                <c:strRef>
                  <c:f>Input!$BW$7</c:f>
                  <c:strCache>
                    <c:ptCount val="1"/>
                    <c:pt idx="0">
                      <c:v>100 Li</c:v>
                    </c:pt>
                  </c:strCache>
                </c:strRef>
              </c:tx>
              <c:spPr>
                <a:noFill/>
                <a:ln w="25400">
                  <a:noFill/>
                </a:ln>
              </c:spPr>
              <c:txPr>
                <a:bodyPr/>
                <a:lstStyle/>
                <a:p>
                  <a:pPr>
                    <a:defRPr sz="1600" b="1" i="0" u="none" strike="noStrike" baseline="0">
                      <a:solidFill>
                        <a:srgbClr val="000000"/>
                      </a:solidFill>
                      <a:latin typeface="Arial"/>
                      <a:ea typeface="Arial"/>
                      <a:cs typeface="Arial"/>
                    </a:defRPr>
                  </a:pPr>
                  <a:endParaRPr lang="en-US"/>
                </a:p>
              </c:txPr>
              <c:dLblPos val="l"/>
              <c:showLegendKey val="0"/>
              <c:showVal val="0"/>
              <c:showCatName val="0"/>
              <c:showSerName val="0"/>
              <c:showPercent val="0"/>
              <c:showBubbleSize val="0"/>
            </c:dLbl>
            <c:spPr>
              <a:noFill/>
              <a:ln w="25400">
                <a:noFill/>
              </a:ln>
            </c:spPr>
            <c:txPr>
              <a:bodyPr/>
              <a:lstStyle/>
              <a:p>
                <a:pPr algn="l">
                  <a:defRPr sz="16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xVal>
            <c:numRef>
              <c:f>Tgrid!$A$5:$A$8</c:f>
              <c:numCache>
                <c:formatCode>General</c:formatCode>
                <c:ptCount val="4"/>
                <c:pt idx="0">
                  <c:v>0</c:v>
                </c:pt>
                <c:pt idx="1">
                  <c:v>0.57740000000000002</c:v>
                </c:pt>
                <c:pt idx="2">
                  <c:v>1.1547000000000001</c:v>
                </c:pt>
                <c:pt idx="3">
                  <c:v>0</c:v>
                </c:pt>
              </c:numCache>
            </c:numRef>
          </c:xVal>
          <c:yVal>
            <c:numRef>
              <c:f>Tgrid!$B$5:$B$8</c:f>
              <c:numCache>
                <c:formatCode>General</c:formatCode>
                <c:ptCount val="4"/>
                <c:pt idx="0">
                  <c:v>0</c:v>
                </c:pt>
                <c:pt idx="1">
                  <c:v>1</c:v>
                </c:pt>
                <c:pt idx="2">
                  <c:v>0</c:v>
                </c:pt>
                <c:pt idx="3">
                  <c:v>0</c:v>
                </c:pt>
              </c:numCache>
            </c:numRef>
          </c:yVal>
          <c:smooth val="0"/>
        </c:ser>
        <c:ser>
          <c:idx val="1"/>
          <c:order val="1"/>
          <c:tx>
            <c:v>A grid</c:v>
          </c:tx>
          <c:spPr>
            <a:ln w="3175">
              <a:solidFill>
                <a:srgbClr val="969696"/>
              </a:solidFill>
              <a:prstDash val="sysDash"/>
            </a:ln>
          </c:spPr>
          <c:marker>
            <c:symbol val="none"/>
          </c:marker>
          <c:dLbls>
            <c:dLbl>
              <c:idx val="0"/>
              <c:layout/>
              <c:tx>
                <c:rich>
                  <a:bodyPr/>
                  <a:lstStyle/>
                  <a:p>
                    <a:r>
                      <a:rPr lang="en-NZ"/>
                      <a:t>10%</a:t>
                    </a:r>
                  </a:p>
                </c:rich>
              </c:tx>
              <c:dLblPos val="l"/>
              <c:showLegendKey val="0"/>
              <c:showVal val="0"/>
              <c:showCatName val="0"/>
              <c:showSerName val="0"/>
              <c:showPercent val="0"/>
              <c:showBubbleSize val="0"/>
            </c:dLbl>
            <c:dLbl>
              <c:idx val="1"/>
              <c:delete val="1"/>
            </c:dLbl>
            <c:dLbl>
              <c:idx val="2"/>
              <c:delete val="1"/>
            </c:dLbl>
            <c:dLbl>
              <c:idx val="3"/>
              <c:layout/>
              <c:tx>
                <c:rich>
                  <a:bodyPr/>
                  <a:lstStyle/>
                  <a:p>
                    <a:r>
                      <a:rPr lang="en-NZ"/>
                      <a:t>20%</a:t>
                    </a:r>
                  </a:p>
                </c:rich>
              </c:tx>
              <c:dLblPos val="l"/>
              <c:showLegendKey val="0"/>
              <c:showVal val="0"/>
              <c:showCatName val="0"/>
              <c:showSerName val="0"/>
              <c:showPercent val="0"/>
              <c:showBubbleSize val="0"/>
            </c:dLbl>
            <c:dLbl>
              <c:idx val="4"/>
              <c:layout/>
              <c:tx>
                <c:rich>
                  <a:bodyPr/>
                  <a:lstStyle/>
                  <a:p>
                    <a:r>
                      <a:rPr lang="en-NZ"/>
                      <a:t>30%</a:t>
                    </a:r>
                  </a:p>
                </c:rich>
              </c:tx>
              <c:dLblPos val="l"/>
              <c:showLegendKey val="0"/>
              <c:showVal val="0"/>
              <c:showCatName val="0"/>
              <c:showSerName val="0"/>
              <c:showPercent val="0"/>
              <c:showBubbleSize val="0"/>
            </c:dLbl>
            <c:dLbl>
              <c:idx val="5"/>
              <c:delete val="1"/>
            </c:dLbl>
            <c:dLbl>
              <c:idx val="6"/>
              <c:delete val="1"/>
            </c:dLbl>
            <c:dLbl>
              <c:idx val="7"/>
              <c:layout/>
              <c:tx>
                <c:rich>
                  <a:bodyPr/>
                  <a:lstStyle/>
                  <a:p>
                    <a:r>
                      <a:rPr lang="en-NZ"/>
                      <a:t>40%</a:t>
                    </a:r>
                  </a:p>
                </c:rich>
              </c:tx>
              <c:dLblPos val="l"/>
              <c:showLegendKey val="0"/>
              <c:showVal val="0"/>
              <c:showCatName val="0"/>
              <c:showSerName val="0"/>
              <c:showPercent val="0"/>
              <c:showBubbleSize val="0"/>
            </c:dLbl>
            <c:dLbl>
              <c:idx val="8"/>
              <c:layout/>
              <c:tx>
                <c:rich>
                  <a:bodyPr/>
                  <a:lstStyle/>
                  <a:p>
                    <a:r>
                      <a:rPr lang="en-NZ"/>
                      <a:t>50%</a:t>
                    </a:r>
                  </a:p>
                </c:rich>
              </c:tx>
              <c:dLblPos val="l"/>
              <c:showLegendKey val="0"/>
              <c:showVal val="0"/>
              <c:showCatName val="0"/>
              <c:showSerName val="0"/>
              <c:showPercent val="0"/>
              <c:showBubbleSize val="0"/>
            </c:dLbl>
            <c:dLbl>
              <c:idx val="9"/>
              <c:delete val="1"/>
            </c:dLbl>
            <c:dLbl>
              <c:idx val="10"/>
              <c:delete val="1"/>
            </c:dLbl>
            <c:dLbl>
              <c:idx val="11"/>
              <c:layout/>
              <c:tx>
                <c:rich>
                  <a:bodyPr/>
                  <a:lstStyle/>
                  <a:p>
                    <a:r>
                      <a:rPr lang="en-NZ"/>
                      <a:t>60%</a:t>
                    </a:r>
                  </a:p>
                </c:rich>
              </c:tx>
              <c:dLblPos val="l"/>
              <c:showLegendKey val="0"/>
              <c:showVal val="0"/>
              <c:showCatName val="0"/>
              <c:showSerName val="0"/>
              <c:showPercent val="0"/>
              <c:showBubbleSize val="0"/>
            </c:dLbl>
            <c:dLbl>
              <c:idx val="12"/>
              <c:layout/>
              <c:tx>
                <c:rich>
                  <a:bodyPr/>
                  <a:lstStyle/>
                  <a:p>
                    <a:r>
                      <a:rPr lang="en-NZ"/>
                      <a:t>70%</a:t>
                    </a:r>
                  </a:p>
                </c:rich>
              </c:tx>
              <c:dLblPos val="l"/>
              <c:showLegendKey val="0"/>
              <c:showVal val="0"/>
              <c:showCatName val="0"/>
              <c:showSerName val="0"/>
              <c:showPercent val="0"/>
              <c:showBubbleSize val="0"/>
            </c:dLbl>
            <c:dLbl>
              <c:idx val="13"/>
              <c:delete val="1"/>
            </c:dLbl>
            <c:dLbl>
              <c:idx val="14"/>
              <c:delete val="1"/>
            </c:dLbl>
            <c:dLbl>
              <c:idx val="15"/>
              <c:layout/>
              <c:tx>
                <c:rich>
                  <a:bodyPr/>
                  <a:lstStyle/>
                  <a:p>
                    <a:r>
                      <a:rPr lang="en-NZ"/>
                      <a:t>80%</a:t>
                    </a:r>
                  </a:p>
                </c:rich>
              </c:tx>
              <c:dLblPos val="l"/>
              <c:showLegendKey val="0"/>
              <c:showVal val="0"/>
              <c:showCatName val="0"/>
              <c:showSerName val="0"/>
              <c:showPercent val="0"/>
              <c:showBubbleSize val="0"/>
            </c:dLbl>
            <c:dLbl>
              <c:idx val="16"/>
              <c:layout/>
              <c:tx>
                <c:rich>
                  <a:bodyPr/>
                  <a:lstStyle/>
                  <a:p>
                    <a:r>
                      <a:rPr lang="en-NZ"/>
                      <a:t>90%</a:t>
                    </a:r>
                  </a:p>
                </c:rich>
              </c:tx>
              <c:dLblPos val="l"/>
              <c:showLegendKey val="0"/>
              <c:showVal val="0"/>
              <c:showCatName val="0"/>
              <c:showSerName val="0"/>
              <c:showPercent val="0"/>
              <c:showBubbleSize val="0"/>
            </c:dLbl>
            <c:dLbl>
              <c:idx val="17"/>
              <c:delete val="1"/>
            </c:dLbl>
            <c:spPr>
              <a:noFill/>
              <a:ln w="25400">
                <a:noFill/>
              </a:ln>
            </c:spPr>
            <c:txPr>
              <a:bodyPr/>
              <a:lstStyle/>
              <a:p>
                <a:pPr>
                  <a:defRPr sz="1200" b="0" i="0" u="none" strike="noStrike" baseline="0">
                    <a:solidFill>
                      <a:srgbClr val="969696"/>
                    </a:solidFill>
                    <a:latin typeface="Arial"/>
                    <a:ea typeface="Arial"/>
                    <a:cs typeface="Arial"/>
                  </a:defRPr>
                </a:pPr>
                <a:endParaRPr lang="en-US"/>
              </a:p>
            </c:txPr>
            <c:dLblPos val="l"/>
            <c:showLegendKey val="0"/>
            <c:showVal val="1"/>
            <c:showCatName val="0"/>
            <c:showSerName val="0"/>
            <c:showPercent val="0"/>
            <c:showBubbleSize val="0"/>
            <c:showLeaderLines val="0"/>
          </c:dLbls>
          <c:xVal>
            <c:numRef>
              <c:f>Tgrid!$F$5:$F$22</c:f>
              <c:numCache>
                <c:formatCode>General</c:formatCode>
                <c:ptCount val="18"/>
                <c:pt idx="0">
                  <c:v>5.7740000000000007E-2</c:v>
                </c:pt>
                <c:pt idx="1">
                  <c:v>1.09697</c:v>
                </c:pt>
                <c:pt idx="2">
                  <c:v>1.0392400000000002</c:v>
                </c:pt>
                <c:pt idx="3">
                  <c:v>0.11548000000000001</c:v>
                </c:pt>
                <c:pt idx="4">
                  <c:v>0.17322000000000001</c:v>
                </c:pt>
                <c:pt idx="5">
                  <c:v>0.98150999999999999</c:v>
                </c:pt>
                <c:pt idx="6">
                  <c:v>0.92378000000000005</c:v>
                </c:pt>
                <c:pt idx="7">
                  <c:v>0.23096000000000003</c:v>
                </c:pt>
                <c:pt idx="8">
                  <c:v>0.28870000000000001</c:v>
                </c:pt>
                <c:pt idx="9">
                  <c:v>0.86604999999999999</c:v>
                </c:pt>
                <c:pt idx="10">
                  <c:v>0.80832000000000015</c:v>
                </c:pt>
                <c:pt idx="11">
                  <c:v>0.34644000000000003</c:v>
                </c:pt>
                <c:pt idx="12">
                  <c:v>0.40417999999999998</c:v>
                </c:pt>
                <c:pt idx="13">
                  <c:v>0.75058999999999998</c:v>
                </c:pt>
                <c:pt idx="14">
                  <c:v>0.69286000000000003</c:v>
                </c:pt>
                <c:pt idx="15">
                  <c:v>0.46192000000000005</c:v>
                </c:pt>
                <c:pt idx="16">
                  <c:v>0.51966000000000001</c:v>
                </c:pt>
                <c:pt idx="17">
                  <c:v>0.63512999999999997</c:v>
                </c:pt>
              </c:numCache>
            </c:numRef>
          </c:xVal>
          <c:yVal>
            <c:numRef>
              <c:f>Tgrid!$G$5:$G$22</c:f>
              <c:numCache>
                <c:formatCode>_(* #,##0.00_);_(* \(#,##0.00\);_(* "-"??_);_(@_)</c:formatCode>
                <c:ptCount val="18"/>
                <c:pt idx="0">
                  <c:v>0.1</c:v>
                </c:pt>
                <c:pt idx="1">
                  <c:v>0.1</c:v>
                </c:pt>
                <c:pt idx="2">
                  <c:v>0.2</c:v>
                </c:pt>
                <c:pt idx="3">
                  <c:v>0.2</c:v>
                </c:pt>
                <c:pt idx="4">
                  <c:v>0.3</c:v>
                </c:pt>
                <c:pt idx="5">
                  <c:v>0.3</c:v>
                </c:pt>
                <c:pt idx="6">
                  <c:v>0.4</c:v>
                </c:pt>
                <c:pt idx="7">
                  <c:v>0.4</c:v>
                </c:pt>
                <c:pt idx="8">
                  <c:v>0.5</c:v>
                </c:pt>
                <c:pt idx="9">
                  <c:v>0.5</c:v>
                </c:pt>
                <c:pt idx="10">
                  <c:v>0.6</c:v>
                </c:pt>
                <c:pt idx="11">
                  <c:v>0.6</c:v>
                </c:pt>
                <c:pt idx="12">
                  <c:v>0.7</c:v>
                </c:pt>
                <c:pt idx="13">
                  <c:v>0.7</c:v>
                </c:pt>
                <c:pt idx="14">
                  <c:v>0.8</c:v>
                </c:pt>
                <c:pt idx="15">
                  <c:v>0.8</c:v>
                </c:pt>
                <c:pt idx="16">
                  <c:v>0.9</c:v>
                </c:pt>
                <c:pt idx="17">
                  <c:v>0.9</c:v>
                </c:pt>
              </c:numCache>
            </c:numRef>
          </c:yVal>
          <c:smooth val="0"/>
        </c:ser>
        <c:ser>
          <c:idx val="2"/>
          <c:order val="2"/>
          <c:tx>
            <c:v>B grid</c:v>
          </c:tx>
          <c:spPr>
            <a:ln w="3175">
              <a:solidFill>
                <a:srgbClr val="969696"/>
              </a:solidFill>
              <a:prstDash val="sysDash"/>
            </a:ln>
          </c:spPr>
          <c:marker>
            <c:symbol val="none"/>
          </c:marker>
          <c:dLbls>
            <c:dLbl>
              <c:idx val="0"/>
              <c:layout>
                <c:manualLayout>
                  <c:x val="-2.0990733538995748E-2"/>
                  <c:y val="3.6075243069863837E-2"/>
                </c:manualLayout>
              </c:layout>
              <c:tx>
                <c:rich>
                  <a:bodyPr/>
                  <a:lstStyle/>
                  <a:p>
                    <a:r>
                      <a:rPr lang="en-NZ"/>
                      <a:t>90%</a:t>
                    </a:r>
                  </a:p>
                </c:rich>
              </c:tx>
              <c:dLblPos val="r"/>
              <c:showLegendKey val="0"/>
              <c:showVal val="0"/>
              <c:showCatName val="0"/>
              <c:showSerName val="0"/>
              <c:showPercent val="0"/>
              <c:showBubbleSize val="0"/>
            </c:dLbl>
            <c:dLbl>
              <c:idx val="1"/>
              <c:delete val="1"/>
            </c:dLbl>
            <c:dLbl>
              <c:idx val="2"/>
              <c:delete val="1"/>
            </c:dLbl>
            <c:dLbl>
              <c:idx val="3"/>
              <c:layout>
                <c:manualLayout>
                  <c:x val="-2.3992123071186575E-2"/>
                  <c:y val="3.3246388755861001E-2"/>
                </c:manualLayout>
              </c:layout>
              <c:tx>
                <c:rich>
                  <a:bodyPr/>
                  <a:lstStyle/>
                  <a:p>
                    <a:r>
                      <a:rPr lang="en-NZ"/>
                      <a:t>80%</a:t>
                    </a:r>
                  </a:p>
                </c:rich>
              </c:tx>
              <c:dLblPos val="r"/>
              <c:showLegendKey val="0"/>
              <c:showVal val="0"/>
              <c:showCatName val="0"/>
              <c:showSerName val="0"/>
              <c:showPercent val="0"/>
              <c:showBubbleSize val="0"/>
            </c:dLbl>
            <c:dLbl>
              <c:idx val="4"/>
              <c:layout>
                <c:manualLayout>
                  <c:x val="-1.9224367209370798E-2"/>
                  <c:y val="3.6075243069863837E-2"/>
                </c:manualLayout>
              </c:layout>
              <c:tx>
                <c:rich>
                  <a:bodyPr/>
                  <a:lstStyle/>
                  <a:p>
                    <a:r>
                      <a:rPr lang="en-NZ"/>
                      <a:t>70%</a:t>
                    </a:r>
                  </a:p>
                </c:rich>
              </c:tx>
              <c:dLblPos val="r"/>
              <c:showLegendKey val="0"/>
              <c:showVal val="0"/>
              <c:showCatName val="0"/>
              <c:showSerName val="0"/>
              <c:showPercent val="0"/>
              <c:showBubbleSize val="0"/>
            </c:dLbl>
            <c:dLbl>
              <c:idx val="5"/>
              <c:delete val="1"/>
            </c:dLbl>
            <c:dLbl>
              <c:idx val="6"/>
              <c:delete val="1"/>
            </c:dLbl>
            <c:dLbl>
              <c:idx val="7"/>
              <c:layout>
                <c:manualLayout>
                  <c:x val="-2.111587882813205E-2"/>
                  <c:y val="3.6075243069863837E-2"/>
                </c:manualLayout>
              </c:layout>
              <c:tx>
                <c:rich>
                  <a:bodyPr/>
                  <a:lstStyle/>
                  <a:p>
                    <a:r>
                      <a:rPr lang="en-NZ"/>
                      <a:t>60%</a:t>
                    </a:r>
                  </a:p>
                </c:rich>
              </c:tx>
              <c:dLblPos val="r"/>
              <c:showLegendKey val="0"/>
              <c:showVal val="0"/>
              <c:showCatName val="0"/>
              <c:showSerName val="0"/>
              <c:showPercent val="0"/>
              <c:showBubbleSize val="0"/>
            </c:dLbl>
            <c:dLbl>
              <c:idx val="8"/>
              <c:layout>
                <c:manualLayout>
                  <c:x val="-2.1897629056079476E-2"/>
                  <c:y val="3.6075243069863837E-2"/>
                </c:manualLayout>
              </c:layout>
              <c:tx>
                <c:rich>
                  <a:bodyPr/>
                  <a:lstStyle/>
                  <a:p>
                    <a:r>
                      <a:rPr lang="en-NZ"/>
                      <a:t>50%</a:t>
                    </a:r>
                  </a:p>
                </c:rich>
              </c:tx>
              <c:dLblPos val="r"/>
              <c:showLegendKey val="0"/>
              <c:showVal val="0"/>
              <c:showCatName val="0"/>
              <c:showSerName val="0"/>
              <c:showPercent val="0"/>
              <c:showBubbleSize val="0"/>
            </c:dLbl>
            <c:dLbl>
              <c:idx val="9"/>
              <c:delete val="1"/>
            </c:dLbl>
            <c:dLbl>
              <c:idx val="10"/>
              <c:delete val="1"/>
            </c:dLbl>
            <c:dLbl>
              <c:idx val="11"/>
              <c:layout>
                <c:manualLayout>
                  <c:x val="-1.934962902112259E-2"/>
                  <c:y val="3.6075243069863837E-2"/>
                </c:manualLayout>
              </c:layout>
              <c:tx>
                <c:rich>
                  <a:bodyPr/>
                  <a:lstStyle/>
                  <a:p>
                    <a:r>
                      <a:rPr lang="en-NZ"/>
                      <a:t>40%</a:t>
                    </a:r>
                  </a:p>
                </c:rich>
              </c:tx>
              <c:dLblPos val="r"/>
              <c:showLegendKey val="0"/>
              <c:showVal val="0"/>
              <c:showCatName val="0"/>
              <c:showSerName val="0"/>
              <c:showPercent val="0"/>
              <c:showBubbleSize val="0"/>
            </c:dLbl>
            <c:dLbl>
              <c:idx val="12"/>
              <c:layout>
                <c:manualLayout>
                  <c:x val="-1.9021384813024823E-2"/>
                  <c:y val="3.6075243069863837E-2"/>
                </c:manualLayout>
              </c:layout>
              <c:tx>
                <c:rich>
                  <a:bodyPr/>
                  <a:lstStyle/>
                  <a:p>
                    <a:r>
                      <a:rPr lang="en-NZ"/>
                      <a:t>30%</a:t>
                    </a:r>
                  </a:p>
                </c:rich>
              </c:tx>
              <c:dLblPos val="r"/>
              <c:showLegendKey val="0"/>
              <c:showVal val="0"/>
              <c:showCatName val="0"/>
              <c:showSerName val="0"/>
              <c:showPercent val="0"/>
              <c:showBubbleSize val="0"/>
            </c:dLbl>
            <c:dLbl>
              <c:idx val="13"/>
              <c:delete val="1"/>
            </c:dLbl>
            <c:dLbl>
              <c:idx val="14"/>
              <c:delete val="1"/>
            </c:dLbl>
            <c:dLbl>
              <c:idx val="15"/>
              <c:layout>
                <c:manualLayout>
                  <c:x val="-1.6473501300683698E-2"/>
                  <c:y val="3.3246388755861001E-2"/>
                </c:manualLayout>
              </c:layout>
              <c:tx>
                <c:rich>
                  <a:bodyPr/>
                  <a:lstStyle/>
                  <a:p>
                    <a:r>
                      <a:rPr lang="en-NZ"/>
                      <a:t>20%</a:t>
                    </a:r>
                  </a:p>
                </c:rich>
              </c:tx>
              <c:dLblPos val="r"/>
              <c:showLegendKey val="0"/>
              <c:showVal val="0"/>
              <c:showCatName val="0"/>
              <c:showSerName val="0"/>
              <c:showPercent val="0"/>
              <c:showBubbleSize val="0"/>
            </c:dLbl>
            <c:dLbl>
              <c:idx val="16"/>
              <c:layout>
                <c:manualLayout>
                  <c:x val="-2.1694646659733509E-2"/>
                  <c:y val="3.3246388755861001E-2"/>
                </c:manualLayout>
              </c:layout>
              <c:tx>
                <c:rich>
                  <a:bodyPr/>
                  <a:lstStyle/>
                  <a:p>
                    <a:r>
                      <a:rPr lang="en-NZ"/>
                      <a:t>10%</a:t>
                    </a:r>
                  </a:p>
                </c:rich>
              </c:tx>
              <c:dLblPos val="r"/>
              <c:showLegendKey val="0"/>
              <c:showVal val="0"/>
              <c:showCatName val="0"/>
              <c:showSerName val="0"/>
              <c:showPercent val="0"/>
              <c:showBubbleSize val="0"/>
            </c:dLbl>
            <c:dLbl>
              <c:idx val="17"/>
              <c:delete val="1"/>
            </c:dLbl>
            <c:spPr>
              <a:noFill/>
              <a:ln w="25400">
                <a:noFill/>
              </a:ln>
            </c:spPr>
            <c:txPr>
              <a:bodyPr rot="3600000" vert="horz"/>
              <a:lstStyle/>
              <a:p>
                <a:pPr algn="l">
                  <a:defRPr sz="1200" b="0" i="0" u="none" strike="noStrike" baseline="0">
                    <a:solidFill>
                      <a:srgbClr val="969696"/>
                    </a:solidFill>
                    <a:latin typeface="Arial"/>
                    <a:ea typeface="Arial"/>
                    <a:cs typeface="Arial"/>
                  </a:defRPr>
                </a:pPr>
                <a:endParaRPr lang="en-US"/>
              </a:p>
            </c:txPr>
            <c:dLblPos val="b"/>
            <c:showLegendKey val="0"/>
            <c:showVal val="1"/>
            <c:showCatName val="0"/>
            <c:showSerName val="0"/>
            <c:showPercent val="0"/>
            <c:showBubbleSize val="0"/>
            <c:showLeaderLines val="0"/>
          </c:dLbls>
          <c:xVal>
            <c:numRef>
              <c:f>Tgrid!$K$5:$K$22</c:f>
              <c:numCache>
                <c:formatCode>General</c:formatCode>
                <c:ptCount val="18"/>
                <c:pt idx="0">
                  <c:v>0.11547000000000002</c:v>
                </c:pt>
                <c:pt idx="1">
                  <c:v>5.7740000000000007E-2</c:v>
                </c:pt>
                <c:pt idx="2">
                  <c:v>0.11548000000000001</c:v>
                </c:pt>
                <c:pt idx="3">
                  <c:v>0.23094000000000003</c:v>
                </c:pt>
                <c:pt idx="4">
                  <c:v>0.34641</c:v>
                </c:pt>
                <c:pt idx="5">
                  <c:v>0.17322000000000001</c:v>
                </c:pt>
                <c:pt idx="6">
                  <c:v>0.23096000000000003</c:v>
                </c:pt>
                <c:pt idx="7">
                  <c:v>0.46188000000000007</c:v>
                </c:pt>
                <c:pt idx="8">
                  <c:v>0.57735000000000003</c:v>
                </c:pt>
                <c:pt idx="9">
                  <c:v>0.28870000000000001</c:v>
                </c:pt>
                <c:pt idx="10">
                  <c:v>0.34644000000000003</c:v>
                </c:pt>
                <c:pt idx="11">
                  <c:v>0.69281999999999999</c:v>
                </c:pt>
                <c:pt idx="12">
                  <c:v>0.80828999999999995</c:v>
                </c:pt>
                <c:pt idx="13">
                  <c:v>0.40417999999999998</c:v>
                </c:pt>
                <c:pt idx="14">
                  <c:v>0.46192000000000005</c:v>
                </c:pt>
                <c:pt idx="15">
                  <c:v>0.92376000000000014</c:v>
                </c:pt>
                <c:pt idx="16">
                  <c:v>1.0392300000000001</c:v>
                </c:pt>
                <c:pt idx="17">
                  <c:v>0.51966000000000001</c:v>
                </c:pt>
              </c:numCache>
            </c:numRef>
          </c:xVal>
          <c:yVal>
            <c:numRef>
              <c:f>Tgrid!$L$5:$L$22</c:f>
              <c:numCache>
                <c:formatCode>0.00</c:formatCode>
                <c:ptCount val="18"/>
                <c:pt idx="0">
                  <c:v>0</c:v>
                </c:pt>
                <c:pt idx="1">
                  <c:v>0.1</c:v>
                </c:pt>
                <c:pt idx="2">
                  <c:v>0.2</c:v>
                </c:pt>
                <c:pt idx="3">
                  <c:v>0</c:v>
                </c:pt>
                <c:pt idx="4">
                  <c:v>0</c:v>
                </c:pt>
                <c:pt idx="5">
                  <c:v>0.3</c:v>
                </c:pt>
                <c:pt idx="6">
                  <c:v>0.4</c:v>
                </c:pt>
                <c:pt idx="7">
                  <c:v>0</c:v>
                </c:pt>
                <c:pt idx="8">
                  <c:v>0</c:v>
                </c:pt>
                <c:pt idx="9">
                  <c:v>0.5</c:v>
                </c:pt>
                <c:pt idx="10">
                  <c:v>0.6</c:v>
                </c:pt>
                <c:pt idx="11">
                  <c:v>0</c:v>
                </c:pt>
                <c:pt idx="12">
                  <c:v>0</c:v>
                </c:pt>
                <c:pt idx="13">
                  <c:v>0.7</c:v>
                </c:pt>
                <c:pt idx="14">
                  <c:v>0.8</c:v>
                </c:pt>
                <c:pt idx="15">
                  <c:v>0</c:v>
                </c:pt>
                <c:pt idx="16">
                  <c:v>0</c:v>
                </c:pt>
                <c:pt idx="17">
                  <c:v>0.9</c:v>
                </c:pt>
              </c:numCache>
            </c:numRef>
          </c:yVal>
          <c:smooth val="0"/>
        </c:ser>
        <c:ser>
          <c:idx val="3"/>
          <c:order val="3"/>
          <c:tx>
            <c:v>C grid</c:v>
          </c:tx>
          <c:spPr>
            <a:ln w="3175">
              <a:solidFill>
                <a:srgbClr val="969696"/>
              </a:solidFill>
              <a:prstDash val="sysDash"/>
            </a:ln>
          </c:spPr>
          <c:marker>
            <c:symbol val="none"/>
          </c:marker>
          <c:dLbls>
            <c:dLbl>
              <c:idx val="0"/>
              <c:delete val="1"/>
            </c:dLbl>
            <c:dLbl>
              <c:idx val="1"/>
              <c:layout>
                <c:manualLayout>
                  <c:x val="-1.0661353235396097E-2"/>
                  <c:y val="-3.17162829893788E-2"/>
                </c:manualLayout>
              </c:layout>
              <c:tx>
                <c:rich>
                  <a:bodyPr/>
                  <a:lstStyle/>
                  <a:p>
                    <a:r>
                      <a:rPr lang="en-NZ"/>
                      <a:t>10%</a:t>
                    </a:r>
                  </a:p>
                </c:rich>
              </c:tx>
              <c:dLblPos val="r"/>
              <c:showLegendKey val="0"/>
              <c:showVal val="0"/>
              <c:showCatName val="0"/>
              <c:showSerName val="0"/>
              <c:showPercent val="0"/>
              <c:showBubbleSize val="0"/>
            </c:dLbl>
            <c:dLbl>
              <c:idx val="2"/>
              <c:layout>
                <c:manualLayout>
                  <c:x val="-1.160425424069491E-2"/>
                  <c:y val="-3.1413202062613506E-2"/>
                </c:manualLayout>
              </c:layout>
              <c:tx>
                <c:rich>
                  <a:bodyPr/>
                  <a:lstStyle/>
                  <a:p>
                    <a:r>
                      <a:rPr lang="en-NZ"/>
                      <a:t>20%</a:t>
                    </a:r>
                  </a:p>
                </c:rich>
              </c:tx>
              <c:dLblPos val="r"/>
              <c:showLegendKey val="0"/>
              <c:showVal val="0"/>
              <c:showCatName val="0"/>
              <c:showSerName val="0"/>
              <c:showPercent val="0"/>
              <c:showBubbleSize val="0"/>
            </c:dLbl>
            <c:dLbl>
              <c:idx val="3"/>
              <c:delete val="1"/>
            </c:dLbl>
            <c:dLbl>
              <c:idx val="4"/>
              <c:delete val="1"/>
            </c:dLbl>
            <c:dLbl>
              <c:idx val="5"/>
              <c:layout>
                <c:manualLayout>
                  <c:x val="-1.1437160809948711E-2"/>
                  <c:y val="-3.6767829763853781E-2"/>
                </c:manualLayout>
              </c:layout>
              <c:tx>
                <c:rich>
                  <a:bodyPr/>
                  <a:lstStyle/>
                  <a:p>
                    <a:r>
                      <a:rPr lang="en-NZ"/>
                      <a:t>30%</a:t>
                    </a:r>
                  </a:p>
                </c:rich>
              </c:tx>
              <c:dLblPos val="r"/>
              <c:showLegendKey val="0"/>
              <c:showVal val="0"/>
              <c:showCatName val="0"/>
              <c:showSerName val="0"/>
              <c:showPercent val="0"/>
              <c:showBubbleSize val="0"/>
            </c:dLbl>
            <c:dLbl>
              <c:idx val="6"/>
              <c:layout>
                <c:manualLayout>
                  <c:x val="-1.2379945292631939E-2"/>
                  <c:y val="-3.9293603151091226E-2"/>
                </c:manualLayout>
              </c:layout>
              <c:tx>
                <c:rich>
                  <a:bodyPr/>
                  <a:lstStyle/>
                  <a:p>
                    <a:r>
                      <a:rPr lang="en-NZ"/>
                      <a:t>40%</a:t>
                    </a:r>
                  </a:p>
                </c:rich>
              </c:tx>
              <c:dLblPos val="r"/>
              <c:showLegendKey val="0"/>
              <c:showVal val="0"/>
              <c:showCatName val="0"/>
              <c:showSerName val="0"/>
              <c:showPercent val="0"/>
              <c:showBubbleSize val="0"/>
            </c:dLbl>
            <c:dLbl>
              <c:idx val="7"/>
              <c:delete val="1"/>
            </c:dLbl>
            <c:dLbl>
              <c:idx val="8"/>
              <c:delete val="1"/>
            </c:dLbl>
            <c:dLbl>
              <c:idx val="9"/>
              <c:layout>
                <c:manualLayout>
                  <c:x val="-1.6652363515603782E-2"/>
                  <c:y val="-4.3233655199040703E-2"/>
                </c:manualLayout>
              </c:layout>
              <c:tx>
                <c:rich>
                  <a:bodyPr/>
                  <a:lstStyle/>
                  <a:p>
                    <a:r>
                      <a:rPr lang="en-NZ"/>
                      <a:t>50%</a:t>
                    </a:r>
                  </a:p>
                </c:rich>
              </c:tx>
              <c:dLblPos val="r"/>
              <c:showLegendKey val="0"/>
              <c:showVal val="0"/>
              <c:showCatName val="0"/>
              <c:showSerName val="0"/>
              <c:showPercent val="0"/>
              <c:showBubbleSize val="0"/>
            </c:dLbl>
            <c:dLbl>
              <c:idx val="10"/>
              <c:layout>
                <c:manualLayout>
                  <c:x val="-1.0935880517709913E-2"/>
                  <c:y val="-4.4345001429276797E-2"/>
                </c:manualLayout>
              </c:layout>
              <c:tx>
                <c:rich>
                  <a:bodyPr/>
                  <a:lstStyle/>
                  <a:p>
                    <a:r>
                      <a:rPr lang="en-NZ"/>
                      <a:t>60%</a:t>
                    </a:r>
                  </a:p>
                </c:rich>
              </c:tx>
              <c:dLblPos val="r"/>
              <c:showLegendKey val="0"/>
              <c:showVal val="0"/>
              <c:showCatName val="0"/>
              <c:showSerName val="0"/>
              <c:showPercent val="0"/>
              <c:showBubbleSize val="0"/>
            </c:dLbl>
            <c:dLbl>
              <c:idx val="11"/>
              <c:delete val="1"/>
            </c:dLbl>
            <c:dLbl>
              <c:idx val="12"/>
              <c:delete val="1"/>
            </c:dLbl>
            <c:dLbl>
              <c:idx val="13"/>
              <c:layout>
                <c:manualLayout>
                  <c:x val="-1.07689036095793E-2"/>
                  <c:y val="-4.1213066188508549E-2"/>
                </c:manualLayout>
              </c:layout>
              <c:tx>
                <c:rich>
                  <a:bodyPr/>
                  <a:lstStyle/>
                  <a:p>
                    <a:r>
                      <a:rPr lang="en-NZ"/>
                      <a:t>70%</a:t>
                    </a:r>
                  </a:p>
                </c:rich>
              </c:tx>
              <c:dLblPos val="r"/>
              <c:showLegendKey val="0"/>
              <c:showVal val="0"/>
              <c:showCatName val="0"/>
              <c:showSerName val="0"/>
              <c:showPercent val="0"/>
              <c:showBubbleSize val="0"/>
            </c:dLbl>
            <c:dLbl>
              <c:idx val="14"/>
              <c:layout>
                <c:manualLayout>
                  <c:x val="-1.2821566005692075E-2"/>
                  <c:y val="-4.0909985261743283E-2"/>
                </c:manualLayout>
              </c:layout>
              <c:tx>
                <c:rich>
                  <a:bodyPr/>
                  <a:lstStyle/>
                  <a:p>
                    <a:r>
                      <a:rPr lang="en-NZ"/>
                      <a:t>80%</a:t>
                    </a:r>
                  </a:p>
                </c:rich>
              </c:tx>
              <c:dLblPos val="r"/>
              <c:showLegendKey val="0"/>
              <c:showVal val="0"/>
              <c:showCatName val="0"/>
              <c:showSerName val="0"/>
              <c:showPercent val="0"/>
              <c:showBubbleSize val="0"/>
            </c:dLbl>
            <c:dLbl>
              <c:idx val="15"/>
              <c:delete val="1"/>
            </c:dLbl>
            <c:dLbl>
              <c:idx val="16"/>
              <c:delete val="1"/>
            </c:dLbl>
            <c:dLbl>
              <c:idx val="17"/>
              <c:layout>
                <c:manualLayout>
                  <c:x val="-1.2654472574945874E-2"/>
                  <c:y val="-4.6264612962983585E-2"/>
                </c:manualLayout>
              </c:layout>
              <c:tx>
                <c:rich>
                  <a:bodyPr/>
                  <a:lstStyle/>
                  <a:p>
                    <a:r>
                      <a:rPr lang="en-NZ"/>
                      <a:t>90%</a:t>
                    </a:r>
                  </a:p>
                </c:rich>
              </c:tx>
              <c:dLblPos val="r"/>
              <c:showLegendKey val="0"/>
              <c:showVal val="0"/>
              <c:showCatName val="0"/>
              <c:showSerName val="0"/>
              <c:showPercent val="0"/>
              <c:showBubbleSize val="0"/>
            </c:dLbl>
            <c:spPr>
              <a:noFill/>
              <a:ln w="25400">
                <a:noFill/>
              </a:ln>
            </c:spPr>
            <c:txPr>
              <a:bodyPr rot="-3600000" vert="horz"/>
              <a:lstStyle/>
              <a:p>
                <a:pPr algn="l">
                  <a:defRPr sz="1200" b="0" i="0" u="none" strike="noStrike" baseline="0">
                    <a:solidFill>
                      <a:srgbClr val="969696"/>
                    </a:solidFill>
                    <a:latin typeface="Arial"/>
                    <a:ea typeface="Arial"/>
                    <a:cs typeface="Arial"/>
                  </a:defRPr>
                </a:pPr>
                <a:endParaRPr lang="en-US"/>
              </a:p>
            </c:txPr>
            <c:dLblPos val="r"/>
            <c:showLegendKey val="0"/>
            <c:showVal val="1"/>
            <c:showCatName val="0"/>
            <c:showSerName val="0"/>
            <c:showPercent val="0"/>
            <c:showBubbleSize val="0"/>
            <c:showLeaderLines val="0"/>
          </c:dLbls>
          <c:xVal>
            <c:numRef>
              <c:f>Tgrid!$P$5:$P$22</c:f>
              <c:numCache>
                <c:formatCode>General</c:formatCode>
                <c:ptCount val="18"/>
                <c:pt idx="0">
                  <c:v>0.11547000000000002</c:v>
                </c:pt>
                <c:pt idx="1">
                  <c:v>0.63512999999999997</c:v>
                </c:pt>
                <c:pt idx="2">
                  <c:v>0.69286000000000003</c:v>
                </c:pt>
                <c:pt idx="3">
                  <c:v>0.23094000000000003</c:v>
                </c:pt>
                <c:pt idx="4">
                  <c:v>0.34641</c:v>
                </c:pt>
                <c:pt idx="5">
                  <c:v>0.75058999999999998</c:v>
                </c:pt>
                <c:pt idx="6">
                  <c:v>0.80832000000000015</c:v>
                </c:pt>
                <c:pt idx="7">
                  <c:v>0.46188000000000007</c:v>
                </c:pt>
                <c:pt idx="8">
                  <c:v>0.57735000000000003</c:v>
                </c:pt>
                <c:pt idx="9">
                  <c:v>0.86604999999999999</c:v>
                </c:pt>
                <c:pt idx="10">
                  <c:v>0.92378000000000005</c:v>
                </c:pt>
                <c:pt idx="11">
                  <c:v>0.69281999999999999</c:v>
                </c:pt>
                <c:pt idx="12">
                  <c:v>0.80828999999999995</c:v>
                </c:pt>
                <c:pt idx="13">
                  <c:v>0.98150999999999999</c:v>
                </c:pt>
                <c:pt idx="14">
                  <c:v>1.0392400000000002</c:v>
                </c:pt>
                <c:pt idx="15">
                  <c:v>0.92376000000000014</c:v>
                </c:pt>
                <c:pt idx="16">
                  <c:v>1.0392300000000001</c:v>
                </c:pt>
                <c:pt idx="17">
                  <c:v>1.09697</c:v>
                </c:pt>
              </c:numCache>
            </c:numRef>
          </c:xVal>
          <c:yVal>
            <c:numRef>
              <c:f>Tgrid!$Q$5:$Q$22</c:f>
              <c:numCache>
                <c:formatCode>0.00</c:formatCode>
                <c:ptCount val="18"/>
                <c:pt idx="0">
                  <c:v>0</c:v>
                </c:pt>
                <c:pt idx="1">
                  <c:v>0.9</c:v>
                </c:pt>
                <c:pt idx="2">
                  <c:v>0.8</c:v>
                </c:pt>
                <c:pt idx="3">
                  <c:v>0</c:v>
                </c:pt>
                <c:pt idx="4">
                  <c:v>0</c:v>
                </c:pt>
                <c:pt idx="5">
                  <c:v>0.7</c:v>
                </c:pt>
                <c:pt idx="6">
                  <c:v>0.6</c:v>
                </c:pt>
                <c:pt idx="7">
                  <c:v>0</c:v>
                </c:pt>
                <c:pt idx="8">
                  <c:v>0</c:v>
                </c:pt>
                <c:pt idx="9">
                  <c:v>0.5</c:v>
                </c:pt>
                <c:pt idx="10">
                  <c:v>0.4</c:v>
                </c:pt>
                <c:pt idx="11">
                  <c:v>0</c:v>
                </c:pt>
                <c:pt idx="12">
                  <c:v>0</c:v>
                </c:pt>
                <c:pt idx="13">
                  <c:v>0.3</c:v>
                </c:pt>
                <c:pt idx="14">
                  <c:v>0.2</c:v>
                </c:pt>
                <c:pt idx="15">
                  <c:v>0</c:v>
                </c:pt>
                <c:pt idx="16">
                  <c:v>0</c:v>
                </c:pt>
                <c:pt idx="17">
                  <c:v>0.1</c:v>
                </c:pt>
              </c:numCache>
            </c:numRef>
          </c:yVal>
          <c:smooth val="0"/>
        </c:ser>
        <c:ser>
          <c:idx val="5"/>
          <c:order val="4"/>
          <c:tx>
            <c:v>Rocks</c:v>
          </c:tx>
          <c:spPr>
            <a:ln w="28575">
              <a:noFill/>
            </a:ln>
          </c:spPr>
          <c:marker>
            <c:symbol val="square"/>
            <c:size val="8"/>
            <c:spPr>
              <a:solidFill>
                <a:srgbClr val="C0C0C0"/>
              </a:solidFill>
              <a:ln>
                <a:solidFill>
                  <a:srgbClr val="800000"/>
                </a:solidFill>
                <a:prstDash val="solid"/>
              </a:ln>
            </c:spPr>
          </c:marker>
          <c:dLbls>
            <c:dLbl>
              <c:idx val="0"/>
              <c:layout>
                <c:manualLayout>
                  <c:x val="5.509189264771468E-4"/>
                  <c:y val="-5.542920996261567E-3"/>
                </c:manualLayout>
              </c:layout>
              <c:tx>
                <c:strRef>
                  <c:f>Ref!$B$4</c:f>
                  <c:strCache>
                    <c:ptCount val="1"/>
                    <c:pt idx="0">
                      <c:v>Granite</c:v>
                    </c:pt>
                  </c:strCache>
                </c:strRef>
              </c:tx>
              <c:dLblPos val="r"/>
              <c:showLegendKey val="0"/>
              <c:showVal val="0"/>
              <c:showCatName val="0"/>
              <c:showSerName val="0"/>
              <c:showPercent val="0"/>
              <c:showBubbleSize val="0"/>
            </c:dLbl>
            <c:dLbl>
              <c:idx val="1"/>
              <c:layout>
                <c:manualLayout>
                  <c:x val="1.1327163460838087E-3"/>
                  <c:y val="-7.9956342090901824E-3"/>
                </c:manualLayout>
              </c:layout>
              <c:tx>
                <c:strRef>
                  <c:f>Ref!$B$5</c:f>
                  <c:strCache>
                    <c:ptCount val="1"/>
                    <c:pt idx="0">
                      <c:v>Diorite</c:v>
                    </c:pt>
                  </c:strCache>
                </c:strRef>
              </c:tx>
              <c:dLblPos val="r"/>
              <c:showLegendKey val="0"/>
              <c:showVal val="0"/>
              <c:showCatName val="0"/>
              <c:showSerName val="0"/>
              <c:showPercent val="0"/>
              <c:showBubbleSize val="0"/>
            </c:dLbl>
            <c:dLbl>
              <c:idx val="2"/>
              <c:layout>
                <c:manualLayout>
                  <c:x val="3.1112703586857614E-3"/>
                  <c:y val="-3.0508562667290345E-3"/>
                </c:manualLayout>
              </c:layout>
              <c:tx>
                <c:strRef>
                  <c:f>Ref!$B$6</c:f>
                  <c:strCache>
                    <c:ptCount val="1"/>
                    <c:pt idx="0">
                      <c:v>Basalt</c:v>
                    </c:pt>
                  </c:strCache>
                </c:strRef>
              </c:tx>
              <c:dLblPos val="r"/>
              <c:showLegendKey val="0"/>
              <c:showVal val="0"/>
              <c:showCatName val="0"/>
              <c:showSerName val="0"/>
              <c:showPercent val="0"/>
              <c:showBubbleSize val="0"/>
            </c:dLbl>
            <c:dLbl>
              <c:idx val="3"/>
              <c:layout/>
              <c:tx>
                <c:strRef>
                  <c:f>Ref!$B$7</c:f>
                  <c:strCache>
                    <c:ptCount val="1"/>
                    <c:pt idx="0">
                      <c:v>Ultramafic</c:v>
                    </c:pt>
                  </c:strCache>
                </c:strRef>
              </c:tx>
              <c:dLblPos val="t"/>
              <c:showLegendKey val="0"/>
              <c:showVal val="0"/>
              <c:showCatName val="0"/>
              <c:showSerName val="0"/>
              <c:showPercent val="0"/>
              <c:showBubbleSize val="0"/>
            </c:dLbl>
            <c:dLbl>
              <c:idx val="4"/>
              <c:layout>
                <c:manualLayout>
                  <c:x val="1.2291970717866968E-3"/>
                  <c:y val="-2.9576005969550929E-3"/>
                </c:manualLayout>
              </c:layout>
              <c:tx>
                <c:strRef>
                  <c:f>Ref!$B$8</c:f>
                  <c:strCache>
                    <c:ptCount val="1"/>
                    <c:pt idx="0">
                      <c:v>Limestone</c:v>
                    </c:pt>
                  </c:strCache>
                </c:strRef>
              </c:tx>
              <c:dLblPos val="r"/>
              <c:showLegendKey val="0"/>
              <c:showVal val="0"/>
              <c:showCatName val="0"/>
              <c:showSerName val="0"/>
              <c:showPercent val="0"/>
              <c:showBubbleSize val="0"/>
            </c:dLbl>
            <c:dLbl>
              <c:idx val="5"/>
              <c:layout>
                <c:manualLayout>
                  <c:x val="-3.37780418957064E-2"/>
                  <c:y val="-3.1435921994899162E-2"/>
                </c:manualLayout>
              </c:layout>
              <c:tx>
                <c:strRef>
                  <c:f>Ref!$B$9</c:f>
                  <c:strCache>
                    <c:ptCount val="1"/>
                    <c:pt idx="0">
                      <c:v>Sandstone</c:v>
                    </c:pt>
                  </c:strCache>
                </c:strRef>
              </c:tx>
              <c:dLblPos val="r"/>
              <c:showLegendKey val="0"/>
              <c:showVal val="0"/>
              <c:showCatName val="0"/>
              <c:showSerName val="0"/>
              <c:showPercent val="0"/>
              <c:showBubbleSize val="0"/>
            </c:dLbl>
            <c:dLbl>
              <c:idx val="6"/>
              <c:layout>
                <c:manualLayout>
                  <c:x val="-5.1521872751477606E-2"/>
                  <c:y val="-3.1435921994899162E-2"/>
                </c:manualLayout>
              </c:layout>
              <c:tx>
                <c:strRef>
                  <c:f>Ref!$B$10</c:f>
                  <c:strCache>
                    <c:ptCount val="1"/>
                    <c:pt idx="0">
                      <c:v>Shale</c:v>
                    </c:pt>
                  </c:strCache>
                </c:strRef>
              </c:tx>
              <c:dLblPos val="r"/>
              <c:showLegendKey val="0"/>
              <c:showVal val="0"/>
              <c:showCatName val="0"/>
              <c:showSerName val="0"/>
              <c:showPercent val="0"/>
              <c:showBubbleSize val="0"/>
            </c:dLbl>
            <c:dLbl>
              <c:idx val="7"/>
              <c:layout>
                <c:manualLayout>
                  <c:x val="-0.10137432598949547"/>
                  <c:y val="-6.7008950613846405E-3"/>
                </c:manualLayout>
              </c:layout>
              <c:tx>
                <c:strRef>
                  <c:f>Ref!$B$11</c:f>
                  <c:strCache>
                    <c:ptCount val="1"/>
                    <c:pt idx="0">
                      <c:v>Seawater</c:v>
                    </c:pt>
                  </c:strCache>
                </c:strRef>
              </c:tx>
              <c:dLblPos val="r"/>
              <c:showLegendKey val="0"/>
              <c:showVal val="0"/>
              <c:showCatName val="0"/>
              <c:showSerName val="0"/>
              <c:showPercent val="0"/>
              <c:showBubbleSize val="0"/>
            </c:dLbl>
            <c:spPr>
              <a:noFill/>
              <a:ln w="25400">
                <a:noFill/>
              </a:ln>
            </c:spPr>
            <c:txPr>
              <a:bodyPr/>
              <a:lstStyle/>
              <a:p>
                <a:pPr>
                  <a:defRPr sz="1200" b="1" i="0" u="none" strike="noStrike" baseline="0">
                    <a:solidFill>
                      <a:srgbClr val="969696"/>
                    </a:solidFill>
                    <a:latin typeface="Arial"/>
                    <a:ea typeface="Arial"/>
                    <a:cs typeface="Arial"/>
                  </a:defRPr>
                </a:pPr>
                <a:endParaRPr lang="en-US"/>
              </a:p>
            </c:txPr>
            <c:dLblPos val="t"/>
            <c:showLegendKey val="0"/>
            <c:showVal val="1"/>
            <c:showCatName val="0"/>
            <c:showSerName val="0"/>
            <c:showPercent val="0"/>
            <c:showBubbleSize val="0"/>
            <c:showLeaderLines val="0"/>
          </c:dLbls>
          <c:xVal>
            <c:numRef>
              <c:f>Ref!$Y$4:$Y$11</c:f>
              <c:numCache>
                <c:formatCode>0.000</c:formatCode>
                <c:ptCount val="8"/>
                <c:pt idx="0">
                  <c:v>0.12967540106951872</c:v>
                </c:pt>
                <c:pt idx="1">
                  <c:v>0.23910385232744785</c:v>
                </c:pt>
                <c:pt idx="2">
                  <c:v>0.2357677494199536</c:v>
                </c:pt>
                <c:pt idx="3">
                  <c:v>1.0497272727272728</c:v>
                </c:pt>
                <c:pt idx="4">
                  <c:v>0.38490606060606058</c:v>
                </c:pt>
                <c:pt idx="5">
                  <c:v>0.69281999999999999</c:v>
                </c:pt>
                <c:pt idx="6">
                  <c:v>0.60484285714285724</c:v>
                </c:pt>
                <c:pt idx="7">
                  <c:v>0.58036011406446208</c:v>
                </c:pt>
              </c:numCache>
            </c:numRef>
          </c:xVal>
          <c:yVal>
            <c:numRef>
              <c:f>Ref!$Z$4:$Z$11</c:f>
              <c:numCache>
                <c:formatCode>0.000</c:formatCode>
                <c:ptCount val="8"/>
                <c:pt idx="0">
                  <c:v>6.4171122994652413E-2</c:v>
                </c:pt>
                <c:pt idx="1">
                  <c:v>0.17335473515248795</c:v>
                </c:pt>
                <c:pt idx="2">
                  <c:v>0.10672853828306264</c:v>
                </c:pt>
                <c:pt idx="3">
                  <c:v>0</c:v>
                </c:pt>
                <c:pt idx="4">
                  <c:v>0.12121212121212122</c:v>
                </c:pt>
                <c:pt idx="5">
                  <c:v>0</c:v>
                </c:pt>
                <c:pt idx="6">
                  <c:v>0</c:v>
                </c:pt>
                <c:pt idx="7">
                  <c:v>0.99309334449560482</c:v>
                </c:pt>
              </c:numCache>
            </c:numRef>
          </c:yVal>
          <c:smooth val="0"/>
        </c:ser>
        <c:ser>
          <c:idx val="6"/>
          <c:order val="5"/>
          <c:tx>
            <c:v>Diorite trend</c:v>
          </c:tx>
          <c:spPr>
            <a:ln w="25400">
              <a:solidFill>
                <a:srgbClr val="993366"/>
              </a:solidFill>
              <a:prstDash val="lgDash"/>
            </a:ln>
          </c:spPr>
          <c:marker>
            <c:symbol val="none"/>
          </c:marker>
          <c:xVal>
            <c:numRef>
              <c:f>Ref!$Y$17:$Y$18</c:f>
              <c:numCache>
                <c:formatCode>0.000</c:formatCode>
                <c:ptCount val="2"/>
                <c:pt idx="0">
                  <c:v>0</c:v>
                </c:pt>
                <c:pt idx="1">
                  <c:v>0.81399836065573772</c:v>
                </c:pt>
              </c:numCache>
            </c:numRef>
          </c:xVal>
          <c:yVal>
            <c:numRef>
              <c:f>Ref!$Z$17:$Z$18</c:f>
              <c:numCache>
                <c:formatCode>0.000</c:formatCode>
                <c:ptCount val="2"/>
                <c:pt idx="0">
                  <c:v>0</c:v>
                </c:pt>
                <c:pt idx="1">
                  <c:v>0.5901639344262295</c:v>
                </c:pt>
              </c:numCache>
            </c:numRef>
          </c:yVal>
          <c:smooth val="0"/>
        </c:ser>
        <c:ser>
          <c:idx val="7"/>
          <c:order val="6"/>
          <c:tx>
            <c:v>Basalt Trend</c:v>
          </c:tx>
          <c:spPr>
            <a:ln w="25400">
              <a:solidFill>
                <a:srgbClr val="993366"/>
              </a:solidFill>
              <a:prstDash val="lgDash"/>
            </a:ln>
          </c:spPr>
          <c:marker>
            <c:symbol val="none"/>
          </c:marker>
          <c:xVal>
            <c:numRef>
              <c:f>Ref!$Y$19:$Y$20</c:f>
              <c:numCache>
                <c:formatCode>0.000</c:formatCode>
                <c:ptCount val="2"/>
                <c:pt idx="0">
                  <c:v>0</c:v>
                </c:pt>
                <c:pt idx="1">
                  <c:v>0.91545855855855862</c:v>
                </c:pt>
              </c:numCache>
            </c:numRef>
          </c:xVal>
          <c:yVal>
            <c:numRef>
              <c:f>Ref!$Z$19:$Z$20</c:f>
              <c:numCache>
                <c:formatCode>0.000</c:formatCode>
                <c:ptCount val="2"/>
                <c:pt idx="0">
                  <c:v>0</c:v>
                </c:pt>
                <c:pt idx="1">
                  <c:v>0.4144144144144144</c:v>
                </c:pt>
              </c:numCache>
            </c:numRef>
          </c:yVal>
          <c:smooth val="0"/>
        </c:ser>
        <c:ser>
          <c:idx val="4"/>
          <c:order val="7"/>
          <c:tx>
            <c:v>data</c:v>
          </c:tx>
          <c:spPr>
            <a:ln w="28575">
              <a:noFill/>
            </a:ln>
          </c:spPr>
          <c:marker>
            <c:symbol val="diamond"/>
            <c:size val="7"/>
            <c:spPr>
              <a:solidFill>
                <a:srgbClr val="800080"/>
              </a:solidFill>
              <a:ln>
                <a:solidFill>
                  <a:srgbClr val="800080"/>
                </a:solidFill>
                <a:prstDash val="solid"/>
              </a:ln>
            </c:spPr>
          </c:marker>
          <c:dLbls>
            <c:dLbl>
              <c:idx val="0"/>
              <c:layout/>
              <c:tx>
                <c:strRef>
                  <c:f>Input!$AH$8</c:f>
                  <c:strCache>
                    <c:ptCount val="1"/>
                    <c:pt idx="0">
                      <c:v>0</c:v>
                    </c:pt>
                  </c:strCache>
                </c:strRef>
              </c:tx>
              <c:dLblPos val="t"/>
              <c:showLegendKey val="0"/>
              <c:showVal val="0"/>
              <c:showCatName val="0"/>
              <c:showSerName val="0"/>
              <c:showPercent val="0"/>
              <c:showBubbleSize val="0"/>
            </c:dLbl>
            <c:dLbl>
              <c:idx val="1"/>
              <c:layout/>
              <c:tx>
                <c:strRef>
                  <c:f>Input!$AH$9</c:f>
                  <c:strCache>
                    <c:ptCount val="1"/>
                    <c:pt idx="0">
                      <c:v>0</c:v>
                    </c:pt>
                  </c:strCache>
                </c:strRef>
              </c:tx>
              <c:dLblPos val="t"/>
              <c:showLegendKey val="0"/>
              <c:showVal val="0"/>
              <c:showCatName val="0"/>
              <c:showSerName val="0"/>
              <c:showPercent val="0"/>
              <c:showBubbleSize val="0"/>
            </c:dLbl>
            <c:dLbl>
              <c:idx val="2"/>
              <c:layout/>
              <c:tx>
                <c:strRef>
                  <c:f>Input!$AH$10</c:f>
                  <c:strCache>
                    <c:ptCount val="1"/>
                    <c:pt idx="0">
                      <c:v>0</c:v>
                    </c:pt>
                  </c:strCache>
                </c:strRef>
              </c:tx>
              <c:dLblPos val="t"/>
              <c:showLegendKey val="0"/>
              <c:showVal val="0"/>
              <c:showCatName val="0"/>
              <c:showSerName val="0"/>
              <c:showPercent val="0"/>
              <c:showBubbleSize val="0"/>
            </c:dLbl>
            <c:dLbl>
              <c:idx val="3"/>
              <c:layout/>
              <c:tx>
                <c:strRef>
                  <c:f>Input!$AH$11</c:f>
                  <c:strCache>
                    <c:ptCount val="1"/>
                    <c:pt idx="0">
                      <c:v>0</c:v>
                    </c:pt>
                  </c:strCache>
                </c:strRef>
              </c:tx>
              <c:dLblPos val="t"/>
              <c:showLegendKey val="0"/>
              <c:showVal val="0"/>
              <c:showCatName val="0"/>
              <c:showSerName val="0"/>
              <c:showPercent val="0"/>
              <c:showBubbleSize val="0"/>
            </c:dLbl>
            <c:dLbl>
              <c:idx val="4"/>
              <c:layout/>
              <c:tx>
                <c:strRef>
                  <c:f>Input!$AH$12</c:f>
                  <c:strCache>
                    <c:ptCount val="1"/>
                    <c:pt idx="0">
                      <c:v>0</c:v>
                    </c:pt>
                  </c:strCache>
                </c:strRef>
              </c:tx>
              <c:dLblPos val="t"/>
              <c:showLegendKey val="0"/>
              <c:showVal val="0"/>
              <c:showCatName val="0"/>
              <c:showSerName val="0"/>
              <c:showPercent val="0"/>
              <c:showBubbleSize val="0"/>
            </c:dLbl>
            <c:dLbl>
              <c:idx val="5"/>
              <c:layout/>
              <c:tx>
                <c:strRef>
                  <c:f>Input!$AH$13</c:f>
                  <c:strCache>
                    <c:ptCount val="1"/>
                    <c:pt idx="0">
                      <c:v>0</c:v>
                    </c:pt>
                  </c:strCache>
                </c:strRef>
              </c:tx>
              <c:dLblPos val="t"/>
              <c:showLegendKey val="0"/>
              <c:showVal val="0"/>
              <c:showCatName val="0"/>
              <c:showSerName val="0"/>
              <c:showPercent val="0"/>
              <c:showBubbleSize val="0"/>
            </c:dLbl>
            <c:dLbl>
              <c:idx val="6"/>
              <c:layout/>
              <c:tx>
                <c:strRef>
                  <c:f>Input!$AH$14</c:f>
                  <c:strCache>
                    <c:ptCount val="1"/>
                    <c:pt idx="0">
                      <c:v>0</c:v>
                    </c:pt>
                  </c:strCache>
                </c:strRef>
              </c:tx>
              <c:dLblPos val="t"/>
              <c:showLegendKey val="0"/>
              <c:showVal val="0"/>
              <c:showCatName val="0"/>
              <c:showSerName val="0"/>
              <c:showPercent val="0"/>
              <c:showBubbleSize val="0"/>
            </c:dLbl>
            <c:dLbl>
              <c:idx val="7"/>
              <c:layout/>
              <c:tx>
                <c:strRef>
                  <c:f>Input!$AH$15</c:f>
                  <c:strCache>
                    <c:ptCount val="1"/>
                    <c:pt idx="0">
                      <c:v>0</c:v>
                    </c:pt>
                  </c:strCache>
                </c:strRef>
              </c:tx>
              <c:dLblPos val="t"/>
              <c:showLegendKey val="0"/>
              <c:showVal val="0"/>
              <c:showCatName val="0"/>
              <c:showSerName val="0"/>
              <c:showPercent val="0"/>
              <c:showBubbleSize val="0"/>
            </c:dLbl>
            <c:dLbl>
              <c:idx val="8"/>
              <c:layout/>
              <c:tx>
                <c:strRef>
                  <c:f>Input!$AH$16</c:f>
                  <c:strCache>
                    <c:ptCount val="1"/>
                    <c:pt idx="0">
                      <c:v>0</c:v>
                    </c:pt>
                  </c:strCache>
                </c:strRef>
              </c:tx>
              <c:dLblPos val="t"/>
              <c:showLegendKey val="0"/>
              <c:showVal val="0"/>
              <c:showCatName val="0"/>
              <c:showSerName val="0"/>
              <c:showPercent val="0"/>
              <c:showBubbleSize val="0"/>
            </c:dLbl>
            <c:dLbl>
              <c:idx val="9"/>
              <c:layout/>
              <c:tx>
                <c:strRef>
                  <c:f>Input!$AH$17</c:f>
                  <c:strCache>
                    <c:ptCount val="1"/>
                    <c:pt idx="0">
                      <c:v>0</c:v>
                    </c:pt>
                  </c:strCache>
                </c:strRef>
              </c:tx>
              <c:dLblPos val="t"/>
              <c:showLegendKey val="0"/>
              <c:showVal val="0"/>
              <c:showCatName val="0"/>
              <c:showSerName val="0"/>
              <c:showPercent val="0"/>
              <c:showBubbleSize val="0"/>
            </c:dLbl>
            <c:dLbl>
              <c:idx val="10"/>
              <c:layout/>
              <c:tx>
                <c:strRef>
                  <c:f>Input!$AH$18</c:f>
                  <c:strCache>
                    <c:ptCount val="1"/>
                    <c:pt idx="0">
                      <c:v>0</c:v>
                    </c:pt>
                  </c:strCache>
                </c:strRef>
              </c:tx>
              <c:dLblPos val="t"/>
              <c:showLegendKey val="0"/>
              <c:showVal val="0"/>
              <c:showCatName val="0"/>
              <c:showSerName val="0"/>
              <c:showPercent val="0"/>
              <c:showBubbleSize val="0"/>
            </c:dLbl>
            <c:dLbl>
              <c:idx val="11"/>
              <c:layout/>
              <c:tx>
                <c:strRef>
                  <c:f>Input!$AH$19</c:f>
                  <c:strCache>
                    <c:ptCount val="1"/>
                    <c:pt idx="0">
                      <c:v>0</c:v>
                    </c:pt>
                  </c:strCache>
                </c:strRef>
              </c:tx>
              <c:dLblPos val="t"/>
              <c:showLegendKey val="0"/>
              <c:showVal val="0"/>
              <c:showCatName val="0"/>
              <c:showSerName val="0"/>
              <c:showPercent val="0"/>
              <c:showBubbleSize val="0"/>
            </c:dLbl>
            <c:dLbl>
              <c:idx val="12"/>
              <c:layout/>
              <c:tx>
                <c:strRef>
                  <c:f>Input!$AH$20</c:f>
                  <c:strCache>
                    <c:ptCount val="1"/>
                    <c:pt idx="0">
                      <c:v>0</c:v>
                    </c:pt>
                  </c:strCache>
                </c:strRef>
              </c:tx>
              <c:dLblPos val="t"/>
              <c:showLegendKey val="0"/>
              <c:showVal val="0"/>
              <c:showCatName val="0"/>
              <c:showSerName val="0"/>
              <c:showPercent val="0"/>
              <c:showBubbleSize val="0"/>
            </c:dLbl>
            <c:dLbl>
              <c:idx val="13"/>
              <c:layout/>
              <c:tx>
                <c:strRef>
                  <c:f>Input!$AH$21</c:f>
                  <c:strCache>
                    <c:ptCount val="1"/>
                    <c:pt idx="0">
                      <c:v>0</c:v>
                    </c:pt>
                  </c:strCache>
                </c:strRef>
              </c:tx>
              <c:dLblPos val="t"/>
              <c:showLegendKey val="0"/>
              <c:showVal val="0"/>
              <c:showCatName val="0"/>
              <c:showSerName val="0"/>
              <c:showPercent val="0"/>
              <c:showBubbleSize val="0"/>
            </c:dLbl>
            <c:dLbl>
              <c:idx val="14"/>
              <c:layout/>
              <c:tx>
                <c:strRef>
                  <c:f>Input!$AH$22</c:f>
                  <c:strCache>
                    <c:ptCount val="1"/>
                    <c:pt idx="0">
                      <c:v>0</c:v>
                    </c:pt>
                  </c:strCache>
                </c:strRef>
              </c:tx>
              <c:dLblPos val="t"/>
              <c:showLegendKey val="0"/>
              <c:showVal val="0"/>
              <c:showCatName val="0"/>
              <c:showSerName val="0"/>
              <c:showPercent val="0"/>
              <c:showBubbleSize val="0"/>
            </c:dLbl>
            <c:dLbl>
              <c:idx val="15"/>
              <c:layout/>
              <c:tx>
                <c:strRef>
                  <c:f>Input!$AH$23</c:f>
                  <c:strCache>
                    <c:ptCount val="1"/>
                    <c:pt idx="0">
                      <c:v>0</c:v>
                    </c:pt>
                  </c:strCache>
                </c:strRef>
              </c:tx>
              <c:dLblPos val="t"/>
              <c:showLegendKey val="0"/>
              <c:showVal val="0"/>
              <c:showCatName val="0"/>
              <c:showSerName val="0"/>
              <c:showPercent val="0"/>
              <c:showBubbleSize val="0"/>
            </c:dLbl>
            <c:dLbl>
              <c:idx val="16"/>
              <c:layout/>
              <c:tx>
                <c:strRef>
                  <c:f>Input!$AH$24</c:f>
                  <c:strCache>
                    <c:ptCount val="1"/>
                    <c:pt idx="0">
                      <c:v>0</c:v>
                    </c:pt>
                  </c:strCache>
                </c:strRef>
              </c:tx>
              <c:dLblPos val="t"/>
              <c:showLegendKey val="0"/>
              <c:showVal val="0"/>
              <c:showCatName val="0"/>
              <c:showSerName val="0"/>
              <c:showPercent val="0"/>
              <c:showBubbleSize val="0"/>
            </c:dLbl>
            <c:dLbl>
              <c:idx val="17"/>
              <c:layout/>
              <c:tx>
                <c:strRef>
                  <c:f>Input!$AH$25</c:f>
                  <c:strCache>
                    <c:ptCount val="1"/>
                    <c:pt idx="0">
                      <c:v>0</c:v>
                    </c:pt>
                  </c:strCache>
                </c:strRef>
              </c:tx>
              <c:dLblPos val="t"/>
              <c:showLegendKey val="0"/>
              <c:showVal val="0"/>
              <c:showCatName val="0"/>
              <c:showSerName val="0"/>
              <c:showPercent val="0"/>
              <c:showBubbleSize val="0"/>
            </c:dLbl>
            <c:dLbl>
              <c:idx val="18"/>
              <c:layout/>
              <c:tx>
                <c:strRef>
                  <c:f>Input!$AH$26</c:f>
                  <c:strCache>
                    <c:ptCount val="1"/>
                    <c:pt idx="0">
                      <c:v>0</c:v>
                    </c:pt>
                  </c:strCache>
                </c:strRef>
              </c:tx>
              <c:dLblPos val="t"/>
              <c:showLegendKey val="0"/>
              <c:showVal val="0"/>
              <c:showCatName val="0"/>
              <c:showSerName val="0"/>
              <c:showPercent val="0"/>
              <c:showBubbleSize val="0"/>
            </c:dLbl>
            <c:dLbl>
              <c:idx val="19"/>
              <c:layout/>
              <c:tx>
                <c:strRef>
                  <c:f>Input!$AH$27</c:f>
                  <c:strCache>
                    <c:ptCount val="1"/>
                    <c:pt idx="0">
                      <c:v>0</c:v>
                    </c:pt>
                  </c:strCache>
                </c:strRef>
              </c:tx>
              <c:dLblPos val="t"/>
              <c:showLegendKey val="0"/>
              <c:showVal val="0"/>
              <c:showCatName val="0"/>
              <c:showSerName val="0"/>
              <c:showPercent val="0"/>
              <c:showBubbleSize val="0"/>
            </c:dLbl>
            <c:dLbl>
              <c:idx val="20"/>
              <c:layout/>
              <c:tx>
                <c:strRef>
                  <c:f>Input!$AH$28</c:f>
                  <c:strCache>
                    <c:ptCount val="1"/>
                    <c:pt idx="0">
                      <c:v>0</c:v>
                    </c:pt>
                  </c:strCache>
                </c:strRef>
              </c:tx>
              <c:dLblPos val="t"/>
              <c:showLegendKey val="0"/>
              <c:showVal val="0"/>
              <c:showCatName val="0"/>
              <c:showSerName val="0"/>
              <c:showPercent val="0"/>
              <c:showBubbleSize val="0"/>
            </c:dLbl>
            <c:dLbl>
              <c:idx val="21"/>
              <c:layout/>
              <c:tx>
                <c:strRef>
                  <c:f>Input!$AH$29</c:f>
                  <c:strCache>
                    <c:ptCount val="1"/>
                    <c:pt idx="0">
                      <c:v>0</c:v>
                    </c:pt>
                  </c:strCache>
                </c:strRef>
              </c:tx>
              <c:dLblPos val="t"/>
              <c:showLegendKey val="0"/>
              <c:showVal val="0"/>
              <c:showCatName val="0"/>
              <c:showSerName val="0"/>
              <c:showPercent val="0"/>
              <c:showBubbleSize val="0"/>
            </c:dLbl>
            <c:dLbl>
              <c:idx val="22"/>
              <c:layout/>
              <c:tx>
                <c:strRef>
                  <c:f>Input!$AH$30</c:f>
                  <c:strCache>
                    <c:ptCount val="1"/>
                    <c:pt idx="0">
                      <c:v>0</c:v>
                    </c:pt>
                  </c:strCache>
                </c:strRef>
              </c:tx>
              <c:dLblPos val="t"/>
              <c:showLegendKey val="0"/>
              <c:showVal val="0"/>
              <c:showCatName val="0"/>
              <c:showSerName val="0"/>
              <c:showPercent val="0"/>
              <c:showBubbleSize val="0"/>
            </c:dLbl>
            <c:dLbl>
              <c:idx val="23"/>
              <c:layout/>
              <c:tx>
                <c:strRef>
                  <c:f>Input!$AH$31</c:f>
                  <c:strCache>
                    <c:ptCount val="1"/>
                    <c:pt idx="0">
                      <c:v>0</c:v>
                    </c:pt>
                  </c:strCache>
                </c:strRef>
              </c:tx>
              <c:dLblPos val="t"/>
              <c:showLegendKey val="0"/>
              <c:showVal val="0"/>
              <c:showCatName val="0"/>
              <c:showSerName val="0"/>
              <c:showPercent val="0"/>
              <c:showBubbleSize val="0"/>
            </c:dLbl>
            <c:dLbl>
              <c:idx val="24"/>
              <c:layout/>
              <c:tx>
                <c:strRef>
                  <c:f>Input!$AH$32</c:f>
                  <c:strCache>
                    <c:ptCount val="1"/>
                    <c:pt idx="0">
                      <c:v>0</c:v>
                    </c:pt>
                  </c:strCache>
                </c:strRef>
              </c:tx>
              <c:dLblPos val="t"/>
              <c:showLegendKey val="0"/>
              <c:showVal val="0"/>
              <c:showCatName val="0"/>
              <c:showSerName val="0"/>
              <c:showPercent val="0"/>
              <c:showBubbleSize val="0"/>
            </c:dLbl>
            <c:dLbl>
              <c:idx val="25"/>
              <c:layout/>
              <c:tx>
                <c:strRef>
                  <c:f>Input!$AH$33</c:f>
                  <c:strCache>
                    <c:ptCount val="1"/>
                    <c:pt idx="0">
                      <c:v>0</c:v>
                    </c:pt>
                  </c:strCache>
                </c:strRef>
              </c:tx>
              <c:dLblPos val="t"/>
              <c:showLegendKey val="0"/>
              <c:showVal val="0"/>
              <c:showCatName val="0"/>
              <c:showSerName val="0"/>
              <c:showPercent val="0"/>
              <c:showBubbleSize val="0"/>
            </c:dLbl>
            <c:dLbl>
              <c:idx val="26"/>
              <c:layout/>
              <c:tx>
                <c:strRef>
                  <c:f>Input!$AH$34</c:f>
                  <c:strCache>
                    <c:ptCount val="1"/>
                    <c:pt idx="0">
                      <c:v>0</c:v>
                    </c:pt>
                  </c:strCache>
                </c:strRef>
              </c:tx>
              <c:spPr>
                <a:noFill/>
                <a:ln w="25400">
                  <a:noFill/>
                </a:ln>
              </c:spPr>
              <c:txPr>
                <a:bodyPr/>
                <a:lstStyle/>
                <a:p>
                  <a:pPr>
                    <a:defRPr sz="1000" b="1"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7"/>
              <c:layout/>
              <c:tx>
                <c:strRef>
                  <c:f>Input!$AH$35</c:f>
                  <c:strCache>
                    <c:ptCount val="1"/>
                    <c:pt idx="0">
                      <c:v>0</c:v>
                    </c:pt>
                  </c:strCache>
                </c:strRef>
              </c:tx>
              <c:spPr>
                <a:noFill/>
                <a:ln w="25400">
                  <a:noFill/>
                </a:ln>
              </c:spPr>
              <c:txPr>
                <a:bodyPr/>
                <a:lstStyle/>
                <a:p>
                  <a:pPr>
                    <a:defRPr sz="1000" b="1"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8"/>
              <c:layout/>
              <c:tx>
                <c:strRef>
                  <c:f>Input!$AH$36</c:f>
                  <c:strCache>
                    <c:ptCount val="1"/>
                    <c:pt idx="0">
                      <c:v>0</c:v>
                    </c:pt>
                  </c:strCache>
                </c:strRef>
              </c:tx>
              <c:spPr>
                <a:noFill/>
                <a:ln w="25400">
                  <a:noFill/>
                </a:ln>
              </c:spPr>
              <c:txPr>
                <a:bodyPr/>
                <a:lstStyle/>
                <a:p>
                  <a:pPr>
                    <a:defRPr sz="1000" b="1"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9"/>
              <c:layout/>
              <c:tx>
                <c:strRef>
                  <c:f>Input!$AH$37</c:f>
                  <c:strCache>
                    <c:ptCount val="1"/>
                    <c:pt idx="0">
                      <c:v>0</c:v>
                    </c:pt>
                  </c:strCache>
                </c:strRef>
              </c:tx>
              <c:spPr>
                <a:noFill/>
                <a:ln w="25400">
                  <a:noFill/>
                </a:ln>
              </c:spPr>
              <c:txPr>
                <a:bodyPr/>
                <a:lstStyle/>
                <a:p>
                  <a:pPr>
                    <a:defRPr sz="1000" b="1"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dLbls>
          <c:xVal>
            <c:numRef>
              <c:f>Input!$BY$8:$BY$37</c:f>
              <c:numCache>
                <c:formatCode>0.000</c:formatCode>
                <c:ptCount val="30"/>
                <c:pt idx="0">
                  <c:v>1.1547000000000001</c:v>
                </c:pt>
                <c:pt idx="1">
                  <c:v>1.1547000000000001</c:v>
                </c:pt>
                <c:pt idx="2">
                  <c:v>1.1547000000000001</c:v>
                </c:pt>
                <c:pt idx="3">
                  <c:v>1.1547000000000001</c:v>
                </c:pt>
                <c:pt idx="4">
                  <c:v>1.1547000000000001</c:v>
                </c:pt>
                <c:pt idx="5">
                  <c:v>1.1547000000000001</c:v>
                </c:pt>
                <c:pt idx="6">
                  <c:v>1.1547000000000001</c:v>
                </c:pt>
                <c:pt idx="7">
                  <c:v>1.1547000000000001</c:v>
                </c:pt>
                <c:pt idx="8">
                  <c:v>1.1547000000000001</c:v>
                </c:pt>
                <c:pt idx="9">
                  <c:v>1.1547000000000001</c:v>
                </c:pt>
                <c:pt idx="10">
                  <c:v>1.1547000000000001</c:v>
                </c:pt>
                <c:pt idx="11">
                  <c:v>1.1547000000000001</c:v>
                </c:pt>
                <c:pt idx="12">
                  <c:v>1.1547000000000001</c:v>
                </c:pt>
                <c:pt idx="13">
                  <c:v>1.1547000000000001</c:v>
                </c:pt>
                <c:pt idx="14">
                  <c:v>1.1547000000000001</c:v>
                </c:pt>
                <c:pt idx="15">
                  <c:v>1.1547000000000001</c:v>
                </c:pt>
                <c:pt idx="16">
                  <c:v>1.1547000000000001</c:v>
                </c:pt>
                <c:pt idx="17">
                  <c:v>1.1547000000000001</c:v>
                </c:pt>
                <c:pt idx="18">
                  <c:v>1.1547000000000001</c:v>
                </c:pt>
                <c:pt idx="19">
                  <c:v>1.1547000000000001</c:v>
                </c:pt>
                <c:pt idx="20">
                  <c:v>1.1547000000000001</c:v>
                </c:pt>
                <c:pt idx="21">
                  <c:v>1.1547000000000001</c:v>
                </c:pt>
                <c:pt idx="22">
                  <c:v>1.1547000000000001</c:v>
                </c:pt>
                <c:pt idx="23">
                  <c:v>1.1547000000000001</c:v>
                </c:pt>
                <c:pt idx="24">
                  <c:v>1.1547000000000001</c:v>
                </c:pt>
                <c:pt idx="25">
                  <c:v>1.1547000000000001</c:v>
                </c:pt>
                <c:pt idx="26">
                  <c:v>1.1547000000000001</c:v>
                </c:pt>
                <c:pt idx="27">
                  <c:v>1.1547000000000001</c:v>
                </c:pt>
                <c:pt idx="28">
                  <c:v>1.1547000000000001</c:v>
                </c:pt>
                <c:pt idx="29" formatCode="General">
                  <c:v>0.57740000000000002</c:v>
                </c:pt>
              </c:numCache>
            </c:numRef>
          </c:xVal>
          <c:yVal>
            <c:numRef>
              <c:f>Input!$BZ$8:$BZ$37</c:f>
              <c:numCache>
                <c:formatCode>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formatCode="General">
                  <c:v>1</c:v>
                </c:pt>
              </c:numCache>
            </c:numRef>
          </c:yVal>
          <c:smooth val="0"/>
        </c:ser>
        <c:dLbls>
          <c:showLegendKey val="0"/>
          <c:showVal val="0"/>
          <c:showCatName val="0"/>
          <c:showSerName val="0"/>
          <c:showPercent val="0"/>
          <c:showBubbleSize val="0"/>
        </c:dLbls>
        <c:axId val="113502464"/>
        <c:axId val="113537024"/>
      </c:scatterChart>
      <c:valAx>
        <c:axId val="113502464"/>
        <c:scaling>
          <c:orientation val="minMax"/>
          <c:max val="1.4"/>
          <c:min val="-0.2"/>
        </c:scaling>
        <c:delete val="1"/>
        <c:axPos val="b"/>
        <c:numFmt formatCode="General" sourceLinked="1"/>
        <c:majorTickMark val="out"/>
        <c:minorTickMark val="none"/>
        <c:tickLblPos val="none"/>
        <c:crossAx val="113537024"/>
        <c:crosses val="autoZero"/>
        <c:crossBetween val="midCat"/>
      </c:valAx>
      <c:valAx>
        <c:axId val="113537024"/>
        <c:scaling>
          <c:orientation val="minMax"/>
          <c:max val="1.2"/>
          <c:min val="-0.2"/>
        </c:scaling>
        <c:delete val="1"/>
        <c:axPos val="l"/>
        <c:numFmt formatCode="General" sourceLinked="1"/>
        <c:majorTickMark val="out"/>
        <c:minorTickMark val="none"/>
        <c:tickLblPos val="none"/>
        <c:crossAx val="113502464"/>
        <c:crosses val="autoZero"/>
        <c:crossBetween val="midCat"/>
      </c:valAx>
      <c:spPr>
        <a:noFill/>
        <a:ln w="25400">
          <a:noFill/>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27413984461709E-2"/>
          <c:y val="2.6874115983026903E-2"/>
          <c:w val="0.89345172031076558"/>
          <c:h val="0.96605374823196577"/>
        </c:manualLayout>
      </c:layout>
      <c:scatterChart>
        <c:scatterStyle val="lineMarker"/>
        <c:varyColors val="0"/>
        <c:ser>
          <c:idx val="0"/>
          <c:order val="0"/>
          <c:tx>
            <c:v>border</c:v>
          </c:tx>
          <c:spPr>
            <a:ln w="38100">
              <a:solidFill>
                <a:srgbClr val="000000"/>
              </a:solidFill>
              <a:prstDash val="solid"/>
            </a:ln>
          </c:spPr>
          <c:marker>
            <c:symbol val="none"/>
          </c:marker>
          <c:dLbls>
            <c:dLbl>
              <c:idx val="0"/>
              <c:delete val="1"/>
            </c:dLbl>
            <c:dLbl>
              <c:idx val="1"/>
              <c:layout/>
              <c:tx>
                <c:strRef>
                  <c:f>Input!$CF$7</c:f>
                  <c:strCache>
                    <c:ptCount val="1"/>
                    <c:pt idx="0">
                      <c:v>Cl</c:v>
                    </c:pt>
                  </c:strCache>
                </c:strRef>
              </c:tx>
              <c:spPr>
                <a:noFill/>
                <a:ln w="25400">
                  <a:noFill/>
                </a:ln>
              </c:spPr>
              <c:txPr>
                <a:bodyPr/>
                <a:lstStyle/>
                <a:p>
                  <a:pPr algn="l">
                    <a:defRPr sz="1600" b="1"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
              <c:layout/>
              <c:tx>
                <c:strRef>
                  <c:f>Input!$CH$7</c:f>
                  <c:strCache>
                    <c:ptCount val="1"/>
                    <c:pt idx="0">
                      <c:v>HCO3</c:v>
                    </c:pt>
                  </c:strCache>
                </c:strRef>
              </c:tx>
              <c:spPr>
                <a:noFill/>
                <a:ln w="25400">
                  <a:noFill/>
                </a:ln>
              </c:spPr>
              <c:txPr>
                <a:bodyPr/>
                <a:lstStyle/>
                <a:p>
                  <a:pPr algn="l">
                    <a:defRPr sz="1600" b="1"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3"/>
              <c:layout/>
              <c:tx>
                <c:strRef>
                  <c:f>Input!$CG$7</c:f>
                  <c:strCache>
                    <c:ptCount val="1"/>
                    <c:pt idx="0">
                      <c:v>SO4</c:v>
                    </c:pt>
                  </c:strCache>
                </c:strRef>
              </c:tx>
              <c:spPr>
                <a:noFill/>
                <a:ln w="25400">
                  <a:noFill/>
                </a:ln>
              </c:spPr>
              <c:txPr>
                <a:bodyPr/>
                <a:lstStyle/>
                <a:p>
                  <a:pPr>
                    <a:defRPr sz="1600" b="1" i="0" u="none" strike="noStrike" baseline="0">
                      <a:solidFill>
                        <a:srgbClr val="000000"/>
                      </a:solidFill>
                      <a:latin typeface="Arial"/>
                      <a:ea typeface="Arial"/>
                      <a:cs typeface="Arial"/>
                    </a:defRPr>
                  </a:pPr>
                  <a:endParaRPr lang="en-US"/>
                </a:p>
              </c:txPr>
              <c:dLblPos val="l"/>
              <c:showLegendKey val="0"/>
              <c:showVal val="0"/>
              <c:showCatName val="0"/>
              <c:showSerName val="0"/>
              <c:showPercent val="0"/>
              <c:showBubbleSize val="0"/>
            </c:dLbl>
            <c:spPr>
              <a:noFill/>
              <a:ln w="25400">
                <a:noFill/>
              </a:ln>
            </c:spPr>
            <c:txPr>
              <a:bodyPr/>
              <a:lstStyle/>
              <a:p>
                <a:pPr algn="l">
                  <a:defRPr sz="16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xVal>
            <c:numRef>
              <c:f>Tgrid!$A$5:$A$8</c:f>
              <c:numCache>
                <c:formatCode>General</c:formatCode>
                <c:ptCount val="4"/>
                <c:pt idx="0">
                  <c:v>0</c:v>
                </c:pt>
                <c:pt idx="1">
                  <c:v>0.57740000000000002</c:v>
                </c:pt>
                <c:pt idx="2">
                  <c:v>1.1547000000000001</c:v>
                </c:pt>
                <c:pt idx="3">
                  <c:v>0</c:v>
                </c:pt>
              </c:numCache>
            </c:numRef>
          </c:xVal>
          <c:yVal>
            <c:numRef>
              <c:f>Tgrid!$B$5:$B$8</c:f>
              <c:numCache>
                <c:formatCode>General</c:formatCode>
                <c:ptCount val="4"/>
                <c:pt idx="0">
                  <c:v>0</c:v>
                </c:pt>
                <c:pt idx="1">
                  <c:v>1</c:v>
                </c:pt>
                <c:pt idx="2">
                  <c:v>0</c:v>
                </c:pt>
                <c:pt idx="3">
                  <c:v>0</c:v>
                </c:pt>
              </c:numCache>
            </c:numRef>
          </c:yVal>
          <c:smooth val="0"/>
        </c:ser>
        <c:ser>
          <c:idx val="1"/>
          <c:order val="1"/>
          <c:tx>
            <c:v>A grid</c:v>
          </c:tx>
          <c:spPr>
            <a:ln w="3175">
              <a:solidFill>
                <a:srgbClr val="808080"/>
              </a:solidFill>
              <a:prstDash val="sysDash"/>
            </a:ln>
          </c:spPr>
          <c:marker>
            <c:symbol val="none"/>
          </c:marker>
          <c:dLbls>
            <c:dLbl>
              <c:idx val="0"/>
              <c:layout/>
              <c:tx>
                <c:rich>
                  <a:bodyPr/>
                  <a:lstStyle/>
                  <a:p>
                    <a:r>
                      <a:rPr lang="en-NZ"/>
                      <a:t>10%</a:t>
                    </a:r>
                  </a:p>
                </c:rich>
              </c:tx>
              <c:dLblPos val="l"/>
              <c:showLegendKey val="0"/>
              <c:showVal val="0"/>
              <c:showCatName val="0"/>
              <c:showSerName val="0"/>
              <c:showPercent val="0"/>
              <c:showBubbleSize val="0"/>
            </c:dLbl>
            <c:dLbl>
              <c:idx val="1"/>
              <c:delete val="1"/>
            </c:dLbl>
            <c:dLbl>
              <c:idx val="2"/>
              <c:delete val="1"/>
            </c:dLbl>
            <c:dLbl>
              <c:idx val="3"/>
              <c:layout/>
              <c:tx>
                <c:rich>
                  <a:bodyPr/>
                  <a:lstStyle/>
                  <a:p>
                    <a:r>
                      <a:rPr lang="en-NZ"/>
                      <a:t>20%</a:t>
                    </a:r>
                  </a:p>
                </c:rich>
              </c:tx>
              <c:dLblPos val="l"/>
              <c:showLegendKey val="0"/>
              <c:showVal val="0"/>
              <c:showCatName val="0"/>
              <c:showSerName val="0"/>
              <c:showPercent val="0"/>
              <c:showBubbleSize val="0"/>
            </c:dLbl>
            <c:dLbl>
              <c:idx val="4"/>
              <c:layout/>
              <c:tx>
                <c:rich>
                  <a:bodyPr/>
                  <a:lstStyle/>
                  <a:p>
                    <a:r>
                      <a:rPr lang="en-NZ"/>
                      <a:t>30%</a:t>
                    </a:r>
                  </a:p>
                </c:rich>
              </c:tx>
              <c:dLblPos val="l"/>
              <c:showLegendKey val="0"/>
              <c:showVal val="0"/>
              <c:showCatName val="0"/>
              <c:showSerName val="0"/>
              <c:showPercent val="0"/>
              <c:showBubbleSize val="0"/>
            </c:dLbl>
            <c:dLbl>
              <c:idx val="5"/>
              <c:delete val="1"/>
            </c:dLbl>
            <c:dLbl>
              <c:idx val="6"/>
              <c:delete val="1"/>
            </c:dLbl>
            <c:dLbl>
              <c:idx val="7"/>
              <c:layout/>
              <c:tx>
                <c:rich>
                  <a:bodyPr/>
                  <a:lstStyle/>
                  <a:p>
                    <a:r>
                      <a:rPr lang="en-NZ"/>
                      <a:t>40%</a:t>
                    </a:r>
                  </a:p>
                </c:rich>
              </c:tx>
              <c:dLblPos val="l"/>
              <c:showLegendKey val="0"/>
              <c:showVal val="0"/>
              <c:showCatName val="0"/>
              <c:showSerName val="0"/>
              <c:showPercent val="0"/>
              <c:showBubbleSize val="0"/>
            </c:dLbl>
            <c:dLbl>
              <c:idx val="8"/>
              <c:layout/>
              <c:tx>
                <c:rich>
                  <a:bodyPr/>
                  <a:lstStyle/>
                  <a:p>
                    <a:r>
                      <a:rPr lang="en-NZ"/>
                      <a:t>50%</a:t>
                    </a:r>
                  </a:p>
                </c:rich>
              </c:tx>
              <c:dLblPos val="l"/>
              <c:showLegendKey val="0"/>
              <c:showVal val="0"/>
              <c:showCatName val="0"/>
              <c:showSerName val="0"/>
              <c:showPercent val="0"/>
              <c:showBubbleSize val="0"/>
            </c:dLbl>
            <c:dLbl>
              <c:idx val="9"/>
              <c:delete val="1"/>
            </c:dLbl>
            <c:dLbl>
              <c:idx val="10"/>
              <c:delete val="1"/>
            </c:dLbl>
            <c:dLbl>
              <c:idx val="11"/>
              <c:layout/>
              <c:tx>
                <c:rich>
                  <a:bodyPr/>
                  <a:lstStyle/>
                  <a:p>
                    <a:r>
                      <a:rPr lang="en-NZ"/>
                      <a:t>60%</a:t>
                    </a:r>
                  </a:p>
                </c:rich>
              </c:tx>
              <c:dLblPos val="l"/>
              <c:showLegendKey val="0"/>
              <c:showVal val="0"/>
              <c:showCatName val="0"/>
              <c:showSerName val="0"/>
              <c:showPercent val="0"/>
              <c:showBubbleSize val="0"/>
            </c:dLbl>
            <c:dLbl>
              <c:idx val="12"/>
              <c:layout/>
              <c:tx>
                <c:rich>
                  <a:bodyPr/>
                  <a:lstStyle/>
                  <a:p>
                    <a:r>
                      <a:rPr lang="en-NZ"/>
                      <a:t>70%</a:t>
                    </a:r>
                  </a:p>
                </c:rich>
              </c:tx>
              <c:dLblPos val="l"/>
              <c:showLegendKey val="0"/>
              <c:showVal val="0"/>
              <c:showCatName val="0"/>
              <c:showSerName val="0"/>
              <c:showPercent val="0"/>
              <c:showBubbleSize val="0"/>
            </c:dLbl>
            <c:dLbl>
              <c:idx val="13"/>
              <c:delete val="1"/>
            </c:dLbl>
            <c:dLbl>
              <c:idx val="14"/>
              <c:delete val="1"/>
            </c:dLbl>
            <c:dLbl>
              <c:idx val="15"/>
              <c:layout/>
              <c:tx>
                <c:rich>
                  <a:bodyPr/>
                  <a:lstStyle/>
                  <a:p>
                    <a:r>
                      <a:rPr lang="en-NZ"/>
                      <a:t>80%</a:t>
                    </a:r>
                  </a:p>
                </c:rich>
              </c:tx>
              <c:dLblPos val="l"/>
              <c:showLegendKey val="0"/>
              <c:showVal val="0"/>
              <c:showCatName val="0"/>
              <c:showSerName val="0"/>
              <c:showPercent val="0"/>
              <c:showBubbleSize val="0"/>
            </c:dLbl>
            <c:dLbl>
              <c:idx val="16"/>
              <c:layout/>
              <c:tx>
                <c:rich>
                  <a:bodyPr/>
                  <a:lstStyle/>
                  <a:p>
                    <a:r>
                      <a:rPr lang="en-NZ"/>
                      <a:t>90%</a:t>
                    </a:r>
                  </a:p>
                </c:rich>
              </c:tx>
              <c:dLblPos val="l"/>
              <c:showLegendKey val="0"/>
              <c:showVal val="0"/>
              <c:showCatName val="0"/>
              <c:showSerName val="0"/>
              <c:showPercent val="0"/>
              <c:showBubbleSize val="0"/>
            </c:dLbl>
            <c:dLbl>
              <c:idx val="17"/>
              <c:delete val="1"/>
            </c:dLbl>
            <c:spPr>
              <a:noFill/>
              <a:ln w="25400">
                <a:noFill/>
              </a:ln>
            </c:spPr>
            <c:txPr>
              <a:bodyPr/>
              <a:lstStyle/>
              <a:p>
                <a:pPr>
                  <a:defRPr sz="1200" b="0" i="0" u="none" strike="noStrike" baseline="0">
                    <a:solidFill>
                      <a:srgbClr val="808080"/>
                    </a:solidFill>
                    <a:latin typeface="Arial"/>
                    <a:ea typeface="Arial"/>
                    <a:cs typeface="Arial"/>
                  </a:defRPr>
                </a:pPr>
                <a:endParaRPr lang="en-US"/>
              </a:p>
            </c:txPr>
            <c:dLblPos val="l"/>
            <c:showLegendKey val="0"/>
            <c:showVal val="1"/>
            <c:showCatName val="0"/>
            <c:showSerName val="0"/>
            <c:showPercent val="0"/>
            <c:showBubbleSize val="0"/>
            <c:showLeaderLines val="0"/>
          </c:dLbls>
          <c:xVal>
            <c:numRef>
              <c:f>Tgrid!$F$5:$F$22</c:f>
              <c:numCache>
                <c:formatCode>General</c:formatCode>
                <c:ptCount val="18"/>
                <c:pt idx="0">
                  <c:v>5.7740000000000007E-2</c:v>
                </c:pt>
                <c:pt idx="1">
                  <c:v>1.09697</c:v>
                </c:pt>
                <c:pt idx="2">
                  <c:v>1.0392400000000002</c:v>
                </c:pt>
                <c:pt idx="3">
                  <c:v>0.11548000000000001</c:v>
                </c:pt>
                <c:pt idx="4">
                  <c:v>0.17322000000000001</c:v>
                </c:pt>
                <c:pt idx="5">
                  <c:v>0.98150999999999999</c:v>
                </c:pt>
                <c:pt idx="6">
                  <c:v>0.92378000000000005</c:v>
                </c:pt>
                <c:pt idx="7">
                  <c:v>0.23096000000000003</c:v>
                </c:pt>
                <c:pt idx="8">
                  <c:v>0.28870000000000001</c:v>
                </c:pt>
                <c:pt idx="9">
                  <c:v>0.86604999999999999</c:v>
                </c:pt>
                <c:pt idx="10">
                  <c:v>0.80832000000000015</c:v>
                </c:pt>
                <c:pt idx="11">
                  <c:v>0.34644000000000003</c:v>
                </c:pt>
                <c:pt idx="12">
                  <c:v>0.40417999999999998</c:v>
                </c:pt>
                <c:pt idx="13">
                  <c:v>0.75058999999999998</c:v>
                </c:pt>
                <c:pt idx="14">
                  <c:v>0.69286000000000003</c:v>
                </c:pt>
                <c:pt idx="15">
                  <c:v>0.46192000000000005</c:v>
                </c:pt>
                <c:pt idx="16">
                  <c:v>0.51966000000000001</c:v>
                </c:pt>
                <c:pt idx="17">
                  <c:v>0.63512999999999997</c:v>
                </c:pt>
              </c:numCache>
            </c:numRef>
          </c:xVal>
          <c:yVal>
            <c:numRef>
              <c:f>Tgrid!$G$5:$G$22</c:f>
              <c:numCache>
                <c:formatCode>_(* #,##0.00_);_(* \(#,##0.00\);_(* "-"??_);_(@_)</c:formatCode>
                <c:ptCount val="18"/>
                <c:pt idx="0">
                  <c:v>0.1</c:v>
                </c:pt>
                <c:pt idx="1">
                  <c:v>0.1</c:v>
                </c:pt>
                <c:pt idx="2">
                  <c:v>0.2</c:v>
                </c:pt>
                <c:pt idx="3">
                  <c:v>0.2</c:v>
                </c:pt>
                <c:pt idx="4">
                  <c:v>0.3</c:v>
                </c:pt>
                <c:pt idx="5">
                  <c:v>0.3</c:v>
                </c:pt>
                <c:pt idx="6">
                  <c:v>0.4</c:v>
                </c:pt>
                <c:pt idx="7">
                  <c:v>0.4</c:v>
                </c:pt>
                <c:pt idx="8">
                  <c:v>0.5</c:v>
                </c:pt>
                <c:pt idx="9">
                  <c:v>0.5</c:v>
                </c:pt>
                <c:pt idx="10">
                  <c:v>0.6</c:v>
                </c:pt>
                <c:pt idx="11">
                  <c:v>0.6</c:v>
                </c:pt>
                <c:pt idx="12">
                  <c:v>0.7</c:v>
                </c:pt>
                <c:pt idx="13">
                  <c:v>0.7</c:v>
                </c:pt>
                <c:pt idx="14">
                  <c:v>0.8</c:v>
                </c:pt>
                <c:pt idx="15">
                  <c:v>0.8</c:v>
                </c:pt>
                <c:pt idx="16">
                  <c:v>0.9</c:v>
                </c:pt>
                <c:pt idx="17">
                  <c:v>0.9</c:v>
                </c:pt>
              </c:numCache>
            </c:numRef>
          </c:yVal>
          <c:smooth val="0"/>
        </c:ser>
        <c:ser>
          <c:idx val="2"/>
          <c:order val="2"/>
          <c:tx>
            <c:v>B grid</c:v>
          </c:tx>
          <c:spPr>
            <a:ln w="3175">
              <a:solidFill>
                <a:srgbClr val="808080"/>
              </a:solidFill>
              <a:prstDash val="sysDash"/>
            </a:ln>
          </c:spPr>
          <c:marker>
            <c:symbol val="none"/>
          </c:marker>
          <c:dLbls>
            <c:dLbl>
              <c:idx val="0"/>
              <c:layout>
                <c:manualLayout>
                  <c:x val="-2.0037928111372311E-2"/>
                  <c:y val="3.6075243069863858E-2"/>
                </c:manualLayout>
              </c:layout>
              <c:tx>
                <c:rich>
                  <a:bodyPr/>
                  <a:lstStyle/>
                  <a:p>
                    <a:r>
                      <a:rPr lang="en-NZ"/>
                      <a:t>90%</a:t>
                    </a:r>
                  </a:p>
                </c:rich>
              </c:tx>
              <c:dLblPos val="r"/>
              <c:showLegendKey val="0"/>
              <c:showVal val="0"/>
              <c:showCatName val="0"/>
              <c:showSerName val="0"/>
              <c:showPercent val="0"/>
              <c:showBubbleSize val="0"/>
            </c:dLbl>
            <c:dLbl>
              <c:idx val="1"/>
              <c:delete val="1"/>
            </c:dLbl>
            <c:dLbl>
              <c:idx val="2"/>
              <c:delete val="1"/>
            </c:dLbl>
            <c:dLbl>
              <c:idx val="3"/>
              <c:layout>
                <c:manualLayout>
                  <c:x val="-2.2364069086258785E-2"/>
                  <c:y val="3.3246388755861001E-2"/>
                </c:manualLayout>
              </c:layout>
              <c:tx>
                <c:rich>
                  <a:bodyPr/>
                  <a:lstStyle/>
                  <a:p>
                    <a:r>
                      <a:rPr lang="en-NZ"/>
                      <a:t>80%</a:t>
                    </a:r>
                  </a:p>
                </c:rich>
              </c:tx>
              <c:dLblPos val="r"/>
              <c:showLegendKey val="0"/>
              <c:showVal val="0"/>
              <c:showCatName val="0"/>
              <c:showSerName val="0"/>
              <c:showPercent val="0"/>
              <c:showBubbleSize val="0"/>
            </c:dLbl>
            <c:dLbl>
              <c:idx val="4"/>
              <c:layout>
                <c:manualLayout>
                  <c:x val="-1.8030942580568095E-2"/>
                  <c:y val="3.6075243069863858E-2"/>
                </c:manualLayout>
              </c:layout>
              <c:tx>
                <c:rich>
                  <a:bodyPr/>
                  <a:lstStyle/>
                  <a:p>
                    <a:r>
                      <a:rPr lang="en-NZ"/>
                      <a:t>70%</a:t>
                    </a:r>
                  </a:p>
                </c:rich>
              </c:tx>
              <c:dLblPos val="r"/>
              <c:showLegendKey val="0"/>
              <c:showVal val="0"/>
              <c:showCatName val="0"/>
              <c:showSerName val="0"/>
              <c:showPercent val="0"/>
              <c:showBubbleSize val="0"/>
            </c:dLbl>
            <c:dLbl>
              <c:idx val="5"/>
              <c:delete val="1"/>
            </c:dLbl>
            <c:dLbl>
              <c:idx val="6"/>
              <c:delete val="1"/>
            </c:dLbl>
            <c:dLbl>
              <c:idx val="7"/>
              <c:layout>
                <c:manualLayout>
                  <c:x val="-2.0357083555454573E-2"/>
                  <c:y val="3.6075243069863858E-2"/>
                </c:manualLayout>
              </c:layout>
              <c:tx>
                <c:rich>
                  <a:bodyPr/>
                  <a:lstStyle/>
                  <a:p>
                    <a:r>
                      <a:rPr lang="en-NZ"/>
                      <a:t>60%</a:t>
                    </a:r>
                  </a:p>
                </c:rich>
              </c:tx>
              <c:dLblPos val="r"/>
              <c:showLegendKey val="0"/>
              <c:showVal val="0"/>
              <c:showCatName val="0"/>
              <c:showSerName val="0"/>
              <c:showPercent val="0"/>
              <c:showBubbleSize val="0"/>
            </c:dLbl>
            <c:dLbl>
              <c:idx val="8"/>
              <c:layout>
                <c:manualLayout>
                  <c:x val="-2.0463468703482007E-2"/>
                  <c:y val="3.6075243069863858E-2"/>
                </c:manualLayout>
              </c:layout>
              <c:tx>
                <c:rich>
                  <a:bodyPr/>
                  <a:lstStyle/>
                  <a:p>
                    <a:r>
                      <a:rPr lang="en-NZ"/>
                      <a:t>50%</a:t>
                    </a:r>
                  </a:p>
                </c:rich>
              </c:tx>
              <c:dLblPos val="r"/>
              <c:showLegendKey val="0"/>
              <c:showVal val="0"/>
              <c:showCatName val="0"/>
              <c:showSerName val="0"/>
              <c:showPercent val="0"/>
              <c:showBubbleSize val="0"/>
            </c:dLbl>
            <c:dLbl>
              <c:idx val="9"/>
              <c:delete val="1"/>
            </c:dLbl>
            <c:dLbl>
              <c:idx val="10"/>
              <c:delete val="1"/>
            </c:dLbl>
            <c:dLbl>
              <c:idx val="11"/>
              <c:layout>
                <c:manualLayout>
                  <c:x val="-1.8350098024650284E-2"/>
                  <c:y val="3.6075243069863858E-2"/>
                </c:manualLayout>
              </c:layout>
              <c:tx>
                <c:rich>
                  <a:bodyPr/>
                  <a:lstStyle/>
                  <a:p>
                    <a:r>
                      <a:rPr lang="en-NZ"/>
                      <a:t>40%</a:t>
                    </a:r>
                  </a:p>
                </c:rich>
              </c:tx>
              <c:dLblPos val="r"/>
              <c:showLegendKey val="0"/>
              <c:showVal val="0"/>
              <c:showCatName val="0"/>
              <c:showSerName val="0"/>
              <c:showPercent val="0"/>
              <c:showBubbleSize val="0"/>
            </c:dLbl>
            <c:dLbl>
              <c:idx val="12"/>
              <c:layout>
                <c:manualLayout>
                  <c:x val="-1.8456483172677739E-2"/>
                  <c:y val="3.6075243069863858E-2"/>
                </c:manualLayout>
              </c:layout>
              <c:tx>
                <c:rich>
                  <a:bodyPr/>
                  <a:lstStyle/>
                  <a:p>
                    <a:r>
                      <a:rPr lang="en-NZ"/>
                      <a:t>30%</a:t>
                    </a:r>
                  </a:p>
                </c:rich>
              </c:tx>
              <c:dLblPos val="r"/>
              <c:showLegendKey val="0"/>
              <c:showVal val="0"/>
              <c:showCatName val="0"/>
              <c:showSerName val="0"/>
              <c:showPercent val="0"/>
              <c:showBubbleSize val="0"/>
            </c:dLbl>
            <c:dLbl>
              <c:idx val="13"/>
              <c:delete val="1"/>
            </c:dLbl>
            <c:dLbl>
              <c:idx val="14"/>
              <c:delete val="1"/>
            </c:dLbl>
            <c:dLbl>
              <c:idx val="15"/>
              <c:layout>
                <c:manualLayout>
                  <c:x val="-1.6342995971230533E-2"/>
                  <c:y val="3.3246388755861001E-2"/>
                </c:manualLayout>
              </c:layout>
              <c:tx>
                <c:rich>
                  <a:bodyPr/>
                  <a:lstStyle/>
                  <a:p>
                    <a:r>
                      <a:rPr lang="en-NZ"/>
                      <a:t>20%</a:t>
                    </a:r>
                  </a:p>
                </c:rich>
              </c:tx>
              <c:dLblPos val="r"/>
              <c:showLegendKey val="0"/>
              <c:showVal val="0"/>
              <c:showCatName val="0"/>
              <c:showSerName val="0"/>
              <c:showPercent val="0"/>
              <c:showBubbleSize val="0"/>
            </c:dLbl>
            <c:dLbl>
              <c:idx val="16"/>
              <c:layout>
                <c:manualLayout>
                  <c:x val="-2.0888892772976033E-2"/>
                  <c:y val="3.3246388755861001E-2"/>
                </c:manualLayout>
              </c:layout>
              <c:tx>
                <c:rich>
                  <a:bodyPr/>
                  <a:lstStyle/>
                  <a:p>
                    <a:r>
                      <a:rPr lang="en-NZ"/>
                      <a:t>10%</a:t>
                    </a:r>
                  </a:p>
                </c:rich>
              </c:tx>
              <c:dLblPos val="r"/>
              <c:showLegendKey val="0"/>
              <c:showVal val="0"/>
              <c:showCatName val="0"/>
              <c:showSerName val="0"/>
              <c:showPercent val="0"/>
              <c:showBubbleSize val="0"/>
            </c:dLbl>
            <c:dLbl>
              <c:idx val="17"/>
              <c:delete val="1"/>
            </c:dLbl>
            <c:spPr>
              <a:noFill/>
              <a:ln w="25400">
                <a:noFill/>
              </a:ln>
            </c:spPr>
            <c:txPr>
              <a:bodyPr rot="3600000" vert="horz"/>
              <a:lstStyle/>
              <a:p>
                <a:pPr algn="l">
                  <a:defRPr sz="1200" b="0" i="0" u="none" strike="noStrike" baseline="0">
                    <a:solidFill>
                      <a:srgbClr val="808080"/>
                    </a:solidFill>
                    <a:latin typeface="Arial"/>
                    <a:ea typeface="Arial"/>
                    <a:cs typeface="Arial"/>
                  </a:defRPr>
                </a:pPr>
                <a:endParaRPr lang="en-US"/>
              </a:p>
            </c:txPr>
            <c:dLblPos val="b"/>
            <c:showLegendKey val="0"/>
            <c:showVal val="1"/>
            <c:showCatName val="0"/>
            <c:showSerName val="0"/>
            <c:showPercent val="0"/>
            <c:showBubbleSize val="0"/>
            <c:showLeaderLines val="0"/>
          </c:dLbls>
          <c:xVal>
            <c:numRef>
              <c:f>Tgrid!$K$5:$K$22</c:f>
              <c:numCache>
                <c:formatCode>General</c:formatCode>
                <c:ptCount val="18"/>
                <c:pt idx="0">
                  <c:v>0.11547000000000002</c:v>
                </c:pt>
                <c:pt idx="1">
                  <c:v>5.7740000000000007E-2</c:v>
                </c:pt>
                <c:pt idx="2">
                  <c:v>0.11548000000000001</c:v>
                </c:pt>
                <c:pt idx="3">
                  <c:v>0.23094000000000003</c:v>
                </c:pt>
                <c:pt idx="4">
                  <c:v>0.34641</c:v>
                </c:pt>
                <c:pt idx="5">
                  <c:v>0.17322000000000001</c:v>
                </c:pt>
                <c:pt idx="6">
                  <c:v>0.23096000000000003</c:v>
                </c:pt>
                <c:pt idx="7">
                  <c:v>0.46188000000000007</c:v>
                </c:pt>
                <c:pt idx="8">
                  <c:v>0.57735000000000003</c:v>
                </c:pt>
                <c:pt idx="9">
                  <c:v>0.28870000000000001</c:v>
                </c:pt>
                <c:pt idx="10">
                  <c:v>0.34644000000000003</c:v>
                </c:pt>
                <c:pt idx="11">
                  <c:v>0.69281999999999999</c:v>
                </c:pt>
                <c:pt idx="12">
                  <c:v>0.80828999999999995</c:v>
                </c:pt>
                <c:pt idx="13">
                  <c:v>0.40417999999999998</c:v>
                </c:pt>
                <c:pt idx="14">
                  <c:v>0.46192000000000005</c:v>
                </c:pt>
                <c:pt idx="15">
                  <c:v>0.92376000000000014</c:v>
                </c:pt>
                <c:pt idx="16">
                  <c:v>1.0392300000000001</c:v>
                </c:pt>
                <c:pt idx="17">
                  <c:v>0.51966000000000001</c:v>
                </c:pt>
              </c:numCache>
            </c:numRef>
          </c:xVal>
          <c:yVal>
            <c:numRef>
              <c:f>Tgrid!$L$5:$L$22</c:f>
              <c:numCache>
                <c:formatCode>0.00</c:formatCode>
                <c:ptCount val="18"/>
                <c:pt idx="0">
                  <c:v>0</c:v>
                </c:pt>
                <c:pt idx="1">
                  <c:v>0.1</c:v>
                </c:pt>
                <c:pt idx="2">
                  <c:v>0.2</c:v>
                </c:pt>
                <c:pt idx="3">
                  <c:v>0</c:v>
                </c:pt>
                <c:pt idx="4">
                  <c:v>0</c:v>
                </c:pt>
                <c:pt idx="5">
                  <c:v>0.3</c:v>
                </c:pt>
                <c:pt idx="6">
                  <c:v>0.4</c:v>
                </c:pt>
                <c:pt idx="7">
                  <c:v>0</c:v>
                </c:pt>
                <c:pt idx="8">
                  <c:v>0</c:v>
                </c:pt>
                <c:pt idx="9">
                  <c:v>0.5</c:v>
                </c:pt>
                <c:pt idx="10">
                  <c:v>0.6</c:v>
                </c:pt>
                <c:pt idx="11">
                  <c:v>0</c:v>
                </c:pt>
                <c:pt idx="12">
                  <c:v>0</c:v>
                </c:pt>
                <c:pt idx="13">
                  <c:v>0.7</c:v>
                </c:pt>
                <c:pt idx="14">
                  <c:v>0.8</c:v>
                </c:pt>
                <c:pt idx="15">
                  <c:v>0</c:v>
                </c:pt>
                <c:pt idx="16">
                  <c:v>0</c:v>
                </c:pt>
                <c:pt idx="17">
                  <c:v>0.9</c:v>
                </c:pt>
              </c:numCache>
            </c:numRef>
          </c:yVal>
          <c:smooth val="0"/>
        </c:ser>
        <c:ser>
          <c:idx val="3"/>
          <c:order val="3"/>
          <c:tx>
            <c:v>C grid</c:v>
          </c:tx>
          <c:spPr>
            <a:ln w="3175">
              <a:solidFill>
                <a:srgbClr val="808080"/>
              </a:solidFill>
              <a:prstDash val="sysDash"/>
            </a:ln>
          </c:spPr>
          <c:marker>
            <c:symbol val="none"/>
          </c:marker>
          <c:dLbls>
            <c:dLbl>
              <c:idx val="0"/>
              <c:delete val="1"/>
            </c:dLbl>
            <c:dLbl>
              <c:idx val="1"/>
              <c:layout>
                <c:manualLayout>
                  <c:x val="-9.4429927668586155E-3"/>
                  <c:y val="-3.17162829893788E-2"/>
                </c:manualLayout>
              </c:layout>
              <c:tx>
                <c:rich>
                  <a:bodyPr/>
                  <a:lstStyle/>
                  <a:p>
                    <a:r>
                      <a:rPr lang="en-NZ"/>
                      <a:t>10%</a:t>
                    </a:r>
                  </a:p>
                </c:rich>
              </c:tx>
              <c:dLblPos val="r"/>
              <c:showLegendKey val="0"/>
              <c:showVal val="0"/>
              <c:showCatName val="0"/>
              <c:showSerName val="0"/>
              <c:showPercent val="0"/>
              <c:showBubbleSize val="0"/>
            </c:dLbl>
            <c:dLbl>
              <c:idx val="2"/>
              <c:layout>
                <c:manualLayout>
                  <c:x val="-1.1713086363649565E-2"/>
                  <c:y val="-3.1413202062613485E-2"/>
                </c:manualLayout>
              </c:layout>
              <c:tx>
                <c:rich>
                  <a:bodyPr/>
                  <a:lstStyle/>
                  <a:p>
                    <a:r>
                      <a:rPr lang="en-NZ"/>
                      <a:t>20%</a:t>
                    </a:r>
                  </a:p>
                </c:rich>
              </c:tx>
              <c:dLblPos val="r"/>
              <c:showLegendKey val="0"/>
              <c:showVal val="0"/>
              <c:showCatName val="0"/>
              <c:showSerName val="0"/>
              <c:showPercent val="0"/>
              <c:showBubbleSize val="0"/>
            </c:dLbl>
            <c:dLbl>
              <c:idx val="3"/>
              <c:delete val="1"/>
            </c:dLbl>
            <c:dLbl>
              <c:idx val="4"/>
              <c:delete val="1"/>
            </c:dLbl>
            <c:dLbl>
              <c:idx val="5"/>
              <c:layout>
                <c:manualLayout>
                  <c:x val="-1.1763540656197044E-2"/>
                  <c:y val="-3.676782976385376E-2"/>
                </c:manualLayout>
              </c:layout>
              <c:tx>
                <c:rich>
                  <a:bodyPr/>
                  <a:lstStyle/>
                  <a:p>
                    <a:r>
                      <a:rPr lang="en-NZ"/>
                      <a:t>30%</a:t>
                    </a:r>
                  </a:p>
                </c:rich>
              </c:tx>
              <c:dLblPos val="r"/>
              <c:showLegendKey val="0"/>
              <c:showVal val="0"/>
              <c:showCatName val="0"/>
              <c:showSerName val="0"/>
              <c:showPercent val="0"/>
              <c:showBubbleSize val="0"/>
            </c:dLbl>
            <c:dLbl>
              <c:idx val="6"/>
              <c:layout>
                <c:manualLayout>
                  <c:x val="-1.1813878426129033E-2"/>
                  <c:y val="-3.9293603151091261E-2"/>
                </c:manualLayout>
              </c:layout>
              <c:tx>
                <c:rich>
                  <a:bodyPr/>
                  <a:lstStyle/>
                  <a:p>
                    <a:r>
                      <a:rPr lang="en-NZ"/>
                      <a:t>40%</a:t>
                    </a:r>
                  </a:p>
                </c:rich>
              </c:tx>
              <c:dLblPos val="r"/>
              <c:showLegendKey val="0"/>
              <c:showVal val="0"/>
              <c:showCatName val="0"/>
              <c:showSerName val="0"/>
              <c:showPercent val="0"/>
              <c:showBubbleSize val="0"/>
            </c:dLbl>
            <c:dLbl>
              <c:idx val="7"/>
              <c:delete val="1"/>
            </c:dLbl>
            <c:dLbl>
              <c:idx val="8"/>
              <c:delete val="1"/>
            </c:dLbl>
            <c:dLbl>
              <c:idx val="9"/>
              <c:layout>
                <c:manualLayout>
                  <c:x val="-1.6303844372394634E-2"/>
                  <c:y val="-4.3233655199040703E-2"/>
                </c:manualLayout>
              </c:layout>
              <c:tx>
                <c:rich>
                  <a:bodyPr/>
                  <a:lstStyle/>
                  <a:p>
                    <a:r>
                      <a:rPr lang="en-NZ"/>
                      <a:t>50%</a:t>
                    </a:r>
                  </a:p>
                </c:rich>
              </c:tx>
              <c:dLblPos val="r"/>
              <c:showLegendKey val="0"/>
              <c:showVal val="0"/>
              <c:showCatName val="0"/>
              <c:showSerName val="0"/>
              <c:showPercent val="0"/>
              <c:showBubbleSize val="0"/>
            </c:dLbl>
            <c:dLbl>
              <c:idx val="10"/>
              <c:layout>
                <c:manualLayout>
                  <c:x val="-1.1914670488608385E-2"/>
                  <c:y val="-4.4345001429276783E-2"/>
                </c:manualLayout>
              </c:layout>
              <c:tx>
                <c:rich>
                  <a:bodyPr/>
                  <a:lstStyle/>
                  <a:p>
                    <a:r>
                      <a:rPr lang="en-NZ"/>
                      <a:t>60%</a:t>
                    </a:r>
                  </a:p>
                </c:rich>
              </c:tx>
              <c:dLblPos val="r"/>
              <c:showLegendKey val="0"/>
              <c:showVal val="0"/>
              <c:showCatName val="0"/>
              <c:showSerName val="0"/>
              <c:showPercent val="0"/>
              <c:showBubbleSize val="0"/>
            </c:dLbl>
            <c:dLbl>
              <c:idx val="11"/>
              <c:delete val="1"/>
            </c:dLbl>
            <c:dLbl>
              <c:idx val="12"/>
              <c:delete val="1"/>
            </c:dLbl>
            <c:dLbl>
              <c:idx val="13"/>
              <c:layout>
                <c:manualLayout>
                  <c:x val="-9.7453689542968732E-3"/>
                  <c:y val="-4.1213066188508632E-2"/>
                </c:manualLayout>
              </c:layout>
              <c:tx>
                <c:rich>
                  <a:bodyPr/>
                  <a:lstStyle/>
                  <a:p>
                    <a:r>
                      <a:rPr lang="en-NZ"/>
                      <a:t>70%</a:t>
                    </a:r>
                  </a:p>
                </c:rich>
              </c:tx>
              <c:dLblPos val="r"/>
              <c:showLegendKey val="0"/>
              <c:showVal val="0"/>
              <c:showCatName val="0"/>
              <c:showSerName val="0"/>
              <c:showPercent val="0"/>
              <c:showBubbleSize val="0"/>
            </c:dLbl>
            <c:dLbl>
              <c:idx val="14"/>
              <c:layout>
                <c:manualLayout>
                  <c:x val="-1.2015462551087829E-2"/>
                  <c:y val="-4.0909985261743234E-2"/>
                </c:manualLayout>
              </c:layout>
              <c:tx>
                <c:rich>
                  <a:bodyPr/>
                  <a:lstStyle/>
                  <a:p>
                    <a:r>
                      <a:rPr lang="en-NZ"/>
                      <a:t>80%</a:t>
                    </a:r>
                  </a:p>
                </c:rich>
              </c:tx>
              <c:dLblPos val="r"/>
              <c:showLegendKey val="0"/>
              <c:showVal val="0"/>
              <c:showCatName val="0"/>
              <c:showSerName val="0"/>
              <c:showPercent val="0"/>
              <c:showBubbleSize val="0"/>
            </c:dLbl>
            <c:dLbl>
              <c:idx val="15"/>
              <c:delete val="1"/>
            </c:dLbl>
            <c:dLbl>
              <c:idx val="16"/>
              <c:delete val="1"/>
            </c:dLbl>
            <c:dLbl>
              <c:idx val="17"/>
              <c:layout>
                <c:manualLayout>
                  <c:x val="-1.0956038930205875E-2"/>
                  <c:y val="-4.6264612962983571E-2"/>
                </c:manualLayout>
              </c:layout>
              <c:tx>
                <c:rich>
                  <a:bodyPr/>
                  <a:lstStyle/>
                  <a:p>
                    <a:r>
                      <a:rPr lang="en-NZ"/>
                      <a:t>90%</a:t>
                    </a:r>
                  </a:p>
                </c:rich>
              </c:tx>
              <c:dLblPos val="r"/>
              <c:showLegendKey val="0"/>
              <c:showVal val="0"/>
              <c:showCatName val="0"/>
              <c:showSerName val="0"/>
              <c:showPercent val="0"/>
              <c:showBubbleSize val="0"/>
            </c:dLbl>
            <c:spPr>
              <a:noFill/>
              <a:ln w="25400">
                <a:noFill/>
              </a:ln>
            </c:spPr>
            <c:txPr>
              <a:bodyPr rot="-3600000" vert="horz"/>
              <a:lstStyle/>
              <a:p>
                <a:pPr algn="l">
                  <a:defRPr sz="1200" b="0" i="0" u="none" strike="noStrike" baseline="0">
                    <a:solidFill>
                      <a:srgbClr val="808080"/>
                    </a:solidFill>
                    <a:latin typeface="Arial"/>
                    <a:ea typeface="Arial"/>
                    <a:cs typeface="Arial"/>
                  </a:defRPr>
                </a:pPr>
                <a:endParaRPr lang="en-US"/>
              </a:p>
            </c:txPr>
            <c:dLblPos val="r"/>
            <c:showLegendKey val="0"/>
            <c:showVal val="1"/>
            <c:showCatName val="0"/>
            <c:showSerName val="0"/>
            <c:showPercent val="0"/>
            <c:showBubbleSize val="0"/>
            <c:showLeaderLines val="0"/>
          </c:dLbls>
          <c:xVal>
            <c:numRef>
              <c:f>Tgrid!$P$5:$P$22</c:f>
              <c:numCache>
                <c:formatCode>General</c:formatCode>
                <c:ptCount val="18"/>
                <c:pt idx="0">
                  <c:v>0.11547000000000002</c:v>
                </c:pt>
                <c:pt idx="1">
                  <c:v>0.63512999999999997</c:v>
                </c:pt>
                <c:pt idx="2">
                  <c:v>0.69286000000000003</c:v>
                </c:pt>
                <c:pt idx="3">
                  <c:v>0.23094000000000003</c:v>
                </c:pt>
                <c:pt idx="4">
                  <c:v>0.34641</c:v>
                </c:pt>
                <c:pt idx="5">
                  <c:v>0.75058999999999998</c:v>
                </c:pt>
                <c:pt idx="6">
                  <c:v>0.80832000000000015</c:v>
                </c:pt>
                <c:pt idx="7">
                  <c:v>0.46188000000000007</c:v>
                </c:pt>
                <c:pt idx="8">
                  <c:v>0.57735000000000003</c:v>
                </c:pt>
                <c:pt idx="9">
                  <c:v>0.86604999999999999</c:v>
                </c:pt>
                <c:pt idx="10">
                  <c:v>0.92378000000000005</c:v>
                </c:pt>
                <c:pt idx="11">
                  <c:v>0.69281999999999999</c:v>
                </c:pt>
                <c:pt idx="12">
                  <c:v>0.80828999999999995</c:v>
                </c:pt>
                <c:pt idx="13">
                  <c:v>0.98150999999999999</c:v>
                </c:pt>
                <c:pt idx="14">
                  <c:v>1.0392400000000002</c:v>
                </c:pt>
                <c:pt idx="15">
                  <c:v>0.92376000000000014</c:v>
                </c:pt>
                <c:pt idx="16">
                  <c:v>1.0392300000000001</c:v>
                </c:pt>
                <c:pt idx="17">
                  <c:v>1.09697</c:v>
                </c:pt>
              </c:numCache>
            </c:numRef>
          </c:xVal>
          <c:yVal>
            <c:numRef>
              <c:f>Tgrid!$Q$5:$Q$22</c:f>
              <c:numCache>
                <c:formatCode>0.00</c:formatCode>
                <c:ptCount val="18"/>
                <c:pt idx="0">
                  <c:v>0</c:v>
                </c:pt>
                <c:pt idx="1">
                  <c:v>0.9</c:v>
                </c:pt>
                <c:pt idx="2">
                  <c:v>0.8</c:v>
                </c:pt>
                <c:pt idx="3">
                  <c:v>0</c:v>
                </c:pt>
                <c:pt idx="4">
                  <c:v>0</c:v>
                </c:pt>
                <c:pt idx="5">
                  <c:v>0.7</c:v>
                </c:pt>
                <c:pt idx="6">
                  <c:v>0.6</c:v>
                </c:pt>
                <c:pt idx="7">
                  <c:v>0</c:v>
                </c:pt>
                <c:pt idx="8">
                  <c:v>0</c:v>
                </c:pt>
                <c:pt idx="9">
                  <c:v>0.5</c:v>
                </c:pt>
                <c:pt idx="10">
                  <c:v>0.4</c:v>
                </c:pt>
                <c:pt idx="11">
                  <c:v>0</c:v>
                </c:pt>
                <c:pt idx="12">
                  <c:v>0</c:v>
                </c:pt>
                <c:pt idx="13">
                  <c:v>0.3</c:v>
                </c:pt>
                <c:pt idx="14">
                  <c:v>0.2</c:v>
                </c:pt>
                <c:pt idx="15">
                  <c:v>0</c:v>
                </c:pt>
                <c:pt idx="16">
                  <c:v>0</c:v>
                </c:pt>
                <c:pt idx="17">
                  <c:v>0.1</c:v>
                </c:pt>
              </c:numCache>
            </c:numRef>
          </c:yVal>
          <c:smooth val="0"/>
        </c:ser>
        <c:ser>
          <c:idx val="5"/>
          <c:order val="4"/>
          <c:tx>
            <c:v>Cl-SO4 tie</c:v>
          </c:tx>
          <c:spPr>
            <a:ln w="25400">
              <a:solidFill>
                <a:srgbClr val="808080"/>
              </a:solidFill>
              <a:prstDash val="lgDash"/>
            </a:ln>
          </c:spPr>
          <c:marker>
            <c:symbol val="none"/>
          </c:marker>
          <c:dLbls>
            <c:dLbl>
              <c:idx val="0"/>
              <c:layout>
                <c:manualLayout>
                  <c:x val="-9.4573250485753657E-2"/>
                  <c:y val="0.12720444597890621"/>
                </c:manualLayout>
              </c:layout>
              <c:tx>
                <c:rich>
                  <a:bodyPr rot="-3600000" vert="horz"/>
                  <a:lstStyle/>
                  <a:p>
                    <a:pPr algn="ctr">
                      <a:defRPr sz="1275" b="1" i="0" u="none" strike="noStrike" baseline="0">
                        <a:solidFill>
                          <a:srgbClr val="808080"/>
                        </a:solidFill>
                        <a:latin typeface="Arial"/>
                        <a:ea typeface="Arial"/>
                        <a:cs typeface="Arial"/>
                      </a:defRPr>
                    </a:pPr>
                    <a:r>
                      <a:rPr lang="en-NZ"/>
                      <a:t>Volcanic  Waters</a:t>
                    </a:r>
                  </a:p>
                </c:rich>
              </c:tx>
              <c:spPr>
                <a:noFill/>
                <a:ln w="25400">
                  <a:noFill/>
                </a:ln>
              </c:spPr>
              <c:dLblPos val="r"/>
              <c:showLegendKey val="0"/>
              <c:showVal val="0"/>
              <c:showCatName val="0"/>
              <c:showSerName val="0"/>
              <c:showPercent val="0"/>
              <c:showBubbleSize val="0"/>
            </c:dLbl>
            <c:showLegendKey val="0"/>
            <c:showVal val="0"/>
            <c:showCatName val="0"/>
            <c:showSerName val="0"/>
            <c:showPercent val="0"/>
            <c:showBubbleSize val="0"/>
          </c:dLbls>
          <c:xVal>
            <c:numRef>
              <c:f>Ref!$AI$22:$AI$23</c:f>
              <c:numCache>
                <c:formatCode>0.000</c:formatCode>
                <c:ptCount val="2"/>
                <c:pt idx="0">
                  <c:v>0.28870000000000001</c:v>
                </c:pt>
                <c:pt idx="1">
                  <c:v>0.57159300000000002</c:v>
                </c:pt>
              </c:numCache>
            </c:numRef>
          </c:xVal>
          <c:yVal>
            <c:numRef>
              <c:f>Ref!$AJ$22:$AJ$23</c:f>
              <c:numCache>
                <c:formatCode>0.000</c:formatCode>
                <c:ptCount val="2"/>
                <c:pt idx="0">
                  <c:v>0.5</c:v>
                </c:pt>
                <c:pt idx="1">
                  <c:v>0.33</c:v>
                </c:pt>
              </c:numCache>
            </c:numRef>
          </c:yVal>
          <c:smooth val="0"/>
        </c:ser>
        <c:ser>
          <c:idx val="6"/>
          <c:order val="5"/>
          <c:tx>
            <c:v>SO4-HCO3 tie</c:v>
          </c:tx>
          <c:spPr>
            <a:ln w="25400">
              <a:solidFill>
                <a:srgbClr val="808080"/>
              </a:solidFill>
              <a:prstDash val="lgDash"/>
            </a:ln>
          </c:spPr>
          <c:marker>
            <c:symbol val="none"/>
          </c:marker>
          <c:dLbls>
            <c:dLbl>
              <c:idx val="0"/>
              <c:layout>
                <c:manualLayout>
                  <c:x val="-0.22690076060137321"/>
                  <c:y val="3.0856043984601208E-3"/>
                </c:manualLayout>
              </c:layout>
              <c:tx>
                <c:rich>
                  <a:bodyPr/>
                  <a:lstStyle/>
                  <a:p>
                    <a:pPr algn="l">
                      <a:defRPr sz="1200" b="1" i="0" u="none" strike="noStrike" baseline="0">
                        <a:solidFill>
                          <a:srgbClr val="808080"/>
                        </a:solidFill>
                        <a:latin typeface="Arial"/>
                        <a:ea typeface="Arial"/>
                        <a:cs typeface="Arial"/>
                      </a:defRPr>
                    </a:pPr>
                    <a:r>
                      <a:rPr lang="en-NZ"/>
                      <a:t>Steam Heated Waters
</a:t>
                    </a:r>
                  </a:p>
                </c:rich>
              </c:tx>
              <c:spPr>
                <a:noFill/>
                <a:ln w="25400">
                  <a:noFill/>
                </a:ln>
              </c:spPr>
              <c:dLblPos val="r"/>
              <c:showLegendKey val="0"/>
              <c:showVal val="0"/>
              <c:showCatName val="0"/>
              <c:showSerName val="0"/>
              <c:showPercent val="0"/>
              <c:showBubbleSize val="0"/>
            </c:dLbl>
            <c:showLegendKey val="0"/>
            <c:showVal val="0"/>
            <c:showCatName val="0"/>
            <c:showSerName val="0"/>
            <c:showPercent val="0"/>
            <c:showBubbleSize val="0"/>
          </c:dLbls>
          <c:xVal>
            <c:numRef>
              <c:f>Ref!$AI$24:$AI$25</c:f>
              <c:numCache>
                <c:formatCode>0.000</c:formatCode>
                <c:ptCount val="2"/>
                <c:pt idx="0">
                  <c:v>0.57735000000000003</c:v>
                </c:pt>
                <c:pt idx="1">
                  <c:v>0.57159300000000002</c:v>
                </c:pt>
              </c:numCache>
            </c:numRef>
          </c:xVal>
          <c:yVal>
            <c:numRef>
              <c:f>Ref!$AJ$24:$AJ$25</c:f>
              <c:numCache>
                <c:formatCode>0.000</c:formatCode>
                <c:ptCount val="2"/>
                <c:pt idx="0">
                  <c:v>0</c:v>
                </c:pt>
                <c:pt idx="1">
                  <c:v>0.33</c:v>
                </c:pt>
              </c:numCache>
            </c:numRef>
          </c:yVal>
          <c:smooth val="0"/>
        </c:ser>
        <c:ser>
          <c:idx val="7"/>
          <c:order val="6"/>
          <c:tx>
            <c:v>Cl-HCO3 tie</c:v>
          </c:tx>
          <c:spPr>
            <a:ln w="25400">
              <a:solidFill>
                <a:srgbClr val="808080"/>
              </a:solidFill>
              <a:prstDash val="lgDash"/>
            </a:ln>
          </c:spPr>
          <c:marker>
            <c:symbol val="none"/>
          </c:marker>
          <c:dLbls>
            <c:dLbl>
              <c:idx val="0"/>
              <c:layout>
                <c:manualLayout>
                  <c:x val="-1.2974210632106091E-2"/>
                  <c:y val="0.15298815370850921"/>
                </c:manualLayout>
              </c:layout>
              <c:tx>
                <c:rich>
                  <a:bodyPr rot="3600000" vert="horz"/>
                  <a:lstStyle/>
                  <a:p>
                    <a:pPr algn="r">
                      <a:defRPr sz="1275" b="1" i="0" u="none" strike="noStrike" baseline="0">
                        <a:solidFill>
                          <a:srgbClr val="808080"/>
                        </a:solidFill>
                        <a:latin typeface="Arial"/>
                        <a:ea typeface="Arial"/>
                        <a:cs typeface="Arial"/>
                      </a:defRPr>
                    </a:pPr>
                    <a:r>
                      <a:rPr lang="en-NZ"/>
                      <a:t>Peripheral Waters</a:t>
                    </a:r>
                  </a:p>
                </c:rich>
              </c:tx>
              <c:spPr>
                <a:noFill/>
                <a:ln w="25400">
                  <a:noFill/>
                </a:ln>
              </c:spPr>
              <c:dLblPos val="r"/>
              <c:showLegendKey val="0"/>
              <c:showVal val="0"/>
              <c:showCatName val="0"/>
              <c:showSerName val="0"/>
              <c:showPercent val="0"/>
              <c:showBubbleSize val="0"/>
            </c:dLbl>
            <c:showLegendKey val="0"/>
            <c:showVal val="0"/>
            <c:showCatName val="0"/>
            <c:showSerName val="0"/>
            <c:showPercent val="0"/>
            <c:showBubbleSize val="0"/>
          </c:dLbls>
          <c:xVal>
            <c:numRef>
              <c:f>Ref!$AI$26:$AI$27</c:f>
              <c:numCache>
                <c:formatCode>0.000</c:formatCode>
                <c:ptCount val="2"/>
                <c:pt idx="0">
                  <c:v>0.86604999999999999</c:v>
                </c:pt>
                <c:pt idx="1">
                  <c:v>0.57159300000000002</c:v>
                </c:pt>
              </c:numCache>
            </c:numRef>
          </c:xVal>
          <c:yVal>
            <c:numRef>
              <c:f>Ref!$AJ$26:$AJ$27</c:f>
              <c:numCache>
                <c:formatCode>0.000</c:formatCode>
                <c:ptCount val="2"/>
                <c:pt idx="0">
                  <c:v>0.5</c:v>
                </c:pt>
                <c:pt idx="1">
                  <c:v>0.33</c:v>
                </c:pt>
              </c:numCache>
            </c:numRef>
          </c:yVal>
          <c:smooth val="0"/>
        </c:ser>
        <c:ser>
          <c:idx val="10"/>
          <c:order val="7"/>
          <c:tx>
            <c:strRef>
              <c:f>Ref!$AE$28</c:f>
              <c:strCache>
                <c:ptCount val="1"/>
                <c:pt idx="0">
                  <c:v>Mature</c:v>
                </c:pt>
              </c:strCache>
            </c:strRef>
          </c:tx>
          <c:spPr>
            <a:ln w="38100">
              <a:solidFill>
                <a:srgbClr val="C0C0C0"/>
              </a:solidFill>
              <a:prstDash val="solid"/>
            </a:ln>
          </c:spPr>
          <c:marker>
            <c:symbol val="none"/>
          </c:marker>
          <c:dLbls>
            <c:dLbl>
              <c:idx val="0"/>
              <c:layout>
                <c:manualLayout>
                  <c:x val="-1.5785085687818379E-2"/>
                  <c:y val="0.11849335664725079"/>
                </c:manualLayout>
              </c:layout>
              <c:tx>
                <c:rich>
                  <a:bodyPr rot="3600000" vert="horz"/>
                  <a:lstStyle/>
                  <a:p>
                    <a:pPr algn="ctr">
                      <a:defRPr sz="1400" b="1" i="1" u="none" strike="noStrike" baseline="0">
                        <a:solidFill>
                          <a:srgbClr val="969696"/>
                        </a:solidFill>
                        <a:latin typeface="Arial"/>
                        <a:ea typeface="Arial"/>
                        <a:cs typeface="Arial"/>
                      </a:defRPr>
                    </a:pPr>
                    <a:r>
                      <a:rPr lang="en-NZ"/>
                      <a:t>Mature Waters</a:t>
                    </a:r>
                  </a:p>
                </c:rich>
              </c:tx>
              <c:spPr>
                <a:noFill/>
                <a:ln w="25400">
                  <a:noFill/>
                </a:ln>
              </c:spPr>
              <c:dLblPos val="r"/>
              <c:showLegendKey val="0"/>
              <c:showVal val="0"/>
              <c:showCatName val="0"/>
              <c:showSerName val="0"/>
              <c:showPercent val="0"/>
              <c:showBubbleSize val="0"/>
            </c:dLbl>
            <c:dLbl>
              <c:idx val="1"/>
              <c:delete val="1"/>
            </c:dLbl>
            <c:dLbl>
              <c:idx val="2"/>
              <c:delete val="1"/>
            </c:dLbl>
            <c:spPr>
              <a:noFill/>
              <a:ln w="25400">
                <a:noFill/>
              </a:ln>
            </c:spPr>
            <c:txPr>
              <a:bodyPr/>
              <a:lstStyle/>
              <a:p>
                <a:pPr>
                  <a:defRPr sz="11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xVal>
            <c:numRef>
              <c:f>Ref!$AI$28:$AI$30</c:f>
              <c:numCache>
                <c:formatCode>0.000</c:formatCode>
                <c:ptCount val="3"/>
                <c:pt idx="0">
                  <c:v>0.53120800000000001</c:v>
                </c:pt>
                <c:pt idx="1">
                  <c:v>0.71594400000000002</c:v>
                </c:pt>
                <c:pt idx="2">
                  <c:v>0.80832000000000015</c:v>
                </c:pt>
              </c:numCache>
            </c:numRef>
          </c:xVal>
          <c:yVal>
            <c:numRef>
              <c:f>Ref!$AJ$28:$AJ$30</c:f>
              <c:numCache>
                <c:formatCode>0.000</c:formatCode>
                <c:ptCount val="3"/>
                <c:pt idx="0">
                  <c:v>0.92</c:v>
                </c:pt>
                <c:pt idx="1">
                  <c:v>0.6</c:v>
                </c:pt>
                <c:pt idx="2">
                  <c:v>0.6</c:v>
                </c:pt>
              </c:numCache>
            </c:numRef>
          </c:yVal>
          <c:smooth val="0"/>
        </c:ser>
        <c:ser>
          <c:idx val="4"/>
          <c:order val="8"/>
          <c:tx>
            <c:v>data</c:v>
          </c:tx>
          <c:spPr>
            <a:ln w="28575">
              <a:noFill/>
            </a:ln>
          </c:spPr>
          <c:marker>
            <c:symbol val="diamond"/>
            <c:size val="9"/>
            <c:spPr>
              <a:noFill/>
              <a:ln>
                <a:solidFill>
                  <a:srgbClr val="800080"/>
                </a:solidFill>
                <a:prstDash val="solid"/>
              </a:ln>
            </c:spPr>
          </c:marker>
          <c:dLbls>
            <c:dLbl>
              <c:idx val="0"/>
              <c:tx>
                <c:strRef>
                  <c:f>Input!$AH$8</c:f>
                  <c:strCache>
                    <c:ptCount val="1"/>
                    <c:pt idx="0">
                      <c:v>0</c:v>
                    </c:pt>
                  </c:strCache>
                </c:strRef>
              </c:tx>
              <c:dLblPos val="r"/>
              <c:showLegendKey val="0"/>
              <c:showVal val="0"/>
              <c:showCatName val="0"/>
              <c:showSerName val="0"/>
              <c:showPercent val="0"/>
              <c:showBubbleSize val="0"/>
            </c:dLbl>
            <c:dLbl>
              <c:idx val="1"/>
              <c:tx>
                <c:strRef>
                  <c:f>Input!$AH$9</c:f>
                  <c:strCache>
                    <c:ptCount val="1"/>
                    <c:pt idx="0">
                      <c:v>0</c:v>
                    </c:pt>
                  </c:strCache>
                </c:strRef>
              </c:tx>
              <c:dLblPos val="r"/>
              <c:showLegendKey val="0"/>
              <c:showVal val="0"/>
              <c:showCatName val="0"/>
              <c:showSerName val="0"/>
              <c:showPercent val="0"/>
              <c:showBubbleSize val="0"/>
            </c:dLbl>
            <c:dLbl>
              <c:idx val="2"/>
              <c:tx>
                <c:strRef>
                  <c:f>Input!$AH$10</c:f>
                  <c:strCache>
                    <c:ptCount val="1"/>
                    <c:pt idx="0">
                      <c:v>0</c:v>
                    </c:pt>
                  </c:strCache>
                </c:strRef>
              </c:tx>
              <c:dLblPos val="r"/>
              <c:showLegendKey val="0"/>
              <c:showVal val="0"/>
              <c:showCatName val="0"/>
              <c:showSerName val="0"/>
              <c:showPercent val="0"/>
              <c:showBubbleSize val="0"/>
            </c:dLbl>
            <c:dLbl>
              <c:idx val="3"/>
              <c:tx>
                <c:strRef>
                  <c:f>Input!$AH$11</c:f>
                  <c:strCache>
                    <c:ptCount val="1"/>
                    <c:pt idx="0">
                      <c:v>0</c:v>
                    </c:pt>
                  </c:strCache>
                </c:strRef>
              </c:tx>
              <c:dLblPos val="r"/>
              <c:showLegendKey val="0"/>
              <c:showVal val="0"/>
              <c:showCatName val="0"/>
              <c:showSerName val="0"/>
              <c:showPercent val="0"/>
              <c:showBubbleSize val="0"/>
            </c:dLbl>
            <c:dLbl>
              <c:idx val="4"/>
              <c:tx>
                <c:strRef>
                  <c:f>Input!$AH$12</c:f>
                  <c:strCache>
                    <c:ptCount val="1"/>
                    <c:pt idx="0">
                      <c:v>0</c:v>
                    </c:pt>
                  </c:strCache>
                </c:strRef>
              </c:tx>
              <c:dLblPos val="r"/>
              <c:showLegendKey val="0"/>
              <c:showVal val="0"/>
              <c:showCatName val="0"/>
              <c:showSerName val="0"/>
              <c:showPercent val="0"/>
              <c:showBubbleSize val="0"/>
            </c:dLbl>
            <c:dLbl>
              <c:idx val="5"/>
              <c:tx>
                <c:strRef>
                  <c:f>Input!$AH$13</c:f>
                  <c:strCache>
                    <c:ptCount val="1"/>
                    <c:pt idx="0">
                      <c:v>0</c:v>
                    </c:pt>
                  </c:strCache>
                </c:strRef>
              </c:tx>
              <c:dLblPos val="r"/>
              <c:showLegendKey val="0"/>
              <c:showVal val="0"/>
              <c:showCatName val="0"/>
              <c:showSerName val="0"/>
              <c:showPercent val="0"/>
              <c:showBubbleSize val="0"/>
            </c:dLbl>
            <c:dLbl>
              <c:idx val="6"/>
              <c:tx>
                <c:strRef>
                  <c:f>Input!$AH$14</c:f>
                  <c:strCache>
                    <c:ptCount val="1"/>
                    <c:pt idx="0">
                      <c:v>0</c:v>
                    </c:pt>
                  </c:strCache>
                </c:strRef>
              </c:tx>
              <c:dLblPos val="r"/>
              <c:showLegendKey val="0"/>
              <c:showVal val="0"/>
              <c:showCatName val="0"/>
              <c:showSerName val="0"/>
              <c:showPercent val="0"/>
              <c:showBubbleSize val="0"/>
            </c:dLbl>
            <c:dLbl>
              <c:idx val="7"/>
              <c:tx>
                <c:strRef>
                  <c:f>Input!$AH$15</c:f>
                  <c:strCache>
                    <c:ptCount val="1"/>
                    <c:pt idx="0">
                      <c:v>0</c:v>
                    </c:pt>
                  </c:strCache>
                </c:strRef>
              </c:tx>
              <c:dLblPos val="r"/>
              <c:showLegendKey val="0"/>
              <c:showVal val="0"/>
              <c:showCatName val="0"/>
              <c:showSerName val="0"/>
              <c:showPercent val="0"/>
              <c:showBubbleSize val="0"/>
            </c:dLbl>
            <c:dLbl>
              <c:idx val="8"/>
              <c:tx>
                <c:strRef>
                  <c:f>Input!$AH$16</c:f>
                  <c:strCache>
                    <c:ptCount val="1"/>
                    <c:pt idx="0">
                      <c:v>0</c:v>
                    </c:pt>
                  </c:strCache>
                </c:strRef>
              </c:tx>
              <c:dLblPos val="r"/>
              <c:showLegendKey val="0"/>
              <c:showVal val="0"/>
              <c:showCatName val="0"/>
              <c:showSerName val="0"/>
              <c:showPercent val="0"/>
              <c:showBubbleSize val="0"/>
            </c:dLbl>
            <c:dLbl>
              <c:idx val="9"/>
              <c:tx>
                <c:strRef>
                  <c:f>Input!$AH$17</c:f>
                  <c:strCache>
                    <c:ptCount val="1"/>
                    <c:pt idx="0">
                      <c:v>0</c:v>
                    </c:pt>
                  </c:strCache>
                </c:strRef>
              </c:tx>
              <c:dLblPos val="r"/>
              <c:showLegendKey val="0"/>
              <c:showVal val="0"/>
              <c:showCatName val="0"/>
              <c:showSerName val="0"/>
              <c:showPercent val="0"/>
              <c:showBubbleSize val="0"/>
            </c:dLbl>
            <c:dLbl>
              <c:idx val="10"/>
              <c:tx>
                <c:strRef>
                  <c:f>Input!$AH$18</c:f>
                  <c:strCache>
                    <c:ptCount val="1"/>
                    <c:pt idx="0">
                      <c:v>0</c:v>
                    </c:pt>
                  </c:strCache>
                </c:strRef>
              </c:tx>
              <c:dLblPos val="r"/>
              <c:showLegendKey val="0"/>
              <c:showVal val="0"/>
              <c:showCatName val="0"/>
              <c:showSerName val="0"/>
              <c:showPercent val="0"/>
              <c:showBubbleSize val="0"/>
            </c:dLbl>
            <c:dLbl>
              <c:idx val="11"/>
              <c:tx>
                <c:strRef>
                  <c:f>Input!$AH$19</c:f>
                  <c:strCache>
                    <c:ptCount val="1"/>
                    <c:pt idx="0">
                      <c:v>0</c:v>
                    </c:pt>
                  </c:strCache>
                </c:strRef>
              </c:tx>
              <c:dLblPos val="r"/>
              <c:showLegendKey val="0"/>
              <c:showVal val="0"/>
              <c:showCatName val="0"/>
              <c:showSerName val="0"/>
              <c:showPercent val="0"/>
              <c:showBubbleSize val="0"/>
            </c:dLbl>
            <c:dLbl>
              <c:idx val="12"/>
              <c:tx>
                <c:strRef>
                  <c:f>Input!$AH$20</c:f>
                  <c:strCache>
                    <c:ptCount val="1"/>
                    <c:pt idx="0">
                      <c:v>0</c:v>
                    </c:pt>
                  </c:strCache>
                </c:strRef>
              </c:tx>
              <c:dLblPos val="r"/>
              <c:showLegendKey val="0"/>
              <c:showVal val="0"/>
              <c:showCatName val="0"/>
              <c:showSerName val="0"/>
              <c:showPercent val="0"/>
              <c:showBubbleSize val="0"/>
            </c:dLbl>
            <c:dLbl>
              <c:idx val="13"/>
              <c:tx>
                <c:strRef>
                  <c:f>Input!$AH$21</c:f>
                  <c:strCache>
                    <c:ptCount val="1"/>
                    <c:pt idx="0">
                      <c:v>0</c:v>
                    </c:pt>
                  </c:strCache>
                </c:strRef>
              </c:tx>
              <c:dLblPos val="r"/>
              <c:showLegendKey val="0"/>
              <c:showVal val="0"/>
              <c:showCatName val="0"/>
              <c:showSerName val="0"/>
              <c:showPercent val="0"/>
              <c:showBubbleSize val="0"/>
            </c:dLbl>
            <c:dLbl>
              <c:idx val="14"/>
              <c:tx>
                <c:strRef>
                  <c:f>Input!$AH$22</c:f>
                  <c:strCache>
                    <c:ptCount val="1"/>
                    <c:pt idx="0">
                      <c:v>0</c:v>
                    </c:pt>
                  </c:strCache>
                </c:strRef>
              </c:tx>
              <c:dLblPos val="r"/>
              <c:showLegendKey val="0"/>
              <c:showVal val="0"/>
              <c:showCatName val="0"/>
              <c:showSerName val="0"/>
              <c:showPercent val="0"/>
              <c:showBubbleSize val="0"/>
            </c:dLbl>
            <c:dLbl>
              <c:idx val="15"/>
              <c:tx>
                <c:strRef>
                  <c:f>Input!$AH$23</c:f>
                  <c:strCache>
                    <c:ptCount val="1"/>
                    <c:pt idx="0">
                      <c:v>0</c:v>
                    </c:pt>
                  </c:strCache>
                </c:strRef>
              </c:tx>
              <c:dLblPos val="r"/>
              <c:showLegendKey val="0"/>
              <c:showVal val="0"/>
              <c:showCatName val="0"/>
              <c:showSerName val="0"/>
              <c:showPercent val="0"/>
              <c:showBubbleSize val="0"/>
            </c:dLbl>
            <c:dLbl>
              <c:idx val="16"/>
              <c:tx>
                <c:strRef>
                  <c:f>Input!$AH$24</c:f>
                  <c:strCache>
                    <c:ptCount val="1"/>
                    <c:pt idx="0">
                      <c:v>0</c:v>
                    </c:pt>
                  </c:strCache>
                </c:strRef>
              </c:tx>
              <c:dLblPos val="r"/>
              <c:showLegendKey val="0"/>
              <c:showVal val="0"/>
              <c:showCatName val="0"/>
              <c:showSerName val="0"/>
              <c:showPercent val="0"/>
              <c:showBubbleSize val="0"/>
            </c:dLbl>
            <c:dLbl>
              <c:idx val="17"/>
              <c:tx>
                <c:strRef>
                  <c:f>Input!$AH$25</c:f>
                  <c:strCache>
                    <c:ptCount val="1"/>
                    <c:pt idx="0">
                      <c:v>0</c:v>
                    </c:pt>
                  </c:strCache>
                </c:strRef>
              </c:tx>
              <c:dLblPos val="r"/>
              <c:showLegendKey val="0"/>
              <c:showVal val="0"/>
              <c:showCatName val="0"/>
              <c:showSerName val="0"/>
              <c:showPercent val="0"/>
              <c:showBubbleSize val="0"/>
            </c:dLbl>
            <c:dLbl>
              <c:idx val="18"/>
              <c:tx>
                <c:strRef>
                  <c:f>Input!$AH$26</c:f>
                  <c:strCache>
                    <c:ptCount val="1"/>
                    <c:pt idx="0">
                      <c:v>0</c:v>
                    </c:pt>
                  </c:strCache>
                </c:strRef>
              </c:tx>
              <c:dLblPos val="r"/>
              <c:showLegendKey val="0"/>
              <c:showVal val="0"/>
              <c:showCatName val="0"/>
              <c:showSerName val="0"/>
              <c:showPercent val="0"/>
              <c:showBubbleSize val="0"/>
            </c:dLbl>
            <c:dLbl>
              <c:idx val="19"/>
              <c:tx>
                <c:strRef>
                  <c:f>Input!$AH$27</c:f>
                  <c:strCache>
                    <c:ptCount val="1"/>
                    <c:pt idx="0">
                      <c:v>0</c:v>
                    </c:pt>
                  </c:strCache>
                </c:strRef>
              </c:tx>
              <c:dLblPos val="r"/>
              <c:showLegendKey val="0"/>
              <c:showVal val="0"/>
              <c:showCatName val="0"/>
              <c:showSerName val="0"/>
              <c:showPercent val="0"/>
              <c:showBubbleSize val="0"/>
            </c:dLbl>
            <c:dLbl>
              <c:idx val="20"/>
              <c:tx>
                <c:strRef>
                  <c:f>Input!$AH$28</c:f>
                  <c:strCache>
                    <c:ptCount val="1"/>
                    <c:pt idx="0">
                      <c:v>0</c:v>
                    </c:pt>
                  </c:strCache>
                </c:strRef>
              </c:tx>
              <c:dLblPos val="r"/>
              <c:showLegendKey val="0"/>
              <c:showVal val="0"/>
              <c:showCatName val="0"/>
              <c:showSerName val="0"/>
              <c:showPercent val="0"/>
              <c:showBubbleSize val="0"/>
            </c:dLbl>
            <c:dLbl>
              <c:idx val="21"/>
              <c:tx>
                <c:strRef>
                  <c:f>Input!$AH$29</c:f>
                  <c:strCache>
                    <c:ptCount val="1"/>
                    <c:pt idx="0">
                      <c:v>0</c:v>
                    </c:pt>
                  </c:strCache>
                </c:strRef>
              </c:tx>
              <c:dLblPos val="r"/>
              <c:showLegendKey val="0"/>
              <c:showVal val="0"/>
              <c:showCatName val="0"/>
              <c:showSerName val="0"/>
              <c:showPercent val="0"/>
              <c:showBubbleSize val="0"/>
            </c:dLbl>
            <c:dLbl>
              <c:idx val="22"/>
              <c:tx>
                <c:strRef>
                  <c:f>Input!$AH$30</c:f>
                  <c:strCache>
                    <c:ptCount val="1"/>
                    <c:pt idx="0">
                      <c:v>0</c:v>
                    </c:pt>
                  </c:strCache>
                </c:strRef>
              </c:tx>
              <c:dLblPos val="r"/>
              <c:showLegendKey val="0"/>
              <c:showVal val="0"/>
              <c:showCatName val="0"/>
              <c:showSerName val="0"/>
              <c:showPercent val="0"/>
              <c:showBubbleSize val="0"/>
            </c:dLbl>
            <c:dLbl>
              <c:idx val="23"/>
              <c:tx>
                <c:strRef>
                  <c:f>Input!$AH$31</c:f>
                  <c:strCache>
                    <c:ptCount val="1"/>
                    <c:pt idx="0">
                      <c:v>0</c:v>
                    </c:pt>
                  </c:strCache>
                </c:strRef>
              </c:tx>
              <c:dLblPos val="r"/>
              <c:showLegendKey val="0"/>
              <c:showVal val="0"/>
              <c:showCatName val="0"/>
              <c:showSerName val="0"/>
              <c:showPercent val="0"/>
              <c:showBubbleSize val="0"/>
            </c:dLbl>
            <c:dLbl>
              <c:idx val="24"/>
              <c:tx>
                <c:strRef>
                  <c:f>Input!$AH$32</c:f>
                  <c:strCache>
                    <c:ptCount val="1"/>
                    <c:pt idx="0">
                      <c:v>0</c:v>
                    </c:pt>
                  </c:strCache>
                </c:strRef>
              </c:tx>
              <c:dLblPos val="r"/>
              <c:showLegendKey val="0"/>
              <c:showVal val="0"/>
              <c:showCatName val="0"/>
              <c:showSerName val="0"/>
              <c:showPercent val="0"/>
              <c:showBubbleSize val="0"/>
            </c:dLbl>
            <c:dLbl>
              <c:idx val="25"/>
              <c:tx>
                <c:strRef>
                  <c:f>Input!$AH$33</c:f>
                  <c:strCache>
                    <c:ptCount val="1"/>
                    <c:pt idx="0">
                      <c:v>0</c:v>
                    </c:pt>
                  </c:strCache>
                </c:strRef>
              </c:tx>
              <c:dLblPos val="r"/>
              <c:showLegendKey val="0"/>
              <c:showVal val="0"/>
              <c:showCatName val="0"/>
              <c:showSerName val="0"/>
              <c:showPercent val="0"/>
              <c:showBubbleSize val="0"/>
            </c:dLbl>
            <c:dLbl>
              <c:idx val="26"/>
              <c:tx>
                <c:strRef>
                  <c:f>Input!$AH$34</c:f>
                  <c:strCache>
                    <c:ptCount val="1"/>
                    <c:pt idx="0">
                      <c:v>0</c:v>
                    </c:pt>
                  </c:strCache>
                </c:strRef>
              </c:tx>
              <c:dLblPos val="r"/>
              <c:showLegendKey val="0"/>
              <c:showVal val="0"/>
              <c:showCatName val="0"/>
              <c:showSerName val="0"/>
              <c:showPercent val="0"/>
              <c:showBubbleSize val="0"/>
            </c:dLbl>
            <c:dLbl>
              <c:idx val="27"/>
              <c:tx>
                <c:strRef>
                  <c:f>Input!$AH$35</c:f>
                  <c:strCache>
                    <c:ptCount val="1"/>
                    <c:pt idx="0">
                      <c:v>0</c:v>
                    </c:pt>
                  </c:strCache>
                </c:strRef>
              </c:tx>
              <c:dLblPos val="r"/>
              <c:showLegendKey val="0"/>
              <c:showVal val="0"/>
              <c:showCatName val="0"/>
              <c:showSerName val="0"/>
              <c:showPercent val="0"/>
              <c:showBubbleSize val="0"/>
            </c:dLbl>
            <c:dLbl>
              <c:idx val="28"/>
              <c:tx>
                <c:strRef>
                  <c:f>Input!$AH$36</c:f>
                  <c:strCache>
                    <c:ptCount val="1"/>
                    <c:pt idx="0">
                      <c:v>0</c:v>
                    </c:pt>
                  </c:strCache>
                </c:strRef>
              </c:tx>
              <c:dLblPos val="r"/>
              <c:showLegendKey val="0"/>
              <c:showVal val="0"/>
              <c:showCatName val="0"/>
              <c:showSerName val="0"/>
              <c:showPercent val="0"/>
              <c:showBubbleSize val="0"/>
            </c:dLbl>
            <c:dLbl>
              <c:idx val="29"/>
              <c:layout/>
              <c:tx>
                <c:strRef>
                  <c:f>Input!$AH$37</c:f>
                  <c:strCache>
                    <c:ptCount val="1"/>
                    <c:pt idx="0">
                      <c:v>0</c:v>
                    </c:pt>
                  </c:strCache>
                </c:strRef>
              </c:tx>
              <c:dLblPos val="r"/>
              <c:showLegendKey val="0"/>
              <c:showVal val="0"/>
              <c:showCatName val="0"/>
              <c:showSerName val="0"/>
              <c:showPercent val="0"/>
              <c:showBubbleSize val="0"/>
            </c:dLbl>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showLeaderLines val="0"/>
          </c:dLbls>
          <c:xVal>
            <c:numRef>
              <c:f>Input!$CI$8:$CI$37</c:f>
              <c:numCache>
                <c:formatCode>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formatCode="General">
                  <c:v>0.52003412526997839</c:v>
                </c:pt>
              </c:numCache>
            </c:numRef>
          </c:xVal>
          <c:yVal>
            <c:numRef>
              <c:f>Input!$CJ$8:$CJ$37</c:f>
              <c:numCache>
                <c:formatCode>0.000</c:formatCode>
                <c:ptCount val="3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formatCode="General">
                  <c:v>0.90064794816414684</c:v>
                </c:pt>
              </c:numCache>
            </c:numRef>
          </c:yVal>
          <c:smooth val="0"/>
        </c:ser>
        <c:dLbls>
          <c:showLegendKey val="0"/>
          <c:showVal val="0"/>
          <c:showCatName val="0"/>
          <c:showSerName val="0"/>
          <c:showPercent val="0"/>
          <c:showBubbleSize val="0"/>
        </c:dLbls>
        <c:axId val="113906432"/>
        <c:axId val="113907968"/>
      </c:scatterChart>
      <c:valAx>
        <c:axId val="113906432"/>
        <c:scaling>
          <c:orientation val="minMax"/>
          <c:max val="1.4"/>
          <c:min val="-0.2"/>
        </c:scaling>
        <c:delete val="1"/>
        <c:axPos val="b"/>
        <c:numFmt formatCode="General" sourceLinked="1"/>
        <c:majorTickMark val="out"/>
        <c:minorTickMark val="none"/>
        <c:tickLblPos val="none"/>
        <c:crossAx val="113907968"/>
        <c:crosses val="autoZero"/>
        <c:crossBetween val="midCat"/>
      </c:valAx>
      <c:valAx>
        <c:axId val="113907968"/>
        <c:scaling>
          <c:orientation val="minMax"/>
          <c:max val="1.2"/>
          <c:min val="-0.2"/>
        </c:scaling>
        <c:delete val="1"/>
        <c:axPos val="l"/>
        <c:numFmt formatCode="General" sourceLinked="1"/>
        <c:majorTickMark val="out"/>
        <c:minorTickMark val="none"/>
        <c:tickLblPos val="none"/>
        <c:crossAx val="113906432"/>
        <c:crosses val="autoZero"/>
        <c:crossBetween val="midCat"/>
      </c:valAx>
      <c:spPr>
        <a:noFill/>
        <a:ln w="25400">
          <a:noFill/>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425083240843517"/>
          <c:y val="9.1353996737357251E-2"/>
          <c:w val="0.67369589345172121"/>
          <c:h val="0.89233278955954287"/>
        </c:manualLayout>
      </c:layout>
      <c:scatterChart>
        <c:scatterStyle val="lineMarker"/>
        <c:varyColors val="0"/>
        <c:ser>
          <c:idx val="2"/>
          <c:order val="0"/>
          <c:tx>
            <c:v>Trilinear</c:v>
          </c:tx>
          <c:spPr>
            <a:ln w="25400">
              <a:solidFill>
                <a:srgbClr val="000000"/>
              </a:solidFill>
              <a:prstDash val="solid"/>
            </a:ln>
          </c:spPr>
          <c:marker>
            <c:symbol val="none"/>
          </c:marker>
          <c:dLbls>
            <c:dLbl>
              <c:idx val="0"/>
              <c:delete val="1"/>
            </c:dLbl>
            <c:dLbl>
              <c:idx val="1"/>
              <c:layout>
                <c:manualLayout>
                  <c:x val="-0.15282803301085698"/>
                  <c:y val="-0.38080076042696975"/>
                </c:manualLayout>
              </c:layout>
              <c:tx>
                <c:rich>
                  <a:bodyPr rot="3600000" vert="horz"/>
                  <a:lstStyle/>
                  <a:p>
                    <a:pPr algn="ctr" rtl="0">
                      <a:defRPr sz="1200" b="0" i="0" u="none" strike="noStrike" baseline="0">
                        <a:solidFill>
                          <a:srgbClr val="000000"/>
                        </a:solidFill>
                        <a:latin typeface="Arial"/>
                        <a:ea typeface="Arial"/>
                        <a:cs typeface="Arial"/>
                      </a:defRPr>
                    </a:pPr>
                    <a:r>
                      <a:rPr lang="en-US"/>
                      <a:t>Ca+Mg</a:t>
                    </a:r>
                  </a:p>
                </c:rich>
              </c:tx>
              <c:spPr>
                <a:noFill/>
                <a:ln w="25400">
                  <a:noFill/>
                </a:ln>
              </c:spPr>
              <c:dLblPos val="r"/>
              <c:showLegendKey val="0"/>
              <c:showVal val="0"/>
              <c:showCatName val="0"/>
              <c:showSerName val="0"/>
              <c:showPercent val="0"/>
              <c:showBubbleSize val="0"/>
            </c:dLbl>
            <c:dLbl>
              <c:idx val="2"/>
              <c:layout>
                <c:manualLayout>
                  <c:x val="-5.5371779970345023E-2"/>
                  <c:y val="-7.9498871776427574E-3"/>
                </c:manualLayout>
              </c:layout>
              <c:tx>
                <c:rich>
                  <a:bodyPr rot="-3600000" vert="horz"/>
                  <a:lstStyle/>
                  <a:p>
                    <a:pPr algn="ctr" rtl="0">
                      <a:defRPr sz="1200" b="0" i="0" u="none" strike="noStrike" baseline="0">
                        <a:solidFill>
                          <a:srgbClr val="000000"/>
                        </a:solidFill>
                        <a:latin typeface="Arial"/>
                        <a:ea typeface="Arial"/>
                        <a:cs typeface="Arial"/>
                      </a:defRPr>
                    </a:pPr>
                    <a:r>
                      <a:rPr lang="en-NZ" sz="1200" b="0" i="0" u="none" strike="noStrike" baseline="0">
                        <a:solidFill>
                          <a:srgbClr val="000000"/>
                        </a:solidFill>
                        <a:latin typeface="Arial"/>
                        <a:cs typeface="Arial"/>
                      </a:rPr>
                      <a:t>Cl+SO</a:t>
                    </a:r>
                    <a:r>
                      <a:rPr lang="en-NZ" sz="1200" b="0" i="0" u="none" strike="noStrike" baseline="-25000">
                        <a:solidFill>
                          <a:srgbClr val="000000"/>
                        </a:solidFill>
                        <a:latin typeface="Arial"/>
                        <a:cs typeface="Arial"/>
                      </a:rPr>
                      <a:t>4</a:t>
                    </a:r>
                  </a:p>
                </c:rich>
              </c:tx>
              <c:spPr>
                <a:noFill/>
                <a:ln w="25400">
                  <a:noFill/>
                </a:ln>
              </c:spPr>
              <c:dLblPos val="r"/>
              <c:showLegendKey val="0"/>
              <c:showVal val="0"/>
              <c:showCatName val="0"/>
              <c:showSerName val="0"/>
              <c:showPercent val="0"/>
              <c:showBubbleSize val="0"/>
            </c:dLbl>
            <c:dLbl>
              <c:idx val="3"/>
              <c:layout>
                <c:manualLayout>
                  <c:x val="9.5358612914784147E-2"/>
                  <c:y val="0.38591565940065026"/>
                </c:manualLayout>
              </c:layout>
              <c:tx>
                <c:rich>
                  <a:bodyPr rot="3600000" vert="horz"/>
                  <a:lstStyle/>
                  <a:p>
                    <a:pPr algn="ctr" rtl="0">
                      <a:defRPr sz="1200" b="0" i="0" u="none" strike="noStrike" baseline="0">
                        <a:solidFill>
                          <a:srgbClr val="000000"/>
                        </a:solidFill>
                        <a:latin typeface="Arial"/>
                        <a:ea typeface="Arial"/>
                        <a:cs typeface="Arial"/>
                      </a:defRPr>
                    </a:pPr>
                    <a:r>
                      <a:rPr lang="en-US"/>
                      <a:t>Na+K</a:t>
                    </a:r>
                  </a:p>
                </c:rich>
              </c:tx>
              <c:spPr>
                <a:noFill/>
                <a:ln w="25400">
                  <a:noFill/>
                </a:ln>
              </c:spPr>
              <c:dLblPos val="r"/>
              <c:showLegendKey val="0"/>
              <c:showVal val="0"/>
              <c:showCatName val="0"/>
              <c:showSerName val="0"/>
              <c:showPercent val="0"/>
              <c:showBubbleSize val="0"/>
            </c:dLbl>
            <c:dLbl>
              <c:idx val="4"/>
              <c:layout>
                <c:manualLayout>
                  <c:x val="-1.763593091374123E-2"/>
                  <c:y val="1.3194949326277195E-2"/>
                </c:manualLayout>
              </c:layout>
              <c:tx>
                <c:rich>
                  <a:bodyPr rot="-3600000" vert="horz"/>
                  <a:lstStyle/>
                  <a:p>
                    <a:pPr algn="ctr" rtl="0">
                      <a:defRPr sz="1200" b="0" i="0" u="none" strike="noStrike" baseline="0">
                        <a:solidFill>
                          <a:srgbClr val="000000"/>
                        </a:solidFill>
                        <a:latin typeface="Arial"/>
                        <a:ea typeface="Arial"/>
                        <a:cs typeface="Arial"/>
                      </a:defRPr>
                    </a:pPr>
                    <a:r>
                      <a:rPr lang="en-NZ" sz="1200" b="0" i="0" u="none" strike="noStrike" baseline="0">
                        <a:solidFill>
                          <a:srgbClr val="000000"/>
                        </a:solidFill>
                        <a:latin typeface="Arial"/>
                        <a:cs typeface="Arial"/>
                      </a:rPr>
                      <a:t>HCO</a:t>
                    </a:r>
                    <a:r>
                      <a:rPr lang="en-NZ" sz="1200" b="0" i="0" u="none" strike="noStrike" baseline="-25000">
                        <a:solidFill>
                          <a:srgbClr val="000000"/>
                        </a:solidFill>
                        <a:latin typeface="Arial"/>
                        <a:cs typeface="Arial"/>
                      </a:rPr>
                      <a:t>3</a:t>
                    </a:r>
                  </a:p>
                </c:rich>
              </c:tx>
              <c:spPr>
                <a:noFill/>
                <a:ln w="25400">
                  <a:noFill/>
                </a:ln>
              </c:spPr>
              <c:dLblPos val="r"/>
              <c:showLegendKey val="0"/>
              <c:showVal val="0"/>
              <c:showCatName val="0"/>
              <c:showSerName val="0"/>
              <c:showPercent val="0"/>
              <c:showBubbleSize val="0"/>
            </c:dLbl>
            <c:spPr>
              <a:noFill/>
              <a:ln w="25400">
                <a:noFill/>
              </a:ln>
            </c:spPr>
            <c:txPr>
              <a:bodyPr/>
              <a:lstStyle/>
              <a:p>
                <a:pPr algn="ctr" rtl="0">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xVal>
            <c:numRef>
              <c:f>Tgrid!$A$58:$A$62</c:f>
              <c:numCache>
                <c:formatCode>General</c:formatCode>
                <c:ptCount val="5"/>
                <c:pt idx="0">
                  <c:v>1.2547000000000001</c:v>
                </c:pt>
                <c:pt idx="1">
                  <c:v>1.8321000000000001</c:v>
                </c:pt>
                <c:pt idx="2">
                  <c:v>1.2547000000000001</c:v>
                </c:pt>
                <c:pt idx="3">
                  <c:v>0.67730000000000012</c:v>
                </c:pt>
                <c:pt idx="4">
                  <c:v>1.2547000000000001</c:v>
                </c:pt>
              </c:numCache>
            </c:numRef>
          </c:xVal>
          <c:yVal>
            <c:numRef>
              <c:f>Tgrid!$B$58:$B$62</c:f>
              <c:numCache>
                <c:formatCode>General</c:formatCode>
                <c:ptCount val="5"/>
                <c:pt idx="0">
                  <c:v>0.17320000000000002</c:v>
                </c:pt>
                <c:pt idx="1">
                  <c:v>1.1732</c:v>
                </c:pt>
                <c:pt idx="2">
                  <c:v>2.1732</c:v>
                </c:pt>
                <c:pt idx="3">
                  <c:v>1.1732</c:v>
                </c:pt>
                <c:pt idx="4">
                  <c:v>0.17320000000000002</c:v>
                </c:pt>
              </c:numCache>
            </c:numRef>
          </c:yVal>
          <c:smooth val="0"/>
        </c:ser>
        <c:ser>
          <c:idx val="3"/>
          <c:order val="1"/>
          <c:tx>
            <c:v>cations A grid</c:v>
          </c:tx>
          <c:spPr>
            <a:ln w="3175">
              <a:solidFill>
                <a:srgbClr val="808080"/>
              </a:solidFill>
              <a:prstDash val="solid"/>
            </a:ln>
          </c:spPr>
          <c:marker>
            <c:symbol val="none"/>
          </c:marker>
          <c:xVal>
            <c:numRef>
              <c:f>Tgrid!$F$35:$F$42</c:f>
              <c:numCache>
                <c:formatCode>General</c:formatCode>
                <c:ptCount val="8"/>
                <c:pt idx="0">
                  <c:v>0.11548000000000001</c:v>
                </c:pt>
                <c:pt idx="1">
                  <c:v>1.0392400000000002</c:v>
                </c:pt>
                <c:pt idx="2">
                  <c:v>0.92378000000000005</c:v>
                </c:pt>
                <c:pt idx="3">
                  <c:v>0.23096000000000003</c:v>
                </c:pt>
                <c:pt idx="4">
                  <c:v>0.34644000000000003</c:v>
                </c:pt>
                <c:pt idx="5">
                  <c:v>0.80832000000000015</c:v>
                </c:pt>
                <c:pt idx="6">
                  <c:v>0.69286000000000003</c:v>
                </c:pt>
                <c:pt idx="7">
                  <c:v>0.46192000000000005</c:v>
                </c:pt>
              </c:numCache>
            </c:numRef>
          </c:xVal>
          <c:yVal>
            <c:numRef>
              <c:f>Tgrid!$G$35:$G$42</c:f>
              <c:numCache>
                <c:formatCode>_(* #,##0.00_);_(* \(#,##0.00\);_(* "-"??_);_(@_)</c:formatCode>
                <c:ptCount val="8"/>
                <c:pt idx="0">
                  <c:v>0.2</c:v>
                </c:pt>
                <c:pt idx="1">
                  <c:v>0.2</c:v>
                </c:pt>
                <c:pt idx="2">
                  <c:v>0.4</c:v>
                </c:pt>
                <c:pt idx="3">
                  <c:v>0.4</c:v>
                </c:pt>
                <c:pt idx="4">
                  <c:v>0.6</c:v>
                </c:pt>
                <c:pt idx="5">
                  <c:v>0.6</c:v>
                </c:pt>
                <c:pt idx="6">
                  <c:v>0.8</c:v>
                </c:pt>
                <c:pt idx="7">
                  <c:v>0.8</c:v>
                </c:pt>
              </c:numCache>
            </c:numRef>
          </c:yVal>
          <c:smooth val="0"/>
        </c:ser>
        <c:ser>
          <c:idx val="4"/>
          <c:order val="2"/>
          <c:tx>
            <c:v>cations B grid</c:v>
          </c:tx>
          <c:spPr>
            <a:ln w="3175">
              <a:solidFill>
                <a:srgbClr val="808080"/>
              </a:solidFill>
              <a:prstDash val="solid"/>
            </a:ln>
          </c:spPr>
          <c:marker>
            <c:symbol val="none"/>
          </c:marker>
          <c:dLbls>
            <c:dLbl>
              <c:idx val="0"/>
              <c:delete val="1"/>
            </c:dLbl>
            <c:dLbl>
              <c:idx val="3"/>
              <c:delete val="1"/>
            </c:dLbl>
            <c:dLbl>
              <c:idx val="4"/>
              <c:delete val="1"/>
            </c:dLbl>
            <c:dLbl>
              <c:idx val="6"/>
              <c:layout>
                <c:manualLayout>
                  <c:x val="-3.5140191271873476E-2"/>
                  <c:y val="-2.4393606590367087E-2"/>
                </c:manualLayout>
              </c:layout>
              <c:dLblPos val="r"/>
              <c:showLegendKey val="0"/>
              <c:showVal val="1"/>
              <c:showCatName val="0"/>
              <c:showSerName val="0"/>
              <c:showPercent val="0"/>
              <c:showBubbleSize val="0"/>
            </c:dLbl>
            <c:dLbl>
              <c:idx val="7"/>
              <c:delete val="1"/>
            </c:dLbl>
            <c:numFmt formatCode="0%" sourceLinked="0"/>
            <c:spPr>
              <a:noFill/>
              <a:ln w="25400">
                <a:noFill/>
              </a:ln>
            </c:spPr>
            <c:txPr>
              <a:bodyPr/>
              <a:lstStyle/>
              <a:p>
                <a:pPr algn="ctr" rtl="0">
                  <a:defRPr sz="800" b="0" i="0" u="none" strike="noStrike" baseline="0">
                    <a:solidFill>
                      <a:srgbClr val="808080"/>
                    </a:solidFill>
                    <a:latin typeface="Arial"/>
                    <a:ea typeface="Arial"/>
                    <a:cs typeface="Arial"/>
                  </a:defRPr>
                </a:pPr>
                <a:endParaRPr lang="en-US"/>
              </a:p>
            </c:txPr>
            <c:dLblPos val="l"/>
            <c:showLegendKey val="0"/>
            <c:showVal val="1"/>
            <c:showCatName val="0"/>
            <c:showSerName val="0"/>
            <c:showPercent val="0"/>
            <c:showBubbleSize val="0"/>
            <c:showLeaderLines val="0"/>
          </c:dLbls>
          <c:xVal>
            <c:numRef>
              <c:f>Tgrid!$K$35:$K$42</c:f>
              <c:numCache>
                <c:formatCode>General</c:formatCode>
                <c:ptCount val="8"/>
                <c:pt idx="0">
                  <c:v>0.23094000000000003</c:v>
                </c:pt>
                <c:pt idx="1">
                  <c:v>0.11548000000000001</c:v>
                </c:pt>
                <c:pt idx="2">
                  <c:v>0.23096000000000003</c:v>
                </c:pt>
                <c:pt idx="3">
                  <c:v>0.46188000000000007</c:v>
                </c:pt>
                <c:pt idx="4">
                  <c:v>0.69281999999999999</c:v>
                </c:pt>
                <c:pt idx="5">
                  <c:v>0.34644000000000003</c:v>
                </c:pt>
                <c:pt idx="6">
                  <c:v>0.46192000000000005</c:v>
                </c:pt>
                <c:pt idx="7">
                  <c:v>0.92376000000000014</c:v>
                </c:pt>
              </c:numCache>
            </c:numRef>
          </c:xVal>
          <c:yVal>
            <c:numRef>
              <c:f>Tgrid!$L$35:$L$42</c:f>
              <c:numCache>
                <c:formatCode>0.00</c:formatCode>
                <c:ptCount val="8"/>
                <c:pt idx="0">
                  <c:v>0</c:v>
                </c:pt>
                <c:pt idx="1">
                  <c:v>0.2</c:v>
                </c:pt>
                <c:pt idx="2">
                  <c:v>0.4</c:v>
                </c:pt>
                <c:pt idx="3">
                  <c:v>0</c:v>
                </c:pt>
                <c:pt idx="4">
                  <c:v>0</c:v>
                </c:pt>
                <c:pt idx="5">
                  <c:v>0.6</c:v>
                </c:pt>
                <c:pt idx="6">
                  <c:v>0.8</c:v>
                </c:pt>
                <c:pt idx="7">
                  <c:v>0</c:v>
                </c:pt>
              </c:numCache>
            </c:numRef>
          </c:yVal>
          <c:smooth val="0"/>
        </c:ser>
        <c:ser>
          <c:idx val="5"/>
          <c:order val="3"/>
          <c:tx>
            <c:v>cations C grid</c:v>
          </c:tx>
          <c:spPr>
            <a:ln w="3175">
              <a:solidFill>
                <a:srgbClr val="808080"/>
              </a:solidFill>
              <a:prstDash val="solid"/>
            </a:ln>
          </c:spPr>
          <c:marker>
            <c:symbol val="none"/>
          </c:marker>
          <c:dLbls>
            <c:dLbl>
              <c:idx val="0"/>
              <c:layout>
                <c:manualLayout>
                  <c:x val="-1.4132678476233722E-2"/>
                  <c:y val="3.1580155253839545E-2"/>
                </c:manualLayout>
              </c:layout>
              <c:tx>
                <c:rich>
                  <a:bodyPr rot="3600000" vert="horz"/>
                  <a:lstStyle/>
                  <a:p>
                    <a:pPr algn="ctr" rtl="0">
                      <a:defRPr sz="800" b="0" i="0" u="none" strike="noStrike" baseline="0">
                        <a:solidFill>
                          <a:srgbClr val="808080"/>
                        </a:solidFill>
                        <a:latin typeface="Arial"/>
                        <a:ea typeface="Arial"/>
                        <a:cs typeface="Arial"/>
                      </a:defRPr>
                    </a:pPr>
                    <a:r>
                      <a:rPr lang="en-US"/>
                      <a:t>80%</a:t>
                    </a:r>
                  </a:p>
                </c:rich>
              </c:tx>
              <c:spPr>
                <a:noFill/>
                <a:ln w="25400">
                  <a:noFill/>
                </a:ln>
              </c:spPr>
              <c:dLblPos val="r"/>
              <c:showLegendKey val="0"/>
              <c:showVal val="0"/>
              <c:showCatName val="0"/>
              <c:showSerName val="0"/>
              <c:showPercent val="0"/>
              <c:showBubbleSize val="0"/>
            </c:dLbl>
            <c:dLbl>
              <c:idx val="1"/>
              <c:layout>
                <c:manualLayout>
                  <c:x val="-9.522810758533071E-3"/>
                  <c:y val="-3.4760247138765091E-2"/>
                </c:manualLayout>
              </c:layout>
              <c:tx>
                <c:rich>
                  <a:bodyPr rot="-3600000" vert="horz"/>
                  <a:lstStyle/>
                  <a:p>
                    <a:pPr algn="ctr" rtl="0">
                      <a:defRPr sz="800" b="0" i="0" u="none" strike="noStrike" baseline="0">
                        <a:solidFill>
                          <a:srgbClr val="808080"/>
                        </a:solidFill>
                        <a:latin typeface="Arial"/>
                        <a:ea typeface="Arial"/>
                        <a:cs typeface="Arial"/>
                      </a:defRPr>
                    </a:pPr>
                    <a:r>
                      <a:rPr lang="en-US"/>
                      <a:t>20%</a:t>
                    </a:r>
                  </a:p>
                </c:rich>
              </c:tx>
              <c:spPr>
                <a:noFill/>
                <a:ln w="25400">
                  <a:noFill/>
                </a:ln>
              </c:spPr>
              <c:dLblPos val="r"/>
              <c:showLegendKey val="0"/>
              <c:showVal val="0"/>
              <c:showCatName val="0"/>
              <c:showSerName val="0"/>
              <c:showPercent val="0"/>
              <c:showBubbleSize val="0"/>
            </c:dLbl>
            <c:dLbl>
              <c:idx val="2"/>
              <c:layout>
                <c:manualLayout>
                  <c:x val="-8.3652750953300253E-3"/>
                  <c:y val="-3.0817844343682229E-2"/>
                </c:manualLayout>
              </c:layout>
              <c:tx>
                <c:rich>
                  <a:bodyPr rot="-3600000" vert="horz"/>
                  <a:lstStyle/>
                  <a:p>
                    <a:pPr algn="ctr" rtl="0">
                      <a:defRPr sz="800" b="0" i="0" u="none" strike="noStrike" baseline="0">
                        <a:solidFill>
                          <a:srgbClr val="808080"/>
                        </a:solidFill>
                        <a:latin typeface="Arial"/>
                        <a:ea typeface="Arial"/>
                        <a:cs typeface="Arial"/>
                      </a:defRPr>
                    </a:pPr>
                    <a:r>
                      <a:rPr lang="en-US"/>
                      <a:t>40%</a:t>
                    </a:r>
                  </a:p>
                </c:rich>
              </c:tx>
              <c:spPr>
                <a:noFill/>
                <a:ln w="25400">
                  <a:noFill/>
                </a:ln>
              </c:spPr>
              <c:dLblPos val="r"/>
              <c:showLegendKey val="0"/>
              <c:showVal val="0"/>
              <c:showCatName val="0"/>
              <c:showSerName val="0"/>
              <c:showPercent val="0"/>
              <c:showBubbleSize val="0"/>
            </c:dLbl>
            <c:dLbl>
              <c:idx val="3"/>
              <c:layout>
                <c:manualLayout>
                  <c:x val="-1.6262245798631444E-2"/>
                  <c:y val="2.9948833883529605E-2"/>
                </c:manualLayout>
              </c:layout>
              <c:tx>
                <c:rich>
                  <a:bodyPr rot="3600000" vert="horz"/>
                  <a:lstStyle/>
                  <a:p>
                    <a:pPr algn="ctr" rtl="0">
                      <a:defRPr sz="800" b="0" i="0" u="none" strike="noStrike" baseline="0">
                        <a:solidFill>
                          <a:srgbClr val="808080"/>
                        </a:solidFill>
                        <a:latin typeface="Arial"/>
                        <a:ea typeface="Arial"/>
                        <a:cs typeface="Arial"/>
                      </a:defRPr>
                    </a:pPr>
                    <a:r>
                      <a:rPr lang="en-US"/>
                      <a:t>60%</a:t>
                    </a:r>
                  </a:p>
                </c:rich>
              </c:tx>
              <c:spPr>
                <a:noFill/>
                <a:ln w="25400">
                  <a:noFill/>
                </a:ln>
              </c:spPr>
              <c:dLblPos val="r"/>
              <c:showLegendKey val="0"/>
              <c:showVal val="0"/>
              <c:showCatName val="0"/>
              <c:showSerName val="0"/>
              <c:showPercent val="0"/>
              <c:showBubbleSize val="0"/>
            </c:dLbl>
            <c:dLbl>
              <c:idx val="4"/>
              <c:layout>
                <c:manualLayout>
                  <c:x val="-1.9501691034458635E-2"/>
                  <c:y val="2.9948833883529605E-2"/>
                </c:manualLayout>
              </c:layout>
              <c:tx>
                <c:rich>
                  <a:bodyPr rot="3600000" vert="horz"/>
                  <a:lstStyle/>
                  <a:p>
                    <a:pPr algn="ctr" rtl="0">
                      <a:defRPr sz="800" b="0" i="0" u="none" strike="noStrike" baseline="0">
                        <a:solidFill>
                          <a:srgbClr val="808080"/>
                        </a:solidFill>
                        <a:latin typeface="Arial"/>
                        <a:ea typeface="Arial"/>
                        <a:cs typeface="Arial"/>
                      </a:defRPr>
                    </a:pPr>
                    <a:r>
                      <a:rPr lang="en-US"/>
                      <a:t>40%</a:t>
                    </a:r>
                  </a:p>
                </c:rich>
              </c:tx>
              <c:spPr>
                <a:noFill/>
                <a:ln w="25400">
                  <a:noFill/>
                </a:ln>
              </c:spPr>
              <c:dLblPos val="r"/>
              <c:showLegendKey val="0"/>
              <c:showVal val="0"/>
              <c:showCatName val="0"/>
              <c:showSerName val="0"/>
              <c:showPercent val="0"/>
              <c:showBubbleSize val="0"/>
            </c:dLbl>
            <c:dLbl>
              <c:idx val="5"/>
              <c:layout>
                <c:manualLayout>
                  <c:x val="-8.3177338681720992E-3"/>
                  <c:y val="-3.1769405659529196E-2"/>
                </c:manualLayout>
              </c:layout>
              <c:tx>
                <c:rich>
                  <a:bodyPr rot="-3600000" vert="horz"/>
                  <a:lstStyle/>
                  <a:p>
                    <a:pPr algn="ctr" rtl="0">
                      <a:defRPr sz="800" b="0" i="0" u="none" strike="noStrike" baseline="0">
                        <a:solidFill>
                          <a:srgbClr val="808080"/>
                        </a:solidFill>
                        <a:latin typeface="Arial"/>
                        <a:ea typeface="Arial"/>
                        <a:cs typeface="Arial"/>
                      </a:defRPr>
                    </a:pPr>
                    <a:r>
                      <a:rPr lang="en-US"/>
                      <a:t>60%</a:t>
                    </a:r>
                  </a:p>
                </c:rich>
              </c:tx>
              <c:spPr>
                <a:noFill/>
                <a:ln w="25400">
                  <a:noFill/>
                </a:ln>
              </c:spPr>
              <c:dLblPos val="r"/>
              <c:showLegendKey val="0"/>
              <c:showVal val="0"/>
              <c:showCatName val="0"/>
              <c:showSerName val="0"/>
              <c:showPercent val="0"/>
              <c:showBubbleSize val="0"/>
            </c:dLbl>
            <c:dLbl>
              <c:idx val="6"/>
              <c:layout>
                <c:manualLayout>
                  <c:x val="-9.3799540318281298E-3"/>
                  <c:y val="-3.5983609715995957E-2"/>
                </c:manualLayout>
              </c:layout>
              <c:tx>
                <c:rich>
                  <a:bodyPr rot="-3600000" vert="horz"/>
                  <a:lstStyle/>
                  <a:p>
                    <a:pPr algn="ctr" rtl="0">
                      <a:defRPr sz="800" b="0" i="0" u="none" strike="noStrike" baseline="0">
                        <a:solidFill>
                          <a:srgbClr val="808080"/>
                        </a:solidFill>
                        <a:latin typeface="Arial"/>
                        <a:ea typeface="Arial"/>
                        <a:cs typeface="Arial"/>
                      </a:defRPr>
                    </a:pPr>
                    <a:r>
                      <a:rPr lang="en-US"/>
                      <a:t>80%</a:t>
                    </a:r>
                  </a:p>
                </c:rich>
              </c:tx>
              <c:spPr>
                <a:noFill/>
                <a:ln w="25400">
                  <a:noFill/>
                </a:ln>
              </c:spPr>
              <c:dLblPos val="r"/>
              <c:showLegendKey val="0"/>
              <c:showVal val="0"/>
              <c:showCatName val="0"/>
              <c:showSerName val="0"/>
              <c:showPercent val="0"/>
              <c:showBubbleSize val="0"/>
            </c:dLbl>
            <c:dLbl>
              <c:idx val="7"/>
              <c:layout>
                <c:manualLayout>
                  <c:x val="-1.9411502529997265E-2"/>
                  <c:y val="2.9948833883529605E-2"/>
                </c:manualLayout>
              </c:layout>
              <c:tx>
                <c:rich>
                  <a:bodyPr rot="3600000" vert="horz"/>
                  <a:lstStyle/>
                  <a:p>
                    <a:pPr algn="ctr" rtl="0">
                      <a:defRPr sz="800" b="0" i="0" u="none" strike="noStrike" baseline="0">
                        <a:solidFill>
                          <a:srgbClr val="808080"/>
                        </a:solidFill>
                        <a:latin typeface="Arial"/>
                        <a:ea typeface="Arial"/>
                        <a:cs typeface="Arial"/>
                      </a:defRPr>
                    </a:pPr>
                    <a:r>
                      <a:rPr lang="en-US"/>
                      <a:t>20%</a:t>
                    </a:r>
                  </a:p>
                </c:rich>
              </c:tx>
              <c:spPr>
                <a:noFill/>
                <a:ln w="25400">
                  <a:noFill/>
                </a:ln>
              </c:spPr>
              <c:dLblPos val="r"/>
              <c:showLegendKey val="0"/>
              <c:showVal val="0"/>
              <c:showCatName val="0"/>
              <c:showSerName val="0"/>
              <c:showPercent val="0"/>
              <c:showBubbleSize val="0"/>
            </c:dLbl>
            <c:numFmt formatCode="0%" sourceLinked="0"/>
            <c:spPr>
              <a:noFill/>
              <a:ln w="25400">
                <a:noFill/>
              </a:ln>
            </c:spPr>
            <c:txPr>
              <a:bodyPr rot="-3600000" vert="horz"/>
              <a:lstStyle/>
              <a:p>
                <a:pPr algn="ctr" rtl="0">
                  <a:defRPr sz="800" b="0" i="0" u="none" strike="noStrike" baseline="0">
                    <a:solidFill>
                      <a:srgbClr val="808080"/>
                    </a:solidFill>
                    <a:latin typeface="Arial"/>
                    <a:ea typeface="Arial"/>
                    <a:cs typeface="Arial"/>
                  </a:defRPr>
                </a:pPr>
                <a:endParaRPr lang="en-US"/>
              </a:p>
            </c:txPr>
            <c:dLblPos val="r"/>
            <c:showLegendKey val="0"/>
            <c:showVal val="1"/>
            <c:showCatName val="0"/>
            <c:showSerName val="0"/>
            <c:showPercent val="0"/>
            <c:showBubbleSize val="0"/>
            <c:showLeaderLines val="0"/>
          </c:dLbls>
          <c:xVal>
            <c:numRef>
              <c:f>Tgrid!$P$35:$P$42</c:f>
              <c:numCache>
                <c:formatCode>General</c:formatCode>
                <c:ptCount val="8"/>
                <c:pt idx="0">
                  <c:v>0.23094000000000003</c:v>
                </c:pt>
                <c:pt idx="1">
                  <c:v>0.69286000000000003</c:v>
                </c:pt>
                <c:pt idx="2">
                  <c:v>0.80832000000000015</c:v>
                </c:pt>
                <c:pt idx="3">
                  <c:v>0.46188000000000007</c:v>
                </c:pt>
                <c:pt idx="4">
                  <c:v>0.69281999999999999</c:v>
                </c:pt>
                <c:pt idx="5">
                  <c:v>0.92378000000000005</c:v>
                </c:pt>
                <c:pt idx="6">
                  <c:v>1.0392400000000002</c:v>
                </c:pt>
                <c:pt idx="7">
                  <c:v>0.92376000000000014</c:v>
                </c:pt>
              </c:numCache>
            </c:numRef>
          </c:xVal>
          <c:yVal>
            <c:numRef>
              <c:f>Tgrid!$Q$35:$Q$42</c:f>
              <c:numCache>
                <c:formatCode>0.00</c:formatCode>
                <c:ptCount val="8"/>
                <c:pt idx="0">
                  <c:v>0</c:v>
                </c:pt>
                <c:pt idx="1">
                  <c:v>0.8</c:v>
                </c:pt>
                <c:pt idx="2">
                  <c:v>0.6</c:v>
                </c:pt>
                <c:pt idx="3">
                  <c:v>0</c:v>
                </c:pt>
                <c:pt idx="4">
                  <c:v>0</c:v>
                </c:pt>
                <c:pt idx="5">
                  <c:v>0.4</c:v>
                </c:pt>
                <c:pt idx="6">
                  <c:v>0.2</c:v>
                </c:pt>
                <c:pt idx="7">
                  <c:v>0</c:v>
                </c:pt>
              </c:numCache>
            </c:numRef>
          </c:yVal>
          <c:smooth val="0"/>
        </c:ser>
        <c:ser>
          <c:idx val="0"/>
          <c:order val="4"/>
          <c:tx>
            <c:v>Cations</c:v>
          </c:tx>
          <c:spPr>
            <a:ln w="25400">
              <a:solidFill>
                <a:srgbClr val="000000"/>
              </a:solidFill>
              <a:prstDash val="solid"/>
            </a:ln>
          </c:spPr>
          <c:marker>
            <c:symbol val="none"/>
          </c:marker>
          <c:dLbls>
            <c:dLbl>
              <c:idx val="0"/>
              <c:delete val="1"/>
            </c:dLbl>
            <c:dLbl>
              <c:idx val="1"/>
              <c:layout>
                <c:manualLayout>
                  <c:x val="-2.7328398600563387E-2"/>
                  <c:y val="-2.8216293517959561E-2"/>
                </c:manualLayout>
              </c:layout>
              <c:tx>
                <c:rich>
                  <a:bodyPr/>
                  <a:lstStyle/>
                  <a:p>
                    <a:r>
                      <a:rPr lang="en-US"/>
                      <a:t>Mg</a:t>
                    </a:r>
                  </a:p>
                </c:rich>
              </c:tx>
              <c:dLblPos val="r"/>
              <c:showLegendKey val="0"/>
              <c:showVal val="0"/>
              <c:showCatName val="0"/>
              <c:showSerName val="0"/>
              <c:showPercent val="0"/>
              <c:showBubbleSize val="0"/>
            </c:dLbl>
            <c:dLbl>
              <c:idx val="2"/>
              <c:layout>
                <c:manualLayout>
                  <c:x val="-4.0408994380696915E-2"/>
                  <c:y val="1.7596519847743401E-2"/>
                </c:manualLayout>
              </c:layout>
              <c:tx>
                <c:rich>
                  <a:bodyPr/>
                  <a:lstStyle/>
                  <a:p>
                    <a:r>
                      <a:rPr lang="en-US"/>
                      <a:t>Na+K</a:t>
                    </a:r>
                  </a:p>
                </c:rich>
              </c:tx>
              <c:dLblPos val="r"/>
              <c:showLegendKey val="0"/>
              <c:showVal val="0"/>
              <c:showCatName val="0"/>
              <c:showSerName val="0"/>
              <c:showPercent val="0"/>
              <c:showBubbleSize val="0"/>
            </c:dLbl>
            <c:dLbl>
              <c:idx val="3"/>
              <c:layout>
                <c:manualLayout>
                  <c:x val="-3.3090791508996992E-2"/>
                  <c:y val="1.4333877107123459E-2"/>
                </c:manualLayout>
              </c:layout>
              <c:tx>
                <c:rich>
                  <a:bodyPr/>
                  <a:lstStyle/>
                  <a:p>
                    <a:r>
                      <a:rPr lang="en-US"/>
                      <a:t>Ca</a:t>
                    </a:r>
                  </a:p>
                </c:rich>
              </c:tx>
              <c:dLblPos val="r"/>
              <c:showLegendKey val="0"/>
              <c:showVal val="0"/>
              <c:showCatName val="0"/>
              <c:showSerName val="0"/>
              <c:showPercent val="0"/>
              <c:showBubbleSize val="0"/>
            </c:dLbl>
            <c:spPr>
              <a:noFill/>
              <a:ln w="25400">
                <a:noFill/>
              </a:ln>
            </c:spPr>
            <c:txPr>
              <a:bodyPr/>
              <a:lstStyle/>
              <a:p>
                <a:pPr algn="ctr" rtl="0">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xVal>
            <c:numRef>
              <c:f>Tgrid!$A$35:$A$38</c:f>
              <c:numCache>
                <c:formatCode>General</c:formatCode>
                <c:ptCount val="4"/>
                <c:pt idx="0">
                  <c:v>0</c:v>
                </c:pt>
                <c:pt idx="1">
                  <c:v>0.57740000000000002</c:v>
                </c:pt>
                <c:pt idx="2">
                  <c:v>1.1547000000000001</c:v>
                </c:pt>
                <c:pt idx="3">
                  <c:v>0</c:v>
                </c:pt>
              </c:numCache>
            </c:numRef>
          </c:xVal>
          <c:yVal>
            <c:numRef>
              <c:f>Tgrid!$B$35:$B$38</c:f>
              <c:numCache>
                <c:formatCode>General</c:formatCode>
                <c:ptCount val="4"/>
                <c:pt idx="0">
                  <c:v>0</c:v>
                </c:pt>
                <c:pt idx="1">
                  <c:v>1</c:v>
                </c:pt>
                <c:pt idx="2">
                  <c:v>0</c:v>
                </c:pt>
                <c:pt idx="3">
                  <c:v>0</c:v>
                </c:pt>
              </c:numCache>
            </c:numRef>
          </c:yVal>
          <c:smooth val="0"/>
        </c:ser>
        <c:ser>
          <c:idx val="6"/>
          <c:order val="5"/>
          <c:tx>
            <c:v>anions A grid</c:v>
          </c:tx>
          <c:spPr>
            <a:ln w="3175">
              <a:solidFill>
                <a:srgbClr val="808080"/>
              </a:solidFill>
              <a:prstDash val="solid"/>
            </a:ln>
          </c:spPr>
          <c:marker>
            <c:symbol val="none"/>
          </c:marker>
          <c:dLbls>
            <c:dLbl>
              <c:idx val="0"/>
              <c:layout>
                <c:manualLayout>
                  <c:x val="-3.5885702966374507E-2"/>
                  <c:y val="-3.1089645605066177E-2"/>
                </c:manualLayout>
              </c:layout>
              <c:tx>
                <c:rich>
                  <a:bodyPr rot="3600000" vert="horz"/>
                  <a:lstStyle/>
                  <a:p>
                    <a:pPr algn="ctr" rtl="0">
                      <a:defRPr sz="800" b="0" i="0" u="none" strike="noStrike" baseline="0">
                        <a:solidFill>
                          <a:srgbClr val="808080"/>
                        </a:solidFill>
                        <a:latin typeface="Arial"/>
                        <a:ea typeface="Arial"/>
                        <a:cs typeface="Arial"/>
                      </a:defRPr>
                    </a:pPr>
                    <a:r>
                      <a:rPr lang="en-US"/>
                      <a:t>80%</a:t>
                    </a:r>
                  </a:p>
                </c:rich>
              </c:tx>
              <c:spPr>
                <a:noFill/>
                <a:ln w="25400">
                  <a:noFill/>
                </a:ln>
              </c:spPr>
              <c:dLblPos val="r"/>
              <c:showLegendKey val="0"/>
              <c:showVal val="0"/>
              <c:showCatName val="0"/>
              <c:showSerName val="0"/>
              <c:showPercent val="0"/>
              <c:showBubbleSize val="0"/>
            </c:dLbl>
            <c:dLbl>
              <c:idx val="3"/>
              <c:layout>
                <c:manualLayout>
                  <c:x val="-3.3623416384827541E-2"/>
                  <c:y val="-3.013808428921921E-2"/>
                </c:manualLayout>
              </c:layout>
              <c:tx>
                <c:rich>
                  <a:bodyPr rot="3600000" vert="horz"/>
                  <a:lstStyle/>
                  <a:p>
                    <a:pPr algn="ctr" rtl="0">
                      <a:defRPr sz="800" b="0" i="0" u="none" strike="noStrike" baseline="0">
                        <a:solidFill>
                          <a:srgbClr val="808080"/>
                        </a:solidFill>
                        <a:latin typeface="Arial"/>
                        <a:ea typeface="Arial"/>
                        <a:cs typeface="Arial"/>
                      </a:defRPr>
                    </a:pPr>
                    <a:r>
                      <a:rPr lang="en-US"/>
                      <a:t>60%</a:t>
                    </a:r>
                  </a:p>
                </c:rich>
              </c:tx>
              <c:spPr>
                <a:noFill/>
                <a:ln w="25400">
                  <a:noFill/>
                </a:ln>
              </c:spPr>
              <c:dLblPos val="r"/>
              <c:showLegendKey val="0"/>
              <c:showVal val="0"/>
              <c:showCatName val="0"/>
              <c:showSerName val="0"/>
              <c:showPercent val="0"/>
              <c:showBubbleSize val="0"/>
            </c:dLbl>
            <c:dLbl>
              <c:idx val="4"/>
              <c:layout>
                <c:manualLayout>
                  <c:x val="-3.2470891194094582E-2"/>
                  <c:y val="-3.0817844343682229E-2"/>
                </c:manualLayout>
              </c:layout>
              <c:tx>
                <c:rich>
                  <a:bodyPr rot="3600000" vert="horz"/>
                  <a:lstStyle/>
                  <a:p>
                    <a:pPr algn="ctr" rtl="0">
                      <a:defRPr sz="800" b="0" i="0" u="none" strike="noStrike" baseline="0">
                        <a:solidFill>
                          <a:srgbClr val="808080"/>
                        </a:solidFill>
                        <a:latin typeface="Arial"/>
                        <a:ea typeface="Arial"/>
                        <a:cs typeface="Arial"/>
                      </a:defRPr>
                    </a:pPr>
                    <a:r>
                      <a:rPr lang="en-US"/>
                      <a:t>40%</a:t>
                    </a:r>
                  </a:p>
                </c:rich>
              </c:tx>
              <c:spPr>
                <a:noFill/>
                <a:ln w="25400">
                  <a:noFill/>
                </a:ln>
              </c:spPr>
              <c:dLblPos val="r"/>
              <c:showLegendKey val="0"/>
              <c:showVal val="0"/>
              <c:showCatName val="0"/>
              <c:showSerName val="0"/>
              <c:showPercent val="0"/>
              <c:showBubbleSize val="0"/>
            </c:dLbl>
            <c:dLbl>
              <c:idx val="7"/>
              <c:layout>
                <c:manualLayout>
                  <c:x val="-3.2428360439406743E-2"/>
                  <c:y val="-3.1497604398145258E-2"/>
                </c:manualLayout>
              </c:layout>
              <c:tx>
                <c:rich>
                  <a:bodyPr rot="3600000" vert="horz"/>
                  <a:lstStyle/>
                  <a:p>
                    <a:pPr algn="ctr" rtl="0">
                      <a:defRPr sz="800" b="0" i="0" u="none" strike="noStrike" baseline="0">
                        <a:solidFill>
                          <a:srgbClr val="808080"/>
                        </a:solidFill>
                        <a:latin typeface="Arial"/>
                        <a:ea typeface="Arial"/>
                        <a:cs typeface="Arial"/>
                      </a:defRPr>
                    </a:pPr>
                    <a:r>
                      <a:rPr lang="en-US"/>
                      <a:t>20%</a:t>
                    </a:r>
                  </a:p>
                </c:rich>
              </c:tx>
              <c:spPr>
                <a:noFill/>
                <a:ln w="25400">
                  <a:noFill/>
                </a:ln>
              </c:spPr>
              <c:dLblPos val="r"/>
              <c:showLegendKey val="0"/>
              <c:showVal val="0"/>
              <c:showCatName val="0"/>
              <c:showSerName val="0"/>
              <c:showPercent val="0"/>
              <c:showBubbleSize val="0"/>
            </c:dLbl>
            <c:numFmt formatCode="0%" sourceLinked="0"/>
            <c:spPr>
              <a:noFill/>
              <a:ln w="25400">
                <a:noFill/>
              </a:ln>
            </c:spPr>
            <c:txPr>
              <a:bodyPr/>
              <a:lstStyle/>
              <a:p>
                <a:pPr algn="ctr" rtl="0">
                  <a:defRPr sz="800" b="0" i="0" u="none" strike="noStrike" baseline="0">
                    <a:solidFill>
                      <a:srgbClr val="808080"/>
                    </a:solidFill>
                    <a:latin typeface="Arial"/>
                    <a:ea typeface="Arial"/>
                    <a:cs typeface="Arial"/>
                  </a:defRPr>
                </a:pPr>
                <a:endParaRPr lang="en-US"/>
              </a:p>
            </c:txPr>
            <c:showLegendKey val="0"/>
            <c:showVal val="1"/>
            <c:showCatName val="0"/>
            <c:showSerName val="0"/>
            <c:showPercent val="0"/>
            <c:showBubbleSize val="0"/>
            <c:showLeaderLines val="0"/>
          </c:dLbls>
          <c:xVal>
            <c:numRef>
              <c:f>Tgrid!$F$46:$F$53</c:f>
              <c:numCache>
                <c:formatCode>General</c:formatCode>
                <c:ptCount val="8"/>
                <c:pt idx="0">
                  <c:v>1.47018</c:v>
                </c:pt>
                <c:pt idx="1">
                  <c:v>2.3939400000000002</c:v>
                </c:pt>
                <c:pt idx="2">
                  <c:v>2.2784800000000001</c:v>
                </c:pt>
                <c:pt idx="3">
                  <c:v>1.5856600000000001</c:v>
                </c:pt>
                <c:pt idx="4">
                  <c:v>1.7011400000000001</c:v>
                </c:pt>
                <c:pt idx="5">
                  <c:v>2.1630200000000004</c:v>
                </c:pt>
                <c:pt idx="6">
                  <c:v>2.0475600000000003</c:v>
                </c:pt>
                <c:pt idx="7">
                  <c:v>1.8166200000000001</c:v>
                </c:pt>
              </c:numCache>
            </c:numRef>
          </c:xVal>
          <c:yVal>
            <c:numRef>
              <c:f>Tgrid!$G$46:$G$53</c:f>
              <c:numCache>
                <c:formatCode>_(* #,##0.00_);_(* \(#,##0.00\);_(* "-"??_);_(@_)</c:formatCode>
                <c:ptCount val="8"/>
                <c:pt idx="0">
                  <c:v>0.2</c:v>
                </c:pt>
                <c:pt idx="1">
                  <c:v>0.2</c:v>
                </c:pt>
                <c:pt idx="2">
                  <c:v>0.4</c:v>
                </c:pt>
                <c:pt idx="3">
                  <c:v>0.4</c:v>
                </c:pt>
                <c:pt idx="4">
                  <c:v>0.6</c:v>
                </c:pt>
                <c:pt idx="5">
                  <c:v>0.6</c:v>
                </c:pt>
                <c:pt idx="6">
                  <c:v>0.8</c:v>
                </c:pt>
                <c:pt idx="7">
                  <c:v>0.8</c:v>
                </c:pt>
              </c:numCache>
            </c:numRef>
          </c:yVal>
          <c:smooth val="0"/>
        </c:ser>
        <c:ser>
          <c:idx val="7"/>
          <c:order val="6"/>
          <c:tx>
            <c:v>anions B grid</c:v>
          </c:tx>
          <c:spPr>
            <a:ln w="3175">
              <a:solidFill>
                <a:srgbClr val="808080"/>
              </a:solidFill>
              <a:prstDash val="solid"/>
            </a:ln>
          </c:spPr>
          <c:marker>
            <c:symbol val="none"/>
          </c:marker>
          <c:xVal>
            <c:numRef>
              <c:f>Tgrid!$K$46:$K$53</c:f>
              <c:numCache>
                <c:formatCode>General</c:formatCode>
                <c:ptCount val="8"/>
                <c:pt idx="0">
                  <c:v>1.5856400000000002</c:v>
                </c:pt>
                <c:pt idx="1">
                  <c:v>1.47018</c:v>
                </c:pt>
                <c:pt idx="2">
                  <c:v>1.5856600000000001</c:v>
                </c:pt>
                <c:pt idx="3">
                  <c:v>1.8165800000000001</c:v>
                </c:pt>
                <c:pt idx="4">
                  <c:v>2.04752</c:v>
                </c:pt>
                <c:pt idx="5">
                  <c:v>1.7011400000000001</c:v>
                </c:pt>
                <c:pt idx="6">
                  <c:v>1.8166200000000001</c:v>
                </c:pt>
                <c:pt idx="7">
                  <c:v>2.2784599999999999</c:v>
                </c:pt>
              </c:numCache>
            </c:numRef>
          </c:xVal>
          <c:yVal>
            <c:numRef>
              <c:f>Tgrid!$L$46:$L$53</c:f>
              <c:numCache>
                <c:formatCode>0.00</c:formatCode>
                <c:ptCount val="8"/>
                <c:pt idx="0">
                  <c:v>0</c:v>
                </c:pt>
                <c:pt idx="1">
                  <c:v>0.2</c:v>
                </c:pt>
                <c:pt idx="2">
                  <c:v>0.4</c:v>
                </c:pt>
                <c:pt idx="3">
                  <c:v>0</c:v>
                </c:pt>
                <c:pt idx="4">
                  <c:v>0</c:v>
                </c:pt>
                <c:pt idx="5">
                  <c:v>0.6</c:v>
                </c:pt>
                <c:pt idx="6">
                  <c:v>0.8</c:v>
                </c:pt>
                <c:pt idx="7">
                  <c:v>0</c:v>
                </c:pt>
              </c:numCache>
            </c:numRef>
          </c:yVal>
          <c:smooth val="0"/>
        </c:ser>
        <c:ser>
          <c:idx val="8"/>
          <c:order val="7"/>
          <c:tx>
            <c:v>anions C grid</c:v>
          </c:tx>
          <c:spPr>
            <a:ln w="3175">
              <a:solidFill>
                <a:srgbClr val="808080"/>
              </a:solidFill>
              <a:prstDash val="solid"/>
            </a:ln>
          </c:spPr>
          <c:marker>
            <c:symbol val="none"/>
          </c:marker>
          <c:dLbls>
            <c:dLbl>
              <c:idx val="0"/>
              <c:layout>
                <c:manualLayout>
                  <c:x val="-3.028877217206899E-2"/>
                  <c:y val="2.5054869772599797E-2"/>
                </c:manualLayout>
              </c:layout>
              <c:tx>
                <c:rich>
                  <a:bodyPr/>
                  <a:lstStyle/>
                  <a:p>
                    <a:r>
                      <a:rPr lang="en-US"/>
                      <a:t>20%</a:t>
                    </a:r>
                  </a:p>
                </c:rich>
              </c:tx>
              <c:dLblPos val="r"/>
              <c:showLegendKey val="0"/>
              <c:showVal val="0"/>
              <c:showCatName val="0"/>
              <c:showSerName val="0"/>
              <c:showPercent val="0"/>
              <c:showBubbleSize val="0"/>
            </c:dLbl>
            <c:dLbl>
              <c:idx val="1"/>
              <c:delete val="1"/>
            </c:dLbl>
            <c:dLbl>
              <c:idx val="2"/>
              <c:delete val="1"/>
            </c:dLbl>
            <c:dLbl>
              <c:idx val="3"/>
              <c:layout>
                <c:manualLayout>
                  <c:x val="-3.3528217407896112E-2"/>
                  <c:y val="2.5054869772599797E-2"/>
                </c:manualLayout>
              </c:layout>
              <c:tx>
                <c:rich>
                  <a:bodyPr/>
                  <a:lstStyle/>
                  <a:p>
                    <a:r>
                      <a:rPr lang="en-US"/>
                      <a:t>40%</a:t>
                    </a:r>
                  </a:p>
                </c:rich>
              </c:tx>
              <c:dLblPos val="r"/>
              <c:showLegendKey val="0"/>
              <c:showVal val="0"/>
              <c:showCatName val="0"/>
              <c:showSerName val="0"/>
              <c:showPercent val="0"/>
              <c:showBubbleSize val="0"/>
            </c:dLbl>
            <c:dLbl>
              <c:idx val="4"/>
              <c:layout>
                <c:manualLayout>
                  <c:x val="-3.2328150990005203E-2"/>
                  <c:y val="2.5054869772599797E-2"/>
                </c:manualLayout>
              </c:layout>
              <c:tx>
                <c:rich>
                  <a:bodyPr/>
                  <a:lstStyle/>
                  <a:p>
                    <a:r>
                      <a:rPr lang="en-US"/>
                      <a:t>60%</a:t>
                    </a:r>
                  </a:p>
                </c:rich>
              </c:tx>
              <c:dLblPos val="r"/>
              <c:showLegendKey val="0"/>
              <c:showVal val="0"/>
              <c:showCatName val="0"/>
              <c:showSerName val="0"/>
              <c:showPercent val="0"/>
              <c:showBubbleSize val="0"/>
            </c:dLbl>
            <c:dLbl>
              <c:idx val="5"/>
              <c:delete val="1"/>
            </c:dLbl>
            <c:dLbl>
              <c:idx val="6"/>
              <c:delete val="1"/>
            </c:dLbl>
            <c:dLbl>
              <c:idx val="7"/>
              <c:layout>
                <c:manualLayout>
                  <c:x val="-3.2237962485543899E-2"/>
                  <c:y val="2.8317512513219747E-2"/>
                </c:manualLayout>
              </c:layout>
              <c:tx>
                <c:rich>
                  <a:bodyPr/>
                  <a:lstStyle/>
                  <a:p>
                    <a:r>
                      <a:rPr lang="en-US"/>
                      <a:t>80%</a:t>
                    </a:r>
                  </a:p>
                </c:rich>
              </c:tx>
              <c:dLblPos val="r"/>
              <c:showLegendKey val="0"/>
              <c:showVal val="0"/>
              <c:showCatName val="0"/>
              <c:showSerName val="0"/>
              <c:showPercent val="0"/>
              <c:showBubbleSize val="0"/>
            </c:dLbl>
            <c:spPr>
              <a:noFill/>
              <a:ln w="25400">
                <a:noFill/>
              </a:ln>
            </c:spPr>
            <c:txPr>
              <a:bodyPr rot="-3600000" vert="horz"/>
              <a:lstStyle/>
              <a:p>
                <a:pPr algn="ctr" rtl="0">
                  <a:defRPr sz="800" b="0" i="0" u="none" strike="noStrike" baseline="0">
                    <a:solidFill>
                      <a:srgbClr val="808080"/>
                    </a:solidFill>
                    <a:latin typeface="Arial"/>
                    <a:ea typeface="Arial"/>
                    <a:cs typeface="Arial"/>
                  </a:defRPr>
                </a:pPr>
                <a:endParaRPr lang="en-US"/>
              </a:p>
            </c:txPr>
            <c:dLblPos val="b"/>
            <c:showLegendKey val="0"/>
            <c:showVal val="1"/>
            <c:showCatName val="0"/>
            <c:showSerName val="0"/>
            <c:showPercent val="0"/>
            <c:showBubbleSize val="0"/>
            <c:showLeaderLines val="0"/>
          </c:dLbls>
          <c:xVal>
            <c:numRef>
              <c:f>Tgrid!$P$46:$P$53</c:f>
              <c:numCache>
                <c:formatCode>General</c:formatCode>
                <c:ptCount val="8"/>
                <c:pt idx="0">
                  <c:v>1.5856400000000002</c:v>
                </c:pt>
                <c:pt idx="1">
                  <c:v>2.0475599999999998</c:v>
                </c:pt>
                <c:pt idx="2">
                  <c:v>2.1630200000000004</c:v>
                </c:pt>
                <c:pt idx="3">
                  <c:v>1.8165800000000001</c:v>
                </c:pt>
                <c:pt idx="4">
                  <c:v>2.04752</c:v>
                </c:pt>
                <c:pt idx="5">
                  <c:v>2.2784800000000001</c:v>
                </c:pt>
                <c:pt idx="6">
                  <c:v>2.3939400000000002</c:v>
                </c:pt>
                <c:pt idx="7">
                  <c:v>2.2784599999999999</c:v>
                </c:pt>
              </c:numCache>
            </c:numRef>
          </c:xVal>
          <c:yVal>
            <c:numRef>
              <c:f>Tgrid!$Q$46:$Q$53</c:f>
              <c:numCache>
                <c:formatCode>0.00</c:formatCode>
                <c:ptCount val="8"/>
                <c:pt idx="0">
                  <c:v>0</c:v>
                </c:pt>
                <c:pt idx="1">
                  <c:v>0.8</c:v>
                </c:pt>
                <c:pt idx="2">
                  <c:v>0.6</c:v>
                </c:pt>
                <c:pt idx="3">
                  <c:v>0</c:v>
                </c:pt>
                <c:pt idx="4">
                  <c:v>0</c:v>
                </c:pt>
                <c:pt idx="5">
                  <c:v>0.4</c:v>
                </c:pt>
                <c:pt idx="6">
                  <c:v>0.2</c:v>
                </c:pt>
                <c:pt idx="7">
                  <c:v>0</c:v>
                </c:pt>
              </c:numCache>
            </c:numRef>
          </c:yVal>
          <c:smooth val="0"/>
        </c:ser>
        <c:ser>
          <c:idx val="1"/>
          <c:order val="8"/>
          <c:tx>
            <c:v>Anions</c:v>
          </c:tx>
          <c:spPr>
            <a:ln w="25400">
              <a:solidFill>
                <a:srgbClr val="000000"/>
              </a:solidFill>
              <a:prstDash val="solid"/>
            </a:ln>
          </c:spPr>
          <c:marker>
            <c:symbol val="none"/>
          </c:marker>
          <c:dLbls>
            <c:dLbl>
              <c:idx val="0"/>
              <c:delete val="1"/>
            </c:dLbl>
            <c:dLbl>
              <c:idx val="1"/>
              <c:layout>
                <c:manualLayout>
                  <c:x val="-2.0152120274643848E-2"/>
                  <c:y val="-2.9847614888269543E-2"/>
                </c:manualLayout>
              </c:layout>
              <c:tx>
                <c:rich>
                  <a:bodyPr/>
                  <a:lstStyle/>
                  <a:p>
                    <a:r>
                      <a:rPr lang="en-NZ" sz="1200" b="0" i="0" u="none" strike="noStrike" baseline="0">
                        <a:solidFill>
                          <a:srgbClr val="000000"/>
                        </a:solidFill>
                        <a:latin typeface="Arial"/>
                        <a:cs typeface="Arial"/>
                      </a:rPr>
                      <a:t>SO</a:t>
                    </a:r>
                    <a:r>
                      <a:rPr lang="en-NZ" sz="1200" b="0" i="0" u="none" strike="noStrike" baseline="-25000">
                        <a:solidFill>
                          <a:srgbClr val="000000"/>
                        </a:solidFill>
                        <a:latin typeface="Arial"/>
                        <a:cs typeface="Arial"/>
                      </a:rPr>
                      <a:t>4</a:t>
                    </a:r>
                  </a:p>
                </c:rich>
              </c:tx>
              <c:dLblPos val="r"/>
              <c:showLegendKey val="0"/>
              <c:showVal val="0"/>
              <c:showCatName val="0"/>
              <c:showSerName val="0"/>
              <c:showPercent val="0"/>
              <c:showBubbleSize val="0"/>
            </c:dLbl>
            <c:dLbl>
              <c:idx val="2"/>
              <c:layout>
                <c:manualLayout>
                  <c:x val="-1.6509623311514503E-2"/>
                  <c:y val="1.4333877107123459E-2"/>
                </c:manualLayout>
              </c:layout>
              <c:tx>
                <c:rich>
                  <a:bodyPr/>
                  <a:lstStyle/>
                  <a:p>
                    <a:r>
                      <a:rPr lang="en-US"/>
                      <a:t>Cl</a:t>
                    </a:r>
                  </a:p>
                </c:rich>
              </c:tx>
              <c:dLblPos val="r"/>
              <c:showLegendKey val="0"/>
              <c:showVal val="0"/>
              <c:showCatName val="0"/>
              <c:showSerName val="0"/>
              <c:showPercent val="0"/>
              <c:showBubbleSize val="0"/>
            </c:dLbl>
            <c:dLbl>
              <c:idx val="3"/>
              <c:layout>
                <c:manualLayout>
                  <c:x val="-3.0378960676530346E-2"/>
                  <c:y val="1.4333877107123459E-2"/>
                </c:manualLayout>
              </c:layout>
              <c:tx>
                <c:rich>
                  <a:bodyPr/>
                  <a:lstStyle/>
                  <a:p>
                    <a:r>
                      <a:rPr lang="en-NZ" sz="1200" b="0" i="0" u="none" strike="noStrike" baseline="0">
                        <a:solidFill>
                          <a:srgbClr val="000000"/>
                        </a:solidFill>
                        <a:latin typeface="Arial"/>
                        <a:cs typeface="Arial"/>
                      </a:rPr>
                      <a:t>HCO</a:t>
                    </a:r>
                    <a:r>
                      <a:rPr lang="en-NZ" sz="1200" b="0" i="0" u="none" strike="noStrike" baseline="-25000">
                        <a:solidFill>
                          <a:srgbClr val="000000"/>
                        </a:solidFill>
                        <a:latin typeface="Arial"/>
                        <a:cs typeface="Arial"/>
                      </a:rPr>
                      <a:t>3</a:t>
                    </a:r>
                  </a:p>
                </c:rich>
              </c:tx>
              <c:dLblPos val="r"/>
              <c:showLegendKey val="0"/>
              <c:showVal val="0"/>
              <c:showCatName val="0"/>
              <c:showSerName val="0"/>
              <c:showPercent val="0"/>
              <c:showBubbleSize val="0"/>
            </c:dLbl>
            <c:spPr>
              <a:noFill/>
              <a:ln w="25400">
                <a:noFill/>
              </a:ln>
            </c:spPr>
            <c:txPr>
              <a:bodyPr/>
              <a:lstStyle/>
              <a:p>
                <a:pPr algn="ctr" rtl="0">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xVal>
            <c:numRef>
              <c:f>Tgrid!$A$46:$A$49</c:f>
              <c:numCache>
                <c:formatCode>General</c:formatCode>
                <c:ptCount val="4"/>
                <c:pt idx="0">
                  <c:v>1.3547</c:v>
                </c:pt>
                <c:pt idx="1">
                  <c:v>1.9319999999999999</c:v>
                </c:pt>
                <c:pt idx="2">
                  <c:v>2.5090000000000003</c:v>
                </c:pt>
                <c:pt idx="3">
                  <c:v>1.3547</c:v>
                </c:pt>
              </c:numCache>
            </c:numRef>
          </c:xVal>
          <c:yVal>
            <c:numRef>
              <c:f>Tgrid!$B$46:$B$49</c:f>
              <c:numCache>
                <c:formatCode>General</c:formatCode>
                <c:ptCount val="4"/>
                <c:pt idx="0">
                  <c:v>0</c:v>
                </c:pt>
                <c:pt idx="1">
                  <c:v>1</c:v>
                </c:pt>
                <c:pt idx="2">
                  <c:v>0</c:v>
                </c:pt>
                <c:pt idx="3">
                  <c:v>0</c:v>
                </c:pt>
              </c:numCache>
            </c:numRef>
          </c:yVal>
          <c:smooth val="0"/>
        </c:ser>
        <c:ser>
          <c:idx val="9"/>
          <c:order val="9"/>
          <c:tx>
            <c:v>Tri cations grid</c:v>
          </c:tx>
          <c:spPr>
            <a:ln w="3175">
              <a:solidFill>
                <a:srgbClr val="808080"/>
              </a:solidFill>
              <a:prstDash val="solid"/>
            </a:ln>
          </c:spPr>
          <c:marker>
            <c:symbol val="none"/>
          </c:marker>
          <c:dLbls>
            <c:dLbl>
              <c:idx val="0"/>
              <c:delete val="1"/>
            </c:dLbl>
            <c:dLbl>
              <c:idx val="1"/>
              <c:layout>
                <c:manualLayout>
                  <c:x val="-4.2996845150183221E-3"/>
                  <c:y val="-2.1070506480327818E-2"/>
                </c:manualLayout>
              </c:layout>
              <c:tx>
                <c:rich>
                  <a:bodyPr/>
                  <a:lstStyle/>
                  <a:p>
                    <a:r>
                      <a:rPr lang="en-US"/>
                      <a:t>80%</a:t>
                    </a:r>
                  </a:p>
                </c:rich>
              </c:tx>
              <c:dLblPos val="r"/>
              <c:showLegendKey val="0"/>
              <c:showVal val="0"/>
              <c:showCatName val="0"/>
              <c:showSerName val="0"/>
              <c:showPercent val="0"/>
              <c:showBubbleSize val="0"/>
            </c:dLbl>
            <c:dLbl>
              <c:idx val="2"/>
              <c:layout>
                <c:manualLayout>
                  <c:x val="-7.5867875006189692E-3"/>
                  <c:y val="-2.3653389166484712E-2"/>
                </c:manualLayout>
              </c:layout>
              <c:tx>
                <c:rich>
                  <a:bodyPr/>
                  <a:lstStyle/>
                  <a:p>
                    <a:r>
                      <a:rPr lang="en-US"/>
                      <a:t>60%</a:t>
                    </a:r>
                  </a:p>
                </c:rich>
              </c:tx>
              <c:dLblPos val="r"/>
              <c:showLegendKey val="0"/>
              <c:showVal val="0"/>
              <c:showCatName val="0"/>
              <c:showSerName val="0"/>
              <c:showPercent val="0"/>
              <c:showBubbleSize val="0"/>
            </c:dLbl>
            <c:dLbl>
              <c:idx val="3"/>
              <c:delete val="1"/>
            </c:dLbl>
            <c:dLbl>
              <c:idx val="4"/>
              <c:delete val="1"/>
            </c:dLbl>
            <c:dLbl>
              <c:idx val="5"/>
              <c:layout>
                <c:manualLayout>
                  <c:x val="-9.7638960501746121E-3"/>
                  <c:y val="-2.2973629112021665E-2"/>
                </c:manualLayout>
              </c:layout>
              <c:tx>
                <c:rich>
                  <a:bodyPr/>
                  <a:lstStyle/>
                  <a:p>
                    <a:r>
                      <a:rPr lang="en-US"/>
                      <a:t>40%</a:t>
                    </a:r>
                  </a:p>
                </c:rich>
              </c:tx>
              <c:dLblPos val="r"/>
              <c:showLegendKey val="0"/>
              <c:showVal val="0"/>
              <c:showCatName val="0"/>
              <c:showSerName val="0"/>
              <c:showPercent val="0"/>
              <c:showBubbleSize val="0"/>
            </c:dLbl>
            <c:dLbl>
              <c:idx val="6"/>
              <c:layout>
                <c:manualLayout>
                  <c:x val="-7.5016094686276855E-3"/>
                  <c:y val="-2.0662547687248737E-2"/>
                </c:manualLayout>
              </c:layout>
              <c:tx>
                <c:rich>
                  <a:bodyPr/>
                  <a:lstStyle/>
                  <a:p>
                    <a:r>
                      <a:rPr lang="en-US"/>
                      <a:t>20%</a:t>
                    </a:r>
                  </a:p>
                </c:rich>
              </c:tx>
              <c:dLblPos val="r"/>
              <c:showLegendKey val="0"/>
              <c:showVal val="0"/>
              <c:showCatName val="0"/>
              <c:showSerName val="0"/>
              <c:showPercent val="0"/>
              <c:showBubbleSize val="0"/>
            </c:dLbl>
            <c:dLbl>
              <c:idx val="7"/>
              <c:delete val="1"/>
            </c:dLbl>
            <c:spPr>
              <a:noFill/>
              <a:ln w="25400">
                <a:noFill/>
              </a:ln>
            </c:spPr>
            <c:txPr>
              <a:bodyPr rot="-3600000" vert="horz"/>
              <a:lstStyle/>
              <a:p>
                <a:pPr algn="ctr" rtl="0">
                  <a:defRPr sz="800" b="0" i="0" u="none" strike="noStrike" baseline="0">
                    <a:solidFill>
                      <a:srgbClr val="808080"/>
                    </a:solidFill>
                    <a:latin typeface="Arial"/>
                    <a:ea typeface="Arial"/>
                    <a:cs typeface="Arial"/>
                  </a:defRPr>
                </a:pPr>
                <a:endParaRPr lang="en-US"/>
              </a:p>
            </c:txPr>
            <c:dLblPos val="r"/>
            <c:showLegendKey val="0"/>
            <c:showVal val="1"/>
            <c:showCatName val="0"/>
            <c:showSerName val="0"/>
            <c:showPercent val="0"/>
            <c:showBubbleSize val="0"/>
            <c:showLeaderLines val="0"/>
          </c:dLbls>
          <c:xVal>
            <c:numRef>
              <c:f>Tgrid!$F$58:$F$65</c:f>
              <c:numCache>
                <c:formatCode>_(* #,##0.00_);_(* \(#,##0.00\);_(* "-"??_);_(@_)</c:formatCode>
                <c:ptCount val="8"/>
                <c:pt idx="0">
                  <c:v>0.79288000000000014</c:v>
                </c:pt>
                <c:pt idx="1">
                  <c:v>1.3702800000000002</c:v>
                </c:pt>
                <c:pt idx="2">
                  <c:v>1.4857600000000002</c:v>
                </c:pt>
                <c:pt idx="3">
                  <c:v>0.90835999999999995</c:v>
                </c:pt>
                <c:pt idx="4">
                  <c:v>1.0238400000000001</c:v>
                </c:pt>
                <c:pt idx="5">
                  <c:v>1.6012400000000002</c:v>
                </c:pt>
                <c:pt idx="6">
                  <c:v>1.71672</c:v>
                </c:pt>
                <c:pt idx="7">
                  <c:v>1.1393200000000001</c:v>
                </c:pt>
              </c:numCache>
            </c:numRef>
          </c:xVal>
          <c:yVal>
            <c:numRef>
              <c:f>Tgrid!$G$58:$G$65</c:f>
              <c:numCache>
                <c:formatCode>_(* #,##0.00_);_(* \(#,##0.00\);_(* "-"??_);_(@_)</c:formatCode>
                <c:ptCount val="8"/>
                <c:pt idx="0">
                  <c:v>0.97320000000000007</c:v>
                </c:pt>
                <c:pt idx="1">
                  <c:v>1.9732000000000001</c:v>
                </c:pt>
                <c:pt idx="2">
                  <c:v>1.7732000000000001</c:v>
                </c:pt>
                <c:pt idx="3">
                  <c:v>0.77320000000000011</c:v>
                </c:pt>
                <c:pt idx="4">
                  <c:v>0.57319999999999993</c:v>
                </c:pt>
                <c:pt idx="5">
                  <c:v>1.5731999999999999</c:v>
                </c:pt>
                <c:pt idx="6">
                  <c:v>1.3732</c:v>
                </c:pt>
                <c:pt idx="7">
                  <c:v>0.37319999999999998</c:v>
                </c:pt>
              </c:numCache>
            </c:numRef>
          </c:yVal>
          <c:smooth val="0"/>
        </c:ser>
        <c:ser>
          <c:idx val="10"/>
          <c:order val="10"/>
          <c:tx>
            <c:v>Tri anions grid</c:v>
          </c:tx>
          <c:spPr>
            <a:ln w="3175">
              <a:solidFill>
                <a:srgbClr val="808080"/>
              </a:solidFill>
              <a:prstDash val="solid"/>
            </a:ln>
          </c:spPr>
          <c:marker>
            <c:symbol val="none"/>
          </c:marker>
          <c:dLbls>
            <c:dLbl>
              <c:idx val="0"/>
              <c:layout>
                <c:manualLayout>
                  <c:x val="-3.5461560645651792E-2"/>
                  <c:y val="-2.270182785063778E-2"/>
                </c:manualLayout>
              </c:layout>
              <c:tx>
                <c:rich>
                  <a:bodyPr rot="3600000" vert="horz"/>
                  <a:lstStyle/>
                  <a:p>
                    <a:pPr algn="ctr" rtl="0">
                      <a:defRPr sz="800" b="0" i="0" u="none" strike="noStrike" baseline="0">
                        <a:solidFill>
                          <a:srgbClr val="808080"/>
                        </a:solidFill>
                        <a:latin typeface="Arial"/>
                        <a:ea typeface="Arial"/>
                        <a:cs typeface="Arial"/>
                      </a:defRPr>
                    </a:pPr>
                    <a:r>
                      <a:rPr lang="en-US"/>
                      <a:t>80%</a:t>
                    </a:r>
                  </a:p>
                </c:rich>
              </c:tx>
              <c:spPr>
                <a:noFill/>
                <a:ln w="25400">
                  <a:noFill/>
                </a:ln>
              </c:spPr>
              <c:dLblPos val="r"/>
              <c:showLegendKey val="0"/>
              <c:showVal val="0"/>
              <c:showCatName val="0"/>
              <c:showSerName val="0"/>
              <c:showPercent val="0"/>
              <c:showBubbleSize val="0"/>
            </c:dLbl>
            <c:dLbl>
              <c:idx val="1"/>
              <c:delete val="1"/>
            </c:dLbl>
            <c:dLbl>
              <c:idx val="2"/>
              <c:delete val="1"/>
            </c:dLbl>
            <c:dLbl>
              <c:idx val="3"/>
              <c:layout>
                <c:manualLayout>
                  <c:x val="-3.4394213486910137E-2"/>
                  <c:y val="-2.3653389166484712E-2"/>
                </c:manualLayout>
              </c:layout>
              <c:tx>
                <c:rich>
                  <a:bodyPr rot="3600000" vert="horz"/>
                  <a:lstStyle/>
                  <a:p>
                    <a:pPr algn="ctr" rtl="0">
                      <a:defRPr sz="800" b="0" i="0" u="none" strike="noStrike" baseline="0">
                        <a:solidFill>
                          <a:srgbClr val="808080"/>
                        </a:solidFill>
                        <a:latin typeface="Arial"/>
                        <a:ea typeface="Arial"/>
                        <a:cs typeface="Arial"/>
                      </a:defRPr>
                    </a:pPr>
                    <a:r>
                      <a:rPr lang="en-US"/>
                      <a:t>60%</a:t>
                    </a:r>
                  </a:p>
                </c:rich>
              </c:tx>
              <c:spPr>
                <a:noFill/>
                <a:ln w="25400">
                  <a:noFill/>
                </a:ln>
              </c:spPr>
              <c:dLblPos val="r"/>
              <c:showLegendKey val="0"/>
              <c:showVal val="0"/>
              <c:showCatName val="0"/>
              <c:showSerName val="0"/>
              <c:showPercent val="0"/>
              <c:showBubbleSize val="0"/>
            </c:dLbl>
            <c:dLbl>
              <c:idx val="4"/>
              <c:layout>
                <c:manualLayout>
                  <c:x val="-3.5546738677643096E-2"/>
                  <c:y val="-2.2973629112021665E-2"/>
                </c:manualLayout>
              </c:layout>
              <c:tx>
                <c:rich>
                  <a:bodyPr rot="3600000" vert="horz"/>
                  <a:lstStyle/>
                  <a:p>
                    <a:pPr algn="ctr" rtl="0">
                      <a:defRPr sz="800" b="0" i="0" u="none" strike="noStrike" baseline="0">
                        <a:solidFill>
                          <a:srgbClr val="808080"/>
                        </a:solidFill>
                        <a:latin typeface="Arial"/>
                        <a:ea typeface="Arial"/>
                        <a:cs typeface="Arial"/>
                      </a:defRPr>
                    </a:pPr>
                    <a:r>
                      <a:rPr lang="en-US"/>
                      <a:t>40%</a:t>
                    </a:r>
                  </a:p>
                </c:rich>
              </c:tx>
              <c:spPr>
                <a:noFill/>
                <a:ln w="25400">
                  <a:noFill/>
                </a:ln>
              </c:spPr>
              <c:dLblPos val="r"/>
              <c:showLegendKey val="0"/>
              <c:showVal val="0"/>
              <c:showCatName val="0"/>
              <c:showSerName val="0"/>
              <c:showPercent val="0"/>
              <c:showBubbleSize val="0"/>
            </c:dLbl>
            <c:dLbl>
              <c:idx val="5"/>
              <c:delete val="1"/>
            </c:dLbl>
            <c:dLbl>
              <c:idx val="6"/>
              <c:delete val="1"/>
            </c:dLbl>
            <c:dLbl>
              <c:idx val="7"/>
              <c:layout>
                <c:manualLayout>
                  <c:x val="-3.4479508041516997E-2"/>
                  <c:y val="-2.2293869057558632E-2"/>
                </c:manualLayout>
              </c:layout>
              <c:tx>
                <c:rich>
                  <a:bodyPr rot="3600000" vert="horz"/>
                  <a:lstStyle/>
                  <a:p>
                    <a:pPr algn="ctr" rtl="0">
                      <a:defRPr sz="800" b="0" i="0" u="none" strike="noStrike" baseline="0">
                        <a:solidFill>
                          <a:srgbClr val="808080"/>
                        </a:solidFill>
                        <a:latin typeface="Arial"/>
                        <a:ea typeface="Arial"/>
                        <a:cs typeface="Arial"/>
                      </a:defRPr>
                    </a:pPr>
                    <a:r>
                      <a:rPr lang="en-US"/>
                      <a:t>20%</a:t>
                    </a:r>
                  </a:p>
                </c:rich>
              </c:tx>
              <c:spPr>
                <a:noFill/>
                <a:ln w="25400">
                  <a:noFill/>
                </a:ln>
              </c:spPr>
              <c:dLblPos val="r"/>
              <c:showLegendKey val="0"/>
              <c:showVal val="0"/>
              <c:showCatName val="0"/>
              <c:showSerName val="0"/>
              <c:showPercent val="0"/>
              <c:showBubbleSize val="0"/>
            </c:dLbl>
            <c:numFmt formatCode="0%" sourceLinked="0"/>
            <c:spPr>
              <a:noFill/>
              <a:ln w="25400">
                <a:noFill/>
              </a:ln>
            </c:spPr>
            <c:txPr>
              <a:bodyPr rot="3600000" vert="horz"/>
              <a:lstStyle/>
              <a:p>
                <a:pPr algn="ctr" rtl="0">
                  <a:defRPr sz="800" b="0" i="0" u="none" strike="noStrike" baseline="0">
                    <a:solidFill>
                      <a:srgbClr val="808080"/>
                    </a:solidFill>
                    <a:latin typeface="Arial"/>
                    <a:ea typeface="Arial"/>
                    <a:cs typeface="Arial"/>
                  </a:defRPr>
                </a:pPr>
                <a:endParaRPr lang="en-US"/>
              </a:p>
            </c:txPr>
            <c:dLblPos val="l"/>
            <c:showLegendKey val="0"/>
            <c:showVal val="1"/>
            <c:showCatName val="0"/>
            <c:showSerName val="0"/>
            <c:showPercent val="0"/>
            <c:showBubbleSize val="0"/>
            <c:showLeaderLines val="0"/>
          </c:dLbls>
          <c:xVal>
            <c:numRef>
              <c:f>Tgrid!$K$58:$K$65</c:f>
              <c:numCache>
                <c:formatCode>_(* #,##0.00_);_(* \(#,##0.00\);_(* "-"??_);_(@_)</c:formatCode>
                <c:ptCount val="8"/>
                <c:pt idx="0">
                  <c:v>1.1393200000000001</c:v>
                </c:pt>
                <c:pt idx="1">
                  <c:v>1.71672</c:v>
                </c:pt>
                <c:pt idx="2">
                  <c:v>1.6012400000000002</c:v>
                </c:pt>
                <c:pt idx="3">
                  <c:v>1.0238400000000001</c:v>
                </c:pt>
                <c:pt idx="4">
                  <c:v>0.90835999999999995</c:v>
                </c:pt>
                <c:pt idx="5">
                  <c:v>1.4857600000000002</c:v>
                </c:pt>
                <c:pt idx="6">
                  <c:v>1.3702800000000002</c:v>
                </c:pt>
                <c:pt idx="7">
                  <c:v>0.79288000000000003</c:v>
                </c:pt>
              </c:numCache>
            </c:numRef>
          </c:xVal>
          <c:yVal>
            <c:numRef>
              <c:f>Tgrid!$L$58:$L$65</c:f>
              <c:numCache>
                <c:formatCode>_(* #,##0.00_);_(* \(#,##0.00\);_(* "-"??_);_(@_)</c:formatCode>
                <c:ptCount val="8"/>
                <c:pt idx="0">
                  <c:v>1.9732000000000001</c:v>
                </c:pt>
                <c:pt idx="1">
                  <c:v>0.97320000000000007</c:v>
                </c:pt>
                <c:pt idx="2">
                  <c:v>0.7732</c:v>
                </c:pt>
                <c:pt idx="3">
                  <c:v>1.7732000000000001</c:v>
                </c:pt>
                <c:pt idx="4">
                  <c:v>1.5731999999999999</c:v>
                </c:pt>
                <c:pt idx="5">
                  <c:v>0.57320000000000004</c:v>
                </c:pt>
                <c:pt idx="6">
                  <c:v>0.37319999999999998</c:v>
                </c:pt>
                <c:pt idx="7">
                  <c:v>1.3732</c:v>
                </c:pt>
              </c:numCache>
            </c:numRef>
          </c:yVal>
          <c:smooth val="0"/>
        </c:ser>
        <c:ser>
          <c:idx val="16"/>
          <c:order val="11"/>
          <c:tx>
            <c:strRef>
              <c:f>Input!$AH$8</c:f>
              <c:strCache>
                <c:ptCount val="1"/>
                <c:pt idx="0">
                  <c:v>0</c:v>
                </c:pt>
              </c:strCache>
            </c:strRef>
          </c:tx>
          <c:spPr>
            <a:ln w="28575">
              <a:noFill/>
            </a:ln>
          </c:spPr>
          <c:marker>
            <c:symbol val="triangle"/>
            <c:size val="7"/>
            <c:spPr>
              <a:noFill/>
            </c:spPr>
          </c:marker>
          <c:xVal>
            <c:numRef>
              <c:f>(Input!$DJ$8,Input!$DO$8,Input!$DS$8)</c:f>
              <c:numCache>
                <c:formatCode>0.000</c:formatCode>
                <c:ptCount val="3"/>
                <c:pt idx="0">
                  <c:v>-1</c:v>
                </c:pt>
                <c:pt idx="1">
                  <c:v>-1</c:v>
                </c:pt>
                <c:pt idx="2">
                  <c:v>-1</c:v>
                </c:pt>
              </c:numCache>
            </c:numRef>
          </c:xVal>
          <c:yVal>
            <c:numRef>
              <c:f>(Input!$DK$8,Input!$DP$8,Input!$DT$8)</c:f>
              <c:numCache>
                <c:formatCode>0.000</c:formatCode>
                <c:ptCount val="3"/>
                <c:pt idx="0">
                  <c:v>-1</c:v>
                </c:pt>
                <c:pt idx="1">
                  <c:v>-1</c:v>
                </c:pt>
                <c:pt idx="2">
                  <c:v>-1</c:v>
                </c:pt>
              </c:numCache>
            </c:numRef>
          </c:yVal>
          <c:smooth val="0"/>
        </c:ser>
        <c:ser>
          <c:idx val="11"/>
          <c:order val="12"/>
          <c:tx>
            <c:strRef>
              <c:f>Input!$AH$9</c:f>
              <c:strCache>
                <c:ptCount val="1"/>
                <c:pt idx="0">
                  <c:v>0</c:v>
                </c:pt>
              </c:strCache>
            </c:strRef>
          </c:tx>
          <c:spPr>
            <a:ln>
              <a:noFill/>
            </a:ln>
          </c:spPr>
          <c:marker>
            <c:symbol val="triangle"/>
            <c:size val="7"/>
            <c:spPr>
              <a:noFill/>
            </c:spPr>
          </c:marker>
          <c:xVal>
            <c:numRef>
              <c:f>(Input!$DJ$9,Input!$DO$9,Input!$DS$9)</c:f>
              <c:numCache>
                <c:formatCode>0.000</c:formatCode>
                <c:ptCount val="3"/>
                <c:pt idx="0">
                  <c:v>-1</c:v>
                </c:pt>
                <c:pt idx="1">
                  <c:v>-1</c:v>
                </c:pt>
                <c:pt idx="2">
                  <c:v>-1</c:v>
                </c:pt>
              </c:numCache>
            </c:numRef>
          </c:xVal>
          <c:yVal>
            <c:numRef>
              <c:f>(Input!$DK$9,Input!$DP$9,Input!$DT$9)</c:f>
              <c:numCache>
                <c:formatCode>0.000</c:formatCode>
                <c:ptCount val="3"/>
                <c:pt idx="0">
                  <c:v>-1</c:v>
                </c:pt>
                <c:pt idx="1">
                  <c:v>-1</c:v>
                </c:pt>
                <c:pt idx="2">
                  <c:v>-1</c:v>
                </c:pt>
              </c:numCache>
            </c:numRef>
          </c:yVal>
          <c:smooth val="0"/>
        </c:ser>
        <c:ser>
          <c:idx val="12"/>
          <c:order val="13"/>
          <c:tx>
            <c:strRef>
              <c:f>Input!$AH$10</c:f>
              <c:strCache>
                <c:ptCount val="1"/>
                <c:pt idx="0">
                  <c:v>0</c:v>
                </c:pt>
              </c:strCache>
            </c:strRef>
          </c:tx>
          <c:spPr>
            <a:ln>
              <a:noFill/>
            </a:ln>
          </c:spPr>
          <c:marker>
            <c:symbol val="triangle"/>
            <c:size val="7"/>
            <c:spPr>
              <a:noFill/>
            </c:spPr>
          </c:marker>
          <c:xVal>
            <c:numRef>
              <c:f>(Input!$DJ$10,Input!$DO$10,Input!$DS$10)</c:f>
              <c:numCache>
                <c:formatCode>0.000</c:formatCode>
                <c:ptCount val="3"/>
                <c:pt idx="0">
                  <c:v>-1</c:v>
                </c:pt>
                <c:pt idx="1">
                  <c:v>-1</c:v>
                </c:pt>
                <c:pt idx="2">
                  <c:v>-1</c:v>
                </c:pt>
              </c:numCache>
            </c:numRef>
          </c:xVal>
          <c:yVal>
            <c:numRef>
              <c:f>(Input!$DK$10,Input!$DP$10,Input!$DT$10)</c:f>
              <c:numCache>
                <c:formatCode>0.000</c:formatCode>
                <c:ptCount val="3"/>
                <c:pt idx="0">
                  <c:v>-1</c:v>
                </c:pt>
                <c:pt idx="1">
                  <c:v>-1</c:v>
                </c:pt>
                <c:pt idx="2">
                  <c:v>-1</c:v>
                </c:pt>
              </c:numCache>
            </c:numRef>
          </c:yVal>
          <c:smooth val="0"/>
        </c:ser>
        <c:ser>
          <c:idx val="13"/>
          <c:order val="14"/>
          <c:tx>
            <c:strRef>
              <c:f>Input!$AH$11</c:f>
              <c:strCache>
                <c:ptCount val="1"/>
                <c:pt idx="0">
                  <c:v>0</c:v>
                </c:pt>
              </c:strCache>
            </c:strRef>
          </c:tx>
          <c:spPr>
            <a:ln>
              <a:noFill/>
            </a:ln>
          </c:spPr>
          <c:marker>
            <c:symbol val="triangle"/>
            <c:size val="7"/>
            <c:spPr>
              <a:noFill/>
            </c:spPr>
          </c:marker>
          <c:xVal>
            <c:numRef>
              <c:f>(Input!$DJ$11,Input!$DO$11,Input!$DS$11)</c:f>
              <c:numCache>
                <c:formatCode>0.000</c:formatCode>
                <c:ptCount val="3"/>
                <c:pt idx="0">
                  <c:v>-1</c:v>
                </c:pt>
                <c:pt idx="1">
                  <c:v>-1</c:v>
                </c:pt>
                <c:pt idx="2">
                  <c:v>-1</c:v>
                </c:pt>
              </c:numCache>
            </c:numRef>
          </c:xVal>
          <c:yVal>
            <c:numRef>
              <c:f>(Input!$DK$11,Input!$DP$11,Input!$DT$11)</c:f>
              <c:numCache>
                <c:formatCode>0.000</c:formatCode>
                <c:ptCount val="3"/>
                <c:pt idx="0">
                  <c:v>-1</c:v>
                </c:pt>
                <c:pt idx="1">
                  <c:v>-1</c:v>
                </c:pt>
                <c:pt idx="2">
                  <c:v>-1</c:v>
                </c:pt>
              </c:numCache>
            </c:numRef>
          </c:yVal>
          <c:smooth val="0"/>
        </c:ser>
        <c:ser>
          <c:idx val="14"/>
          <c:order val="15"/>
          <c:tx>
            <c:strRef>
              <c:f>Input!$AH$12</c:f>
              <c:strCache>
                <c:ptCount val="1"/>
                <c:pt idx="0">
                  <c:v>0</c:v>
                </c:pt>
              </c:strCache>
            </c:strRef>
          </c:tx>
          <c:spPr>
            <a:ln>
              <a:noFill/>
            </a:ln>
          </c:spPr>
          <c:marker>
            <c:symbol val="triangle"/>
            <c:size val="7"/>
            <c:spPr>
              <a:noFill/>
            </c:spPr>
          </c:marker>
          <c:xVal>
            <c:numRef>
              <c:f>(Input!$DJ$12,Input!$DO$12,Input!$DS$12)</c:f>
              <c:numCache>
                <c:formatCode>0.000</c:formatCode>
                <c:ptCount val="3"/>
                <c:pt idx="0">
                  <c:v>-1</c:v>
                </c:pt>
                <c:pt idx="1">
                  <c:v>-1</c:v>
                </c:pt>
                <c:pt idx="2">
                  <c:v>-1</c:v>
                </c:pt>
              </c:numCache>
            </c:numRef>
          </c:xVal>
          <c:yVal>
            <c:numRef>
              <c:f>(Input!$DK$12,Input!$DP$12,Input!$DT$12)</c:f>
              <c:numCache>
                <c:formatCode>0.000</c:formatCode>
                <c:ptCount val="3"/>
                <c:pt idx="0">
                  <c:v>-1</c:v>
                </c:pt>
                <c:pt idx="1">
                  <c:v>-1</c:v>
                </c:pt>
                <c:pt idx="2">
                  <c:v>-1</c:v>
                </c:pt>
              </c:numCache>
            </c:numRef>
          </c:yVal>
          <c:smooth val="0"/>
        </c:ser>
        <c:ser>
          <c:idx val="15"/>
          <c:order val="16"/>
          <c:tx>
            <c:strRef>
              <c:f>Input!$AH$13</c:f>
              <c:strCache>
                <c:ptCount val="1"/>
                <c:pt idx="0">
                  <c:v>0</c:v>
                </c:pt>
              </c:strCache>
            </c:strRef>
          </c:tx>
          <c:spPr>
            <a:ln>
              <a:noFill/>
            </a:ln>
          </c:spPr>
          <c:marker>
            <c:symbol val="diamond"/>
            <c:size val="7"/>
            <c:spPr>
              <a:noFill/>
            </c:spPr>
          </c:marker>
          <c:xVal>
            <c:numRef>
              <c:f>(Input!$DJ$13,Input!$DO$13,Input!$DS$13)</c:f>
              <c:numCache>
                <c:formatCode>0.000</c:formatCode>
                <c:ptCount val="3"/>
                <c:pt idx="0">
                  <c:v>-1</c:v>
                </c:pt>
                <c:pt idx="1">
                  <c:v>-1</c:v>
                </c:pt>
                <c:pt idx="2">
                  <c:v>-1</c:v>
                </c:pt>
              </c:numCache>
            </c:numRef>
          </c:xVal>
          <c:yVal>
            <c:numRef>
              <c:f>(Input!$DK$13,Input!$DP$13,Input!$DT$13)</c:f>
              <c:numCache>
                <c:formatCode>0.000</c:formatCode>
                <c:ptCount val="3"/>
                <c:pt idx="0">
                  <c:v>-1</c:v>
                </c:pt>
                <c:pt idx="1">
                  <c:v>-1</c:v>
                </c:pt>
                <c:pt idx="2">
                  <c:v>-1</c:v>
                </c:pt>
              </c:numCache>
            </c:numRef>
          </c:yVal>
          <c:smooth val="0"/>
        </c:ser>
        <c:ser>
          <c:idx val="17"/>
          <c:order val="17"/>
          <c:tx>
            <c:strRef>
              <c:f>Input!$AH$14</c:f>
              <c:strCache>
                <c:ptCount val="1"/>
                <c:pt idx="0">
                  <c:v>0</c:v>
                </c:pt>
              </c:strCache>
            </c:strRef>
          </c:tx>
          <c:spPr>
            <a:ln>
              <a:noFill/>
            </a:ln>
          </c:spPr>
          <c:marker>
            <c:symbol val="diamond"/>
            <c:size val="7"/>
            <c:spPr>
              <a:noFill/>
            </c:spPr>
          </c:marker>
          <c:xVal>
            <c:numRef>
              <c:f>(Input!$DJ$14,Input!$DO$14,Input!$DS$14)</c:f>
              <c:numCache>
                <c:formatCode>0.000</c:formatCode>
                <c:ptCount val="3"/>
                <c:pt idx="0">
                  <c:v>-1</c:v>
                </c:pt>
                <c:pt idx="1">
                  <c:v>-1</c:v>
                </c:pt>
                <c:pt idx="2">
                  <c:v>-1</c:v>
                </c:pt>
              </c:numCache>
            </c:numRef>
          </c:xVal>
          <c:yVal>
            <c:numRef>
              <c:f>(Input!$DK$14,Input!$DP$14,Input!$DT$14)</c:f>
              <c:numCache>
                <c:formatCode>0.000</c:formatCode>
                <c:ptCount val="3"/>
                <c:pt idx="0">
                  <c:v>-1</c:v>
                </c:pt>
                <c:pt idx="1">
                  <c:v>-1</c:v>
                </c:pt>
                <c:pt idx="2">
                  <c:v>-1</c:v>
                </c:pt>
              </c:numCache>
            </c:numRef>
          </c:yVal>
          <c:smooth val="0"/>
        </c:ser>
        <c:ser>
          <c:idx val="23"/>
          <c:order val="18"/>
          <c:tx>
            <c:strRef>
              <c:f>Input!$AH$15</c:f>
              <c:strCache>
                <c:ptCount val="1"/>
                <c:pt idx="0">
                  <c:v>0</c:v>
                </c:pt>
              </c:strCache>
            </c:strRef>
          </c:tx>
          <c:spPr>
            <a:ln>
              <a:noFill/>
            </a:ln>
          </c:spPr>
          <c:marker>
            <c:symbol val="diamond"/>
            <c:size val="7"/>
            <c:spPr>
              <a:noFill/>
            </c:spPr>
          </c:marker>
          <c:xVal>
            <c:numRef>
              <c:f>(Input!$DJ$15,Input!$DO$15,Input!$DS$15)</c:f>
              <c:numCache>
                <c:formatCode>0.000</c:formatCode>
                <c:ptCount val="3"/>
                <c:pt idx="0">
                  <c:v>-1</c:v>
                </c:pt>
                <c:pt idx="1">
                  <c:v>-1</c:v>
                </c:pt>
                <c:pt idx="2">
                  <c:v>-1</c:v>
                </c:pt>
              </c:numCache>
            </c:numRef>
          </c:xVal>
          <c:yVal>
            <c:numRef>
              <c:f>(Input!$DK$15,Input!$DP$15,Input!$DT$15)</c:f>
              <c:numCache>
                <c:formatCode>0.000</c:formatCode>
                <c:ptCount val="3"/>
                <c:pt idx="0">
                  <c:v>-1</c:v>
                </c:pt>
                <c:pt idx="1">
                  <c:v>-1</c:v>
                </c:pt>
                <c:pt idx="2">
                  <c:v>-1</c:v>
                </c:pt>
              </c:numCache>
            </c:numRef>
          </c:yVal>
          <c:smooth val="0"/>
        </c:ser>
        <c:ser>
          <c:idx val="22"/>
          <c:order val="19"/>
          <c:tx>
            <c:strRef>
              <c:f>Input!$AH$16</c:f>
              <c:strCache>
                <c:ptCount val="1"/>
                <c:pt idx="0">
                  <c:v>0</c:v>
                </c:pt>
              </c:strCache>
            </c:strRef>
          </c:tx>
          <c:spPr>
            <a:ln>
              <a:noFill/>
            </a:ln>
          </c:spPr>
          <c:marker>
            <c:symbol val="diamond"/>
            <c:size val="7"/>
            <c:spPr>
              <a:noFill/>
            </c:spPr>
          </c:marker>
          <c:xVal>
            <c:numRef>
              <c:f>(Input!$DJ$16,Input!$DO$16,Input!$DS$16)</c:f>
              <c:numCache>
                <c:formatCode>0.000</c:formatCode>
                <c:ptCount val="3"/>
                <c:pt idx="0">
                  <c:v>-1</c:v>
                </c:pt>
                <c:pt idx="1">
                  <c:v>-1</c:v>
                </c:pt>
                <c:pt idx="2">
                  <c:v>-1</c:v>
                </c:pt>
              </c:numCache>
            </c:numRef>
          </c:xVal>
          <c:yVal>
            <c:numRef>
              <c:f>(Input!$DK$16,Input!$DP$16,Input!$DT$16)</c:f>
              <c:numCache>
                <c:formatCode>0.000</c:formatCode>
                <c:ptCount val="3"/>
                <c:pt idx="0">
                  <c:v>-1</c:v>
                </c:pt>
                <c:pt idx="1">
                  <c:v>-1</c:v>
                </c:pt>
                <c:pt idx="2">
                  <c:v>-1</c:v>
                </c:pt>
              </c:numCache>
            </c:numRef>
          </c:yVal>
          <c:smooth val="0"/>
        </c:ser>
        <c:ser>
          <c:idx val="21"/>
          <c:order val="20"/>
          <c:tx>
            <c:strRef>
              <c:f>Input!$AH$17</c:f>
              <c:strCache>
                <c:ptCount val="1"/>
                <c:pt idx="0">
                  <c:v>0</c:v>
                </c:pt>
              </c:strCache>
            </c:strRef>
          </c:tx>
          <c:spPr>
            <a:ln>
              <a:noFill/>
            </a:ln>
          </c:spPr>
          <c:marker>
            <c:symbol val="diamond"/>
            <c:size val="7"/>
            <c:spPr>
              <a:noFill/>
            </c:spPr>
          </c:marker>
          <c:xVal>
            <c:numRef>
              <c:f>(Input!$DJ$17,Input!$DO$17,Input!$DS$17)</c:f>
              <c:numCache>
                <c:formatCode>0.000</c:formatCode>
                <c:ptCount val="3"/>
                <c:pt idx="0">
                  <c:v>-1</c:v>
                </c:pt>
                <c:pt idx="1">
                  <c:v>-1</c:v>
                </c:pt>
                <c:pt idx="2">
                  <c:v>-1</c:v>
                </c:pt>
              </c:numCache>
            </c:numRef>
          </c:xVal>
          <c:yVal>
            <c:numRef>
              <c:f>(Input!$DK$17,Input!$DP$17,Input!$DT$17)</c:f>
              <c:numCache>
                <c:formatCode>0.000</c:formatCode>
                <c:ptCount val="3"/>
                <c:pt idx="0">
                  <c:v>-1</c:v>
                </c:pt>
                <c:pt idx="1">
                  <c:v>-1</c:v>
                </c:pt>
                <c:pt idx="2">
                  <c:v>-1</c:v>
                </c:pt>
              </c:numCache>
            </c:numRef>
          </c:yVal>
          <c:smooth val="0"/>
        </c:ser>
        <c:ser>
          <c:idx val="20"/>
          <c:order val="21"/>
          <c:tx>
            <c:strRef>
              <c:f>Input!$AH$18</c:f>
              <c:strCache>
                <c:ptCount val="1"/>
                <c:pt idx="0">
                  <c:v>0</c:v>
                </c:pt>
              </c:strCache>
            </c:strRef>
          </c:tx>
          <c:spPr>
            <a:ln>
              <a:noFill/>
            </a:ln>
          </c:spPr>
          <c:marker>
            <c:symbol val="square"/>
            <c:size val="7"/>
            <c:spPr>
              <a:noFill/>
            </c:spPr>
          </c:marker>
          <c:xVal>
            <c:numRef>
              <c:f>(Input!$DJ$18,Input!$DO$18,Input!$DS$18)</c:f>
              <c:numCache>
                <c:formatCode>0.000</c:formatCode>
                <c:ptCount val="3"/>
                <c:pt idx="0">
                  <c:v>-1</c:v>
                </c:pt>
                <c:pt idx="1">
                  <c:v>-1</c:v>
                </c:pt>
                <c:pt idx="2">
                  <c:v>-1</c:v>
                </c:pt>
              </c:numCache>
            </c:numRef>
          </c:xVal>
          <c:yVal>
            <c:numRef>
              <c:f>(Input!$DK$18,Input!$DP$18,Input!$DT$18)</c:f>
              <c:numCache>
                <c:formatCode>0.000</c:formatCode>
                <c:ptCount val="3"/>
                <c:pt idx="0">
                  <c:v>-1</c:v>
                </c:pt>
                <c:pt idx="1">
                  <c:v>-1</c:v>
                </c:pt>
                <c:pt idx="2">
                  <c:v>-1</c:v>
                </c:pt>
              </c:numCache>
            </c:numRef>
          </c:yVal>
          <c:smooth val="0"/>
        </c:ser>
        <c:ser>
          <c:idx val="19"/>
          <c:order val="22"/>
          <c:tx>
            <c:strRef>
              <c:f>Input!$AH$19</c:f>
              <c:strCache>
                <c:ptCount val="1"/>
                <c:pt idx="0">
                  <c:v>0</c:v>
                </c:pt>
              </c:strCache>
            </c:strRef>
          </c:tx>
          <c:spPr>
            <a:ln>
              <a:noFill/>
            </a:ln>
          </c:spPr>
          <c:marker>
            <c:symbol val="square"/>
            <c:size val="7"/>
            <c:spPr>
              <a:noFill/>
            </c:spPr>
          </c:marker>
          <c:xVal>
            <c:numRef>
              <c:f>(Input!$DJ$19,Input!$DO$19,Input!$DS$19)</c:f>
              <c:numCache>
                <c:formatCode>0.000</c:formatCode>
                <c:ptCount val="3"/>
                <c:pt idx="0">
                  <c:v>-1</c:v>
                </c:pt>
                <c:pt idx="1">
                  <c:v>-1</c:v>
                </c:pt>
                <c:pt idx="2">
                  <c:v>-1</c:v>
                </c:pt>
              </c:numCache>
            </c:numRef>
          </c:xVal>
          <c:yVal>
            <c:numRef>
              <c:f>(Input!$DK$19,Input!$DP$19,Input!$DT$19)</c:f>
              <c:numCache>
                <c:formatCode>0.000</c:formatCode>
                <c:ptCount val="3"/>
                <c:pt idx="0">
                  <c:v>-1</c:v>
                </c:pt>
                <c:pt idx="1">
                  <c:v>-1</c:v>
                </c:pt>
                <c:pt idx="2">
                  <c:v>-1</c:v>
                </c:pt>
              </c:numCache>
            </c:numRef>
          </c:yVal>
          <c:smooth val="0"/>
        </c:ser>
        <c:ser>
          <c:idx val="32"/>
          <c:order val="23"/>
          <c:tx>
            <c:strRef>
              <c:f>Input!$AH$20</c:f>
              <c:strCache>
                <c:ptCount val="1"/>
                <c:pt idx="0">
                  <c:v>0</c:v>
                </c:pt>
              </c:strCache>
            </c:strRef>
          </c:tx>
          <c:spPr>
            <a:ln>
              <a:noFill/>
            </a:ln>
          </c:spPr>
          <c:marker>
            <c:symbol val="square"/>
            <c:size val="7"/>
            <c:spPr>
              <a:noFill/>
            </c:spPr>
          </c:marker>
          <c:xVal>
            <c:numRef>
              <c:f>(Input!$DJ$20,Input!$DO$20,Input!$DS$20)</c:f>
              <c:numCache>
                <c:formatCode>0.000</c:formatCode>
                <c:ptCount val="3"/>
                <c:pt idx="0">
                  <c:v>-1</c:v>
                </c:pt>
                <c:pt idx="1">
                  <c:v>-1</c:v>
                </c:pt>
                <c:pt idx="2">
                  <c:v>-1</c:v>
                </c:pt>
              </c:numCache>
            </c:numRef>
          </c:xVal>
          <c:yVal>
            <c:numRef>
              <c:f>(Input!$DK$20,Input!$DP$20,Input!$DT$20)</c:f>
              <c:numCache>
                <c:formatCode>0.000</c:formatCode>
                <c:ptCount val="3"/>
                <c:pt idx="0">
                  <c:v>-1</c:v>
                </c:pt>
                <c:pt idx="1">
                  <c:v>-1</c:v>
                </c:pt>
                <c:pt idx="2">
                  <c:v>-1</c:v>
                </c:pt>
              </c:numCache>
            </c:numRef>
          </c:yVal>
          <c:smooth val="0"/>
        </c:ser>
        <c:ser>
          <c:idx val="31"/>
          <c:order val="24"/>
          <c:tx>
            <c:strRef>
              <c:f>Input!$AH$21</c:f>
              <c:strCache>
                <c:ptCount val="1"/>
                <c:pt idx="0">
                  <c:v>0</c:v>
                </c:pt>
              </c:strCache>
            </c:strRef>
          </c:tx>
          <c:spPr>
            <a:ln>
              <a:noFill/>
            </a:ln>
          </c:spPr>
          <c:marker>
            <c:symbol val="square"/>
            <c:size val="7"/>
            <c:spPr>
              <a:noFill/>
            </c:spPr>
          </c:marker>
          <c:xVal>
            <c:numRef>
              <c:f>(Input!$DJ$21,Input!$DO$21,Input!$DS$21)</c:f>
              <c:numCache>
                <c:formatCode>0.000</c:formatCode>
                <c:ptCount val="3"/>
                <c:pt idx="0">
                  <c:v>-1</c:v>
                </c:pt>
                <c:pt idx="1">
                  <c:v>-1</c:v>
                </c:pt>
                <c:pt idx="2">
                  <c:v>-1</c:v>
                </c:pt>
              </c:numCache>
            </c:numRef>
          </c:xVal>
          <c:yVal>
            <c:numRef>
              <c:f>(Input!$DK$21,Input!$DP$21,Input!$DT$21)</c:f>
              <c:numCache>
                <c:formatCode>0.000</c:formatCode>
                <c:ptCount val="3"/>
                <c:pt idx="0">
                  <c:v>-1</c:v>
                </c:pt>
                <c:pt idx="1">
                  <c:v>-1</c:v>
                </c:pt>
                <c:pt idx="2">
                  <c:v>-1</c:v>
                </c:pt>
              </c:numCache>
            </c:numRef>
          </c:yVal>
          <c:smooth val="0"/>
        </c:ser>
        <c:ser>
          <c:idx val="30"/>
          <c:order val="25"/>
          <c:tx>
            <c:strRef>
              <c:f>Input!$AH$22</c:f>
              <c:strCache>
                <c:ptCount val="1"/>
                <c:pt idx="0">
                  <c:v>0</c:v>
                </c:pt>
              </c:strCache>
            </c:strRef>
          </c:tx>
          <c:spPr>
            <a:ln>
              <a:noFill/>
            </a:ln>
          </c:spPr>
          <c:marker>
            <c:symbol val="square"/>
            <c:size val="7"/>
            <c:spPr>
              <a:noFill/>
            </c:spPr>
          </c:marker>
          <c:xVal>
            <c:numRef>
              <c:f>(Input!$DJ$22,Input!$DO$22,Input!$DS$22)</c:f>
              <c:numCache>
                <c:formatCode>0.000</c:formatCode>
                <c:ptCount val="3"/>
                <c:pt idx="0">
                  <c:v>-1</c:v>
                </c:pt>
                <c:pt idx="1">
                  <c:v>-1</c:v>
                </c:pt>
                <c:pt idx="2">
                  <c:v>-1</c:v>
                </c:pt>
              </c:numCache>
            </c:numRef>
          </c:xVal>
          <c:yVal>
            <c:numRef>
              <c:f>(Input!$DK$22,Input!$DP$22,Input!$DT$22)</c:f>
              <c:numCache>
                <c:formatCode>0.000</c:formatCode>
                <c:ptCount val="3"/>
                <c:pt idx="0">
                  <c:v>-1</c:v>
                </c:pt>
                <c:pt idx="1">
                  <c:v>-1</c:v>
                </c:pt>
                <c:pt idx="2">
                  <c:v>-1</c:v>
                </c:pt>
              </c:numCache>
            </c:numRef>
          </c:yVal>
          <c:smooth val="0"/>
        </c:ser>
        <c:ser>
          <c:idx val="29"/>
          <c:order val="26"/>
          <c:tx>
            <c:strRef>
              <c:f>Input!$AH$23</c:f>
              <c:strCache>
                <c:ptCount val="1"/>
                <c:pt idx="0">
                  <c:v>0</c:v>
                </c:pt>
              </c:strCache>
            </c:strRef>
          </c:tx>
          <c:spPr>
            <a:ln>
              <a:noFill/>
            </a:ln>
          </c:spPr>
          <c:marker>
            <c:symbol val="circle"/>
            <c:size val="7"/>
            <c:spPr>
              <a:noFill/>
            </c:spPr>
          </c:marker>
          <c:xVal>
            <c:numRef>
              <c:f>(Input!$DJ$23,Input!$DO$23,Input!$DS$23)</c:f>
              <c:numCache>
                <c:formatCode>0.000</c:formatCode>
                <c:ptCount val="3"/>
                <c:pt idx="0">
                  <c:v>-1</c:v>
                </c:pt>
                <c:pt idx="1">
                  <c:v>-1</c:v>
                </c:pt>
                <c:pt idx="2">
                  <c:v>-1</c:v>
                </c:pt>
              </c:numCache>
            </c:numRef>
          </c:xVal>
          <c:yVal>
            <c:numRef>
              <c:f>(Input!$DK$23,Input!$DP$23,Input!$DT$23)</c:f>
              <c:numCache>
                <c:formatCode>0.000</c:formatCode>
                <c:ptCount val="3"/>
                <c:pt idx="0">
                  <c:v>-1</c:v>
                </c:pt>
                <c:pt idx="1">
                  <c:v>-1</c:v>
                </c:pt>
                <c:pt idx="2">
                  <c:v>-1</c:v>
                </c:pt>
              </c:numCache>
            </c:numRef>
          </c:yVal>
          <c:smooth val="0"/>
        </c:ser>
        <c:ser>
          <c:idx val="28"/>
          <c:order val="27"/>
          <c:tx>
            <c:strRef>
              <c:f>Input!$AH$24</c:f>
              <c:strCache>
                <c:ptCount val="1"/>
                <c:pt idx="0">
                  <c:v>0</c:v>
                </c:pt>
              </c:strCache>
            </c:strRef>
          </c:tx>
          <c:spPr>
            <a:ln>
              <a:noFill/>
            </a:ln>
          </c:spPr>
          <c:marker>
            <c:symbol val="circle"/>
            <c:size val="7"/>
            <c:spPr>
              <a:noFill/>
            </c:spPr>
          </c:marker>
          <c:xVal>
            <c:numRef>
              <c:f>(Input!$DJ$24,Input!$DO$24,Input!$DS$24)</c:f>
              <c:numCache>
                <c:formatCode>0.000</c:formatCode>
                <c:ptCount val="3"/>
                <c:pt idx="0">
                  <c:v>-1</c:v>
                </c:pt>
                <c:pt idx="1">
                  <c:v>-1</c:v>
                </c:pt>
                <c:pt idx="2">
                  <c:v>-1</c:v>
                </c:pt>
              </c:numCache>
            </c:numRef>
          </c:xVal>
          <c:yVal>
            <c:numRef>
              <c:f>(Input!$DK$24,Input!$DP$24,Input!$DT$24)</c:f>
              <c:numCache>
                <c:formatCode>0.000</c:formatCode>
                <c:ptCount val="3"/>
                <c:pt idx="0">
                  <c:v>-1</c:v>
                </c:pt>
                <c:pt idx="1">
                  <c:v>-1</c:v>
                </c:pt>
                <c:pt idx="2">
                  <c:v>-1</c:v>
                </c:pt>
              </c:numCache>
            </c:numRef>
          </c:yVal>
          <c:smooth val="0"/>
        </c:ser>
        <c:ser>
          <c:idx val="27"/>
          <c:order val="28"/>
          <c:tx>
            <c:strRef>
              <c:f>Input!$AH$25</c:f>
              <c:strCache>
                <c:ptCount val="1"/>
                <c:pt idx="0">
                  <c:v>0</c:v>
                </c:pt>
              </c:strCache>
            </c:strRef>
          </c:tx>
          <c:spPr>
            <a:ln>
              <a:noFill/>
            </a:ln>
          </c:spPr>
          <c:marker>
            <c:symbol val="circle"/>
            <c:size val="7"/>
            <c:spPr>
              <a:noFill/>
            </c:spPr>
          </c:marker>
          <c:xVal>
            <c:numRef>
              <c:f>(Input!$DJ$25,Input!$DO$25,Input!$DS$25)</c:f>
              <c:numCache>
                <c:formatCode>0.000</c:formatCode>
                <c:ptCount val="3"/>
                <c:pt idx="0">
                  <c:v>-1</c:v>
                </c:pt>
                <c:pt idx="1">
                  <c:v>-1</c:v>
                </c:pt>
                <c:pt idx="2">
                  <c:v>-1</c:v>
                </c:pt>
              </c:numCache>
            </c:numRef>
          </c:xVal>
          <c:yVal>
            <c:numRef>
              <c:f>(Input!$DK$25,Input!$DP$25,Input!$DT$25)</c:f>
              <c:numCache>
                <c:formatCode>0.000</c:formatCode>
                <c:ptCount val="3"/>
                <c:pt idx="0">
                  <c:v>-1</c:v>
                </c:pt>
                <c:pt idx="1">
                  <c:v>-1</c:v>
                </c:pt>
                <c:pt idx="2">
                  <c:v>-1</c:v>
                </c:pt>
              </c:numCache>
            </c:numRef>
          </c:yVal>
          <c:smooth val="0"/>
        </c:ser>
        <c:ser>
          <c:idx val="26"/>
          <c:order val="29"/>
          <c:tx>
            <c:strRef>
              <c:f>Input!$AH$26</c:f>
              <c:strCache>
                <c:ptCount val="1"/>
                <c:pt idx="0">
                  <c:v>0</c:v>
                </c:pt>
              </c:strCache>
            </c:strRef>
          </c:tx>
          <c:spPr>
            <a:ln>
              <a:noFill/>
            </a:ln>
          </c:spPr>
          <c:marker>
            <c:symbol val="circle"/>
            <c:size val="7"/>
            <c:spPr>
              <a:noFill/>
            </c:spPr>
          </c:marker>
          <c:xVal>
            <c:numRef>
              <c:f>(Input!$DJ$26,Input!$DO$26,Input!$DS$26)</c:f>
              <c:numCache>
                <c:formatCode>0.000</c:formatCode>
                <c:ptCount val="3"/>
                <c:pt idx="0">
                  <c:v>-1</c:v>
                </c:pt>
                <c:pt idx="1">
                  <c:v>-1</c:v>
                </c:pt>
                <c:pt idx="2">
                  <c:v>-1</c:v>
                </c:pt>
              </c:numCache>
            </c:numRef>
          </c:xVal>
          <c:yVal>
            <c:numRef>
              <c:f>(Input!$DK$26,Input!$DP$26,Input!$DT$26)</c:f>
              <c:numCache>
                <c:formatCode>0.000</c:formatCode>
                <c:ptCount val="3"/>
                <c:pt idx="0">
                  <c:v>-1</c:v>
                </c:pt>
                <c:pt idx="1">
                  <c:v>-1</c:v>
                </c:pt>
                <c:pt idx="2">
                  <c:v>-1</c:v>
                </c:pt>
              </c:numCache>
            </c:numRef>
          </c:yVal>
          <c:smooth val="0"/>
        </c:ser>
        <c:ser>
          <c:idx val="25"/>
          <c:order val="30"/>
          <c:tx>
            <c:strRef>
              <c:f>Input!$AH$27</c:f>
              <c:strCache>
                <c:ptCount val="1"/>
                <c:pt idx="0">
                  <c:v>0</c:v>
                </c:pt>
              </c:strCache>
            </c:strRef>
          </c:tx>
          <c:spPr>
            <a:ln>
              <a:noFill/>
            </a:ln>
          </c:spPr>
          <c:marker>
            <c:symbol val="circle"/>
            <c:size val="7"/>
            <c:spPr>
              <a:noFill/>
            </c:spPr>
          </c:marker>
          <c:xVal>
            <c:numRef>
              <c:f>(Input!$DJ$27,Input!$DO$27,Input!$DS$27)</c:f>
              <c:numCache>
                <c:formatCode>0.000</c:formatCode>
                <c:ptCount val="3"/>
                <c:pt idx="0">
                  <c:v>-1</c:v>
                </c:pt>
                <c:pt idx="1">
                  <c:v>-1</c:v>
                </c:pt>
                <c:pt idx="2">
                  <c:v>-1</c:v>
                </c:pt>
              </c:numCache>
            </c:numRef>
          </c:xVal>
          <c:yVal>
            <c:numRef>
              <c:f>(Input!$DK$27,Input!$DP$27,Input!$DT$27)</c:f>
              <c:numCache>
                <c:formatCode>0.000</c:formatCode>
                <c:ptCount val="3"/>
                <c:pt idx="0">
                  <c:v>-1</c:v>
                </c:pt>
                <c:pt idx="1">
                  <c:v>-1</c:v>
                </c:pt>
                <c:pt idx="2">
                  <c:v>-1</c:v>
                </c:pt>
              </c:numCache>
            </c:numRef>
          </c:yVal>
          <c:smooth val="0"/>
        </c:ser>
        <c:ser>
          <c:idx val="24"/>
          <c:order val="31"/>
          <c:tx>
            <c:strRef>
              <c:f>Input!$AH$28</c:f>
              <c:strCache>
                <c:ptCount val="1"/>
                <c:pt idx="0">
                  <c:v>0</c:v>
                </c:pt>
              </c:strCache>
            </c:strRef>
          </c:tx>
          <c:spPr>
            <a:ln>
              <a:noFill/>
            </a:ln>
          </c:spPr>
          <c:marker>
            <c:symbol val="plus"/>
            <c:size val="7"/>
            <c:spPr>
              <a:noFill/>
            </c:spPr>
          </c:marker>
          <c:xVal>
            <c:numRef>
              <c:f>(Input!$DJ$28,Input!$DO$28,Input!$DS$28)</c:f>
              <c:numCache>
                <c:formatCode>0.000</c:formatCode>
                <c:ptCount val="3"/>
                <c:pt idx="0">
                  <c:v>-1</c:v>
                </c:pt>
                <c:pt idx="1">
                  <c:v>-1</c:v>
                </c:pt>
                <c:pt idx="2">
                  <c:v>-1</c:v>
                </c:pt>
              </c:numCache>
            </c:numRef>
          </c:xVal>
          <c:yVal>
            <c:numRef>
              <c:f>(Input!$DK$28,Input!$DP$28,Input!$DT$28)</c:f>
              <c:numCache>
                <c:formatCode>0.000</c:formatCode>
                <c:ptCount val="3"/>
                <c:pt idx="0">
                  <c:v>-1</c:v>
                </c:pt>
                <c:pt idx="1">
                  <c:v>-1</c:v>
                </c:pt>
                <c:pt idx="2">
                  <c:v>-1</c:v>
                </c:pt>
              </c:numCache>
            </c:numRef>
          </c:yVal>
          <c:smooth val="0"/>
        </c:ser>
        <c:ser>
          <c:idx val="18"/>
          <c:order val="32"/>
          <c:tx>
            <c:strRef>
              <c:f>Input!$AH$29</c:f>
              <c:strCache>
                <c:ptCount val="1"/>
                <c:pt idx="0">
                  <c:v>0</c:v>
                </c:pt>
              </c:strCache>
            </c:strRef>
          </c:tx>
          <c:spPr>
            <a:ln>
              <a:noFill/>
            </a:ln>
          </c:spPr>
          <c:marker>
            <c:symbol val="plus"/>
            <c:size val="7"/>
            <c:spPr>
              <a:noFill/>
            </c:spPr>
          </c:marker>
          <c:xVal>
            <c:numRef>
              <c:f>(Input!$DJ$29,Input!$DO$29,Input!$DS$29)</c:f>
              <c:numCache>
                <c:formatCode>0.000</c:formatCode>
                <c:ptCount val="3"/>
                <c:pt idx="0">
                  <c:v>-1</c:v>
                </c:pt>
                <c:pt idx="1">
                  <c:v>-1</c:v>
                </c:pt>
                <c:pt idx="2">
                  <c:v>-1</c:v>
                </c:pt>
              </c:numCache>
            </c:numRef>
          </c:xVal>
          <c:yVal>
            <c:numRef>
              <c:f>(Input!$DK$29,Input!$DP$29,Input!$DT$29)</c:f>
              <c:numCache>
                <c:formatCode>0.000</c:formatCode>
                <c:ptCount val="3"/>
                <c:pt idx="0">
                  <c:v>-1</c:v>
                </c:pt>
                <c:pt idx="1">
                  <c:v>-1</c:v>
                </c:pt>
                <c:pt idx="2">
                  <c:v>-1</c:v>
                </c:pt>
              </c:numCache>
            </c:numRef>
          </c:yVal>
          <c:smooth val="0"/>
        </c:ser>
        <c:ser>
          <c:idx val="39"/>
          <c:order val="33"/>
          <c:tx>
            <c:strRef>
              <c:f>Input!$AH$30</c:f>
              <c:strCache>
                <c:ptCount val="1"/>
                <c:pt idx="0">
                  <c:v>0</c:v>
                </c:pt>
              </c:strCache>
            </c:strRef>
          </c:tx>
          <c:spPr>
            <a:ln>
              <a:noFill/>
            </a:ln>
          </c:spPr>
          <c:marker>
            <c:symbol val="plus"/>
            <c:size val="7"/>
            <c:spPr>
              <a:noFill/>
            </c:spPr>
          </c:marker>
          <c:xVal>
            <c:numRef>
              <c:f>(Input!$DJ$30,Input!$DO$30,Input!$DS$30)</c:f>
              <c:numCache>
                <c:formatCode>0.000</c:formatCode>
                <c:ptCount val="3"/>
                <c:pt idx="0">
                  <c:v>-1</c:v>
                </c:pt>
                <c:pt idx="1">
                  <c:v>-1</c:v>
                </c:pt>
                <c:pt idx="2">
                  <c:v>-1</c:v>
                </c:pt>
              </c:numCache>
            </c:numRef>
          </c:xVal>
          <c:yVal>
            <c:numRef>
              <c:f>(Input!$DK$30,Input!$DP$30,Input!$DT$30)</c:f>
              <c:numCache>
                <c:formatCode>0.000</c:formatCode>
                <c:ptCount val="3"/>
                <c:pt idx="0">
                  <c:v>-1</c:v>
                </c:pt>
                <c:pt idx="1">
                  <c:v>-1</c:v>
                </c:pt>
                <c:pt idx="2">
                  <c:v>-1</c:v>
                </c:pt>
              </c:numCache>
            </c:numRef>
          </c:yVal>
          <c:smooth val="0"/>
        </c:ser>
        <c:ser>
          <c:idx val="38"/>
          <c:order val="34"/>
          <c:tx>
            <c:strRef>
              <c:f>Input!$AH$31</c:f>
              <c:strCache>
                <c:ptCount val="1"/>
                <c:pt idx="0">
                  <c:v>0</c:v>
                </c:pt>
              </c:strCache>
            </c:strRef>
          </c:tx>
          <c:spPr>
            <a:ln>
              <a:noFill/>
            </a:ln>
          </c:spPr>
          <c:marker>
            <c:symbol val="plus"/>
            <c:size val="7"/>
            <c:spPr>
              <a:noFill/>
            </c:spPr>
          </c:marker>
          <c:xVal>
            <c:numRef>
              <c:f>(Input!$DJ$31,Input!$DO$31,Input!$DS$31)</c:f>
              <c:numCache>
                <c:formatCode>0.000</c:formatCode>
                <c:ptCount val="3"/>
                <c:pt idx="0">
                  <c:v>-1</c:v>
                </c:pt>
                <c:pt idx="1">
                  <c:v>-1</c:v>
                </c:pt>
                <c:pt idx="2">
                  <c:v>-1</c:v>
                </c:pt>
              </c:numCache>
            </c:numRef>
          </c:xVal>
          <c:yVal>
            <c:numRef>
              <c:f>(Input!$DK$31,Input!$DP$31,Input!$DT$31)</c:f>
              <c:numCache>
                <c:formatCode>0.000</c:formatCode>
                <c:ptCount val="3"/>
                <c:pt idx="0">
                  <c:v>-1</c:v>
                </c:pt>
                <c:pt idx="1">
                  <c:v>-1</c:v>
                </c:pt>
                <c:pt idx="2">
                  <c:v>-1</c:v>
                </c:pt>
              </c:numCache>
            </c:numRef>
          </c:yVal>
          <c:smooth val="0"/>
        </c:ser>
        <c:ser>
          <c:idx val="37"/>
          <c:order val="35"/>
          <c:tx>
            <c:strRef>
              <c:f>Input!$AH$32</c:f>
              <c:strCache>
                <c:ptCount val="1"/>
                <c:pt idx="0">
                  <c:v>0</c:v>
                </c:pt>
              </c:strCache>
            </c:strRef>
          </c:tx>
          <c:spPr>
            <a:ln>
              <a:noFill/>
            </a:ln>
          </c:spPr>
          <c:marker>
            <c:symbol val="plus"/>
            <c:size val="7"/>
            <c:spPr>
              <a:noFill/>
            </c:spPr>
          </c:marker>
          <c:xVal>
            <c:numRef>
              <c:f>(Input!$DJ$32,Input!$DO$32,Input!$DS$32)</c:f>
              <c:numCache>
                <c:formatCode>0.000</c:formatCode>
                <c:ptCount val="3"/>
                <c:pt idx="0">
                  <c:v>-1</c:v>
                </c:pt>
                <c:pt idx="1">
                  <c:v>-1</c:v>
                </c:pt>
                <c:pt idx="2">
                  <c:v>-1</c:v>
                </c:pt>
              </c:numCache>
            </c:numRef>
          </c:xVal>
          <c:yVal>
            <c:numRef>
              <c:f>(Input!$DK$32,Input!$DP$32,Input!$DT$32)</c:f>
              <c:numCache>
                <c:formatCode>0.000</c:formatCode>
                <c:ptCount val="3"/>
                <c:pt idx="0">
                  <c:v>-1</c:v>
                </c:pt>
                <c:pt idx="1">
                  <c:v>-1</c:v>
                </c:pt>
                <c:pt idx="2">
                  <c:v>-1</c:v>
                </c:pt>
              </c:numCache>
            </c:numRef>
          </c:yVal>
          <c:smooth val="0"/>
        </c:ser>
        <c:ser>
          <c:idx val="36"/>
          <c:order val="36"/>
          <c:tx>
            <c:strRef>
              <c:f>Input!$AH$33</c:f>
              <c:strCache>
                <c:ptCount val="1"/>
                <c:pt idx="0">
                  <c:v>0</c:v>
                </c:pt>
              </c:strCache>
            </c:strRef>
          </c:tx>
          <c:spPr>
            <a:ln>
              <a:noFill/>
            </a:ln>
          </c:spPr>
          <c:marker>
            <c:symbol val="x"/>
            <c:size val="7"/>
            <c:spPr>
              <a:noFill/>
            </c:spPr>
          </c:marker>
          <c:xVal>
            <c:numRef>
              <c:f>(Input!$DJ$33,Input!$DO$33,Input!$DS$33)</c:f>
              <c:numCache>
                <c:formatCode>0.000</c:formatCode>
                <c:ptCount val="3"/>
                <c:pt idx="0">
                  <c:v>-1</c:v>
                </c:pt>
                <c:pt idx="1">
                  <c:v>-1</c:v>
                </c:pt>
                <c:pt idx="2">
                  <c:v>-1</c:v>
                </c:pt>
              </c:numCache>
            </c:numRef>
          </c:xVal>
          <c:yVal>
            <c:numRef>
              <c:f>(Input!$DK$33,Input!$DP$33,Input!$DT$33)</c:f>
              <c:numCache>
                <c:formatCode>0.000</c:formatCode>
                <c:ptCount val="3"/>
                <c:pt idx="0">
                  <c:v>-1</c:v>
                </c:pt>
                <c:pt idx="1">
                  <c:v>-1</c:v>
                </c:pt>
                <c:pt idx="2">
                  <c:v>-1</c:v>
                </c:pt>
              </c:numCache>
            </c:numRef>
          </c:yVal>
          <c:smooth val="0"/>
        </c:ser>
        <c:ser>
          <c:idx val="35"/>
          <c:order val="37"/>
          <c:tx>
            <c:strRef>
              <c:f>Input!$AH$34</c:f>
              <c:strCache>
                <c:ptCount val="1"/>
                <c:pt idx="0">
                  <c:v>0</c:v>
                </c:pt>
              </c:strCache>
            </c:strRef>
          </c:tx>
          <c:spPr>
            <a:ln>
              <a:noFill/>
            </a:ln>
          </c:spPr>
          <c:marker>
            <c:symbol val="x"/>
            <c:size val="7"/>
            <c:spPr>
              <a:noFill/>
            </c:spPr>
          </c:marker>
          <c:xVal>
            <c:numRef>
              <c:f>(Input!$DJ$34,Input!$DO$34,Input!$DS$34)</c:f>
              <c:numCache>
                <c:formatCode>0.000</c:formatCode>
                <c:ptCount val="3"/>
                <c:pt idx="0">
                  <c:v>-1</c:v>
                </c:pt>
                <c:pt idx="1">
                  <c:v>-1</c:v>
                </c:pt>
                <c:pt idx="2">
                  <c:v>-1</c:v>
                </c:pt>
              </c:numCache>
            </c:numRef>
          </c:xVal>
          <c:yVal>
            <c:numRef>
              <c:f>(Input!$DK$34,Input!$DP$34,Input!$DT$34)</c:f>
              <c:numCache>
                <c:formatCode>0.000</c:formatCode>
                <c:ptCount val="3"/>
                <c:pt idx="0">
                  <c:v>-1</c:v>
                </c:pt>
                <c:pt idx="1">
                  <c:v>-1</c:v>
                </c:pt>
                <c:pt idx="2">
                  <c:v>-1</c:v>
                </c:pt>
              </c:numCache>
            </c:numRef>
          </c:yVal>
          <c:smooth val="0"/>
        </c:ser>
        <c:ser>
          <c:idx val="34"/>
          <c:order val="38"/>
          <c:tx>
            <c:strRef>
              <c:f>Input!$AH$35</c:f>
              <c:strCache>
                <c:ptCount val="1"/>
                <c:pt idx="0">
                  <c:v>0</c:v>
                </c:pt>
              </c:strCache>
            </c:strRef>
          </c:tx>
          <c:spPr>
            <a:ln>
              <a:noFill/>
            </a:ln>
          </c:spPr>
          <c:marker>
            <c:symbol val="x"/>
            <c:size val="7"/>
            <c:spPr>
              <a:noFill/>
            </c:spPr>
          </c:marker>
          <c:xVal>
            <c:numRef>
              <c:f>(Input!$DJ$35,Input!$DO$35,Input!$DS$35)</c:f>
              <c:numCache>
                <c:formatCode>0.000</c:formatCode>
                <c:ptCount val="3"/>
                <c:pt idx="0">
                  <c:v>-1</c:v>
                </c:pt>
                <c:pt idx="1">
                  <c:v>-1</c:v>
                </c:pt>
                <c:pt idx="2">
                  <c:v>-1</c:v>
                </c:pt>
              </c:numCache>
            </c:numRef>
          </c:xVal>
          <c:yVal>
            <c:numRef>
              <c:f>(Input!$DK$35,Input!$DP$35,Input!$DT$35)</c:f>
              <c:numCache>
                <c:formatCode>0.000</c:formatCode>
                <c:ptCount val="3"/>
                <c:pt idx="0">
                  <c:v>-1</c:v>
                </c:pt>
                <c:pt idx="1">
                  <c:v>-1</c:v>
                </c:pt>
                <c:pt idx="2">
                  <c:v>-1</c:v>
                </c:pt>
              </c:numCache>
            </c:numRef>
          </c:yVal>
          <c:smooth val="0"/>
        </c:ser>
        <c:ser>
          <c:idx val="40"/>
          <c:order val="39"/>
          <c:tx>
            <c:strRef>
              <c:f>Input!$AH$37</c:f>
              <c:strCache>
                <c:ptCount val="1"/>
                <c:pt idx="0">
                  <c:v>0</c:v>
                </c:pt>
              </c:strCache>
            </c:strRef>
          </c:tx>
          <c:spPr>
            <a:ln>
              <a:noFill/>
            </a:ln>
          </c:spPr>
          <c:marker>
            <c:symbol val="x"/>
            <c:size val="7"/>
            <c:spPr>
              <a:noFill/>
            </c:spPr>
          </c:marker>
          <c:xVal>
            <c:numRef>
              <c:f>(Input!$DJ$37,Input!$DO$37,Input!$DS$37)</c:f>
              <c:numCache>
                <c:formatCode>General</c:formatCode>
                <c:ptCount val="3"/>
                <c:pt idx="0">
                  <c:v>0.98488021679155224</c:v>
                </c:pt>
                <c:pt idx="1">
                  <c:v>2.465938074676389</c:v>
                </c:pt>
                <c:pt idx="2">
                  <c:v>1.7472827549800316</c:v>
                </c:pt>
              </c:numCache>
            </c:numRef>
          </c:xVal>
          <c:yVal>
            <c:numRef>
              <c:f>(Input!$DK$37,Input!$DP$37,Input!$DT$37)</c:f>
              <c:numCache>
                <c:formatCode>General</c:formatCode>
                <c:ptCount val="3"/>
                <c:pt idx="0">
                  <c:v>0</c:v>
                </c:pt>
                <c:pt idx="1">
                  <c:v>7.5284817813287816E-2</c:v>
                </c:pt>
                <c:pt idx="2">
                  <c:v>1.3202683148942995</c:v>
                </c:pt>
              </c:numCache>
            </c:numRef>
          </c:yVal>
          <c:smooth val="0"/>
        </c:ser>
        <c:ser>
          <c:idx val="33"/>
          <c:order val="40"/>
          <c:tx>
            <c:strRef>
              <c:f>Input!$AH$36</c:f>
              <c:strCache>
                <c:ptCount val="1"/>
                <c:pt idx="0">
                  <c:v>0</c:v>
                </c:pt>
              </c:strCache>
            </c:strRef>
          </c:tx>
          <c:spPr>
            <a:ln>
              <a:noFill/>
            </a:ln>
          </c:spPr>
          <c:marker>
            <c:symbol val="x"/>
            <c:size val="7"/>
            <c:spPr>
              <a:noFill/>
            </c:spPr>
          </c:marker>
          <c:xVal>
            <c:numRef>
              <c:f>(Input!$DJ$36,Input!$DO$36,Input!$DS$36)</c:f>
              <c:numCache>
                <c:formatCode>0.000</c:formatCode>
                <c:ptCount val="3"/>
                <c:pt idx="0">
                  <c:v>-1</c:v>
                </c:pt>
                <c:pt idx="1">
                  <c:v>-1</c:v>
                </c:pt>
                <c:pt idx="2">
                  <c:v>-1</c:v>
                </c:pt>
              </c:numCache>
            </c:numRef>
          </c:xVal>
          <c:yVal>
            <c:numRef>
              <c:f>(Input!$DK$36,Input!$DP$36,Input!$DT$36)</c:f>
              <c:numCache>
                <c:formatCode>0.000</c:formatCode>
                <c:ptCount val="3"/>
                <c:pt idx="0">
                  <c:v>-1</c:v>
                </c:pt>
                <c:pt idx="1">
                  <c:v>-1</c:v>
                </c:pt>
                <c:pt idx="2">
                  <c:v>-1</c:v>
                </c:pt>
              </c:numCache>
            </c:numRef>
          </c:yVal>
          <c:smooth val="0"/>
        </c:ser>
        <c:dLbls>
          <c:showLegendKey val="0"/>
          <c:showVal val="0"/>
          <c:showCatName val="0"/>
          <c:showSerName val="0"/>
          <c:showPercent val="0"/>
          <c:showBubbleSize val="0"/>
        </c:dLbls>
        <c:axId val="114672768"/>
        <c:axId val="114674688"/>
      </c:scatterChart>
      <c:valAx>
        <c:axId val="114672768"/>
        <c:scaling>
          <c:orientation val="minMax"/>
          <c:max val="2.6"/>
          <c:min val="-0.1"/>
        </c:scaling>
        <c:delete val="0"/>
        <c:axPos val="b"/>
        <c:numFmt formatCode="General" sourceLinked="1"/>
        <c:majorTickMark val="none"/>
        <c:minorTickMark val="none"/>
        <c:tickLblPos val="none"/>
        <c:spPr>
          <a:ln w="9525">
            <a:noFill/>
          </a:ln>
        </c:spPr>
        <c:crossAx val="114674688"/>
        <c:crosses val="autoZero"/>
        <c:crossBetween val="midCat"/>
      </c:valAx>
      <c:valAx>
        <c:axId val="114674688"/>
        <c:scaling>
          <c:orientation val="minMax"/>
          <c:max val="2.2000000000000002"/>
          <c:min val="-0.2"/>
        </c:scaling>
        <c:delete val="0"/>
        <c:axPos val="l"/>
        <c:numFmt formatCode="General" sourceLinked="1"/>
        <c:majorTickMark val="none"/>
        <c:minorTickMark val="none"/>
        <c:tickLblPos val="none"/>
        <c:spPr>
          <a:ln w="9525">
            <a:noFill/>
          </a:ln>
        </c:spPr>
        <c:crossAx val="114672768"/>
        <c:crosses val="autoZero"/>
        <c:crossBetween val="midCat"/>
      </c:valAx>
      <c:spPr>
        <a:noFill/>
        <a:ln w="25400">
          <a:noFill/>
        </a:ln>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egendEntry>
        <c:idx val="6"/>
        <c:delete val="1"/>
      </c:legendEntry>
      <c:legendEntry>
        <c:idx val="7"/>
        <c:delete val="1"/>
      </c:legendEntry>
      <c:legendEntry>
        <c:idx val="8"/>
        <c:delete val="1"/>
      </c:legendEntry>
      <c:legendEntry>
        <c:idx val="9"/>
        <c:delete val="1"/>
      </c:legendEntry>
      <c:legendEntry>
        <c:idx val="10"/>
        <c:delete val="1"/>
      </c:legendEntry>
      <c:layout>
        <c:manualLayout>
          <c:xMode val="edge"/>
          <c:yMode val="edge"/>
          <c:x val="0.8279689234184241"/>
          <c:y val="6.8515497553017959E-2"/>
          <c:w val="7.5578199783850539E-2"/>
          <c:h val="0.6032720624440706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NZ"/>
              <a:t>Prospect Map</a:t>
            </a:r>
          </a:p>
        </c:rich>
      </c:tx>
      <c:layout>
        <c:manualLayout>
          <c:xMode val="edge"/>
          <c:yMode val="edge"/>
          <c:x val="0.39788199697428195"/>
          <c:y val="1.992966002344666E-2"/>
        </c:manualLayout>
      </c:layout>
      <c:overlay val="0"/>
      <c:spPr>
        <a:noFill/>
        <a:ln w="25400">
          <a:noFill/>
        </a:ln>
      </c:spPr>
    </c:title>
    <c:autoTitleDeleted val="0"/>
    <c:plotArea>
      <c:layout>
        <c:manualLayout>
          <c:layoutTarget val="inner"/>
          <c:xMode val="edge"/>
          <c:yMode val="edge"/>
          <c:x val="0.13074138047418823"/>
          <c:y val="9.8866744822196206E-2"/>
          <c:w val="0.81946545637922363"/>
          <c:h val="0.82024228214146155"/>
        </c:manualLayout>
      </c:layout>
      <c:scatterChart>
        <c:scatterStyle val="lineMarker"/>
        <c:varyColors val="0"/>
        <c:ser>
          <c:idx val="0"/>
          <c:order val="0"/>
          <c:tx>
            <c:v>LOCATIONS</c:v>
          </c:tx>
          <c:spPr>
            <a:ln w="28575">
              <a:noFill/>
            </a:ln>
          </c:spPr>
          <c:marker>
            <c:symbol val="diamond"/>
            <c:size val="5"/>
            <c:spPr>
              <a:solidFill>
                <a:srgbClr val="800080"/>
              </a:solidFill>
              <a:ln>
                <a:solidFill>
                  <a:srgbClr val="800080"/>
                </a:solidFill>
                <a:prstDash val="solid"/>
              </a:ln>
            </c:spPr>
          </c:marker>
          <c:dLbls>
            <c:dLbl>
              <c:idx val="0"/>
              <c:tx>
                <c:strRef>
                  <c:f>Input!$AH$8</c:f>
                  <c:strCache>
                    <c:ptCount val="1"/>
                    <c:pt idx="0">
                      <c:v>0</c:v>
                    </c:pt>
                  </c:strCache>
                </c:strRef>
              </c:tx>
              <c:spPr>
                <a:noFill/>
                <a:ln w="25400">
                  <a:noFill/>
                </a:ln>
              </c:spPr>
              <c:txPr>
                <a:bodyPr/>
                <a:lstStyle/>
                <a:p>
                  <a:pPr algn="r">
                    <a:defRPr sz="1000" b="0" i="0" u="none" strike="noStrike" baseline="0">
                      <a:solidFill>
                        <a:srgbClr val="000000"/>
                      </a:solidFill>
                      <a:latin typeface="Arial"/>
                      <a:ea typeface="Arial"/>
                      <a:cs typeface="Arial"/>
                    </a:defRPr>
                  </a:pPr>
                  <a:endParaRPr lang="en-US"/>
                </a:p>
              </c:txPr>
              <c:dLblPos val="r"/>
              <c:showLegendKey val="0"/>
              <c:showVal val="0"/>
              <c:showCatName val="0"/>
              <c:showSerName val="0"/>
              <c:showPercent val="0"/>
              <c:showBubbleSize val="0"/>
            </c:dLbl>
            <c:dLbl>
              <c:idx val="1"/>
              <c:tx>
                <c:strRef>
                  <c:f>Input!$AH$9</c:f>
                  <c:strCache>
                    <c:ptCount val="1"/>
                    <c:pt idx="0">
                      <c:v>0</c:v>
                    </c:pt>
                  </c:strCache>
                </c:strRef>
              </c:tx>
              <c:spPr>
                <a:noFill/>
                <a:ln w="25400">
                  <a:noFill/>
                </a:ln>
              </c:spPr>
              <c:txPr>
                <a:bodyPr/>
                <a:lstStyle/>
                <a:p>
                  <a:pPr algn="r">
                    <a:defRPr sz="1000" b="0" i="0" u="none" strike="noStrike" baseline="0">
                      <a:solidFill>
                        <a:srgbClr val="000000"/>
                      </a:solidFill>
                      <a:latin typeface="Arial"/>
                      <a:ea typeface="Arial"/>
                      <a:cs typeface="Arial"/>
                    </a:defRPr>
                  </a:pPr>
                  <a:endParaRPr lang="en-US"/>
                </a:p>
              </c:txPr>
              <c:dLblPos val="r"/>
              <c:showLegendKey val="0"/>
              <c:showVal val="0"/>
              <c:showCatName val="0"/>
              <c:showSerName val="0"/>
              <c:showPercent val="0"/>
              <c:showBubbleSize val="0"/>
            </c:dLbl>
            <c:dLbl>
              <c:idx val="2"/>
              <c:tx>
                <c:strRef>
                  <c:f>Input!$AH$10</c:f>
                  <c:strCache>
                    <c:ptCount val="1"/>
                    <c:pt idx="0">
                      <c:v>0</c:v>
                    </c:pt>
                  </c:strCache>
                </c:strRef>
              </c:tx>
              <c:spPr>
                <a:noFill/>
                <a:ln w="25400">
                  <a:noFill/>
                </a:ln>
              </c:spPr>
              <c:txPr>
                <a:bodyPr/>
                <a:lstStyle/>
                <a:p>
                  <a:pPr algn="r">
                    <a:defRPr sz="1000" b="0" i="0" u="none" strike="noStrike" baseline="0">
                      <a:solidFill>
                        <a:srgbClr val="000000"/>
                      </a:solidFill>
                      <a:latin typeface="Arial"/>
                      <a:ea typeface="Arial"/>
                      <a:cs typeface="Arial"/>
                    </a:defRPr>
                  </a:pPr>
                  <a:endParaRPr lang="en-US"/>
                </a:p>
              </c:txPr>
              <c:dLblPos val="r"/>
              <c:showLegendKey val="0"/>
              <c:showVal val="0"/>
              <c:showCatName val="0"/>
              <c:showSerName val="0"/>
              <c:showPercent val="0"/>
              <c:showBubbleSize val="0"/>
            </c:dLbl>
            <c:dLbl>
              <c:idx val="3"/>
              <c:tx>
                <c:strRef>
                  <c:f>Input!$AH$11</c:f>
                  <c:strCache>
                    <c:ptCount val="1"/>
                    <c:pt idx="0">
                      <c:v>0</c:v>
                    </c:pt>
                  </c:strCache>
                </c:strRef>
              </c:tx>
              <c:spPr>
                <a:noFill/>
                <a:ln w="25400">
                  <a:noFill/>
                </a:ln>
              </c:spPr>
              <c:txPr>
                <a:bodyPr/>
                <a:lstStyle/>
                <a:p>
                  <a:pPr algn="r">
                    <a:defRPr sz="1000" b="0" i="0" u="none" strike="noStrike" baseline="0">
                      <a:solidFill>
                        <a:srgbClr val="000000"/>
                      </a:solidFill>
                      <a:latin typeface="Arial"/>
                      <a:ea typeface="Arial"/>
                      <a:cs typeface="Arial"/>
                    </a:defRPr>
                  </a:pPr>
                  <a:endParaRPr lang="en-US"/>
                </a:p>
              </c:txPr>
              <c:dLblPos val="r"/>
              <c:showLegendKey val="0"/>
              <c:showVal val="0"/>
              <c:showCatName val="0"/>
              <c:showSerName val="0"/>
              <c:showPercent val="0"/>
              <c:showBubbleSize val="0"/>
            </c:dLbl>
            <c:dLbl>
              <c:idx val="4"/>
              <c:tx>
                <c:strRef>
                  <c:f>Input!$AH$12</c:f>
                  <c:strCache>
                    <c:ptCount val="1"/>
                    <c:pt idx="0">
                      <c:v>0</c:v>
                    </c:pt>
                  </c:strCache>
                </c:strRef>
              </c:tx>
              <c:spPr>
                <a:noFill/>
                <a:ln w="25400">
                  <a:noFill/>
                </a:ln>
              </c:spPr>
              <c:txPr>
                <a:bodyPr/>
                <a:lstStyle/>
                <a:p>
                  <a:pPr algn="r">
                    <a:defRPr sz="1000" b="0" i="0" u="none" strike="noStrike" baseline="0">
                      <a:solidFill>
                        <a:srgbClr val="000000"/>
                      </a:solidFill>
                      <a:latin typeface="Arial"/>
                      <a:ea typeface="Arial"/>
                      <a:cs typeface="Arial"/>
                    </a:defRPr>
                  </a:pPr>
                  <a:endParaRPr lang="en-US"/>
                </a:p>
              </c:txPr>
              <c:dLblPos val="r"/>
              <c:showLegendKey val="0"/>
              <c:showVal val="0"/>
              <c:showCatName val="0"/>
              <c:showSerName val="0"/>
              <c:showPercent val="0"/>
              <c:showBubbleSize val="0"/>
            </c:dLbl>
            <c:dLbl>
              <c:idx val="5"/>
              <c:tx>
                <c:strRef>
                  <c:f>Input!$AH$13</c:f>
                  <c:strCache>
                    <c:ptCount val="1"/>
                    <c:pt idx="0">
                      <c:v>0</c:v>
                    </c:pt>
                  </c:strCache>
                </c:strRef>
              </c:tx>
              <c:spPr>
                <a:noFill/>
                <a:ln w="25400">
                  <a:noFill/>
                </a:ln>
              </c:spPr>
              <c:txPr>
                <a:bodyPr/>
                <a:lstStyle/>
                <a:p>
                  <a:pPr algn="r">
                    <a:defRPr sz="1000" b="0" i="0" u="none" strike="noStrike" baseline="0">
                      <a:solidFill>
                        <a:srgbClr val="000000"/>
                      </a:solidFill>
                      <a:latin typeface="Arial"/>
                      <a:ea typeface="Arial"/>
                      <a:cs typeface="Arial"/>
                    </a:defRPr>
                  </a:pPr>
                  <a:endParaRPr lang="en-US"/>
                </a:p>
              </c:txPr>
              <c:dLblPos val="r"/>
              <c:showLegendKey val="0"/>
              <c:showVal val="0"/>
              <c:showCatName val="0"/>
              <c:showSerName val="0"/>
              <c:showPercent val="0"/>
              <c:showBubbleSize val="0"/>
            </c:dLbl>
            <c:dLbl>
              <c:idx val="6"/>
              <c:tx>
                <c:strRef>
                  <c:f>Input!$AH$14</c:f>
                  <c:strCache>
                    <c:ptCount val="1"/>
                    <c:pt idx="0">
                      <c:v>0</c:v>
                    </c:pt>
                  </c:strCache>
                </c:strRef>
              </c:tx>
              <c:spPr>
                <a:noFill/>
                <a:ln w="25400">
                  <a:noFill/>
                </a:ln>
              </c:spPr>
              <c:txPr>
                <a:bodyPr/>
                <a:lstStyle/>
                <a:p>
                  <a:pPr algn="r">
                    <a:defRPr sz="1000" b="0" i="0" u="none" strike="noStrike" baseline="0">
                      <a:solidFill>
                        <a:srgbClr val="000000"/>
                      </a:solidFill>
                      <a:latin typeface="Arial"/>
                      <a:ea typeface="Arial"/>
                      <a:cs typeface="Arial"/>
                    </a:defRPr>
                  </a:pPr>
                  <a:endParaRPr lang="en-US"/>
                </a:p>
              </c:txPr>
              <c:dLblPos val="r"/>
              <c:showLegendKey val="0"/>
              <c:showVal val="0"/>
              <c:showCatName val="0"/>
              <c:showSerName val="0"/>
              <c:showPercent val="0"/>
              <c:showBubbleSize val="0"/>
            </c:dLbl>
            <c:dLbl>
              <c:idx val="7"/>
              <c:tx>
                <c:strRef>
                  <c:f>Input!$AH$15</c:f>
                  <c:strCache>
                    <c:ptCount val="1"/>
                    <c:pt idx="0">
                      <c:v>0</c:v>
                    </c:pt>
                  </c:strCache>
                </c:strRef>
              </c:tx>
              <c:spPr>
                <a:noFill/>
                <a:ln w="25400">
                  <a:noFill/>
                </a:ln>
              </c:spPr>
              <c:txPr>
                <a:bodyPr/>
                <a:lstStyle/>
                <a:p>
                  <a:pPr algn="r">
                    <a:defRPr sz="1000" b="0" i="0" u="none" strike="noStrike" baseline="0">
                      <a:solidFill>
                        <a:srgbClr val="000000"/>
                      </a:solidFill>
                      <a:latin typeface="Arial"/>
                      <a:ea typeface="Arial"/>
                      <a:cs typeface="Arial"/>
                    </a:defRPr>
                  </a:pPr>
                  <a:endParaRPr lang="en-US"/>
                </a:p>
              </c:txPr>
              <c:dLblPos val="r"/>
              <c:showLegendKey val="0"/>
              <c:showVal val="0"/>
              <c:showCatName val="0"/>
              <c:showSerName val="0"/>
              <c:showPercent val="0"/>
              <c:showBubbleSize val="0"/>
            </c:dLbl>
            <c:dLbl>
              <c:idx val="8"/>
              <c:tx>
                <c:strRef>
                  <c:f>Input!$AH$16</c:f>
                  <c:strCache>
                    <c:ptCount val="1"/>
                    <c:pt idx="0">
                      <c:v>0</c:v>
                    </c:pt>
                  </c:strCache>
                </c:strRef>
              </c:tx>
              <c:spPr>
                <a:noFill/>
                <a:ln w="25400">
                  <a:noFill/>
                </a:ln>
              </c:spPr>
              <c:txPr>
                <a:bodyPr/>
                <a:lstStyle/>
                <a:p>
                  <a:pPr algn="r">
                    <a:defRPr sz="1000" b="0" i="0" u="none" strike="noStrike" baseline="0">
                      <a:solidFill>
                        <a:srgbClr val="000000"/>
                      </a:solidFill>
                      <a:latin typeface="Arial"/>
                      <a:ea typeface="Arial"/>
                      <a:cs typeface="Arial"/>
                    </a:defRPr>
                  </a:pPr>
                  <a:endParaRPr lang="en-US"/>
                </a:p>
              </c:txPr>
              <c:dLblPos val="r"/>
              <c:showLegendKey val="0"/>
              <c:showVal val="0"/>
              <c:showCatName val="0"/>
              <c:showSerName val="0"/>
              <c:showPercent val="0"/>
              <c:showBubbleSize val="0"/>
            </c:dLbl>
            <c:dLbl>
              <c:idx val="9"/>
              <c:tx>
                <c:strRef>
                  <c:f>Input!$AH$17</c:f>
                  <c:strCache>
                    <c:ptCount val="1"/>
                    <c:pt idx="0">
                      <c:v>0</c:v>
                    </c:pt>
                  </c:strCache>
                </c:strRef>
              </c:tx>
              <c:spPr>
                <a:noFill/>
                <a:ln w="25400">
                  <a:noFill/>
                </a:ln>
              </c:spPr>
              <c:txPr>
                <a:bodyPr/>
                <a:lstStyle/>
                <a:p>
                  <a:pPr algn="r">
                    <a:defRPr sz="1000" b="0" i="0" u="none" strike="noStrike" baseline="0">
                      <a:solidFill>
                        <a:srgbClr val="000000"/>
                      </a:solidFill>
                      <a:latin typeface="Arial"/>
                      <a:ea typeface="Arial"/>
                      <a:cs typeface="Arial"/>
                    </a:defRPr>
                  </a:pPr>
                  <a:endParaRPr lang="en-US"/>
                </a:p>
              </c:txPr>
              <c:dLblPos val="r"/>
              <c:showLegendKey val="0"/>
              <c:showVal val="0"/>
              <c:showCatName val="0"/>
              <c:showSerName val="0"/>
              <c:showPercent val="0"/>
              <c:showBubbleSize val="0"/>
            </c:dLbl>
            <c:dLbl>
              <c:idx val="10"/>
              <c:tx>
                <c:strRef>
                  <c:f>Input!$AH$18</c:f>
                  <c:strCache>
                    <c:ptCount val="1"/>
                    <c:pt idx="0">
                      <c:v>0</c:v>
                    </c:pt>
                  </c:strCache>
                </c:strRef>
              </c:tx>
              <c:spPr>
                <a:noFill/>
                <a:ln w="25400">
                  <a:noFill/>
                </a:ln>
              </c:spPr>
              <c:txPr>
                <a:bodyPr/>
                <a:lstStyle/>
                <a:p>
                  <a:pPr algn="r">
                    <a:defRPr sz="1000" b="0" i="0" u="none" strike="noStrike" baseline="0">
                      <a:solidFill>
                        <a:srgbClr val="000000"/>
                      </a:solidFill>
                      <a:latin typeface="Arial"/>
                      <a:ea typeface="Arial"/>
                      <a:cs typeface="Arial"/>
                    </a:defRPr>
                  </a:pPr>
                  <a:endParaRPr lang="en-US"/>
                </a:p>
              </c:txPr>
              <c:dLblPos val="r"/>
              <c:showLegendKey val="0"/>
              <c:showVal val="0"/>
              <c:showCatName val="0"/>
              <c:showSerName val="0"/>
              <c:showPercent val="0"/>
              <c:showBubbleSize val="0"/>
            </c:dLbl>
            <c:dLbl>
              <c:idx val="11"/>
              <c:tx>
                <c:strRef>
                  <c:f>Input!$AH$19</c:f>
                  <c:strCache>
                    <c:ptCount val="1"/>
                    <c:pt idx="0">
                      <c:v>0</c:v>
                    </c:pt>
                  </c:strCache>
                </c:strRef>
              </c:tx>
              <c:spPr>
                <a:noFill/>
                <a:ln w="25400">
                  <a:noFill/>
                </a:ln>
              </c:spPr>
              <c:txPr>
                <a:bodyPr/>
                <a:lstStyle/>
                <a:p>
                  <a:pPr algn="r">
                    <a:defRPr sz="1000" b="0" i="0" u="none" strike="noStrike" baseline="0">
                      <a:solidFill>
                        <a:srgbClr val="000000"/>
                      </a:solidFill>
                      <a:latin typeface="Arial"/>
                      <a:ea typeface="Arial"/>
                      <a:cs typeface="Arial"/>
                    </a:defRPr>
                  </a:pPr>
                  <a:endParaRPr lang="en-US"/>
                </a:p>
              </c:txPr>
              <c:dLblPos val="r"/>
              <c:showLegendKey val="0"/>
              <c:showVal val="0"/>
              <c:showCatName val="0"/>
              <c:showSerName val="0"/>
              <c:showPercent val="0"/>
              <c:showBubbleSize val="0"/>
            </c:dLbl>
            <c:dLbl>
              <c:idx val="12"/>
              <c:tx>
                <c:strRef>
                  <c:f>Input!$AH$20</c:f>
                  <c:strCache>
                    <c:ptCount val="1"/>
                    <c:pt idx="0">
                      <c:v>0</c:v>
                    </c:pt>
                  </c:strCache>
                </c:strRef>
              </c:tx>
              <c:spPr>
                <a:noFill/>
                <a:ln w="25400">
                  <a:noFill/>
                </a:ln>
              </c:spPr>
              <c:txPr>
                <a:bodyPr/>
                <a:lstStyle/>
                <a:p>
                  <a:pPr algn="r">
                    <a:defRPr sz="1000" b="0" i="0" u="none" strike="noStrike" baseline="0">
                      <a:solidFill>
                        <a:srgbClr val="000000"/>
                      </a:solidFill>
                      <a:latin typeface="Arial"/>
                      <a:ea typeface="Arial"/>
                      <a:cs typeface="Arial"/>
                    </a:defRPr>
                  </a:pPr>
                  <a:endParaRPr lang="en-US"/>
                </a:p>
              </c:txPr>
              <c:dLblPos val="r"/>
              <c:showLegendKey val="0"/>
              <c:showVal val="0"/>
              <c:showCatName val="0"/>
              <c:showSerName val="0"/>
              <c:showPercent val="0"/>
              <c:showBubbleSize val="0"/>
            </c:dLbl>
            <c:dLbl>
              <c:idx val="13"/>
              <c:tx>
                <c:strRef>
                  <c:f>Input!$AH$21</c:f>
                  <c:strCache>
                    <c:ptCount val="1"/>
                    <c:pt idx="0">
                      <c:v>0</c:v>
                    </c:pt>
                  </c:strCache>
                </c:strRef>
              </c:tx>
              <c:spPr>
                <a:noFill/>
                <a:ln w="25400">
                  <a:noFill/>
                </a:ln>
              </c:spPr>
              <c:txPr>
                <a:bodyPr/>
                <a:lstStyle/>
                <a:p>
                  <a:pPr algn="r">
                    <a:defRPr sz="1000" b="0" i="0" u="none" strike="noStrike" baseline="0">
                      <a:solidFill>
                        <a:srgbClr val="000000"/>
                      </a:solidFill>
                      <a:latin typeface="Arial"/>
                      <a:ea typeface="Arial"/>
                      <a:cs typeface="Arial"/>
                    </a:defRPr>
                  </a:pPr>
                  <a:endParaRPr lang="en-US"/>
                </a:p>
              </c:txPr>
              <c:dLblPos val="r"/>
              <c:showLegendKey val="0"/>
              <c:showVal val="0"/>
              <c:showCatName val="0"/>
              <c:showSerName val="0"/>
              <c:showPercent val="0"/>
              <c:showBubbleSize val="0"/>
            </c:dLbl>
            <c:dLbl>
              <c:idx val="14"/>
              <c:tx>
                <c:strRef>
                  <c:f>Input!$AH$22</c:f>
                  <c:strCache>
                    <c:ptCount val="1"/>
                    <c:pt idx="0">
                      <c:v>0</c:v>
                    </c:pt>
                  </c:strCache>
                </c:strRef>
              </c:tx>
              <c:spPr>
                <a:noFill/>
                <a:ln w="25400">
                  <a:noFill/>
                </a:ln>
              </c:spPr>
              <c:txPr>
                <a:bodyPr/>
                <a:lstStyle/>
                <a:p>
                  <a:pPr algn="r">
                    <a:defRPr sz="1000" b="0" i="0" u="none" strike="noStrike" baseline="0">
                      <a:solidFill>
                        <a:srgbClr val="000000"/>
                      </a:solidFill>
                      <a:latin typeface="Arial"/>
                      <a:ea typeface="Arial"/>
                      <a:cs typeface="Arial"/>
                    </a:defRPr>
                  </a:pPr>
                  <a:endParaRPr lang="en-US"/>
                </a:p>
              </c:txPr>
              <c:dLblPos val="r"/>
              <c:showLegendKey val="0"/>
              <c:showVal val="0"/>
              <c:showCatName val="0"/>
              <c:showSerName val="0"/>
              <c:showPercent val="0"/>
              <c:showBubbleSize val="0"/>
            </c:dLbl>
            <c:dLbl>
              <c:idx val="15"/>
              <c:tx>
                <c:strRef>
                  <c:f>Input!$AH$23</c:f>
                  <c:strCache>
                    <c:ptCount val="1"/>
                    <c:pt idx="0">
                      <c:v>0</c:v>
                    </c:pt>
                  </c:strCache>
                </c:strRef>
              </c:tx>
              <c:spPr>
                <a:noFill/>
                <a:ln w="25400">
                  <a:noFill/>
                </a:ln>
              </c:spPr>
              <c:txPr>
                <a:bodyPr/>
                <a:lstStyle/>
                <a:p>
                  <a:pPr algn="r">
                    <a:defRPr sz="1000" b="0" i="0" u="none" strike="noStrike" baseline="0">
                      <a:solidFill>
                        <a:srgbClr val="000000"/>
                      </a:solidFill>
                      <a:latin typeface="Arial"/>
                      <a:ea typeface="Arial"/>
                      <a:cs typeface="Arial"/>
                    </a:defRPr>
                  </a:pPr>
                  <a:endParaRPr lang="en-US"/>
                </a:p>
              </c:txPr>
              <c:dLblPos val="r"/>
              <c:showLegendKey val="0"/>
              <c:showVal val="0"/>
              <c:showCatName val="0"/>
              <c:showSerName val="0"/>
              <c:showPercent val="0"/>
              <c:showBubbleSize val="0"/>
            </c:dLbl>
            <c:dLbl>
              <c:idx val="16"/>
              <c:tx>
                <c:strRef>
                  <c:f>Input!$AH$24</c:f>
                  <c:strCache>
                    <c:ptCount val="1"/>
                    <c:pt idx="0">
                      <c:v>0</c:v>
                    </c:pt>
                  </c:strCache>
                </c:strRef>
              </c:tx>
              <c:spPr>
                <a:noFill/>
                <a:ln w="25400">
                  <a:noFill/>
                </a:ln>
              </c:spPr>
              <c:txPr>
                <a:bodyPr/>
                <a:lstStyle/>
                <a:p>
                  <a:pPr algn="r">
                    <a:defRPr sz="1000" b="0" i="0" u="none" strike="noStrike" baseline="0">
                      <a:solidFill>
                        <a:srgbClr val="000000"/>
                      </a:solidFill>
                      <a:latin typeface="Arial"/>
                      <a:ea typeface="Arial"/>
                      <a:cs typeface="Arial"/>
                    </a:defRPr>
                  </a:pPr>
                  <a:endParaRPr lang="en-US"/>
                </a:p>
              </c:txPr>
              <c:dLblPos val="r"/>
              <c:showLegendKey val="0"/>
              <c:showVal val="0"/>
              <c:showCatName val="0"/>
              <c:showSerName val="0"/>
              <c:showPercent val="0"/>
              <c:showBubbleSize val="0"/>
            </c:dLbl>
            <c:dLbl>
              <c:idx val="17"/>
              <c:tx>
                <c:strRef>
                  <c:f>Input!$AH$25</c:f>
                  <c:strCache>
                    <c:ptCount val="1"/>
                    <c:pt idx="0">
                      <c:v>0</c:v>
                    </c:pt>
                  </c:strCache>
                </c:strRef>
              </c:tx>
              <c:spPr>
                <a:noFill/>
                <a:ln w="25400">
                  <a:noFill/>
                </a:ln>
              </c:spPr>
              <c:txPr>
                <a:bodyPr/>
                <a:lstStyle/>
                <a:p>
                  <a:pPr algn="r">
                    <a:defRPr sz="1000" b="0" i="0" u="none" strike="noStrike" baseline="0">
                      <a:solidFill>
                        <a:srgbClr val="000000"/>
                      </a:solidFill>
                      <a:latin typeface="Arial"/>
                      <a:ea typeface="Arial"/>
                      <a:cs typeface="Arial"/>
                    </a:defRPr>
                  </a:pPr>
                  <a:endParaRPr lang="en-US"/>
                </a:p>
              </c:txPr>
              <c:dLblPos val="r"/>
              <c:showLegendKey val="0"/>
              <c:showVal val="0"/>
              <c:showCatName val="0"/>
              <c:showSerName val="0"/>
              <c:showPercent val="0"/>
              <c:showBubbleSize val="0"/>
            </c:dLbl>
            <c:dLbl>
              <c:idx val="18"/>
              <c:tx>
                <c:strRef>
                  <c:f>Input!$AH$26</c:f>
                  <c:strCache>
                    <c:ptCount val="1"/>
                    <c:pt idx="0">
                      <c:v>0</c:v>
                    </c:pt>
                  </c:strCache>
                </c:strRef>
              </c:tx>
              <c:spPr>
                <a:noFill/>
                <a:ln w="25400">
                  <a:noFill/>
                </a:ln>
              </c:spPr>
              <c:txPr>
                <a:bodyPr/>
                <a:lstStyle/>
                <a:p>
                  <a:pPr algn="r">
                    <a:defRPr sz="1000" b="0" i="0" u="none" strike="noStrike" baseline="0">
                      <a:solidFill>
                        <a:srgbClr val="000000"/>
                      </a:solidFill>
                      <a:latin typeface="Arial"/>
                      <a:ea typeface="Arial"/>
                      <a:cs typeface="Arial"/>
                    </a:defRPr>
                  </a:pPr>
                  <a:endParaRPr lang="en-US"/>
                </a:p>
              </c:txPr>
              <c:dLblPos val="r"/>
              <c:showLegendKey val="0"/>
              <c:showVal val="0"/>
              <c:showCatName val="0"/>
              <c:showSerName val="0"/>
              <c:showPercent val="0"/>
              <c:showBubbleSize val="0"/>
            </c:dLbl>
            <c:dLbl>
              <c:idx val="19"/>
              <c:tx>
                <c:strRef>
                  <c:f>Input!$AH$27</c:f>
                  <c:strCache>
                    <c:ptCount val="1"/>
                    <c:pt idx="0">
                      <c:v>0</c:v>
                    </c:pt>
                  </c:strCache>
                </c:strRef>
              </c:tx>
              <c:spPr>
                <a:noFill/>
                <a:ln w="25400">
                  <a:noFill/>
                </a:ln>
              </c:spPr>
              <c:txPr>
                <a:bodyPr/>
                <a:lstStyle/>
                <a:p>
                  <a:pPr algn="r">
                    <a:defRPr sz="1000" b="0" i="0" u="none" strike="noStrike" baseline="0">
                      <a:solidFill>
                        <a:srgbClr val="000000"/>
                      </a:solidFill>
                      <a:latin typeface="Arial"/>
                      <a:ea typeface="Arial"/>
                      <a:cs typeface="Arial"/>
                    </a:defRPr>
                  </a:pPr>
                  <a:endParaRPr lang="en-US"/>
                </a:p>
              </c:txPr>
              <c:dLblPos val="r"/>
              <c:showLegendKey val="0"/>
              <c:showVal val="0"/>
              <c:showCatName val="0"/>
              <c:showSerName val="0"/>
              <c:showPercent val="0"/>
              <c:showBubbleSize val="0"/>
            </c:dLbl>
            <c:dLbl>
              <c:idx val="20"/>
              <c:tx>
                <c:strRef>
                  <c:f>Input!$AH$28</c:f>
                  <c:strCache>
                    <c:ptCount val="1"/>
                    <c:pt idx="0">
                      <c:v>0</c:v>
                    </c:pt>
                  </c:strCache>
                </c:strRef>
              </c:tx>
              <c:spPr>
                <a:noFill/>
                <a:ln w="25400">
                  <a:noFill/>
                </a:ln>
              </c:spPr>
              <c:txPr>
                <a:bodyPr/>
                <a:lstStyle/>
                <a:p>
                  <a:pPr algn="r">
                    <a:defRPr sz="1000" b="0" i="0" u="none" strike="noStrike" baseline="0">
                      <a:solidFill>
                        <a:srgbClr val="000000"/>
                      </a:solidFill>
                      <a:latin typeface="Arial"/>
                      <a:ea typeface="Arial"/>
                      <a:cs typeface="Arial"/>
                    </a:defRPr>
                  </a:pPr>
                  <a:endParaRPr lang="en-US"/>
                </a:p>
              </c:txPr>
              <c:dLblPos val="r"/>
              <c:showLegendKey val="0"/>
              <c:showVal val="0"/>
              <c:showCatName val="0"/>
              <c:showSerName val="0"/>
              <c:showPercent val="0"/>
              <c:showBubbleSize val="0"/>
            </c:dLbl>
            <c:dLbl>
              <c:idx val="21"/>
              <c:tx>
                <c:strRef>
                  <c:f>Input!$AH$29</c:f>
                  <c:strCache>
                    <c:ptCount val="1"/>
                    <c:pt idx="0">
                      <c:v>0</c:v>
                    </c:pt>
                  </c:strCache>
                </c:strRef>
              </c:tx>
              <c:spPr>
                <a:noFill/>
                <a:ln w="25400">
                  <a:noFill/>
                </a:ln>
              </c:spPr>
              <c:txPr>
                <a:bodyPr/>
                <a:lstStyle/>
                <a:p>
                  <a:pPr algn="r">
                    <a:defRPr sz="1000" b="0" i="0" u="none" strike="noStrike" baseline="0">
                      <a:solidFill>
                        <a:srgbClr val="000000"/>
                      </a:solidFill>
                      <a:latin typeface="Arial"/>
                      <a:ea typeface="Arial"/>
                      <a:cs typeface="Arial"/>
                    </a:defRPr>
                  </a:pPr>
                  <a:endParaRPr lang="en-US"/>
                </a:p>
              </c:txPr>
              <c:dLblPos val="r"/>
              <c:showLegendKey val="0"/>
              <c:showVal val="0"/>
              <c:showCatName val="0"/>
              <c:showSerName val="0"/>
              <c:showPercent val="0"/>
              <c:showBubbleSize val="0"/>
            </c:dLbl>
            <c:dLbl>
              <c:idx val="22"/>
              <c:tx>
                <c:strRef>
                  <c:f>Input!$AH$30</c:f>
                  <c:strCache>
                    <c:ptCount val="1"/>
                    <c:pt idx="0">
                      <c:v>0</c:v>
                    </c:pt>
                  </c:strCache>
                </c:strRef>
              </c:tx>
              <c:spPr>
                <a:noFill/>
                <a:ln w="25400">
                  <a:noFill/>
                </a:ln>
              </c:spPr>
              <c:txPr>
                <a:bodyPr/>
                <a:lstStyle/>
                <a:p>
                  <a:pPr algn="r">
                    <a:defRPr sz="1000" b="0" i="0" u="none" strike="noStrike" baseline="0">
                      <a:solidFill>
                        <a:srgbClr val="000000"/>
                      </a:solidFill>
                      <a:latin typeface="Arial"/>
                      <a:ea typeface="Arial"/>
                      <a:cs typeface="Arial"/>
                    </a:defRPr>
                  </a:pPr>
                  <a:endParaRPr lang="en-US"/>
                </a:p>
              </c:txPr>
              <c:dLblPos val="r"/>
              <c:showLegendKey val="0"/>
              <c:showVal val="0"/>
              <c:showCatName val="0"/>
              <c:showSerName val="0"/>
              <c:showPercent val="0"/>
              <c:showBubbleSize val="0"/>
            </c:dLbl>
            <c:dLbl>
              <c:idx val="23"/>
              <c:tx>
                <c:strRef>
                  <c:f>Input!$AH$31</c:f>
                  <c:strCache>
                    <c:ptCount val="1"/>
                    <c:pt idx="0">
                      <c:v>0</c:v>
                    </c:pt>
                  </c:strCache>
                </c:strRef>
              </c:tx>
              <c:spPr>
                <a:noFill/>
                <a:ln w="25400">
                  <a:noFill/>
                </a:ln>
              </c:spPr>
              <c:txPr>
                <a:bodyPr/>
                <a:lstStyle/>
                <a:p>
                  <a:pPr algn="r">
                    <a:defRPr sz="1000" b="0" i="0" u="none" strike="noStrike" baseline="0">
                      <a:solidFill>
                        <a:srgbClr val="000000"/>
                      </a:solidFill>
                      <a:latin typeface="Helv"/>
                      <a:ea typeface="Helv"/>
                      <a:cs typeface="Helv"/>
                    </a:defRPr>
                  </a:pPr>
                  <a:endParaRPr lang="en-US"/>
                </a:p>
              </c:txPr>
              <c:dLblPos val="r"/>
              <c:showLegendKey val="0"/>
              <c:showVal val="0"/>
              <c:showCatName val="0"/>
              <c:showSerName val="0"/>
              <c:showPercent val="0"/>
              <c:showBubbleSize val="0"/>
            </c:dLbl>
            <c:dLbl>
              <c:idx val="24"/>
              <c:tx>
                <c:strRef>
                  <c:f>Input!$AH$32</c:f>
                  <c:strCache>
                    <c:ptCount val="1"/>
                    <c:pt idx="0">
                      <c:v>0</c:v>
                    </c:pt>
                  </c:strCache>
                </c:strRef>
              </c:tx>
              <c:spPr>
                <a:noFill/>
                <a:ln w="25400">
                  <a:noFill/>
                </a:ln>
              </c:spPr>
              <c:txPr>
                <a:bodyPr/>
                <a:lstStyle/>
                <a:p>
                  <a:pPr algn="r">
                    <a:defRPr sz="1000" b="0" i="0" u="none" strike="noStrike" baseline="0">
                      <a:solidFill>
                        <a:srgbClr val="000000"/>
                      </a:solidFill>
                      <a:latin typeface="Helv"/>
                      <a:ea typeface="Helv"/>
                      <a:cs typeface="Helv"/>
                    </a:defRPr>
                  </a:pPr>
                  <a:endParaRPr lang="en-US"/>
                </a:p>
              </c:txPr>
              <c:dLblPos val="r"/>
              <c:showLegendKey val="0"/>
              <c:showVal val="0"/>
              <c:showCatName val="0"/>
              <c:showSerName val="0"/>
              <c:showPercent val="0"/>
              <c:showBubbleSize val="0"/>
            </c:dLbl>
            <c:dLbl>
              <c:idx val="25"/>
              <c:tx>
                <c:strRef>
                  <c:f>Input!$AH$33</c:f>
                  <c:strCache>
                    <c:ptCount val="1"/>
                    <c:pt idx="0">
                      <c:v>0</c:v>
                    </c:pt>
                  </c:strCache>
                </c:strRef>
              </c:tx>
              <c:spPr>
                <a:noFill/>
                <a:ln w="25400">
                  <a:noFill/>
                </a:ln>
              </c:spPr>
              <c:txPr>
                <a:bodyPr/>
                <a:lstStyle/>
                <a:p>
                  <a:pPr algn="r">
                    <a:defRPr sz="1000" b="0" i="0" u="none" strike="noStrike" baseline="0">
                      <a:solidFill>
                        <a:srgbClr val="000000"/>
                      </a:solidFill>
                      <a:latin typeface="Helv"/>
                      <a:ea typeface="Helv"/>
                      <a:cs typeface="Helv"/>
                    </a:defRPr>
                  </a:pPr>
                  <a:endParaRPr lang="en-US"/>
                </a:p>
              </c:txPr>
              <c:dLblPos val="r"/>
              <c:showLegendKey val="0"/>
              <c:showVal val="0"/>
              <c:showCatName val="0"/>
              <c:showSerName val="0"/>
              <c:showPercent val="0"/>
              <c:showBubbleSize val="0"/>
            </c:dLbl>
            <c:dLbl>
              <c:idx val="26"/>
              <c:tx>
                <c:strRef>
                  <c:f>Input!$AH$34</c:f>
                  <c:strCache>
                    <c:ptCount val="1"/>
                    <c:pt idx="0">
                      <c:v>0</c:v>
                    </c:pt>
                  </c:strCache>
                </c:strRef>
              </c:tx>
              <c:spPr>
                <a:noFill/>
                <a:ln w="25400">
                  <a:noFill/>
                </a:ln>
              </c:spPr>
              <c:txPr>
                <a:bodyPr/>
                <a:lstStyle/>
                <a:p>
                  <a:pPr algn="r">
                    <a:defRPr sz="1000" b="0" i="0" u="none" strike="noStrike" baseline="0">
                      <a:solidFill>
                        <a:srgbClr val="000000"/>
                      </a:solidFill>
                      <a:latin typeface="Helv"/>
                      <a:ea typeface="Helv"/>
                      <a:cs typeface="Helv"/>
                    </a:defRPr>
                  </a:pPr>
                  <a:endParaRPr lang="en-US"/>
                </a:p>
              </c:txPr>
              <c:dLblPos val="r"/>
              <c:showLegendKey val="0"/>
              <c:showVal val="0"/>
              <c:showCatName val="0"/>
              <c:showSerName val="0"/>
              <c:showPercent val="0"/>
              <c:showBubbleSize val="0"/>
            </c:dLbl>
            <c:dLbl>
              <c:idx val="27"/>
              <c:tx>
                <c:strRef>
                  <c:f>Input!$AH$35</c:f>
                  <c:strCache>
                    <c:ptCount val="1"/>
                    <c:pt idx="0">
                      <c:v>0</c:v>
                    </c:pt>
                  </c:strCache>
                </c:strRef>
              </c:tx>
              <c:spPr>
                <a:noFill/>
                <a:ln w="25400">
                  <a:noFill/>
                </a:ln>
              </c:spPr>
              <c:txPr>
                <a:bodyPr/>
                <a:lstStyle/>
                <a:p>
                  <a:pPr algn="r">
                    <a:defRPr sz="1000" b="0" i="0" u="none" strike="noStrike" baseline="0">
                      <a:solidFill>
                        <a:srgbClr val="000000"/>
                      </a:solidFill>
                      <a:latin typeface="Arial"/>
                      <a:ea typeface="Arial"/>
                      <a:cs typeface="Arial"/>
                    </a:defRPr>
                  </a:pPr>
                  <a:endParaRPr lang="en-US"/>
                </a:p>
              </c:txPr>
              <c:dLblPos val="r"/>
              <c:showLegendKey val="0"/>
              <c:showVal val="0"/>
              <c:showCatName val="0"/>
              <c:showSerName val="0"/>
              <c:showPercent val="0"/>
              <c:showBubbleSize val="0"/>
            </c:dLbl>
            <c:dLbl>
              <c:idx val="28"/>
              <c:tx>
                <c:strRef>
                  <c:f>Input!$AH$36</c:f>
                  <c:strCache>
                    <c:ptCount val="1"/>
                    <c:pt idx="0">
                      <c:v>0</c:v>
                    </c:pt>
                  </c:strCache>
                </c:strRef>
              </c:tx>
              <c:spPr>
                <a:noFill/>
                <a:ln w="25400">
                  <a:noFill/>
                </a:ln>
              </c:spPr>
              <c:txPr>
                <a:bodyPr/>
                <a:lstStyle/>
                <a:p>
                  <a:pPr algn="r">
                    <a:defRPr sz="1000" b="0" i="0" u="none" strike="noStrike" baseline="0">
                      <a:solidFill>
                        <a:srgbClr val="000000"/>
                      </a:solidFill>
                      <a:latin typeface="Arial"/>
                      <a:ea typeface="Arial"/>
                      <a:cs typeface="Arial"/>
                    </a:defRPr>
                  </a:pPr>
                  <a:endParaRPr lang="en-US"/>
                </a:p>
              </c:txPr>
              <c:dLblPos val="r"/>
              <c:showLegendKey val="0"/>
              <c:showVal val="0"/>
              <c:showCatName val="0"/>
              <c:showSerName val="0"/>
              <c:showPercent val="0"/>
              <c:showBubbleSize val="0"/>
            </c:dLbl>
            <c:dLbl>
              <c:idx val="29"/>
              <c:tx>
                <c:strRef>
                  <c:f>Input!$AH$37</c:f>
                  <c:strCache>
                    <c:ptCount val="1"/>
                    <c:pt idx="0">
                      <c:v>0</c:v>
                    </c:pt>
                  </c:strCache>
                </c:strRef>
              </c:tx>
              <c:spPr>
                <a:noFill/>
                <a:ln w="25400">
                  <a:noFill/>
                </a:ln>
              </c:spPr>
              <c:txPr>
                <a:bodyPr/>
                <a:lstStyle/>
                <a:p>
                  <a:pPr algn="r">
                    <a:defRPr sz="1000" b="0" i="0" u="none" strike="noStrike" baseline="0">
                      <a:solidFill>
                        <a:srgbClr val="000000"/>
                      </a:solidFill>
                      <a:latin typeface="Arial"/>
                      <a:ea typeface="Arial"/>
                      <a:cs typeface="Arial"/>
                    </a:defRPr>
                  </a:pPr>
                  <a:endParaRPr lang="en-US"/>
                </a:p>
              </c:txPr>
              <c:dLblPos val="r"/>
              <c:showLegendKey val="0"/>
              <c:showVal val="0"/>
              <c:showCatName val="0"/>
              <c:showSerName val="0"/>
              <c:showPercent val="0"/>
              <c:showBubbleSize val="0"/>
            </c:dLbl>
            <c:showLegendKey val="0"/>
            <c:showVal val="0"/>
            <c:showCatName val="0"/>
            <c:showSerName val="0"/>
            <c:showPercent val="0"/>
            <c:showBubbleSize val="0"/>
          </c:dLbls>
          <c:xVal>
            <c:numRef>
              <c:f>Input!$AI$8:$AI$37</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xVal>
          <c:yVal>
            <c:numRef>
              <c:f>Input!$AJ$8:$AJ$37</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yVal>
          <c:smooth val="0"/>
        </c:ser>
        <c:dLbls>
          <c:showLegendKey val="0"/>
          <c:showVal val="1"/>
          <c:showCatName val="0"/>
          <c:showSerName val="0"/>
          <c:showPercent val="0"/>
          <c:showBubbleSize val="0"/>
        </c:dLbls>
        <c:axId val="114717056"/>
        <c:axId val="114718976"/>
      </c:scatterChart>
      <c:valAx>
        <c:axId val="114717056"/>
        <c:scaling>
          <c:orientation val="minMax"/>
          <c:max val="370000"/>
          <c:min val="350000"/>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NZ"/>
                  <a:t>UTM East</a:t>
                </a:r>
              </a:p>
            </c:rich>
          </c:tx>
          <c:layout>
            <c:manualLayout>
              <c:xMode val="edge"/>
              <c:yMode val="edge"/>
              <c:x val="0.4931921331316188"/>
              <c:y val="0.955451348182883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4718976"/>
        <c:crosses val="autoZero"/>
        <c:crossBetween val="midCat"/>
        <c:majorUnit val="5000"/>
      </c:valAx>
      <c:valAx>
        <c:axId val="114718976"/>
        <c:scaling>
          <c:orientation val="minMax"/>
          <c:max val="659000"/>
          <c:min val="63400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NZ"/>
                  <a:t>UTM North</a:t>
                </a:r>
              </a:p>
            </c:rich>
          </c:tx>
          <c:layout>
            <c:manualLayout>
              <c:xMode val="edge"/>
              <c:yMode val="edge"/>
              <c:x val="7.5642965204236043E-3"/>
              <c:y val="0.4665885111371632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4717056"/>
        <c:crosses val="autoZero"/>
        <c:crossBetween val="midCat"/>
        <c:majorUnit val="5000"/>
      </c:valAx>
      <c:spPr>
        <a:noFill/>
        <a:ln w="12700">
          <a:solidFill>
            <a:srgbClr val="808080"/>
          </a:solidFill>
          <a:prstDash val="solid"/>
        </a:ln>
      </c:spPr>
    </c:plotArea>
    <c:plotVisOnly val="0"/>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764705882352942"/>
          <c:y val="7.667210440456769E-2"/>
          <c:w val="0.82796892341842443"/>
          <c:h val="0.80424143556280636"/>
        </c:manualLayout>
      </c:layout>
      <c:scatterChart>
        <c:scatterStyle val="lineMarker"/>
        <c:varyColors val="0"/>
        <c:ser>
          <c:idx val="12"/>
          <c:order val="0"/>
          <c:tx>
            <c:v>data</c:v>
          </c:tx>
          <c:spPr>
            <a:ln w="28575">
              <a:noFill/>
            </a:ln>
          </c:spPr>
          <c:marker>
            <c:symbol val="diamond"/>
            <c:size val="7"/>
            <c:spPr>
              <a:solidFill>
                <a:srgbClr val="800080"/>
              </a:solidFill>
              <a:ln>
                <a:solidFill>
                  <a:srgbClr val="800080"/>
                </a:solidFill>
                <a:prstDash val="solid"/>
              </a:ln>
            </c:spPr>
          </c:marker>
          <c:dLbls>
            <c:dLbl>
              <c:idx val="0"/>
              <c:tx>
                <c:strRef>
                  <c:f>Input!$AH$8</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
              <c:tx>
                <c:strRef>
                  <c:f>Input!$AH$9</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
              <c:tx>
                <c:strRef>
                  <c:f>Input!$AH$10</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3"/>
              <c:tx>
                <c:strRef>
                  <c:f>Input!$AH$11</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4"/>
              <c:tx>
                <c:strRef>
                  <c:f>Input!$AH$12</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5"/>
              <c:tx>
                <c:strRef>
                  <c:f>Input!$AH$13</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6"/>
              <c:tx>
                <c:strRef>
                  <c:f>Input!$AH$14</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7"/>
              <c:tx>
                <c:strRef>
                  <c:f>Input!$AH$15</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8"/>
              <c:tx>
                <c:strRef>
                  <c:f>Input!$AH$16</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9"/>
              <c:tx>
                <c:strRef>
                  <c:f>Input!$AH$17</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0"/>
              <c:tx>
                <c:strRef>
                  <c:f>Input!$AH$18</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1"/>
              <c:tx>
                <c:strRef>
                  <c:f>Input!$AH$19</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2"/>
              <c:tx>
                <c:strRef>
                  <c:f>Input!$AH$20</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3"/>
              <c:tx>
                <c:strRef>
                  <c:f>Input!$AH$21</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4"/>
              <c:tx>
                <c:strRef>
                  <c:f>Input!$AH$22</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5"/>
              <c:tx>
                <c:strRef>
                  <c:f>Input!$AH$23</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6"/>
              <c:tx>
                <c:strRef>
                  <c:f>Input!$AH$24</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7"/>
              <c:tx>
                <c:strRef>
                  <c:f>Input!$AH$25</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8"/>
              <c:tx>
                <c:strRef>
                  <c:f>Input!$AH$26</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9"/>
              <c:tx>
                <c:strRef>
                  <c:f>Input!$AH$27</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0"/>
              <c:tx>
                <c:strRef>
                  <c:f>Input!$AH$28</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1"/>
              <c:tx>
                <c:strRef>
                  <c:f>Input!$AH$29</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2"/>
              <c:tx>
                <c:strRef>
                  <c:f>Input!$AH$30</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3"/>
              <c:tx>
                <c:strRef>
                  <c:f>Input!$AH$31</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4"/>
              <c:tx>
                <c:strRef>
                  <c:f>Input!$AH$32</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5"/>
              <c:tx>
                <c:strRef>
                  <c:f>Input!$AH$33</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6"/>
              <c:tx>
                <c:strRef>
                  <c:f>Input!$AH$34</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7"/>
              <c:tx>
                <c:strRef>
                  <c:f>Input!$AH$35</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8"/>
              <c:tx>
                <c:strRef>
                  <c:f>Input!$AH$36</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9"/>
              <c:layout/>
              <c:tx>
                <c:strRef>
                  <c:f>Input!$AH$37</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showLegendKey val="0"/>
            <c:showVal val="0"/>
            <c:showCatName val="0"/>
            <c:showSerName val="0"/>
            <c:showPercent val="0"/>
            <c:showBubbleSize val="0"/>
          </c:dLbls>
          <c:xVal>
            <c:numRef>
              <c:f>Input!$DD$8:$DD$37</c:f>
              <c:numCache>
                <c:formatCode>0</c:formatCode>
                <c:ptCount val="30"/>
                <c:pt idx="0">
                  <c:v>-999</c:v>
                </c:pt>
                <c:pt idx="1">
                  <c:v>-999</c:v>
                </c:pt>
                <c:pt idx="2">
                  <c:v>-999</c:v>
                </c:pt>
                <c:pt idx="3">
                  <c:v>-999</c:v>
                </c:pt>
                <c:pt idx="4">
                  <c:v>-999</c:v>
                </c:pt>
                <c:pt idx="5">
                  <c:v>-999</c:v>
                </c:pt>
                <c:pt idx="6">
                  <c:v>-999</c:v>
                </c:pt>
                <c:pt idx="7">
                  <c:v>-999</c:v>
                </c:pt>
                <c:pt idx="8">
                  <c:v>-999</c:v>
                </c:pt>
                <c:pt idx="9">
                  <c:v>-999</c:v>
                </c:pt>
                <c:pt idx="10">
                  <c:v>-999</c:v>
                </c:pt>
                <c:pt idx="11">
                  <c:v>-999</c:v>
                </c:pt>
                <c:pt idx="12">
                  <c:v>-999</c:v>
                </c:pt>
                <c:pt idx="13">
                  <c:v>-999</c:v>
                </c:pt>
                <c:pt idx="14">
                  <c:v>-999</c:v>
                </c:pt>
                <c:pt idx="15">
                  <c:v>-999</c:v>
                </c:pt>
                <c:pt idx="16">
                  <c:v>-999</c:v>
                </c:pt>
                <c:pt idx="17">
                  <c:v>-999</c:v>
                </c:pt>
                <c:pt idx="18">
                  <c:v>-999</c:v>
                </c:pt>
                <c:pt idx="19">
                  <c:v>-999</c:v>
                </c:pt>
                <c:pt idx="20">
                  <c:v>-999</c:v>
                </c:pt>
                <c:pt idx="21">
                  <c:v>-999</c:v>
                </c:pt>
                <c:pt idx="22">
                  <c:v>-999</c:v>
                </c:pt>
                <c:pt idx="23">
                  <c:v>-999</c:v>
                </c:pt>
                <c:pt idx="24">
                  <c:v>-999</c:v>
                </c:pt>
                <c:pt idx="25">
                  <c:v>-999</c:v>
                </c:pt>
                <c:pt idx="26">
                  <c:v>-999</c:v>
                </c:pt>
                <c:pt idx="27">
                  <c:v>-999</c:v>
                </c:pt>
                <c:pt idx="28">
                  <c:v>-999</c:v>
                </c:pt>
                <c:pt idx="29" formatCode="General">
                  <c:v>417</c:v>
                </c:pt>
              </c:numCache>
            </c:numRef>
          </c:xVal>
          <c:yVal>
            <c:numRef>
              <c:f>Input!$DF$8:$DF$37</c:f>
              <c:numCache>
                <c:formatCode>0</c:formatCode>
                <c:ptCount val="30"/>
                <c:pt idx="0">
                  <c:v>159.0984</c:v>
                </c:pt>
                <c:pt idx="1">
                  <c:v>234.93000681276419</c:v>
                </c:pt>
                <c:pt idx="2">
                  <c:v>213.66403151124848</c:v>
                </c:pt>
                <c:pt idx="3">
                  <c:v>403.15106391409665</c:v>
                </c:pt>
                <c:pt idx="4">
                  <c:v>163.2852</c:v>
                </c:pt>
                <c:pt idx="5">
                  <c:v>150.72479999999999</c:v>
                </c:pt>
                <c:pt idx="6">
                  <c:v>251.91480730250453</c:v>
                </c:pt>
                <c:pt idx="7">
                  <c:v>390.61668083194672</c:v>
                </c:pt>
                <c:pt idx="8">
                  <c:v>188.40600000000001</c:v>
                </c:pt>
                <c:pt idx="9">
                  <c:v>256.1554627130015</c:v>
                </c:pt>
                <c:pt idx="10">
                  <c:v>117.2304</c:v>
                </c:pt>
                <c:pt idx="11">
                  <c:v>171.65879999999999</c:v>
                </c:pt>
                <c:pt idx="12">
                  <c:v>144.86328</c:v>
                </c:pt>
                <c:pt idx="13">
                  <c:v>154.91159999999999</c:v>
                </c:pt>
                <c:pt idx="14">
                  <c:v>81.223919999999993</c:v>
                </c:pt>
                <c:pt idx="15">
                  <c:v>121.41719999999999</c:v>
                </c:pt>
                <c:pt idx="16">
                  <c:v>213.66403151124848</c:v>
                </c:pt>
                <c:pt idx="17">
                  <c:v>-999</c:v>
                </c:pt>
                <c:pt idx="18">
                  <c:v>180.0324</c:v>
                </c:pt>
                <c:pt idx="19">
                  <c:v>163.2852</c:v>
                </c:pt>
                <c:pt idx="20">
                  <c:v>217.91891913398752</c:v>
                </c:pt>
                <c:pt idx="21">
                  <c:v>378.08038731943577</c:v>
                </c:pt>
                <c:pt idx="22">
                  <c:v>357.1725593178495</c:v>
                </c:pt>
                <c:pt idx="23">
                  <c:v>96.296399999999991</c:v>
                </c:pt>
                <c:pt idx="24">
                  <c:v>133.9776</c:v>
                </c:pt>
                <c:pt idx="25">
                  <c:v>230.67911509782869</c:v>
                </c:pt>
                <c:pt idx="26">
                  <c:v>251.91480730250453</c:v>
                </c:pt>
                <c:pt idx="27">
                  <c:v>398.97292612758031</c:v>
                </c:pt>
                <c:pt idx="28">
                  <c:v>200.96639999999999</c:v>
                </c:pt>
                <c:pt idx="29" formatCode="General">
                  <c:v>159.0984</c:v>
                </c:pt>
              </c:numCache>
            </c:numRef>
          </c:yVal>
          <c:smooth val="0"/>
        </c:ser>
        <c:ser>
          <c:idx val="0"/>
          <c:order val="1"/>
          <c:tx>
            <c:v>steam</c:v>
          </c:tx>
          <c:spPr>
            <a:ln w="28575">
              <a:noFill/>
            </a:ln>
          </c:spPr>
          <c:marker>
            <c:symbol val="square"/>
            <c:size val="9"/>
            <c:spPr>
              <a:noFill/>
              <a:ln>
                <a:solidFill>
                  <a:srgbClr val="000080"/>
                </a:solidFill>
                <a:prstDash val="solid"/>
              </a:ln>
            </c:spPr>
          </c:marker>
          <c:dLbls>
            <c:dLbl>
              <c:idx val="0"/>
              <c:layout/>
              <c:tx>
                <c:rich>
                  <a:bodyPr/>
                  <a:lstStyle/>
                  <a:p>
                    <a:pPr>
                      <a:defRPr sz="1200" b="1" i="0" u="none" strike="noStrike" baseline="0">
                        <a:solidFill>
                          <a:srgbClr val="333399"/>
                        </a:solidFill>
                        <a:latin typeface="Arial"/>
                        <a:ea typeface="Arial"/>
                        <a:cs typeface="Arial"/>
                      </a:defRPr>
                    </a:pPr>
                    <a:r>
                      <a:rPr lang="en-NZ"/>
                      <a:t>Steam</a:t>
                    </a:r>
                  </a:p>
                </c:rich>
              </c:tx>
              <c:spPr>
                <a:noFill/>
                <a:ln w="25400">
                  <a:noFill/>
                </a:ln>
              </c:spPr>
              <c:showLegendKey val="0"/>
              <c:showVal val="0"/>
              <c:showCatName val="0"/>
              <c:showSerName val="0"/>
              <c:showPercent val="0"/>
              <c:showBubbleSize val="0"/>
            </c:dLbl>
            <c:spPr>
              <a:noFill/>
              <a:ln w="25400">
                <a:noFill/>
              </a:ln>
            </c:spPr>
            <c:txPr>
              <a:bodyPr/>
              <a:lstStyle/>
              <a:p>
                <a:pPr>
                  <a:defRPr sz="1200" b="0" i="0" u="none" strike="noStrike" baseline="0">
                    <a:solidFill>
                      <a:srgbClr val="333399"/>
                    </a:solidFill>
                    <a:latin typeface="Arial"/>
                    <a:ea typeface="Arial"/>
                    <a:cs typeface="Arial"/>
                  </a:defRPr>
                </a:pPr>
                <a:endParaRPr lang="en-US"/>
              </a:p>
            </c:txPr>
            <c:showLegendKey val="0"/>
            <c:showVal val="1"/>
            <c:showCatName val="0"/>
            <c:showSerName val="0"/>
            <c:showPercent val="0"/>
            <c:showBubbleSize val="0"/>
            <c:showLeaderLines val="0"/>
          </c:dLbls>
          <c:xVal>
            <c:numRef>
              <c:f>Ref!$A$26</c:f>
              <c:numCache>
                <c:formatCode>General</c:formatCode>
                <c:ptCount val="1"/>
                <c:pt idx="0">
                  <c:v>0</c:v>
                </c:pt>
              </c:numCache>
            </c:numRef>
          </c:xVal>
          <c:yVal>
            <c:numRef>
              <c:f>Ref!$B$26</c:f>
              <c:numCache>
                <c:formatCode>General</c:formatCode>
                <c:ptCount val="1"/>
                <c:pt idx="0">
                  <c:v>2800</c:v>
                </c:pt>
              </c:numCache>
            </c:numRef>
          </c:yVal>
          <c:smooth val="0"/>
        </c:ser>
        <c:dLbls>
          <c:showLegendKey val="0"/>
          <c:showVal val="0"/>
          <c:showCatName val="0"/>
          <c:showSerName val="0"/>
          <c:showPercent val="0"/>
          <c:showBubbleSize val="0"/>
        </c:dLbls>
        <c:axId val="101450496"/>
        <c:axId val="101452416"/>
      </c:scatterChart>
      <c:valAx>
        <c:axId val="101450496"/>
        <c:scaling>
          <c:orientation val="minMax"/>
          <c:max val="4000"/>
          <c:min val="0"/>
        </c:scaling>
        <c:delete val="0"/>
        <c:axPos val="b"/>
        <c:title>
          <c:tx>
            <c:rich>
              <a:bodyPr/>
              <a:lstStyle/>
              <a:p>
                <a:pPr>
                  <a:defRPr sz="1400" b="1" i="0" u="none" strike="noStrike" baseline="0">
                    <a:solidFill>
                      <a:srgbClr val="000000"/>
                    </a:solidFill>
                    <a:latin typeface="Arial"/>
                    <a:ea typeface="Arial"/>
                    <a:cs typeface="Arial"/>
                  </a:defRPr>
                </a:pPr>
                <a:r>
                  <a:rPr lang="en-NZ"/>
                  <a:t>Chloride - ppm</a:t>
                </a:r>
              </a:p>
            </c:rich>
          </c:tx>
          <c:layout>
            <c:manualLayout>
              <c:xMode val="edge"/>
              <c:yMode val="edge"/>
              <c:x val="0.45283018867924557"/>
              <c:y val="0.9477977161500825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n-US"/>
          </a:p>
        </c:txPr>
        <c:crossAx val="101452416"/>
        <c:crosses val="autoZero"/>
        <c:crossBetween val="midCat"/>
      </c:valAx>
      <c:valAx>
        <c:axId val="101452416"/>
        <c:scaling>
          <c:orientation val="minMax"/>
          <c:max val="3000"/>
          <c:min val="0"/>
        </c:scaling>
        <c:delete val="0"/>
        <c:axPos val="l"/>
        <c:title>
          <c:tx>
            <c:rich>
              <a:bodyPr/>
              <a:lstStyle/>
              <a:p>
                <a:pPr>
                  <a:defRPr sz="1400" b="1" i="0" u="none" strike="noStrike" baseline="0">
                    <a:solidFill>
                      <a:srgbClr val="000000"/>
                    </a:solidFill>
                    <a:latin typeface="Arial"/>
                    <a:ea typeface="Arial"/>
                    <a:cs typeface="Arial"/>
                  </a:defRPr>
                </a:pPr>
                <a:r>
                  <a:rPr lang="en-NZ"/>
                  <a:t>Discharge</a:t>
                </a:r>
                <a:r>
                  <a:rPr lang="en-NZ" baseline="0"/>
                  <a:t> </a:t>
                </a:r>
                <a:r>
                  <a:rPr lang="en-NZ"/>
                  <a:t>Enthalpy - kj/kg</a:t>
                </a:r>
              </a:p>
            </c:rich>
          </c:tx>
          <c:layout>
            <c:manualLayout>
              <c:xMode val="edge"/>
              <c:yMode val="edge"/>
              <c:x val="1.3318534961154272E-2"/>
              <c:y val="0.3170201196302338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n-US"/>
          </a:p>
        </c:txPr>
        <c:crossAx val="101450496"/>
        <c:crosses val="autoZero"/>
        <c:crossBetween val="midCat"/>
        <c:majorUnit val="500"/>
      </c:valAx>
      <c:spPr>
        <a:noFill/>
        <a:ln w="3175">
          <a:solidFill>
            <a:srgbClr val="000000"/>
          </a:solidFill>
          <a:prstDash val="solid"/>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764705882352942"/>
          <c:y val="7.667210440456769E-2"/>
          <c:w val="0.82796892341842432"/>
          <c:h val="0.80424143556280625"/>
        </c:manualLayout>
      </c:layout>
      <c:scatterChart>
        <c:scatterStyle val="lineMarker"/>
        <c:varyColors val="0"/>
        <c:ser>
          <c:idx val="12"/>
          <c:order val="0"/>
          <c:tx>
            <c:v>data</c:v>
          </c:tx>
          <c:spPr>
            <a:ln w="28575">
              <a:noFill/>
            </a:ln>
          </c:spPr>
          <c:marker>
            <c:symbol val="diamond"/>
            <c:size val="7"/>
            <c:spPr>
              <a:solidFill>
                <a:srgbClr val="800080"/>
              </a:solidFill>
              <a:ln>
                <a:solidFill>
                  <a:srgbClr val="800080"/>
                </a:solidFill>
                <a:prstDash val="solid"/>
              </a:ln>
            </c:spPr>
          </c:marker>
          <c:dLbls>
            <c:dLbl>
              <c:idx val="0"/>
              <c:tx>
                <c:strRef>
                  <c:f>Input!$AH$8</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
              <c:tx>
                <c:strRef>
                  <c:f>Input!$AH$9</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
              <c:tx>
                <c:strRef>
                  <c:f>Input!$AH$10</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3"/>
              <c:tx>
                <c:strRef>
                  <c:f>Input!$AH$11</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4"/>
              <c:tx>
                <c:strRef>
                  <c:f>Input!$AH$12</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5"/>
              <c:tx>
                <c:strRef>
                  <c:f>Input!$AH$13</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6"/>
              <c:tx>
                <c:strRef>
                  <c:f>Input!$AH$14</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7"/>
              <c:tx>
                <c:strRef>
                  <c:f>Input!$AH$15</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8"/>
              <c:tx>
                <c:strRef>
                  <c:f>Input!$AH$16</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9"/>
              <c:tx>
                <c:strRef>
                  <c:f>Input!$AH$17</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0"/>
              <c:tx>
                <c:strRef>
                  <c:f>Input!$AH$18</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1"/>
              <c:tx>
                <c:strRef>
                  <c:f>Input!$AH$19</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2"/>
              <c:tx>
                <c:strRef>
                  <c:f>Input!$AH$20</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3"/>
              <c:tx>
                <c:strRef>
                  <c:f>Input!$AH$21</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4"/>
              <c:tx>
                <c:strRef>
                  <c:f>Input!$AH$22</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5"/>
              <c:tx>
                <c:strRef>
                  <c:f>Input!$AH$23</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6"/>
              <c:tx>
                <c:strRef>
                  <c:f>Input!$AH$24</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7"/>
              <c:tx>
                <c:strRef>
                  <c:f>Input!$AH$25</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8"/>
              <c:tx>
                <c:strRef>
                  <c:f>Input!$AH$26</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9"/>
              <c:tx>
                <c:strRef>
                  <c:f>Input!$AH$27</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0"/>
              <c:tx>
                <c:strRef>
                  <c:f>Input!$AH$28</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1"/>
              <c:tx>
                <c:strRef>
                  <c:f>Input!$AH$29</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2"/>
              <c:tx>
                <c:strRef>
                  <c:f>Input!$AH$30</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3"/>
              <c:tx>
                <c:strRef>
                  <c:f>Input!$AH$31</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4"/>
              <c:tx>
                <c:strRef>
                  <c:f>Input!$AH$32</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5"/>
              <c:tx>
                <c:strRef>
                  <c:f>Input!$AH$33</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6"/>
              <c:tx>
                <c:strRef>
                  <c:f>Input!$AH$34</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7"/>
              <c:tx>
                <c:strRef>
                  <c:f>Input!$AH$35</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8"/>
              <c:tx>
                <c:strRef>
                  <c:f>Input!$AH$36</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9"/>
              <c:layout/>
              <c:tx>
                <c:strRef>
                  <c:f>Input!$AH$37</c:f>
                  <c:strCache>
                    <c:ptCount val="1"/>
                    <c:pt idx="0">
                      <c:v>0</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showLegendKey val="0"/>
            <c:showVal val="0"/>
            <c:showCatName val="0"/>
            <c:showSerName val="0"/>
            <c:showPercent val="0"/>
            <c:showBubbleSize val="0"/>
          </c:dLbls>
          <c:xVal>
            <c:numRef>
              <c:f>Input!$DD$8:$DD$37</c:f>
              <c:numCache>
                <c:formatCode>0</c:formatCode>
                <c:ptCount val="30"/>
                <c:pt idx="0">
                  <c:v>-999</c:v>
                </c:pt>
                <c:pt idx="1">
                  <c:v>-999</c:v>
                </c:pt>
                <c:pt idx="2">
                  <c:v>-999</c:v>
                </c:pt>
                <c:pt idx="3">
                  <c:v>-999</c:v>
                </c:pt>
                <c:pt idx="4">
                  <c:v>-999</c:v>
                </c:pt>
                <c:pt idx="5">
                  <c:v>-999</c:v>
                </c:pt>
                <c:pt idx="6">
                  <c:v>-999</c:v>
                </c:pt>
                <c:pt idx="7">
                  <c:v>-999</c:v>
                </c:pt>
                <c:pt idx="8">
                  <c:v>-999</c:v>
                </c:pt>
                <c:pt idx="9">
                  <c:v>-999</c:v>
                </c:pt>
                <c:pt idx="10">
                  <c:v>-999</c:v>
                </c:pt>
                <c:pt idx="11">
                  <c:v>-999</c:v>
                </c:pt>
                <c:pt idx="12">
                  <c:v>-999</c:v>
                </c:pt>
                <c:pt idx="13">
                  <c:v>-999</c:v>
                </c:pt>
                <c:pt idx="14">
                  <c:v>-999</c:v>
                </c:pt>
                <c:pt idx="15">
                  <c:v>-999</c:v>
                </c:pt>
                <c:pt idx="16">
                  <c:v>-999</c:v>
                </c:pt>
                <c:pt idx="17">
                  <c:v>-999</c:v>
                </c:pt>
                <c:pt idx="18">
                  <c:v>-999</c:v>
                </c:pt>
                <c:pt idx="19">
                  <c:v>-999</c:v>
                </c:pt>
                <c:pt idx="20">
                  <c:v>-999</c:v>
                </c:pt>
                <c:pt idx="21">
                  <c:v>-999</c:v>
                </c:pt>
                <c:pt idx="22">
                  <c:v>-999</c:v>
                </c:pt>
                <c:pt idx="23">
                  <c:v>-999</c:v>
                </c:pt>
                <c:pt idx="24">
                  <c:v>-999</c:v>
                </c:pt>
                <c:pt idx="25">
                  <c:v>-999</c:v>
                </c:pt>
                <c:pt idx="26">
                  <c:v>-999</c:v>
                </c:pt>
                <c:pt idx="27">
                  <c:v>-999</c:v>
                </c:pt>
                <c:pt idx="28">
                  <c:v>-999</c:v>
                </c:pt>
                <c:pt idx="29" formatCode="General">
                  <c:v>417</c:v>
                </c:pt>
              </c:numCache>
            </c:numRef>
          </c:xVal>
          <c:yVal>
            <c:numRef>
              <c:f>Input!$DE$8:$DE$37</c:f>
              <c:numCache>
                <c:formatCode>0.0</c:formatCode>
                <c:ptCount val="30"/>
                <c:pt idx="0">
                  <c:v>-999</c:v>
                </c:pt>
                <c:pt idx="1">
                  <c:v>-999</c:v>
                </c:pt>
                <c:pt idx="2">
                  <c:v>-999</c:v>
                </c:pt>
                <c:pt idx="3">
                  <c:v>-999</c:v>
                </c:pt>
                <c:pt idx="4">
                  <c:v>-999</c:v>
                </c:pt>
                <c:pt idx="5">
                  <c:v>-999</c:v>
                </c:pt>
                <c:pt idx="6">
                  <c:v>-999</c:v>
                </c:pt>
                <c:pt idx="7">
                  <c:v>-999</c:v>
                </c:pt>
                <c:pt idx="8">
                  <c:v>-999</c:v>
                </c:pt>
                <c:pt idx="9">
                  <c:v>-999</c:v>
                </c:pt>
                <c:pt idx="10">
                  <c:v>-999</c:v>
                </c:pt>
                <c:pt idx="11">
                  <c:v>-999</c:v>
                </c:pt>
                <c:pt idx="12">
                  <c:v>-999</c:v>
                </c:pt>
                <c:pt idx="13">
                  <c:v>-999</c:v>
                </c:pt>
                <c:pt idx="14">
                  <c:v>-999</c:v>
                </c:pt>
                <c:pt idx="15">
                  <c:v>-999</c:v>
                </c:pt>
                <c:pt idx="16">
                  <c:v>-999</c:v>
                </c:pt>
                <c:pt idx="17">
                  <c:v>-999</c:v>
                </c:pt>
                <c:pt idx="18">
                  <c:v>-999</c:v>
                </c:pt>
                <c:pt idx="19">
                  <c:v>-999</c:v>
                </c:pt>
                <c:pt idx="20">
                  <c:v>-999</c:v>
                </c:pt>
                <c:pt idx="21">
                  <c:v>-999</c:v>
                </c:pt>
                <c:pt idx="22">
                  <c:v>-999</c:v>
                </c:pt>
                <c:pt idx="23">
                  <c:v>-999</c:v>
                </c:pt>
                <c:pt idx="24">
                  <c:v>-999</c:v>
                </c:pt>
                <c:pt idx="25">
                  <c:v>-999</c:v>
                </c:pt>
                <c:pt idx="26">
                  <c:v>-999</c:v>
                </c:pt>
                <c:pt idx="27">
                  <c:v>-999</c:v>
                </c:pt>
                <c:pt idx="28">
                  <c:v>-999</c:v>
                </c:pt>
                <c:pt idx="29" formatCode="General">
                  <c:v>283.16162575116073</c:v>
                </c:pt>
              </c:numCache>
            </c:numRef>
          </c:yVal>
          <c:smooth val="0"/>
        </c:ser>
        <c:ser>
          <c:idx val="0"/>
          <c:order val="1"/>
          <c:tx>
            <c:v>steam</c:v>
          </c:tx>
          <c:spPr>
            <a:ln w="28575">
              <a:noFill/>
            </a:ln>
          </c:spPr>
          <c:marker>
            <c:symbol val="square"/>
            <c:size val="9"/>
            <c:spPr>
              <a:noFill/>
              <a:ln>
                <a:solidFill>
                  <a:srgbClr val="000080"/>
                </a:solidFill>
                <a:prstDash val="solid"/>
              </a:ln>
            </c:spPr>
          </c:marker>
          <c:dLbls>
            <c:dLbl>
              <c:idx val="0"/>
              <c:layout/>
              <c:tx>
                <c:rich>
                  <a:bodyPr/>
                  <a:lstStyle/>
                  <a:p>
                    <a:pPr>
                      <a:defRPr sz="1200" b="1" i="0" u="none" strike="noStrike" baseline="0">
                        <a:solidFill>
                          <a:srgbClr val="333399"/>
                        </a:solidFill>
                        <a:latin typeface="Arial"/>
                        <a:ea typeface="Arial"/>
                        <a:cs typeface="Arial"/>
                      </a:defRPr>
                    </a:pPr>
                    <a:r>
                      <a:rPr lang="en-NZ"/>
                      <a:t>Steam</a:t>
                    </a:r>
                  </a:p>
                </c:rich>
              </c:tx>
              <c:spPr>
                <a:noFill/>
                <a:ln w="25400">
                  <a:noFill/>
                </a:ln>
              </c:spPr>
              <c:showLegendKey val="0"/>
              <c:showVal val="0"/>
              <c:showCatName val="0"/>
              <c:showSerName val="0"/>
              <c:showPercent val="0"/>
              <c:showBubbleSize val="0"/>
            </c:dLbl>
            <c:spPr>
              <a:noFill/>
              <a:ln w="25400">
                <a:noFill/>
              </a:ln>
            </c:spPr>
            <c:txPr>
              <a:bodyPr/>
              <a:lstStyle/>
              <a:p>
                <a:pPr>
                  <a:defRPr sz="1200" b="0" i="0" u="none" strike="noStrike" baseline="0">
                    <a:solidFill>
                      <a:srgbClr val="333399"/>
                    </a:solidFill>
                    <a:latin typeface="Arial"/>
                    <a:ea typeface="Arial"/>
                    <a:cs typeface="Arial"/>
                  </a:defRPr>
                </a:pPr>
                <a:endParaRPr lang="en-US"/>
              </a:p>
            </c:txPr>
            <c:showLegendKey val="0"/>
            <c:showVal val="1"/>
            <c:showCatName val="0"/>
            <c:showSerName val="0"/>
            <c:showPercent val="0"/>
            <c:showBubbleSize val="0"/>
            <c:showLeaderLines val="0"/>
          </c:dLbls>
          <c:xVal>
            <c:numRef>
              <c:f>Ref!$A$26</c:f>
              <c:numCache>
                <c:formatCode>General</c:formatCode>
                <c:ptCount val="1"/>
                <c:pt idx="0">
                  <c:v>0</c:v>
                </c:pt>
              </c:numCache>
            </c:numRef>
          </c:xVal>
          <c:yVal>
            <c:numRef>
              <c:f>Ref!$B$26</c:f>
              <c:numCache>
                <c:formatCode>General</c:formatCode>
                <c:ptCount val="1"/>
                <c:pt idx="0">
                  <c:v>2800</c:v>
                </c:pt>
              </c:numCache>
            </c:numRef>
          </c:yVal>
          <c:smooth val="0"/>
        </c:ser>
        <c:dLbls>
          <c:showLegendKey val="0"/>
          <c:showVal val="0"/>
          <c:showCatName val="0"/>
          <c:showSerName val="0"/>
          <c:showPercent val="0"/>
          <c:showBubbleSize val="0"/>
        </c:dLbls>
        <c:axId val="101602816"/>
        <c:axId val="101604736"/>
      </c:scatterChart>
      <c:valAx>
        <c:axId val="101602816"/>
        <c:scaling>
          <c:orientation val="minMax"/>
          <c:max val="4000"/>
          <c:min val="0"/>
        </c:scaling>
        <c:delete val="0"/>
        <c:axPos val="b"/>
        <c:title>
          <c:tx>
            <c:rich>
              <a:bodyPr/>
              <a:lstStyle/>
              <a:p>
                <a:pPr>
                  <a:defRPr sz="1400" b="1" i="0" u="none" strike="noStrike" baseline="0">
                    <a:solidFill>
                      <a:srgbClr val="000000"/>
                    </a:solidFill>
                    <a:latin typeface="Arial"/>
                    <a:ea typeface="Arial"/>
                    <a:cs typeface="Arial"/>
                  </a:defRPr>
                </a:pPr>
                <a:r>
                  <a:rPr lang="en-NZ"/>
                  <a:t>Chloride - ppm</a:t>
                </a:r>
              </a:p>
            </c:rich>
          </c:tx>
          <c:layout>
            <c:manualLayout>
              <c:xMode val="edge"/>
              <c:yMode val="edge"/>
              <c:x val="0.45283018867924552"/>
              <c:y val="0.94779771615008235"/>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n-US"/>
          </a:p>
        </c:txPr>
        <c:crossAx val="101604736"/>
        <c:crosses val="autoZero"/>
        <c:crossBetween val="midCat"/>
      </c:valAx>
      <c:valAx>
        <c:axId val="101604736"/>
        <c:scaling>
          <c:orientation val="minMax"/>
          <c:max val="3000"/>
          <c:min val="0"/>
        </c:scaling>
        <c:delete val="0"/>
        <c:axPos val="l"/>
        <c:title>
          <c:tx>
            <c:rich>
              <a:bodyPr/>
              <a:lstStyle/>
              <a:p>
                <a:pPr>
                  <a:defRPr sz="1400" b="1" i="0" u="none" strike="noStrike" baseline="0">
                    <a:solidFill>
                      <a:srgbClr val="000000"/>
                    </a:solidFill>
                    <a:latin typeface="Arial"/>
                    <a:ea typeface="Arial"/>
                    <a:cs typeface="Arial"/>
                  </a:defRPr>
                </a:pPr>
                <a:r>
                  <a:rPr lang="en-NZ"/>
                  <a:t>Quartz Geothermometer Enthalpy - kj/kg</a:t>
                </a:r>
              </a:p>
            </c:rich>
          </c:tx>
          <c:layout>
            <c:manualLayout>
              <c:xMode val="edge"/>
              <c:yMode val="edge"/>
              <c:x val="1.3318534961154272E-2"/>
              <c:y val="0.171288743882544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n-US"/>
          </a:p>
        </c:txPr>
        <c:crossAx val="101602816"/>
        <c:crosses val="autoZero"/>
        <c:crossBetween val="midCat"/>
        <c:majorUnit val="500"/>
      </c:valAx>
      <c:spPr>
        <a:noFill/>
        <a:ln w="3175">
          <a:solidFill>
            <a:srgbClr val="000000"/>
          </a:solidFill>
          <a:prstDash val="solid"/>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669256381798006E-2"/>
          <c:y val="8.4828711256117434E-2"/>
          <c:w val="0.84905660377358538"/>
          <c:h val="0.81402936378466551"/>
        </c:manualLayout>
      </c:layout>
      <c:scatterChart>
        <c:scatterStyle val="smoothMarker"/>
        <c:varyColors val="0"/>
        <c:ser>
          <c:idx val="0"/>
          <c:order val="0"/>
          <c:tx>
            <c:v>Equilibration line</c:v>
          </c:tx>
          <c:spPr>
            <a:ln w="38100">
              <a:solidFill>
                <a:srgbClr val="808080"/>
              </a:solidFill>
              <a:prstDash val="solid"/>
            </a:ln>
          </c:spPr>
          <c:marker>
            <c:symbol val="plus"/>
            <c:size val="10"/>
            <c:spPr>
              <a:noFill/>
              <a:ln>
                <a:solidFill>
                  <a:srgbClr val="808080"/>
                </a:solidFill>
                <a:prstDash val="solid"/>
              </a:ln>
            </c:spPr>
          </c:marker>
          <c:dLbls>
            <c:dLbl>
              <c:idx val="0"/>
              <c:layout/>
              <c:tx>
                <c:strRef>
                  <c:f>Ref!$B$31</c:f>
                  <c:strCache>
                    <c:ptCount val="1"/>
                    <c:pt idx="0">
                      <c:v>40</c:v>
                    </c:pt>
                  </c:strCache>
                </c:strRef>
              </c:tx>
              <c:dLblPos val="t"/>
              <c:showLegendKey val="0"/>
              <c:showVal val="0"/>
              <c:showCatName val="0"/>
              <c:showSerName val="0"/>
              <c:showPercent val="0"/>
              <c:showBubbleSize val="0"/>
            </c:dLbl>
            <c:dLbl>
              <c:idx val="1"/>
              <c:layout/>
              <c:tx>
                <c:strRef>
                  <c:f>Ref!$B$32</c:f>
                  <c:strCache>
                    <c:ptCount val="1"/>
                    <c:pt idx="0">
                      <c:v>60</c:v>
                    </c:pt>
                  </c:strCache>
                </c:strRef>
              </c:tx>
              <c:dLblPos val="t"/>
              <c:showLegendKey val="0"/>
              <c:showVal val="0"/>
              <c:showCatName val="0"/>
              <c:showSerName val="0"/>
              <c:showPercent val="0"/>
              <c:showBubbleSize val="0"/>
            </c:dLbl>
            <c:dLbl>
              <c:idx val="2"/>
              <c:layout/>
              <c:tx>
                <c:strRef>
                  <c:f>Ref!$B$33</c:f>
                  <c:strCache>
                    <c:ptCount val="1"/>
                    <c:pt idx="0">
                      <c:v>80</c:v>
                    </c:pt>
                  </c:strCache>
                </c:strRef>
              </c:tx>
              <c:dLblPos val="t"/>
              <c:showLegendKey val="0"/>
              <c:showVal val="0"/>
              <c:showCatName val="0"/>
              <c:showSerName val="0"/>
              <c:showPercent val="0"/>
              <c:showBubbleSize val="0"/>
            </c:dLbl>
            <c:dLbl>
              <c:idx val="3"/>
              <c:layout/>
              <c:tx>
                <c:strRef>
                  <c:f>Ref!$B$34</c:f>
                  <c:strCache>
                    <c:ptCount val="1"/>
                    <c:pt idx="0">
                      <c:v>100</c:v>
                    </c:pt>
                  </c:strCache>
                </c:strRef>
              </c:tx>
              <c:dLblPos val="t"/>
              <c:showLegendKey val="0"/>
              <c:showVal val="0"/>
              <c:showCatName val="0"/>
              <c:showSerName val="0"/>
              <c:showPercent val="0"/>
              <c:showBubbleSize val="0"/>
            </c:dLbl>
            <c:dLbl>
              <c:idx val="4"/>
              <c:layout/>
              <c:tx>
                <c:strRef>
                  <c:f>Ref!$B$35</c:f>
                  <c:strCache>
                    <c:ptCount val="1"/>
                    <c:pt idx="0">
                      <c:v>120</c:v>
                    </c:pt>
                  </c:strCache>
                </c:strRef>
              </c:tx>
              <c:dLblPos val="t"/>
              <c:showLegendKey val="0"/>
              <c:showVal val="0"/>
              <c:showCatName val="0"/>
              <c:showSerName val="0"/>
              <c:showPercent val="0"/>
              <c:showBubbleSize val="0"/>
            </c:dLbl>
            <c:dLbl>
              <c:idx val="5"/>
              <c:layout/>
              <c:tx>
                <c:strRef>
                  <c:f>Ref!$B$36</c:f>
                  <c:strCache>
                    <c:ptCount val="1"/>
                    <c:pt idx="0">
                      <c:v>140</c:v>
                    </c:pt>
                  </c:strCache>
                </c:strRef>
              </c:tx>
              <c:dLblPos val="t"/>
              <c:showLegendKey val="0"/>
              <c:showVal val="0"/>
              <c:showCatName val="0"/>
              <c:showSerName val="0"/>
              <c:showPercent val="0"/>
              <c:showBubbleSize val="0"/>
            </c:dLbl>
            <c:dLbl>
              <c:idx val="6"/>
              <c:layout/>
              <c:tx>
                <c:strRef>
                  <c:f>Ref!$B$37</c:f>
                  <c:strCache>
                    <c:ptCount val="1"/>
                    <c:pt idx="0">
                      <c:v>160</c:v>
                    </c:pt>
                  </c:strCache>
                </c:strRef>
              </c:tx>
              <c:dLblPos val="t"/>
              <c:showLegendKey val="0"/>
              <c:showVal val="0"/>
              <c:showCatName val="0"/>
              <c:showSerName val="0"/>
              <c:showPercent val="0"/>
              <c:showBubbleSize val="0"/>
            </c:dLbl>
            <c:dLbl>
              <c:idx val="7"/>
              <c:layout/>
              <c:tx>
                <c:strRef>
                  <c:f>Ref!$B$38</c:f>
                  <c:strCache>
                    <c:ptCount val="1"/>
                    <c:pt idx="0">
                      <c:v>180</c:v>
                    </c:pt>
                  </c:strCache>
                </c:strRef>
              </c:tx>
              <c:dLblPos val="t"/>
              <c:showLegendKey val="0"/>
              <c:showVal val="0"/>
              <c:showCatName val="0"/>
              <c:showSerName val="0"/>
              <c:showPercent val="0"/>
              <c:showBubbleSize val="0"/>
            </c:dLbl>
            <c:dLbl>
              <c:idx val="8"/>
              <c:layout/>
              <c:tx>
                <c:strRef>
                  <c:f>Ref!$B$39</c:f>
                  <c:strCache>
                    <c:ptCount val="1"/>
                    <c:pt idx="0">
                      <c:v>200</c:v>
                    </c:pt>
                  </c:strCache>
                </c:strRef>
              </c:tx>
              <c:dLblPos val="t"/>
              <c:showLegendKey val="0"/>
              <c:showVal val="0"/>
              <c:showCatName val="0"/>
              <c:showSerName val="0"/>
              <c:showPercent val="0"/>
              <c:showBubbleSize val="0"/>
            </c:dLbl>
            <c:dLbl>
              <c:idx val="9"/>
              <c:layout/>
              <c:tx>
                <c:strRef>
                  <c:f>Ref!$B$40</c:f>
                  <c:strCache>
                    <c:ptCount val="1"/>
                    <c:pt idx="0">
                      <c:v>220</c:v>
                    </c:pt>
                  </c:strCache>
                </c:strRef>
              </c:tx>
              <c:dLblPos val="t"/>
              <c:showLegendKey val="0"/>
              <c:showVal val="0"/>
              <c:showCatName val="0"/>
              <c:showSerName val="0"/>
              <c:showPercent val="0"/>
              <c:showBubbleSize val="0"/>
            </c:dLbl>
            <c:dLbl>
              <c:idx val="10"/>
              <c:layout/>
              <c:tx>
                <c:strRef>
                  <c:f>Ref!$B$41</c:f>
                  <c:strCache>
                    <c:ptCount val="1"/>
                    <c:pt idx="0">
                      <c:v>240</c:v>
                    </c:pt>
                  </c:strCache>
                </c:strRef>
              </c:tx>
              <c:dLblPos val="t"/>
              <c:showLegendKey val="0"/>
              <c:showVal val="0"/>
              <c:showCatName val="0"/>
              <c:showSerName val="0"/>
              <c:showPercent val="0"/>
              <c:showBubbleSize val="0"/>
            </c:dLbl>
            <c:dLbl>
              <c:idx val="11"/>
              <c:layout/>
              <c:tx>
                <c:strRef>
                  <c:f>Ref!$B$42</c:f>
                  <c:strCache>
                    <c:ptCount val="1"/>
                    <c:pt idx="0">
                      <c:v>260</c:v>
                    </c:pt>
                  </c:strCache>
                </c:strRef>
              </c:tx>
              <c:dLblPos val="t"/>
              <c:showLegendKey val="0"/>
              <c:showVal val="0"/>
              <c:showCatName val="0"/>
              <c:showSerName val="0"/>
              <c:showPercent val="0"/>
              <c:showBubbleSize val="0"/>
            </c:dLbl>
            <c:dLbl>
              <c:idx val="12"/>
              <c:layout/>
              <c:tx>
                <c:strRef>
                  <c:f>Ref!$B$43</c:f>
                  <c:strCache>
                    <c:ptCount val="1"/>
                    <c:pt idx="0">
                      <c:v>280</c:v>
                    </c:pt>
                  </c:strCache>
                </c:strRef>
              </c:tx>
              <c:dLblPos val="t"/>
              <c:showLegendKey val="0"/>
              <c:showVal val="0"/>
              <c:showCatName val="0"/>
              <c:showSerName val="0"/>
              <c:showPercent val="0"/>
              <c:showBubbleSize val="0"/>
            </c:dLbl>
            <c:dLbl>
              <c:idx val="13"/>
              <c:layout/>
              <c:tx>
                <c:strRef>
                  <c:f>Ref!$B$44</c:f>
                  <c:strCache>
                    <c:ptCount val="1"/>
                    <c:pt idx="0">
                      <c:v>300</c:v>
                    </c:pt>
                  </c:strCache>
                </c:strRef>
              </c:tx>
              <c:dLblPos val="t"/>
              <c:showLegendKey val="0"/>
              <c:showVal val="0"/>
              <c:showCatName val="0"/>
              <c:showSerName val="0"/>
              <c:showPercent val="0"/>
              <c:showBubbleSize val="0"/>
            </c:dLbl>
            <c:dLbl>
              <c:idx val="14"/>
              <c:layout/>
              <c:tx>
                <c:strRef>
                  <c:f>Ref!$B$45</c:f>
                  <c:strCache>
                    <c:ptCount val="1"/>
                    <c:pt idx="0">
                      <c:v>320</c:v>
                    </c:pt>
                  </c:strCache>
                </c:strRef>
              </c:tx>
              <c:dLblPos val="t"/>
              <c:showLegendKey val="0"/>
              <c:showVal val="0"/>
              <c:showCatName val="0"/>
              <c:showSerName val="0"/>
              <c:showPercent val="0"/>
              <c:showBubbleSize val="0"/>
            </c:dLbl>
            <c:dLbl>
              <c:idx val="15"/>
              <c:layout/>
              <c:tx>
                <c:strRef>
                  <c:f>Ref!$B$46</c:f>
                  <c:strCache>
                    <c:ptCount val="1"/>
                    <c:pt idx="0">
                      <c:v>340</c:v>
                    </c:pt>
                  </c:strCache>
                </c:strRef>
              </c:tx>
              <c:dLblPos val="t"/>
              <c:showLegendKey val="0"/>
              <c:showVal val="0"/>
              <c:showCatName val="0"/>
              <c:showSerName val="0"/>
              <c:showPercent val="0"/>
              <c:showBubbleSize val="0"/>
            </c:dLbl>
            <c:spPr>
              <a:noFill/>
              <a:ln w="25400">
                <a:noFill/>
              </a:ln>
            </c:spPr>
            <c:txPr>
              <a:bodyPr rot="-5400000" vert="horz"/>
              <a:lstStyle/>
              <a:p>
                <a:pPr algn="ctr">
                  <a:defRPr sz="1375" b="1" i="0" u="none" strike="noStrike" baseline="0">
                    <a:solidFill>
                      <a:srgbClr val="808080"/>
                    </a:solidFill>
                    <a:latin typeface="Arial"/>
                    <a:ea typeface="Arial"/>
                    <a:cs typeface="Arial"/>
                  </a:defRPr>
                </a:pPr>
                <a:endParaRPr lang="en-US"/>
              </a:p>
            </c:txPr>
            <c:dLblPos val="t"/>
            <c:showLegendKey val="0"/>
            <c:showVal val="1"/>
            <c:showCatName val="0"/>
            <c:showSerName val="0"/>
            <c:showPercent val="0"/>
            <c:showBubbleSize val="0"/>
            <c:showLeaderLines val="0"/>
          </c:dLbls>
          <c:xVal>
            <c:numRef>
              <c:f>Ref!$Z$31:$Z$46</c:f>
              <c:numCache>
                <c:formatCode>General</c:formatCode>
                <c:ptCount val="16"/>
                <c:pt idx="0">
                  <c:v>1.9968501064147853E-2</c:v>
                </c:pt>
                <c:pt idx="1">
                  <c:v>3.6288810060217606E-2</c:v>
                </c:pt>
                <c:pt idx="2">
                  <c:v>6.0955001999861105E-2</c:v>
                </c:pt>
                <c:pt idx="3">
                  <c:v>9.5472882812075915E-2</c:v>
                </c:pt>
                <c:pt idx="4">
                  <c:v>0.14040934437030381</c:v>
                </c:pt>
                <c:pt idx="5">
                  <c:v>0.19505199438092324</c:v>
                </c:pt>
                <c:pt idx="6">
                  <c:v>0.25739328348301971</c:v>
                </c:pt>
                <c:pt idx="7">
                  <c:v>0.3244888866060579</c:v>
                </c:pt>
                <c:pt idx="8">
                  <c:v>0.39305873260504343</c:v>
                </c:pt>
                <c:pt idx="9">
                  <c:v>0.4600934094033553</c:v>
                </c:pt>
                <c:pt idx="10">
                  <c:v>0.52326712161282107</c:v>
                </c:pt>
                <c:pt idx="11">
                  <c:v>0.58108854328459969</c:v>
                </c:pt>
                <c:pt idx="12">
                  <c:v>0.63283949298880904</c:v>
                </c:pt>
                <c:pt idx="13">
                  <c:v>0.67840061815532415</c:v>
                </c:pt>
                <c:pt idx="14">
                  <c:v>0.71805182814961976</c:v>
                </c:pt>
                <c:pt idx="15">
                  <c:v>0.75229924484338573</c:v>
                </c:pt>
              </c:numCache>
            </c:numRef>
          </c:xVal>
          <c:yVal>
            <c:numRef>
              <c:f>Ref!$Y$31:$Y$46</c:f>
              <c:numCache>
                <c:formatCode>0.0000</c:formatCode>
                <c:ptCount val="16"/>
                <c:pt idx="0">
                  <c:v>0.90550004391218819</c:v>
                </c:pt>
                <c:pt idx="1">
                  <c:v>0.74745368145582547</c:v>
                </c:pt>
                <c:pt idx="2">
                  <c:v>0.53271772926928074</c:v>
                </c:pt>
                <c:pt idx="3">
                  <c:v>0.34576971109236387</c:v>
                </c:pt>
                <c:pt idx="4">
                  <c:v>0.22279667122856842</c:v>
                </c:pt>
                <c:pt idx="5">
                  <c:v>0.15096955218729086</c:v>
                </c:pt>
                <c:pt idx="6">
                  <c:v>0.11017027086007089</c:v>
                </c:pt>
                <c:pt idx="7">
                  <c:v>8.7009303060141444E-2</c:v>
                </c:pt>
                <c:pt idx="8">
                  <c:v>7.413367329121956E-2</c:v>
                </c:pt>
                <c:pt idx="9">
                  <c:v>6.7729112997958266E-2</c:v>
                </c:pt>
                <c:pt idx="10">
                  <c:v>6.5899884560223942E-2</c:v>
                </c:pt>
                <c:pt idx="11">
                  <c:v>6.7829200075631271E-2</c:v>
                </c:pt>
                <c:pt idx="12">
                  <c:v>7.3381175278407595E-2</c:v>
                </c:pt>
                <c:pt idx="13">
                  <c:v>8.2934535625309697E-2</c:v>
                </c:pt>
                <c:pt idx="14">
                  <c:v>9.7339004982072444E-2</c:v>
                </c:pt>
                <c:pt idx="15" formatCode="General">
                  <c:v>0.11793143619934408</c:v>
                </c:pt>
              </c:numCache>
            </c:numRef>
          </c:yVal>
          <c:smooth val="1"/>
        </c:ser>
        <c:ser>
          <c:idx val="1"/>
          <c:order val="1"/>
          <c:tx>
            <c:v>ROCKS</c:v>
          </c:tx>
          <c:spPr>
            <a:ln w="28575">
              <a:noFill/>
            </a:ln>
          </c:spPr>
          <c:marker>
            <c:symbol val="square"/>
            <c:size val="8"/>
            <c:spPr>
              <a:solidFill>
                <a:srgbClr val="C0C0C0"/>
              </a:solidFill>
              <a:ln>
                <a:solidFill>
                  <a:srgbClr val="800080"/>
                </a:solidFill>
                <a:prstDash val="solid"/>
              </a:ln>
            </c:spPr>
          </c:marker>
          <c:dLbls>
            <c:dLbl>
              <c:idx val="0"/>
              <c:layout/>
              <c:tx>
                <c:strRef>
                  <c:f>Ref!$B$4</c:f>
                  <c:strCache>
                    <c:ptCount val="1"/>
                    <c:pt idx="0">
                      <c:v>Granite</c:v>
                    </c:pt>
                  </c:strCache>
                </c:strRef>
              </c:tx>
              <c:dLblPos val="l"/>
              <c:showLegendKey val="0"/>
              <c:showVal val="0"/>
              <c:showCatName val="0"/>
              <c:showSerName val="0"/>
              <c:showPercent val="0"/>
              <c:showBubbleSize val="0"/>
            </c:dLbl>
            <c:dLbl>
              <c:idx val="1"/>
              <c:layout>
                <c:manualLayout>
                  <c:x val="-5.2901267474722649E-5"/>
                  <c:y val="-3.1244300008991558E-3"/>
                </c:manualLayout>
              </c:layout>
              <c:tx>
                <c:strRef>
                  <c:f>Ref!$B$5</c:f>
                  <c:strCache>
                    <c:ptCount val="1"/>
                    <c:pt idx="0">
                      <c:v>Diorite</c:v>
                    </c:pt>
                  </c:strCache>
                </c:strRef>
              </c:tx>
              <c:dLblPos val="r"/>
              <c:showLegendKey val="0"/>
              <c:showVal val="0"/>
              <c:showCatName val="0"/>
              <c:showSerName val="0"/>
              <c:showPercent val="0"/>
              <c:showBubbleSize val="0"/>
            </c:dLbl>
            <c:dLbl>
              <c:idx val="2"/>
              <c:layout>
                <c:manualLayout>
                  <c:x val="-8.1733273906799464E-2"/>
                  <c:y val="-9.6877368306123573E-3"/>
                </c:manualLayout>
              </c:layout>
              <c:tx>
                <c:strRef>
                  <c:f>Ref!$B$6</c:f>
                  <c:strCache>
                    <c:ptCount val="1"/>
                    <c:pt idx="0">
                      <c:v>Basalt</c:v>
                    </c:pt>
                  </c:strCache>
                </c:strRef>
              </c:tx>
              <c:dLblPos val="r"/>
              <c:showLegendKey val="0"/>
              <c:showVal val="0"/>
              <c:showCatName val="0"/>
              <c:showSerName val="0"/>
              <c:showPercent val="0"/>
              <c:showBubbleSize val="0"/>
            </c:dLbl>
            <c:dLbl>
              <c:idx val="3"/>
              <c:layout/>
              <c:tx>
                <c:strRef>
                  <c:f>Ref!$B$7</c:f>
                  <c:strCache>
                    <c:ptCount val="1"/>
                    <c:pt idx="0">
                      <c:v>Ultramafic</c:v>
                    </c:pt>
                  </c:strCache>
                </c:strRef>
              </c:tx>
              <c:dLblPos val="l"/>
              <c:showLegendKey val="0"/>
              <c:showVal val="0"/>
              <c:showCatName val="0"/>
              <c:showSerName val="0"/>
              <c:showPercent val="0"/>
              <c:showBubbleSize val="0"/>
            </c:dLbl>
            <c:dLbl>
              <c:idx val="4"/>
              <c:layout>
                <c:manualLayout>
                  <c:x val="-6.3240785245906372E-2"/>
                  <c:y val="1.2054137604740707E-2"/>
                </c:manualLayout>
              </c:layout>
              <c:tx>
                <c:strRef>
                  <c:f>Ref!$B$8</c:f>
                  <c:strCache>
                    <c:ptCount val="1"/>
                    <c:pt idx="0">
                      <c:v>Limestone</c:v>
                    </c:pt>
                  </c:strCache>
                </c:strRef>
              </c:tx>
              <c:dLblPos val="r"/>
              <c:showLegendKey val="0"/>
              <c:showVal val="0"/>
              <c:showCatName val="0"/>
              <c:showSerName val="0"/>
              <c:showPercent val="0"/>
              <c:showBubbleSize val="0"/>
            </c:dLbl>
            <c:dLbl>
              <c:idx val="5"/>
              <c:layout/>
              <c:tx>
                <c:strRef>
                  <c:f>Ref!$B$9</c:f>
                  <c:strCache>
                    <c:ptCount val="1"/>
                    <c:pt idx="0">
                      <c:v>Sandstone</c:v>
                    </c:pt>
                  </c:strCache>
                </c:strRef>
              </c:tx>
              <c:dLblPos val="l"/>
              <c:showLegendKey val="0"/>
              <c:showVal val="0"/>
              <c:showCatName val="0"/>
              <c:showSerName val="0"/>
              <c:showPercent val="0"/>
              <c:showBubbleSize val="0"/>
            </c:dLbl>
            <c:dLbl>
              <c:idx val="6"/>
              <c:layout/>
              <c:tx>
                <c:strRef>
                  <c:f>Ref!$B$10</c:f>
                  <c:strCache>
                    <c:ptCount val="1"/>
                    <c:pt idx="0">
                      <c:v>Shale</c:v>
                    </c:pt>
                  </c:strCache>
                </c:strRef>
              </c:tx>
              <c:dLblPos val="l"/>
              <c:showLegendKey val="0"/>
              <c:showVal val="0"/>
              <c:showCatName val="0"/>
              <c:showSerName val="0"/>
              <c:showPercent val="0"/>
              <c:showBubbleSize val="0"/>
            </c:dLbl>
            <c:dLbl>
              <c:idx val="7"/>
              <c:layout/>
              <c:tx>
                <c:strRef>
                  <c:f>Ref!$B$11</c:f>
                  <c:strCache>
                    <c:ptCount val="1"/>
                    <c:pt idx="0">
                      <c:v>Seawater</c:v>
                    </c:pt>
                  </c:strCache>
                </c:strRef>
              </c:tx>
              <c:dLblPos val="l"/>
              <c:showLegendKey val="0"/>
              <c:showVal val="0"/>
              <c:showCatName val="0"/>
              <c:showSerName val="0"/>
              <c:showPercent val="0"/>
              <c:showBubbleSize val="0"/>
            </c:dLbl>
            <c:spPr>
              <a:noFill/>
              <a:ln w="25400">
                <a:noFill/>
              </a:ln>
            </c:spPr>
            <c:txPr>
              <a:bodyPr/>
              <a:lstStyle/>
              <a:p>
                <a:pPr algn="l">
                  <a:defRPr sz="1200" b="1" i="0" u="none" strike="noStrike" baseline="0">
                    <a:solidFill>
                      <a:srgbClr val="808080"/>
                    </a:solidFill>
                    <a:latin typeface="Arial"/>
                    <a:ea typeface="Arial"/>
                    <a:cs typeface="Arial"/>
                  </a:defRPr>
                </a:pPr>
                <a:endParaRPr lang="en-US"/>
              </a:p>
            </c:txPr>
            <c:dLblPos val="l"/>
            <c:showLegendKey val="0"/>
            <c:showVal val="1"/>
            <c:showCatName val="0"/>
            <c:showSerName val="0"/>
            <c:showPercent val="0"/>
            <c:showBubbleSize val="0"/>
            <c:showLeaderLines val="0"/>
          </c:dLbls>
          <c:xVal>
            <c:numRef>
              <c:f>Ref!$AP$4:$AP$11</c:f>
              <c:numCache>
                <c:formatCode>0.00</c:formatCode>
                <c:ptCount val="8"/>
                <c:pt idx="0">
                  <c:v>0.92672413793103448</c:v>
                </c:pt>
                <c:pt idx="1">
                  <c:v>0.8571428571428571</c:v>
                </c:pt>
                <c:pt idx="2">
                  <c:v>0.83700440528634357</c:v>
                </c:pt>
                <c:pt idx="3">
                  <c:v>0.95238095238095233</c:v>
                </c:pt>
                <c:pt idx="4">
                  <c:v>0.967741935483871</c:v>
                </c:pt>
                <c:pt idx="5">
                  <c:v>0.89171974522292996</c:v>
                </c:pt>
                <c:pt idx="6">
                  <c:v>0.96938775510204078</c:v>
                </c:pt>
                <c:pt idx="7">
                  <c:v>0.26460552886289257</c:v>
                </c:pt>
              </c:numCache>
            </c:numRef>
          </c:xVal>
          <c:yVal>
            <c:numRef>
              <c:f>Ref!$AQ$4:$AQ$11</c:f>
              <c:numCache>
                <c:formatCode>0.00</c:formatCode>
                <c:ptCount val="8"/>
                <c:pt idx="0">
                  <c:v>0.78947368421052633</c:v>
                </c:pt>
                <c:pt idx="1">
                  <c:v>0.84745762711864403</c:v>
                </c:pt>
                <c:pt idx="2">
                  <c:v>0.85141903171953259</c:v>
                </c:pt>
                <c:pt idx="3">
                  <c:v>0.9865196078431373</c:v>
                </c:pt>
                <c:pt idx="4">
                  <c:v>0.64967105263157898</c:v>
                </c:pt>
                <c:pt idx="5">
                  <c:v>0.66666666666666663</c:v>
                </c:pt>
                <c:pt idx="6">
                  <c:v>0.9375</c:v>
                </c:pt>
                <c:pt idx="7">
                  <c:v>0.96951219512195119</c:v>
                </c:pt>
              </c:numCache>
            </c:numRef>
          </c:yVal>
          <c:smooth val="1"/>
        </c:ser>
        <c:ser>
          <c:idx val="3"/>
          <c:order val="2"/>
          <c:tx>
            <c:v>data</c:v>
          </c:tx>
          <c:spPr>
            <a:ln w="28575">
              <a:noFill/>
            </a:ln>
          </c:spPr>
          <c:marker>
            <c:symbol val="diamond"/>
            <c:size val="7"/>
            <c:spPr>
              <a:solidFill>
                <a:srgbClr val="800080"/>
              </a:solidFill>
              <a:ln>
                <a:solidFill>
                  <a:srgbClr val="800080"/>
                </a:solidFill>
                <a:prstDash val="solid"/>
              </a:ln>
            </c:spPr>
          </c:marker>
          <c:dLbls>
            <c:dLbl>
              <c:idx val="0"/>
              <c:tx>
                <c:strRef>
                  <c:f>Input!$AH$8</c:f>
                  <c:strCache>
                    <c:ptCount val="1"/>
                    <c:pt idx="0">
                      <c:v>0</c:v>
                    </c:pt>
                  </c:strCache>
                </c:strRef>
              </c:tx>
              <c:dLblPos val="t"/>
              <c:showLegendKey val="0"/>
              <c:showVal val="0"/>
              <c:showCatName val="0"/>
              <c:showSerName val="0"/>
              <c:showPercent val="0"/>
              <c:showBubbleSize val="0"/>
            </c:dLbl>
            <c:dLbl>
              <c:idx val="1"/>
              <c:tx>
                <c:strRef>
                  <c:f>Input!$AH$9</c:f>
                  <c:strCache>
                    <c:ptCount val="1"/>
                    <c:pt idx="0">
                      <c:v>0</c:v>
                    </c:pt>
                  </c:strCache>
                </c:strRef>
              </c:tx>
              <c:dLblPos val="t"/>
              <c:showLegendKey val="0"/>
              <c:showVal val="0"/>
              <c:showCatName val="0"/>
              <c:showSerName val="0"/>
              <c:showPercent val="0"/>
              <c:showBubbleSize val="0"/>
            </c:dLbl>
            <c:dLbl>
              <c:idx val="2"/>
              <c:tx>
                <c:strRef>
                  <c:f>Input!$AH$10</c:f>
                  <c:strCache>
                    <c:ptCount val="1"/>
                    <c:pt idx="0">
                      <c:v>0</c:v>
                    </c:pt>
                  </c:strCache>
                </c:strRef>
              </c:tx>
              <c:dLblPos val="t"/>
              <c:showLegendKey val="0"/>
              <c:showVal val="0"/>
              <c:showCatName val="0"/>
              <c:showSerName val="0"/>
              <c:showPercent val="0"/>
              <c:showBubbleSize val="0"/>
            </c:dLbl>
            <c:dLbl>
              <c:idx val="3"/>
              <c:tx>
                <c:strRef>
                  <c:f>Input!$AH$11</c:f>
                  <c:strCache>
                    <c:ptCount val="1"/>
                    <c:pt idx="0">
                      <c:v>0</c:v>
                    </c:pt>
                  </c:strCache>
                </c:strRef>
              </c:tx>
              <c:dLblPos val="t"/>
              <c:showLegendKey val="0"/>
              <c:showVal val="0"/>
              <c:showCatName val="0"/>
              <c:showSerName val="0"/>
              <c:showPercent val="0"/>
              <c:showBubbleSize val="0"/>
            </c:dLbl>
            <c:dLbl>
              <c:idx val="4"/>
              <c:tx>
                <c:strRef>
                  <c:f>Input!$AH$12</c:f>
                  <c:strCache>
                    <c:ptCount val="1"/>
                    <c:pt idx="0">
                      <c:v>0</c:v>
                    </c:pt>
                  </c:strCache>
                </c:strRef>
              </c:tx>
              <c:dLblPos val="t"/>
              <c:showLegendKey val="0"/>
              <c:showVal val="0"/>
              <c:showCatName val="0"/>
              <c:showSerName val="0"/>
              <c:showPercent val="0"/>
              <c:showBubbleSize val="0"/>
            </c:dLbl>
            <c:dLbl>
              <c:idx val="5"/>
              <c:tx>
                <c:strRef>
                  <c:f>Input!$AH$13</c:f>
                  <c:strCache>
                    <c:ptCount val="1"/>
                    <c:pt idx="0">
                      <c:v>0</c:v>
                    </c:pt>
                  </c:strCache>
                </c:strRef>
              </c:tx>
              <c:dLblPos val="t"/>
              <c:showLegendKey val="0"/>
              <c:showVal val="0"/>
              <c:showCatName val="0"/>
              <c:showSerName val="0"/>
              <c:showPercent val="0"/>
              <c:showBubbleSize val="0"/>
            </c:dLbl>
            <c:dLbl>
              <c:idx val="6"/>
              <c:tx>
                <c:strRef>
                  <c:f>Input!$AH$14</c:f>
                  <c:strCache>
                    <c:ptCount val="1"/>
                    <c:pt idx="0">
                      <c:v>0</c:v>
                    </c:pt>
                  </c:strCache>
                </c:strRef>
              </c:tx>
              <c:dLblPos val="t"/>
              <c:showLegendKey val="0"/>
              <c:showVal val="0"/>
              <c:showCatName val="0"/>
              <c:showSerName val="0"/>
              <c:showPercent val="0"/>
              <c:showBubbleSize val="0"/>
            </c:dLbl>
            <c:dLbl>
              <c:idx val="7"/>
              <c:tx>
                <c:strRef>
                  <c:f>Input!$AH$15</c:f>
                  <c:strCache>
                    <c:ptCount val="1"/>
                    <c:pt idx="0">
                      <c:v>0</c:v>
                    </c:pt>
                  </c:strCache>
                </c:strRef>
              </c:tx>
              <c:dLblPos val="t"/>
              <c:showLegendKey val="0"/>
              <c:showVal val="0"/>
              <c:showCatName val="0"/>
              <c:showSerName val="0"/>
              <c:showPercent val="0"/>
              <c:showBubbleSize val="0"/>
            </c:dLbl>
            <c:dLbl>
              <c:idx val="8"/>
              <c:tx>
                <c:strRef>
                  <c:f>Input!$AH$16</c:f>
                  <c:strCache>
                    <c:ptCount val="1"/>
                    <c:pt idx="0">
                      <c:v>0</c:v>
                    </c:pt>
                  </c:strCache>
                </c:strRef>
              </c:tx>
              <c:dLblPos val="t"/>
              <c:showLegendKey val="0"/>
              <c:showVal val="0"/>
              <c:showCatName val="0"/>
              <c:showSerName val="0"/>
              <c:showPercent val="0"/>
              <c:showBubbleSize val="0"/>
            </c:dLbl>
            <c:dLbl>
              <c:idx val="9"/>
              <c:tx>
                <c:strRef>
                  <c:f>Input!$AH$17</c:f>
                  <c:strCache>
                    <c:ptCount val="1"/>
                    <c:pt idx="0">
                      <c:v>0</c:v>
                    </c:pt>
                  </c:strCache>
                </c:strRef>
              </c:tx>
              <c:dLblPos val="t"/>
              <c:showLegendKey val="0"/>
              <c:showVal val="0"/>
              <c:showCatName val="0"/>
              <c:showSerName val="0"/>
              <c:showPercent val="0"/>
              <c:showBubbleSize val="0"/>
            </c:dLbl>
            <c:dLbl>
              <c:idx val="10"/>
              <c:tx>
                <c:strRef>
                  <c:f>Input!$AH$18</c:f>
                  <c:strCache>
                    <c:ptCount val="1"/>
                    <c:pt idx="0">
                      <c:v>0</c:v>
                    </c:pt>
                  </c:strCache>
                </c:strRef>
              </c:tx>
              <c:dLblPos val="t"/>
              <c:showLegendKey val="0"/>
              <c:showVal val="0"/>
              <c:showCatName val="0"/>
              <c:showSerName val="0"/>
              <c:showPercent val="0"/>
              <c:showBubbleSize val="0"/>
            </c:dLbl>
            <c:dLbl>
              <c:idx val="11"/>
              <c:tx>
                <c:strRef>
                  <c:f>Input!$AH$19</c:f>
                  <c:strCache>
                    <c:ptCount val="1"/>
                    <c:pt idx="0">
                      <c:v>0</c:v>
                    </c:pt>
                  </c:strCache>
                </c:strRef>
              </c:tx>
              <c:dLblPos val="t"/>
              <c:showLegendKey val="0"/>
              <c:showVal val="0"/>
              <c:showCatName val="0"/>
              <c:showSerName val="0"/>
              <c:showPercent val="0"/>
              <c:showBubbleSize val="0"/>
            </c:dLbl>
            <c:dLbl>
              <c:idx val="12"/>
              <c:tx>
                <c:strRef>
                  <c:f>Input!$AH$20</c:f>
                  <c:strCache>
                    <c:ptCount val="1"/>
                    <c:pt idx="0">
                      <c:v>0</c:v>
                    </c:pt>
                  </c:strCache>
                </c:strRef>
              </c:tx>
              <c:dLblPos val="t"/>
              <c:showLegendKey val="0"/>
              <c:showVal val="0"/>
              <c:showCatName val="0"/>
              <c:showSerName val="0"/>
              <c:showPercent val="0"/>
              <c:showBubbleSize val="0"/>
            </c:dLbl>
            <c:dLbl>
              <c:idx val="13"/>
              <c:tx>
                <c:strRef>
                  <c:f>Input!$AH$21</c:f>
                  <c:strCache>
                    <c:ptCount val="1"/>
                    <c:pt idx="0">
                      <c:v>0</c:v>
                    </c:pt>
                  </c:strCache>
                </c:strRef>
              </c:tx>
              <c:dLblPos val="t"/>
              <c:showLegendKey val="0"/>
              <c:showVal val="0"/>
              <c:showCatName val="0"/>
              <c:showSerName val="0"/>
              <c:showPercent val="0"/>
              <c:showBubbleSize val="0"/>
            </c:dLbl>
            <c:dLbl>
              <c:idx val="14"/>
              <c:tx>
                <c:strRef>
                  <c:f>Input!$AH$22</c:f>
                  <c:strCache>
                    <c:ptCount val="1"/>
                    <c:pt idx="0">
                      <c:v>0</c:v>
                    </c:pt>
                  </c:strCache>
                </c:strRef>
              </c:tx>
              <c:dLblPos val="t"/>
              <c:showLegendKey val="0"/>
              <c:showVal val="0"/>
              <c:showCatName val="0"/>
              <c:showSerName val="0"/>
              <c:showPercent val="0"/>
              <c:showBubbleSize val="0"/>
            </c:dLbl>
            <c:dLbl>
              <c:idx val="15"/>
              <c:tx>
                <c:strRef>
                  <c:f>Input!$AH$23</c:f>
                  <c:strCache>
                    <c:ptCount val="1"/>
                    <c:pt idx="0">
                      <c:v>0</c:v>
                    </c:pt>
                  </c:strCache>
                </c:strRef>
              </c:tx>
              <c:dLblPos val="t"/>
              <c:showLegendKey val="0"/>
              <c:showVal val="0"/>
              <c:showCatName val="0"/>
              <c:showSerName val="0"/>
              <c:showPercent val="0"/>
              <c:showBubbleSize val="0"/>
            </c:dLbl>
            <c:dLbl>
              <c:idx val="16"/>
              <c:tx>
                <c:strRef>
                  <c:f>Input!$AH$24</c:f>
                  <c:strCache>
                    <c:ptCount val="1"/>
                    <c:pt idx="0">
                      <c:v>0</c:v>
                    </c:pt>
                  </c:strCache>
                </c:strRef>
              </c:tx>
              <c:dLblPos val="t"/>
              <c:showLegendKey val="0"/>
              <c:showVal val="0"/>
              <c:showCatName val="0"/>
              <c:showSerName val="0"/>
              <c:showPercent val="0"/>
              <c:showBubbleSize val="0"/>
            </c:dLbl>
            <c:dLbl>
              <c:idx val="17"/>
              <c:tx>
                <c:strRef>
                  <c:f>Input!$AH$25</c:f>
                  <c:strCache>
                    <c:ptCount val="1"/>
                    <c:pt idx="0">
                      <c:v>0</c:v>
                    </c:pt>
                  </c:strCache>
                </c:strRef>
              </c:tx>
              <c:dLblPos val="t"/>
              <c:showLegendKey val="0"/>
              <c:showVal val="0"/>
              <c:showCatName val="0"/>
              <c:showSerName val="0"/>
              <c:showPercent val="0"/>
              <c:showBubbleSize val="0"/>
            </c:dLbl>
            <c:dLbl>
              <c:idx val="18"/>
              <c:tx>
                <c:strRef>
                  <c:f>Input!$AH$26</c:f>
                  <c:strCache>
                    <c:ptCount val="1"/>
                    <c:pt idx="0">
                      <c:v>0</c:v>
                    </c:pt>
                  </c:strCache>
                </c:strRef>
              </c:tx>
              <c:dLblPos val="t"/>
              <c:showLegendKey val="0"/>
              <c:showVal val="0"/>
              <c:showCatName val="0"/>
              <c:showSerName val="0"/>
              <c:showPercent val="0"/>
              <c:showBubbleSize val="0"/>
            </c:dLbl>
            <c:dLbl>
              <c:idx val="19"/>
              <c:tx>
                <c:strRef>
                  <c:f>Input!$AH$27</c:f>
                  <c:strCache>
                    <c:ptCount val="1"/>
                    <c:pt idx="0">
                      <c:v>0</c:v>
                    </c:pt>
                  </c:strCache>
                </c:strRef>
              </c:tx>
              <c:dLblPos val="t"/>
              <c:showLegendKey val="0"/>
              <c:showVal val="0"/>
              <c:showCatName val="0"/>
              <c:showSerName val="0"/>
              <c:showPercent val="0"/>
              <c:showBubbleSize val="0"/>
            </c:dLbl>
            <c:dLbl>
              <c:idx val="20"/>
              <c:tx>
                <c:strRef>
                  <c:f>Input!$AH$28</c:f>
                  <c:strCache>
                    <c:ptCount val="1"/>
                    <c:pt idx="0">
                      <c:v>0</c:v>
                    </c:pt>
                  </c:strCache>
                </c:strRef>
              </c:tx>
              <c:dLblPos val="t"/>
              <c:showLegendKey val="0"/>
              <c:showVal val="0"/>
              <c:showCatName val="0"/>
              <c:showSerName val="0"/>
              <c:showPercent val="0"/>
              <c:showBubbleSize val="0"/>
            </c:dLbl>
            <c:dLbl>
              <c:idx val="21"/>
              <c:tx>
                <c:strRef>
                  <c:f>Input!$AH$29</c:f>
                  <c:strCache>
                    <c:ptCount val="1"/>
                    <c:pt idx="0">
                      <c:v>0</c:v>
                    </c:pt>
                  </c:strCache>
                </c:strRef>
              </c:tx>
              <c:dLblPos val="t"/>
              <c:showLegendKey val="0"/>
              <c:showVal val="0"/>
              <c:showCatName val="0"/>
              <c:showSerName val="0"/>
              <c:showPercent val="0"/>
              <c:showBubbleSize val="0"/>
            </c:dLbl>
            <c:dLbl>
              <c:idx val="22"/>
              <c:tx>
                <c:strRef>
                  <c:f>Input!$AH$30</c:f>
                  <c:strCache>
                    <c:ptCount val="1"/>
                    <c:pt idx="0">
                      <c:v>0</c:v>
                    </c:pt>
                  </c:strCache>
                </c:strRef>
              </c:tx>
              <c:dLblPos val="t"/>
              <c:showLegendKey val="0"/>
              <c:showVal val="0"/>
              <c:showCatName val="0"/>
              <c:showSerName val="0"/>
              <c:showPercent val="0"/>
              <c:showBubbleSize val="0"/>
            </c:dLbl>
            <c:dLbl>
              <c:idx val="23"/>
              <c:tx>
                <c:strRef>
                  <c:f>Input!$AH$31</c:f>
                  <c:strCache>
                    <c:ptCount val="1"/>
                    <c:pt idx="0">
                      <c:v>0</c:v>
                    </c:pt>
                  </c:strCache>
                </c:strRef>
              </c:tx>
              <c:dLblPos val="t"/>
              <c:showLegendKey val="0"/>
              <c:showVal val="0"/>
              <c:showCatName val="0"/>
              <c:showSerName val="0"/>
              <c:showPercent val="0"/>
              <c:showBubbleSize val="0"/>
            </c:dLbl>
            <c:dLbl>
              <c:idx val="24"/>
              <c:tx>
                <c:strRef>
                  <c:f>Input!$AH$32</c:f>
                  <c:strCache>
                    <c:ptCount val="1"/>
                    <c:pt idx="0">
                      <c:v>0</c:v>
                    </c:pt>
                  </c:strCache>
                </c:strRef>
              </c:tx>
              <c:dLblPos val="t"/>
              <c:showLegendKey val="0"/>
              <c:showVal val="0"/>
              <c:showCatName val="0"/>
              <c:showSerName val="0"/>
              <c:showPercent val="0"/>
              <c:showBubbleSize val="0"/>
            </c:dLbl>
            <c:dLbl>
              <c:idx val="25"/>
              <c:tx>
                <c:strRef>
                  <c:f>Input!$AH$33</c:f>
                  <c:strCache>
                    <c:ptCount val="1"/>
                    <c:pt idx="0">
                      <c:v>0</c:v>
                    </c:pt>
                  </c:strCache>
                </c:strRef>
              </c:tx>
              <c:dLblPos val="t"/>
              <c:showLegendKey val="0"/>
              <c:showVal val="0"/>
              <c:showCatName val="0"/>
              <c:showSerName val="0"/>
              <c:showPercent val="0"/>
              <c:showBubbleSize val="0"/>
            </c:dLbl>
            <c:dLbl>
              <c:idx val="26"/>
              <c:tx>
                <c:strRef>
                  <c:f>Input!$AH$34</c:f>
                  <c:strCache>
                    <c:ptCount val="1"/>
                    <c:pt idx="0">
                      <c:v>0</c:v>
                    </c:pt>
                  </c:strCache>
                </c:strRef>
              </c:tx>
              <c:dLblPos val="t"/>
              <c:showLegendKey val="0"/>
              <c:showVal val="0"/>
              <c:showCatName val="0"/>
              <c:showSerName val="0"/>
              <c:showPercent val="0"/>
              <c:showBubbleSize val="0"/>
            </c:dLbl>
            <c:dLbl>
              <c:idx val="27"/>
              <c:tx>
                <c:strRef>
                  <c:f>Input!$AH$35</c:f>
                  <c:strCache>
                    <c:ptCount val="1"/>
                    <c:pt idx="0">
                      <c:v>0</c:v>
                    </c:pt>
                  </c:strCache>
                </c:strRef>
              </c:tx>
              <c:dLblPos val="t"/>
              <c:showLegendKey val="0"/>
              <c:showVal val="0"/>
              <c:showCatName val="0"/>
              <c:showSerName val="0"/>
              <c:showPercent val="0"/>
              <c:showBubbleSize val="0"/>
            </c:dLbl>
            <c:dLbl>
              <c:idx val="28"/>
              <c:tx>
                <c:strRef>
                  <c:f>Input!$AH$36</c:f>
                  <c:strCache>
                    <c:ptCount val="1"/>
                    <c:pt idx="0">
                      <c:v>0</c:v>
                    </c:pt>
                  </c:strCache>
                </c:strRef>
              </c:tx>
              <c:dLblPos val="t"/>
              <c:showLegendKey val="0"/>
              <c:showVal val="0"/>
              <c:showCatName val="0"/>
              <c:showSerName val="0"/>
              <c:showPercent val="0"/>
              <c:showBubbleSize val="0"/>
            </c:dLbl>
            <c:dLbl>
              <c:idx val="29"/>
              <c:layout/>
              <c:tx>
                <c:strRef>
                  <c:f>Input!$AH$37</c:f>
                  <c:strCache>
                    <c:ptCount val="1"/>
                    <c:pt idx="0">
                      <c:v>0</c:v>
                    </c:pt>
                  </c:strCache>
                </c:strRef>
              </c:tx>
              <c:dLblPos val="t"/>
              <c:showLegendKey val="0"/>
              <c:showVal val="0"/>
              <c:showCatName val="0"/>
              <c:showSerName val="0"/>
              <c:showPercent val="0"/>
              <c:showBubbleSize val="0"/>
            </c:dLbl>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dLbls>
          <c:xVal>
            <c:numRef>
              <c:f>Input!$DB$8:$DB$37</c:f>
              <c:numCache>
                <c:formatCode>0.00</c:formatCode>
                <c:ptCount val="30"/>
                <c:pt idx="0">
                  <c:v>-99</c:v>
                </c:pt>
                <c:pt idx="1">
                  <c:v>-99</c:v>
                </c:pt>
                <c:pt idx="2">
                  <c:v>-99</c:v>
                </c:pt>
                <c:pt idx="3">
                  <c:v>-99</c:v>
                </c:pt>
                <c:pt idx="4">
                  <c:v>-99</c:v>
                </c:pt>
                <c:pt idx="5">
                  <c:v>-99</c:v>
                </c:pt>
                <c:pt idx="6">
                  <c:v>-99</c:v>
                </c:pt>
                <c:pt idx="7">
                  <c:v>-99</c:v>
                </c:pt>
                <c:pt idx="8">
                  <c:v>-99</c:v>
                </c:pt>
                <c:pt idx="9">
                  <c:v>-99</c:v>
                </c:pt>
                <c:pt idx="10">
                  <c:v>-99</c:v>
                </c:pt>
                <c:pt idx="11">
                  <c:v>-99</c:v>
                </c:pt>
                <c:pt idx="12">
                  <c:v>-99</c:v>
                </c:pt>
                <c:pt idx="13">
                  <c:v>-99</c:v>
                </c:pt>
                <c:pt idx="14">
                  <c:v>-99</c:v>
                </c:pt>
                <c:pt idx="15">
                  <c:v>-99</c:v>
                </c:pt>
                <c:pt idx="16">
                  <c:v>-99</c:v>
                </c:pt>
                <c:pt idx="17">
                  <c:v>-99</c:v>
                </c:pt>
                <c:pt idx="18">
                  <c:v>-99</c:v>
                </c:pt>
                <c:pt idx="19">
                  <c:v>-99</c:v>
                </c:pt>
                <c:pt idx="20">
                  <c:v>-99</c:v>
                </c:pt>
                <c:pt idx="21">
                  <c:v>-99</c:v>
                </c:pt>
                <c:pt idx="22">
                  <c:v>-99</c:v>
                </c:pt>
                <c:pt idx="23">
                  <c:v>-99</c:v>
                </c:pt>
                <c:pt idx="24">
                  <c:v>-99</c:v>
                </c:pt>
                <c:pt idx="25">
                  <c:v>-99</c:v>
                </c:pt>
                <c:pt idx="26">
                  <c:v>-99</c:v>
                </c:pt>
                <c:pt idx="27">
                  <c:v>-99</c:v>
                </c:pt>
                <c:pt idx="28">
                  <c:v>-99</c:v>
                </c:pt>
                <c:pt idx="29" formatCode="General">
                  <c:v>0.40935672514619881</c:v>
                </c:pt>
              </c:numCache>
            </c:numRef>
          </c:xVal>
          <c:yVal>
            <c:numRef>
              <c:f>Input!$DA$8:$DA$37</c:f>
              <c:numCache>
                <c:formatCode>0.00</c:formatCode>
                <c:ptCount val="30"/>
                <c:pt idx="0">
                  <c:v>-99</c:v>
                </c:pt>
                <c:pt idx="1">
                  <c:v>-99</c:v>
                </c:pt>
                <c:pt idx="2">
                  <c:v>-99</c:v>
                </c:pt>
                <c:pt idx="3">
                  <c:v>-99</c:v>
                </c:pt>
                <c:pt idx="4">
                  <c:v>-99</c:v>
                </c:pt>
                <c:pt idx="5">
                  <c:v>-99</c:v>
                </c:pt>
                <c:pt idx="6">
                  <c:v>-99</c:v>
                </c:pt>
                <c:pt idx="7">
                  <c:v>-99</c:v>
                </c:pt>
                <c:pt idx="8">
                  <c:v>-99</c:v>
                </c:pt>
                <c:pt idx="9">
                  <c:v>-99</c:v>
                </c:pt>
                <c:pt idx="10">
                  <c:v>-99</c:v>
                </c:pt>
                <c:pt idx="11">
                  <c:v>-99</c:v>
                </c:pt>
                <c:pt idx="12">
                  <c:v>-99</c:v>
                </c:pt>
                <c:pt idx="13">
                  <c:v>-99</c:v>
                </c:pt>
                <c:pt idx="14">
                  <c:v>-99</c:v>
                </c:pt>
                <c:pt idx="15">
                  <c:v>-99</c:v>
                </c:pt>
                <c:pt idx="16">
                  <c:v>-99</c:v>
                </c:pt>
                <c:pt idx="17">
                  <c:v>-99</c:v>
                </c:pt>
                <c:pt idx="18">
                  <c:v>-99</c:v>
                </c:pt>
                <c:pt idx="19">
                  <c:v>-99</c:v>
                </c:pt>
                <c:pt idx="20">
                  <c:v>-99</c:v>
                </c:pt>
                <c:pt idx="21">
                  <c:v>-99</c:v>
                </c:pt>
                <c:pt idx="22">
                  <c:v>-99</c:v>
                </c:pt>
                <c:pt idx="23">
                  <c:v>-99</c:v>
                </c:pt>
                <c:pt idx="24">
                  <c:v>-99</c:v>
                </c:pt>
                <c:pt idx="25">
                  <c:v>-99</c:v>
                </c:pt>
                <c:pt idx="26">
                  <c:v>-99</c:v>
                </c:pt>
                <c:pt idx="27">
                  <c:v>-99</c:v>
                </c:pt>
                <c:pt idx="28">
                  <c:v>-99</c:v>
                </c:pt>
                <c:pt idx="29" formatCode="General">
                  <c:v>0</c:v>
                </c:pt>
              </c:numCache>
            </c:numRef>
          </c:yVal>
          <c:smooth val="1"/>
        </c:ser>
        <c:dLbls>
          <c:showLegendKey val="0"/>
          <c:showVal val="1"/>
          <c:showCatName val="0"/>
          <c:showSerName val="0"/>
          <c:showPercent val="0"/>
          <c:showBubbleSize val="0"/>
        </c:dLbls>
        <c:axId val="101723136"/>
        <c:axId val="101758080"/>
      </c:scatterChart>
      <c:valAx>
        <c:axId val="101723136"/>
        <c:scaling>
          <c:orientation val="minMax"/>
          <c:max val="1"/>
          <c:min val="0"/>
        </c:scaling>
        <c:delete val="0"/>
        <c:axPos val="b"/>
        <c:title>
          <c:tx>
            <c:rich>
              <a:bodyPr/>
              <a:lstStyle/>
              <a:p>
                <a:pPr>
                  <a:defRPr sz="1375" b="1" i="0" u="none" strike="noStrike" baseline="0">
                    <a:solidFill>
                      <a:srgbClr val="000000"/>
                    </a:solidFill>
                    <a:latin typeface="Arial"/>
                    <a:ea typeface="Arial"/>
                    <a:cs typeface="Arial"/>
                  </a:defRPr>
                </a:pPr>
                <a:r>
                  <a:rPr lang="en-NZ"/>
                  <a:t>10K/(10K+Na)</a:t>
                </a:r>
              </a:p>
            </c:rich>
          </c:tx>
          <c:layout>
            <c:manualLayout>
              <c:xMode val="edge"/>
              <c:yMode val="edge"/>
              <c:x val="0.45394006659267488"/>
              <c:y val="0.94942903752039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01758080"/>
        <c:crossesAt val="-1"/>
        <c:crossBetween val="midCat"/>
      </c:valAx>
      <c:valAx>
        <c:axId val="101758080"/>
        <c:scaling>
          <c:orientation val="minMax"/>
          <c:max val="1"/>
          <c:min val="0"/>
        </c:scaling>
        <c:delete val="0"/>
        <c:axPos val="l"/>
        <c:title>
          <c:tx>
            <c:rich>
              <a:bodyPr/>
              <a:lstStyle/>
              <a:p>
                <a:pPr>
                  <a:defRPr sz="1375" b="1" i="0" u="none" strike="noStrike" baseline="0">
                    <a:solidFill>
                      <a:srgbClr val="000000"/>
                    </a:solidFill>
                    <a:latin typeface="Arial"/>
                    <a:ea typeface="Arial"/>
                    <a:cs typeface="Arial"/>
                  </a:defRPr>
                </a:pPr>
                <a:r>
                  <a:rPr lang="en-NZ"/>
                  <a:t>10Mg/(10Mg+Ca)</a:t>
                </a:r>
              </a:p>
            </c:rich>
          </c:tx>
          <c:layout>
            <c:manualLayout>
              <c:xMode val="edge"/>
              <c:yMode val="edge"/>
              <c:x val="1.4428412874583796E-2"/>
              <c:y val="0.37030995106035908"/>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01723136"/>
        <c:crosses val="autoZero"/>
        <c:crossBetween val="midCat"/>
      </c:valAx>
      <c:spPr>
        <a:noFill/>
        <a:ln w="3175">
          <a:solidFill>
            <a:srgbClr val="000000"/>
          </a:solidFill>
          <a:prstDash val="solid"/>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61820199778064E-2"/>
          <c:y val="0.11256117455138666"/>
          <c:w val="0.83462819089900142"/>
          <c:h val="0.84176182707993474"/>
        </c:manualLayout>
      </c:layout>
      <c:scatterChart>
        <c:scatterStyle val="smoothMarker"/>
        <c:varyColors val="0"/>
        <c:ser>
          <c:idx val="5"/>
          <c:order val="0"/>
          <c:tx>
            <c:v>rCO2v=.0001</c:v>
          </c:tx>
          <c:spPr>
            <a:ln w="12700">
              <a:solidFill>
                <a:srgbClr val="C0C0C0"/>
              </a:solidFill>
              <a:prstDash val="solid"/>
            </a:ln>
          </c:spPr>
          <c:marker>
            <c:symbol val="none"/>
          </c:marker>
          <c:dLbls>
            <c:dLbl>
              <c:idx val="7"/>
              <c:layout>
                <c:manualLayout>
                  <c:x val="0.21475525881129465"/>
                  <c:y val="0.13115378522219792"/>
                </c:manualLayout>
              </c:layout>
              <c:tx>
                <c:rich>
                  <a:bodyPr rot="1080000" vert="horz"/>
                  <a:lstStyle/>
                  <a:p>
                    <a:pPr algn="ctr">
                      <a:defRPr sz="1200" b="0" i="0" u="none" strike="noStrike" baseline="0">
                        <a:solidFill>
                          <a:srgbClr val="969696"/>
                        </a:solidFill>
                        <a:latin typeface="Arial"/>
                        <a:ea typeface="Arial"/>
                        <a:cs typeface="Arial"/>
                      </a:defRPr>
                    </a:pPr>
                    <a:r>
                      <a:rPr lang="en-NZ"/>
                      <a:t>0.0001</a:t>
                    </a:r>
                  </a:p>
                </c:rich>
              </c:tx>
              <c:spPr>
                <a:noFill/>
                <a:ln w="25400">
                  <a:noFill/>
                </a:ln>
              </c:spPr>
              <c:dLblPos val="r"/>
              <c:showLegendKey val="0"/>
              <c:showVal val="0"/>
              <c:showCatName val="0"/>
              <c:showSerName val="0"/>
              <c:showPercent val="0"/>
              <c:showBubbleSize val="0"/>
            </c:dLbl>
            <c:showLegendKey val="0"/>
            <c:showVal val="0"/>
            <c:showCatName val="0"/>
            <c:showSerName val="0"/>
            <c:showPercent val="0"/>
            <c:showBubbleSize val="0"/>
          </c:dLbls>
          <c:xVal>
            <c:numRef>
              <c:f>Ref!$H$31:$H$48</c:f>
              <c:numCache>
                <c:formatCode>0.00</c:formatCode>
                <c:ptCount val="18"/>
                <c:pt idx="0">
                  <c:v>-8.9456869009584522E-2</c:v>
                </c:pt>
                <c:pt idx="1">
                  <c:v>0.75675675675675613</c:v>
                </c:pt>
                <c:pt idx="2">
                  <c:v>1.5070821529745049</c:v>
                </c:pt>
                <c:pt idx="3">
                  <c:v>2.176943699731904</c:v>
                </c:pt>
                <c:pt idx="4">
                  <c:v>2.7786259541984735</c:v>
                </c:pt>
                <c:pt idx="5">
                  <c:v>3.3220338983050852</c:v>
                </c:pt>
                <c:pt idx="6">
                  <c:v>3.8152424942263288</c:v>
                </c:pt>
                <c:pt idx="7">
                  <c:v>4.2649006622516552</c:v>
                </c:pt>
                <c:pt idx="8">
                  <c:v>4.6765327695560268</c:v>
                </c:pt>
                <c:pt idx="9">
                  <c:v>5.0547667342799194</c:v>
                </c:pt>
                <c:pt idx="10">
                  <c:v>5.4035087719298263</c:v>
                </c:pt>
                <c:pt idx="11">
                  <c:v>5.7260787992495326</c:v>
                </c:pt>
                <c:pt idx="12">
                  <c:v>6.0253164556962027</c:v>
                </c:pt>
                <c:pt idx="13">
                  <c:v>6.3036649214659688</c:v>
                </c:pt>
                <c:pt idx="14">
                  <c:v>6.5632377740303554</c:v>
                </c:pt>
                <c:pt idx="15">
                  <c:v>6.805872756933117</c:v>
                </c:pt>
                <c:pt idx="16">
                  <c:v>7.2465543644716703</c:v>
                </c:pt>
                <c:pt idx="17">
                  <c:v>7.6363636363636376</c:v>
                </c:pt>
              </c:numCache>
            </c:numRef>
          </c:xVal>
          <c:yVal>
            <c:numRef>
              <c:f>Ref!$K$31:$K$48</c:f>
              <c:numCache>
                <c:formatCode>0.0</c:formatCode>
                <c:ptCount val="18"/>
                <c:pt idx="0">
                  <c:v>-2.0331309904153354</c:v>
                </c:pt>
                <c:pt idx="1">
                  <c:v>-1.6401501501501503</c:v>
                </c:pt>
                <c:pt idx="2">
                  <c:v>-1.2916997167138815</c:v>
                </c:pt>
                <c:pt idx="3">
                  <c:v>-0.98061662198391453</c:v>
                </c:pt>
                <c:pt idx="4">
                  <c:v>-0.70119592875318126</c:v>
                </c:pt>
                <c:pt idx="5">
                  <c:v>-0.44883777239709488</c:v>
                </c:pt>
                <c:pt idx="6">
                  <c:v>-0.21979214780600476</c:v>
                </c:pt>
                <c:pt idx="7">
                  <c:v>-1.097130242825628E-2</c:v>
                </c:pt>
                <c:pt idx="8">
                  <c:v>0.18019027484143724</c:v>
                </c:pt>
                <c:pt idx="9">
                  <c:v>0.35584178498985786</c:v>
                </c:pt>
                <c:pt idx="10">
                  <c:v>0.5177972709551657</c:v>
                </c:pt>
                <c:pt idx="11">
                  <c:v>0.66759849906191349</c:v>
                </c:pt>
                <c:pt idx="12">
                  <c:v>0.80656419529837242</c:v>
                </c:pt>
                <c:pt idx="13">
                  <c:v>0.93582897033158785</c:v>
                </c:pt>
                <c:pt idx="14">
                  <c:v>1.0563743676222597</c:v>
                </c:pt>
                <c:pt idx="15">
                  <c:v>1.1690538336052199</c:v>
                </c:pt>
                <c:pt idx="16">
                  <c:v>1.3737059724349154</c:v>
                </c:pt>
                <c:pt idx="17">
                  <c:v>1.5547330447330445</c:v>
                </c:pt>
              </c:numCache>
            </c:numRef>
          </c:yVal>
          <c:smooth val="1"/>
        </c:ser>
        <c:ser>
          <c:idx val="6"/>
          <c:order val="2"/>
          <c:tx>
            <c:v>rCO2v=0.001</c:v>
          </c:tx>
          <c:spPr>
            <a:ln w="12700">
              <a:solidFill>
                <a:srgbClr val="C0C0C0"/>
              </a:solidFill>
              <a:prstDash val="solid"/>
            </a:ln>
          </c:spPr>
          <c:marker>
            <c:symbol val="none"/>
          </c:marker>
          <c:dLbls>
            <c:dLbl>
              <c:idx val="9"/>
              <c:layout>
                <c:manualLayout>
                  <c:x val="0.13944541061113208"/>
                  <c:y val="9.3205739168411544E-2"/>
                </c:manualLayout>
              </c:layout>
              <c:tx>
                <c:rich>
                  <a:bodyPr rot="1020000" vert="horz"/>
                  <a:lstStyle/>
                  <a:p>
                    <a:pPr algn="ctr">
                      <a:defRPr sz="1200" b="0" i="0" u="none" strike="noStrike" baseline="0">
                        <a:solidFill>
                          <a:srgbClr val="969696"/>
                        </a:solidFill>
                        <a:latin typeface="Arial"/>
                        <a:ea typeface="Arial"/>
                        <a:cs typeface="Arial"/>
                      </a:defRPr>
                    </a:pPr>
                    <a:r>
                      <a:rPr lang="en-NZ"/>
                      <a:t>0.001</a:t>
                    </a:r>
                  </a:p>
                </c:rich>
              </c:tx>
              <c:spPr>
                <a:noFill/>
                <a:ln w="25400">
                  <a:noFill/>
                </a:ln>
              </c:spPr>
              <c:dLblPos val="r"/>
              <c:showLegendKey val="0"/>
              <c:showVal val="0"/>
              <c:showCatName val="0"/>
              <c:showSerName val="0"/>
              <c:showPercent val="0"/>
              <c:showBubbleSize val="0"/>
            </c:dLbl>
            <c:showLegendKey val="0"/>
            <c:showVal val="0"/>
            <c:showCatName val="0"/>
            <c:showSerName val="0"/>
            <c:showPercent val="0"/>
            <c:showBubbleSize val="0"/>
          </c:dLbls>
          <c:xVal>
            <c:numRef>
              <c:f>Ref!$H$31:$H$48</c:f>
              <c:numCache>
                <c:formatCode>0.00</c:formatCode>
                <c:ptCount val="18"/>
                <c:pt idx="0">
                  <c:v>-8.9456869009584522E-2</c:v>
                </c:pt>
                <c:pt idx="1">
                  <c:v>0.75675675675675613</c:v>
                </c:pt>
                <c:pt idx="2">
                  <c:v>1.5070821529745049</c:v>
                </c:pt>
                <c:pt idx="3">
                  <c:v>2.176943699731904</c:v>
                </c:pt>
                <c:pt idx="4">
                  <c:v>2.7786259541984735</c:v>
                </c:pt>
                <c:pt idx="5">
                  <c:v>3.3220338983050852</c:v>
                </c:pt>
                <c:pt idx="6">
                  <c:v>3.8152424942263288</c:v>
                </c:pt>
                <c:pt idx="7">
                  <c:v>4.2649006622516552</c:v>
                </c:pt>
                <c:pt idx="8">
                  <c:v>4.6765327695560268</c:v>
                </c:pt>
                <c:pt idx="9">
                  <c:v>5.0547667342799194</c:v>
                </c:pt>
                <c:pt idx="10">
                  <c:v>5.4035087719298263</c:v>
                </c:pt>
                <c:pt idx="11">
                  <c:v>5.7260787992495326</c:v>
                </c:pt>
                <c:pt idx="12">
                  <c:v>6.0253164556962027</c:v>
                </c:pt>
                <c:pt idx="13">
                  <c:v>6.3036649214659688</c:v>
                </c:pt>
                <c:pt idx="14">
                  <c:v>6.5632377740303554</c:v>
                </c:pt>
                <c:pt idx="15">
                  <c:v>6.805872756933117</c:v>
                </c:pt>
                <c:pt idx="16">
                  <c:v>7.2465543644716703</c:v>
                </c:pt>
                <c:pt idx="17">
                  <c:v>7.6363636363636376</c:v>
                </c:pt>
              </c:numCache>
            </c:numRef>
          </c:xVal>
          <c:yVal>
            <c:numRef>
              <c:f>Ref!$L$31:$L$48</c:f>
              <c:numCache>
                <c:formatCode>0.0</c:formatCode>
                <c:ptCount val="18"/>
                <c:pt idx="0">
                  <c:v>-1.0331309904153354</c:v>
                </c:pt>
                <c:pt idx="1">
                  <c:v>-0.64015015015015031</c:v>
                </c:pt>
                <c:pt idx="2">
                  <c:v>-0.29169971671388151</c:v>
                </c:pt>
                <c:pt idx="3">
                  <c:v>1.9383378016085473E-2</c:v>
                </c:pt>
                <c:pt idx="4">
                  <c:v>0.29880407124681874</c:v>
                </c:pt>
                <c:pt idx="5">
                  <c:v>0.55116222760290512</c:v>
                </c:pt>
                <c:pt idx="6">
                  <c:v>0.78020785219399524</c:v>
                </c:pt>
                <c:pt idx="7">
                  <c:v>0.98902869757174372</c:v>
                </c:pt>
                <c:pt idx="8">
                  <c:v>1.1801902748414372</c:v>
                </c:pt>
                <c:pt idx="9">
                  <c:v>1.3558417849898579</c:v>
                </c:pt>
                <c:pt idx="10">
                  <c:v>1.5177972709551657</c:v>
                </c:pt>
                <c:pt idx="11">
                  <c:v>1.6675984990619135</c:v>
                </c:pt>
                <c:pt idx="12">
                  <c:v>1.8065641952983724</c:v>
                </c:pt>
                <c:pt idx="13">
                  <c:v>1.9358289703315879</c:v>
                </c:pt>
                <c:pt idx="14">
                  <c:v>2.0563743676222597</c:v>
                </c:pt>
                <c:pt idx="15">
                  <c:v>2.1690538336052199</c:v>
                </c:pt>
                <c:pt idx="16">
                  <c:v>2.3737059724349154</c:v>
                </c:pt>
                <c:pt idx="17">
                  <c:v>2.5547330447330445</c:v>
                </c:pt>
              </c:numCache>
            </c:numRef>
          </c:yVal>
          <c:smooth val="1"/>
        </c:ser>
        <c:ser>
          <c:idx val="7"/>
          <c:order val="3"/>
          <c:tx>
            <c:v>rCO2v=0.01</c:v>
          </c:tx>
          <c:spPr>
            <a:ln w="12700">
              <a:solidFill>
                <a:srgbClr val="C0C0C0"/>
              </a:solidFill>
              <a:prstDash val="solid"/>
            </a:ln>
          </c:spPr>
          <c:marker>
            <c:symbol val="none"/>
          </c:marker>
          <c:dLbls>
            <c:dLbl>
              <c:idx val="14"/>
              <c:layout>
                <c:manualLayout>
                  <c:x val="-3.2644393368697996E-2"/>
                  <c:y val="-3.4986491288915371E-3"/>
                </c:manualLayout>
              </c:layout>
              <c:tx>
                <c:rich>
                  <a:bodyPr rot="1080000" vert="horz"/>
                  <a:lstStyle/>
                  <a:p>
                    <a:pPr algn="ctr">
                      <a:defRPr sz="1200" b="0" i="0" u="none" strike="noStrike" baseline="0">
                        <a:solidFill>
                          <a:srgbClr val="808080"/>
                        </a:solidFill>
                        <a:latin typeface="Arial"/>
                        <a:ea typeface="Arial"/>
                        <a:cs typeface="Arial"/>
                      </a:defRPr>
                    </a:pPr>
                    <a:r>
                      <a:rPr lang="en-NZ"/>
                      <a:t>0.01</a:t>
                    </a:r>
                  </a:p>
                </c:rich>
              </c:tx>
              <c:spPr>
                <a:noFill/>
                <a:ln w="25400">
                  <a:noFill/>
                </a:ln>
              </c:spPr>
              <c:dLblPos val="r"/>
              <c:showLegendKey val="0"/>
              <c:showVal val="0"/>
              <c:showCatName val="0"/>
              <c:showSerName val="0"/>
              <c:showPercent val="0"/>
              <c:showBubbleSize val="0"/>
            </c:dLbl>
            <c:showLegendKey val="0"/>
            <c:showVal val="0"/>
            <c:showCatName val="0"/>
            <c:showSerName val="0"/>
            <c:showPercent val="0"/>
            <c:showBubbleSize val="0"/>
          </c:dLbls>
          <c:xVal>
            <c:numRef>
              <c:f>Ref!$H$31:$H$48</c:f>
              <c:numCache>
                <c:formatCode>0.00</c:formatCode>
                <c:ptCount val="18"/>
                <c:pt idx="0">
                  <c:v>-8.9456869009584522E-2</c:v>
                </c:pt>
                <c:pt idx="1">
                  <c:v>0.75675675675675613</c:v>
                </c:pt>
                <c:pt idx="2">
                  <c:v>1.5070821529745049</c:v>
                </c:pt>
                <c:pt idx="3">
                  <c:v>2.176943699731904</c:v>
                </c:pt>
                <c:pt idx="4">
                  <c:v>2.7786259541984735</c:v>
                </c:pt>
                <c:pt idx="5">
                  <c:v>3.3220338983050852</c:v>
                </c:pt>
                <c:pt idx="6">
                  <c:v>3.8152424942263288</c:v>
                </c:pt>
                <c:pt idx="7">
                  <c:v>4.2649006622516552</c:v>
                </c:pt>
                <c:pt idx="8">
                  <c:v>4.6765327695560268</c:v>
                </c:pt>
                <c:pt idx="9">
                  <c:v>5.0547667342799194</c:v>
                </c:pt>
                <c:pt idx="10">
                  <c:v>5.4035087719298263</c:v>
                </c:pt>
                <c:pt idx="11">
                  <c:v>5.7260787992495326</c:v>
                </c:pt>
                <c:pt idx="12">
                  <c:v>6.0253164556962027</c:v>
                </c:pt>
                <c:pt idx="13">
                  <c:v>6.3036649214659688</c:v>
                </c:pt>
                <c:pt idx="14">
                  <c:v>6.5632377740303554</c:v>
                </c:pt>
                <c:pt idx="15">
                  <c:v>6.805872756933117</c:v>
                </c:pt>
                <c:pt idx="16">
                  <c:v>7.2465543644716703</c:v>
                </c:pt>
                <c:pt idx="17">
                  <c:v>7.6363636363636376</c:v>
                </c:pt>
              </c:numCache>
            </c:numRef>
          </c:xVal>
          <c:yVal>
            <c:numRef>
              <c:f>Ref!$M$31:$M$48</c:f>
              <c:numCache>
                <c:formatCode>0.0</c:formatCode>
                <c:ptCount val="18"/>
                <c:pt idx="0">
                  <c:v>-3.3130990415335404E-2</c:v>
                </c:pt>
                <c:pt idx="1">
                  <c:v>0.35984984984984969</c:v>
                </c:pt>
                <c:pt idx="2">
                  <c:v>0.70830028328611849</c:v>
                </c:pt>
                <c:pt idx="3">
                  <c:v>1.0193833780160855</c:v>
                </c:pt>
                <c:pt idx="4">
                  <c:v>1.2988040712468187</c:v>
                </c:pt>
                <c:pt idx="5">
                  <c:v>1.5511622276029051</c:v>
                </c:pt>
                <c:pt idx="6">
                  <c:v>1.7802078521939952</c:v>
                </c:pt>
                <c:pt idx="7">
                  <c:v>1.9890286975717437</c:v>
                </c:pt>
                <c:pt idx="8">
                  <c:v>2.1801902748414372</c:v>
                </c:pt>
                <c:pt idx="9">
                  <c:v>2.3558417849898579</c:v>
                </c:pt>
                <c:pt idx="10">
                  <c:v>2.5177972709551657</c:v>
                </c:pt>
                <c:pt idx="11">
                  <c:v>2.6675984990619135</c:v>
                </c:pt>
                <c:pt idx="12">
                  <c:v>2.8065641952983724</c:v>
                </c:pt>
                <c:pt idx="13">
                  <c:v>2.9358289703315879</c:v>
                </c:pt>
                <c:pt idx="14">
                  <c:v>3.0563743676222597</c:v>
                </c:pt>
                <c:pt idx="15">
                  <c:v>3.1690538336052199</c:v>
                </c:pt>
                <c:pt idx="16">
                  <c:v>3.3737059724349154</c:v>
                </c:pt>
                <c:pt idx="17">
                  <c:v>3.5547330447330445</c:v>
                </c:pt>
              </c:numCache>
            </c:numRef>
          </c:yVal>
          <c:smooth val="1"/>
        </c:ser>
        <c:ser>
          <c:idx val="12"/>
          <c:order val="4"/>
          <c:tx>
            <c:v>rCO2v=0.1</c:v>
          </c:tx>
          <c:spPr>
            <a:ln w="12700">
              <a:solidFill>
                <a:srgbClr val="C0C0C0"/>
              </a:solidFill>
              <a:prstDash val="solid"/>
            </a:ln>
          </c:spPr>
          <c:marker>
            <c:symbol val="none"/>
          </c:marker>
          <c:dLbls>
            <c:dLbl>
              <c:idx val="14"/>
              <c:layout>
                <c:manualLayout>
                  <c:x val="1.761821947617301E-3"/>
                  <c:y val="1.7450086275920297E-2"/>
                </c:manualLayout>
              </c:layout>
              <c:tx>
                <c:rich>
                  <a:bodyPr rot="1500000" vert="horz"/>
                  <a:lstStyle/>
                  <a:p>
                    <a:pPr algn="ctr">
                      <a:defRPr sz="1200" b="0" i="0" u="none" strike="noStrike" baseline="0">
                        <a:solidFill>
                          <a:srgbClr val="808080"/>
                        </a:solidFill>
                        <a:latin typeface="Arial"/>
                        <a:ea typeface="Arial"/>
                        <a:cs typeface="Arial"/>
                      </a:defRPr>
                    </a:pPr>
                    <a:r>
                      <a:rPr lang="en-NZ"/>
                      <a:t>0.1</a:t>
                    </a:r>
                  </a:p>
                </c:rich>
              </c:tx>
              <c:spPr>
                <a:solidFill>
                  <a:srgbClr val="FFFFFF"/>
                </a:solidFill>
                <a:ln w="25400">
                  <a:noFill/>
                </a:ln>
              </c:spPr>
              <c:dLblPos val="r"/>
              <c:showLegendKey val="0"/>
              <c:showVal val="0"/>
              <c:showCatName val="0"/>
              <c:showSerName val="0"/>
              <c:showPercent val="0"/>
              <c:showBubbleSize val="0"/>
            </c:dLbl>
            <c:showLegendKey val="0"/>
            <c:showVal val="0"/>
            <c:showCatName val="0"/>
            <c:showSerName val="0"/>
            <c:showPercent val="0"/>
            <c:showBubbleSize val="0"/>
          </c:dLbls>
          <c:xVal>
            <c:numRef>
              <c:f>Ref!$H$31:$H$48</c:f>
              <c:numCache>
                <c:formatCode>0.00</c:formatCode>
                <c:ptCount val="18"/>
                <c:pt idx="0">
                  <c:v>-8.9456869009584522E-2</c:v>
                </c:pt>
                <c:pt idx="1">
                  <c:v>0.75675675675675613</c:v>
                </c:pt>
                <c:pt idx="2">
                  <c:v>1.5070821529745049</c:v>
                </c:pt>
                <c:pt idx="3">
                  <c:v>2.176943699731904</c:v>
                </c:pt>
                <c:pt idx="4">
                  <c:v>2.7786259541984735</c:v>
                </c:pt>
                <c:pt idx="5">
                  <c:v>3.3220338983050852</c:v>
                </c:pt>
                <c:pt idx="6">
                  <c:v>3.8152424942263288</c:v>
                </c:pt>
                <c:pt idx="7">
                  <c:v>4.2649006622516552</c:v>
                </c:pt>
                <c:pt idx="8">
                  <c:v>4.6765327695560268</c:v>
                </c:pt>
                <c:pt idx="9">
                  <c:v>5.0547667342799194</c:v>
                </c:pt>
                <c:pt idx="10">
                  <c:v>5.4035087719298263</c:v>
                </c:pt>
                <c:pt idx="11">
                  <c:v>5.7260787992495326</c:v>
                </c:pt>
                <c:pt idx="12">
                  <c:v>6.0253164556962027</c:v>
                </c:pt>
                <c:pt idx="13">
                  <c:v>6.3036649214659688</c:v>
                </c:pt>
                <c:pt idx="14">
                  <c:v>6.5632377740303554</c:v>
                </c:pt>
                <c:pt idx="15">
                  <c:v>6.805872756933117</c:v>
                </c:pt>
                <c:pt idx="16">
                  <c:v>7.2465543644716703</c:v>
                </c:pt>
                <c:pt idx="17">
                  <c:v>7.6363636363636376</c:v>
                </c:pt>
              </c:numCache>
            </c:numRef>
          </c:xVal>
          <c:yVal>
            <c:numRef>
              <c:f>Ref!$N$31:$N$48</c:f>
              <c:numCache>
                <c:formatCode>0.0</c:formatCode>
                <c:ptCount val="18"/>
                <c:pt idx="0">
                  <c:v>0.9668690095846646</c:v>
                </c:pt>
                <c:pt idx="1">
                  <c:v>1.3598498498498497</c:v>
                </c:pt>
                <c:pt idx="2">
                  <c:v>1.7083002832861185</c:v>
                </c:pt>
                <c:pt idx="3">
                  <c:v>2.0193833780160855</c:v>
                </c:pt>
                <c:pt idx="4">
                  <c:v>2.2988040712468187</c:v>
                </c:pt>
                <c:pt idx="5">
                  <c:v>2.5511622276029051</c:v>
                </c:pt>
                <c:pt idx="6">
                  <c:v>2.7802078521939952</c:v>
                </c:pt>
                <c:pt idx="7">
                  <c:v>2.9890286975717437</c:v>
                </c:pt>
                <c:pt idx="8">
                  <c:v>3.1801902748414372</c:v>
                </c:pt>
                <c:pt idx="9">
                  <c:v>3.3558417849898579</c:v>
                </c:pt>
                <c:pt idx="10">
                  <c:v>3.5177972709551657</c:v>
                </c:pt>
                <c:pt idx="11">
                  <c:v>3.6675984990619135</c:v>
                </c:pt>
                <c:pt idx="12">
                  <c:v>3.8065641952983724</c:v>
                </c:pt>
                <c:pt idx="13">
                  <c:v>3.9358289703315879</c:v>
                </c:pt>
                <c:pt idx="14">
                  <c:v>4.0563743676222597</c:v>
                </c:pt>
                <c:pt idx="15">
                  <c:v>4.1690538336052203</c:v>
                </c:pt>
                <c:pt idx="16">
                  <c:v>4.3737059724349159</c:v>
                </c:pt>
                <c:pt idx="17">
                  <c:v>4.5547330447330445</c:v>
                </c:pt>
              </c:numCache>
            </c:numRef>
          </c:yVal>
          <c:smooth val="1"/>
        </c:ser>
        <c:ser>
          <c:idx val="8"/>
          <c:order val="5"/>
          <c:tx>
            <c:v>rCO2liq=0.00001</c:v>
          </c:tx>
          <c:spPr>
            <a:ln w="12700">
              <a:solidFill>
                <a:srgbClr val="C0C0C0"/>
              </a:solidFill>
              <a:prstDash val="solid"/>
            </a:ln>
          </c:spPr>
          <c:marker>
            <c:symbol val="none"/>
          </c:marker>
          <c:dLbls>
            <c:dLbl>
              <c:idx val="1"/>
              <c:layout>
                <c:manualLayout>
                  <c:x val="-5.2864213282995579E-2"/>
                  <c:y val="-7.8755571540507132E-3"/>
                </c:manualLayout>
              </c:layout>
              <c:tx>
                <c:rich>
                  <a:bodyPr rot="420000" vert="horz"/>
                  <a:lstStyle/>
                  <a:p>
                    <a:pPr algn="ctr">
                      <a:defRPr sz="1200" b="0" i="0" u="none" strike="noStrike" baseline="0">
                        <a:solidFill>
                          <a:srgbClr val="808080"/>
                        </a:solidFill>
                        <a:latin typeface="Arial"/>
                        <a:ea typeface="Arial"/>
                        <a:cs typeface="Arial"/>
                      </a:defRPr>
                    </a:pPr>
                    <a:r>
                      <a:rPr lang="en-NZ"/>
                      <a:t>0.00001</a:t>
                    </a:r>
                  </a:p>
                </c:rich>
              </c:tx>
              <c:spPr>
                <a:solidFill>
                  <a:srgbClr val="FFFFFF"/>
                </a:solidFill>
                <a:ln w="25400">
                  <a:noFill/>
                </a:ln>
              </c:spPr>
              <c:dLblPos val="r"/>
              <c:showLegendKey val="0"/>
              <c:showVal val="0"/>
              <c:showCatName val="0"/>
              <c:showSerName val="0"/>
              <c:showPercent val="0"/>
              <c:showBubbleSize val="0"/>
            </c:dLbl>
            <c:showLegendKey val="0"/>
            <c:showVal val="0"/>
            <c:showCatName val="0"/>
            <c:showSerName val="0"/>
            <c:showPercent val="0"/>
            <c:showBubbleSize val="0"/>
          </c:dLbls>
          <c:xVal>
            <c:numRef>
              <c:f>Ref!$H$31:$H$47</c:f>
              <c:numCache>
                <c:formatCode>0.00</c:formatCode>
                <c:ptCount val="17"/>
                <c:pt idx="0">
                  <c:v>-8.9456869009584522E-2</c:v>
                </c:pt>
                <c:pt idx="1">
                  <c:v>0.75675675675675613</c:v>
                </c:pt>
                <c:pt idx="2">
                  <c:v>1.5070821529745049</c:v>
                </c:pt>
                <c:pt idx="3">
                  <c:v>2.176943699731904</c:v>
                </c:pt>
                <c:pt idx="4">
                  <c:v>2.7786259541984735</c:v>
                </c:pt>
                <c:pt idx="5">
                  <c:v>3.3220338983050852</c:v>
                </c:pt>
                <c:pt idx="6">
                  <c:v>3.8152424942263288</c:v>
                </c:pt>
                <c:pt idx="7">
                  <c:v>4.2649006622516552</c:v>
                </c:pt>
                <c:pt idx="8">
                  <c:v>4.6765327695560268</c:v>
                </c:pt>
                <c:pt idx="9">
                  <c:v>5.0547667342799194</c:v>
                </c:pt>
                <c:pt idx="10">
                  <c:v>5.4035087719298263</c:v>
                </c:pt>
                <c:pt idx="11">
                  <c:v>5.7260787992495326</c:v>
                </c:pt>
                <c:pt idx="12">
                  <c:v>6.0253164556962027</c:v>
                </c:pt>
                <c:pt idx="13">
                  <c:v>6.3036649214659688</c:v>
                </c:pt>
                <c:pt idx="14">
                  <c:v>6.5632377740303554</c:v>
                </c:pt>
                <c:pt idx="15">
                  <c:v>6.805872756933117</c:v>
                </c:pt>
                <c:pt idx="16">
                  <c:v>7.2465543644716703</c:v>
                </c:pt>
              </c:numCache>
            </c:numRef>
          </c:xVal>
          <c:yVal>
            <c:numRef>
              <c:f>Ref!$O$31:$O$47</c:f>
              <c:numCache>
                <c:formatCode>0.0</c:formatCode>
                <c:ptCount val="17"/>
                <c:pt idx="0">
                  <c:v>1.2900690095846645</c:v>
                </c:pt>
                <c:pt idx="1">
                  <c:v>1.4646498498498495</c:v>
                </c:pt>
                <c:pt idx="2">
                  <c:v>1.5947002832861183</c:v>
                </c:pt>
                <c:pt idx="3">
                  <c:v>1.6873833780160854</c:v>
                </c:pt>
                <c:pt idx="4">
                  <c:v>1.7484040712468185</c:v>
                </c:pt>
                <c:pt idx="5">
                  <c:v>1.782362227602905</c:v>
                </c:pt>
                <c:pt idx="6">
                  <c:v>1.7930078521939952</c:v>
                </c:pt>
                <c:pt idx="7">
                  <c:v>1.7834286975717437</c:v>
                </c:pt>
                <c:pt idx="8">
                  <c:v>1.7561902748414373</c:v>
                </c:pt>
                <c:pt idx="9">
                  <c:v>1.713441784989858</c:v>
                </c:pt>
                <c:pt idx="10">
                  <c:v>1.6569972709551655</c:v>
                </c:pt>
                <c:pt idx="11">
                  <c:v>1.5883984990619133</c:v>
                </c:pt>
                <c:pt idx="12">
                  <c:v>1.5089641952983728</c:v>
                </c:pt>
                <c:pt idx="13">
                  <c:v>1.4198289703315883</c:v>
                </c:pt>
                <c:pt idx="14">
                  <c:v>1.3219743676222597</c:v>
                </c:pt>
                <c:pt idx="15">
                  <c:v>1.2162538336052204</c:v>
                </c:pt>
                <c:pt idx="16">
                  <c:v>0.98410597243491615</c:v>
                </c:pt>
              </c:numCache>
            </c:numRef>
          </c:yVal>
          <c:smooth val="1"/>
        </c:ser>
        <c:ser>
          <c:idx val="9"/>
          <c:order val="6"/>
          <c:tx>
            <c:v>rCO2 liq = 0.0001</c:v>
          </c:tx>
          <c:spPr>
            <a:ln w="12700">
              <a:solidFill>
                <a:srgbClr val="C0C0C0"/>
              </a:solidFill>
              <a:prstDash val="solid"/>
            </a:ln>
          </c:spPr>
          <c:marker>
            <c:symbol val="none"/>
          </c:marker>
          <c:dLbls>
            <c:dLbl>
              <c:idx val="1"/>
              <c:layout>
                <c:manualLayout>
                  <c:x val="-4.6204945802418441E-2"/>
                  <c:y val="-6.3668631959341478E-3"/>
                </c:manualLayout>
              </c:layout>
              <c:tx>
                <c:rich>
                  <a:bodyPr rot="480000" vert="horz"/>
                  <a:lstStyle/>
                  <a:p>
                    <a:pPr algn="ctr">
                      <a:defRPr sz="1200" b="0" i="0" u="none" strike="noStrike" baseline="0">
                        <a:solidFill>
                          <a:srgbClr val="808080"/>
                        </a:solidFill>
                        <a:latin typeface="Arial"/>
                        <a:ea typeface="Arial"/>
                        <a:cs typeface="Arial"/>
                      </a:defRPr>
                    </a:pPr>
                    <a:r>
                      <a:rPr lang="en-NZ"/>
                      <a:t>0.0001</a:t>
                    </a:r>
                  </a:p>
                </c:rich>
              </c:tx>
              <c:spPr>
                <a:solidFill>
                  <a:srgbClr val="FFFFFF"/>
                </a:solidFill>
                <a:ln w="25400">
                  <a:noFill/>
                </a:ln>
              </c:spPr>
              <c:dLblPos val="r"/>
              <c:showLegendKey val="0"/>
              <c:showVal val="0"/>
              <c:showCatName val="0"/>
              <c:showSerName val="0"/>
              <c:showPercent val="0"/>
              <c:showBubbleSize val="0"/>
            </c:dLbl>
            <c:showLegendKey val="0"/>
            <c:showVal val="0"/>
            <c:showCatName val="0"/>
            <c:showSerName val="0"/>
            <c:showPercent val="0"/>
            <c:showBubbleSize val="0"/>
          </c:dLbls>
          <c:xVal>
            <c:numRef>
              <c:f>Ref!$H$31:$H$47</c:f>
              <c:numCache>
                <c:formatCode>0.00</c:formatCode>
                <c:ptCount val="17"/>
                <c:pt idx="0">
                  <c:v>-8.9456869009584522E-2</c:v>
                </c:pt>
                <c:pt idx="1">
                  <c:v>0.75675675675675613</c:v>
                </c:pt>
                <c:pt idx="2">
                  <c:v>1.5070821529745049</c:v>
                </c:pt>
                <c:pt idx="3">
                  <c:v>2.176943699731904</c:v>
                </c:pt>
                <c:pt idx="4">
                  <c:v>2.7786259541984735</c:v>
                </c:pt>
                <c:pt idx="5">
                  <c:v>3.3220338983050852</c:v>
                </c:pt>
                <c:pt idx="6">
                  <c:v>3.8152424942263288</c:v>
                </c:pt>
                <c:pt idx="7">
                  <c:v>4.2649006622516552</c:v>
                </c:pt>
                <c:pt idx="8">
                  <c:v>4.6765327695560268</c:v>
                </c:pt>
                <c:pt idx="9">
                  <c:v>5.0547667342799194</c:v>
                </c:pt>
                <c:pt idx="10">
                  <c:v>5.4035087719298263</c:v>
                </c:pt>
                <c:pt idx="11">
                  <c:v>5.7260787992495326</c:v>
                </c:pt>
                <c:pt idx="12">
                  <c:v>6.0253164556962027</c:v>
                </c:pt>
                <c:pt idx="13">
                  <c:v>6.3036649214659688</c:v>
                </c:pt>
                <c:pt idx="14">
                  <c:v>6.5632377740303554</c:v>
                </c:pt>
                <c:pt idx="15">
                  <c:v>6.805872756933117</c:v>
                </c:pt>
                <c:pt idx="16">
                  <c:v>7.2465543644716703</c:v>
                </c:pt>
              </c:numCache>
            </c:numRef>
          </c:xVal>
          <c:yVal>
            <c:numRef>
              <c:f>Ref!$P$31:$P$47</c:f>
              <c:numCache>
                <c:formatCode>0.0</c:formatCode>
                <c:ptCount val="17"/>
                <c:pt idx="0">
                  <c:v>2.2900690095846645</c:v>
                </c:pt>
                <c:pt idx="1">
                  <c:v>2.4646498498498497</c:v>
                </c:pt>
                <c:pt idx="2">
                  <c:v>2.5947002832861186</c:v>
                </c:pt>
                <c:pt idx="3">
                  <c:v>2.6873833780160856</c:v>
                </c:pt>
                <c:pt idx="4">
                  <c:v>2.7484040712468185</c:v>
                </c:pt>
                <c:pt idx="5">
                  <c:v>2.782362227602905</c:v>
                </c:pt>
                <c:pt idx="6">
                  <c:v>2.7930078521939952</c:v>
                </c:pt>
                <c:pt idx="7">
                  <c:v>2.7834286975717437</c:v>
                </c:pt>
                <c:pt idx="8">
                  <c:v>2.7561902748414373</c:v>
                </c:pt>
                <c:pt idx="9">
                  <c:v>2.713441784989858</c:v>
                </c:pt>
                <c:pt idx="10">
                  <c:v>2.6569972709551655</c:v>
                </c:pt>
                <c:pt idx="11">
                  <c:v>2.5883984990619133</c:v>
                </c:pt>
                <c:pt idx="12">
                  <c:v>2.5089641952983728</c:v>
                </c:pt>
                <c:pt idx="13">
                  <c:v>2.4198289703315883</c:v>
                </c:pt>
                <c:pt idx="14">
                  <c:v>2.3219743676222597</c:v>
                </c:pt>
                <c:pt idx="15">
                  <c:v>2.2162538336052204</c:v>
                </c:pt>
                <c:pt idx="16">
                  <c:v>1.9841059724349162</c:v>
                </c:pt>
              </c:numCache>
            </c:numRef>
          </c:yVal>
          <c:smooth val="1"/>
        </c:ser>
        <c:ser>
          <c:idx val="10"/>
          <c:order val="7"/>
          <c:tx>
            <c:v>rCO2 liq = 0.001</c:v>
          </c:tx>
          <c:spPr>
            <a:ln w="12700">
              <a:solidFill>
                <a:srgbClr val="C0C0C0"/>
              </a:solidFill>
              <a:prstDash val="solid"/>
            </a:ln>
          </c:spPr>
          <c:marker>
            <c:symbol val="none"/>
          </c:marker>
          <c:dLbls>
            <c:dLbl>
              <c:idx val="1"/>
              <c:layout>
                <c:manualLayout>
                  <c:x val="-4.8424701629277464E-2"/>
                  <c:y val="-5.7458478375357874E-3"/>
                </c:manualLayout>
              </c:layout>
              <c:tx>
                <c:rich>
                  <a:bodyPr rot="480000" vert="horz"/>
                  <a:lstStyle/>
                  <a:p>
                    <a:pPr algn="ctr">
                      <a:defRPr sz="1200" b="0" i="0" u="none" strike="noStrike" baseline="0">
                        <a:solidFill>
                          <a:srgbClr val="808080"/>
                        </a:solidFill>
                        <a:latin typeface="Arial"/>
                        <a:ea typeface="Arial"/>
                        <a:cs typeface="Arial"/>
                      </a:defRPr>
                    </a:pPr>
                    <a:r>
                      <a:rPr lang="en-NZ"/>
                      <a:t>0.001</a:t>
                    </a:r>
                  </a:p>
                </c:rich>
              </c:tx>
              <c:spPr>
                <a:solidFill>
                  <a:srgbClr val="FFFFFF"/>
                </a:solidFill>
                <a:ln w="25400">
                  <a:noFill/>
                </a:ln>
              </c:spPr>
              <c:dLblPos val="r"/>
              <c:showLegendKey val="0"/>
              <c:showVal val="0"/>
              <c:showCatName val="0"/>
              <c:showSerName val="0"/>
              <c:showPercent val="0"/>
              <c:showBubbleSize val="0"/>
            </c:dLbl>
            <c:showLegendKey val="0"/>
            <c:showVal val="0"/>
            <c:showCatName val="0"/>
            <c:showSerName val="0"/>
            <c:showPercent val="0"/>
            <c:showBubbleSize val="0"/>
          </c:dLbls>
          <c:xVal>
            <c:numRef>
              <c:f>Ref!$H$31:$H$47</c:f>
              <c:numCache>
                <c:formatCode>0.00</c:formatCode>
                <c:ptCount val="17"/>
                <c:pt idx="0">
                  <c:v>-8.9456869009584522E-2</c:v>
                </c:pt>
                <c:pt idx="1">
                  <c:v>0.75675675675675613</c:v>
                </c:pt>
                <c:pt idx="2">
                  <c:v>1.5070821529745049</c:v>
                </c:pt>
                <c:pt idx="3">
                  <c:v>2.176943699731904</c:v>
                </c:pt>
                <c:pt idx="4">
                  <c:v>2.7786259541984735</c:v>
                </c:pt>
                <c:pt idx="5">
                  <c:v>3.3220338983050852</c:v>
                </c:pt>
                <c:pt idx="6">
                  <c:v>3.8152424942263288</c:v>
                </c:pt>
                <c:pt idx="7">
                  <c:v>4.2649006622516552</c:v>
                </c:pt>
                <c:pt idx="8">
                  <c:v>4.6765327695560268</c:v>
                </c:pt>
                <c:pt idx="9">
                  <c:v>5.0547667342799194</c:v>
                </c:pt>
                <c:pt idx="10">
                  <c:v>5.4035087719298263</c:v>
                </c:pt>
                <c:pt idx="11">
                  <c:v>5.7260787992495326</c:v>
                </c:pt>
                <c:pt idx="12">
                  <c:v>6.0253164556962027</c:v>
                </c:pt>
                <c:pt idx="13">
                  <c:v>6.3036649214659688</c:v>
                </c:pt>
                <c:pt idx="14">
                  <c:v>6.5632377740303554</c:v>
                </c:pt>
                <c:pt idx="15">
                  <c:v>6.805872756933117</c:v>
                </c:pt>
                <c:pt idx="16">
                  <c:v>7.2465543644716703</c:v>
                </c:pt>
              </c:numCache>
            </c:numRef>
          </c:xVal>
          <c:yVal>
            <c:numRef>
              <c:f>Ref!$Q$31:$Q$47</c:f>
              <c:numCache>
                <c:formatCode>0.0</c:formatCode>
                <c:ptCount val="17"/>
                <c:pt idx="0">
                  <c:v>3.2900690095846645</c:v>
                </c:pt>
                <c:pt idx="1">
                  <c:v>3.4646498498498497</c:v>
                </c:pt>
                <c:pt idx="2">
                  <c:v>3.5947002832861186</c:v>
                </c:pt>
                <c:pt idx="3">
                  <c:v>3.6873833780160856</c:v>
                </c:pt>
                <c:pt idx="4">
                  <c:v>3.7484040712468185</c:v>
                </c:pt>
                <c:pt idx="5">
                  <c:v>3.782362227602905</c:v>
                </c:pt>
                <c:pt idx="6">
                  <c:v>3.7930078521939952</c:v>
                </c:pt>
                <c:pt idx="7">
                  <c:v>3.7834286975717437</c:v>
                </c:pt>
                <c:pt idx="8">
                  <c:v>3.7561902748414373</c:v>
                </c:pt>
                <c:pt idx="9">
                  <c:v>3.713441784989858</c:v>
                </c:pt>
                <c:pt idx="10">
                  <c:v>3.6569972709551655</c:v>
                </c:pt>
                <c:pt idx="11">
                  <c:v>3.5883984990619133</c:v>
                </c:pt>
                <c:pt idx="12">
                  <c:v>3.5089641952983728</c:v>
                </c:pt>
                <c:pt idx="13">
                  <c:v>3.4198289703315883</c:v>
                </c:pt>
                <c:pt idx="14">
                  <c:v>3.3219743676222597</c:v>
                </c:pt>
                <c:pt idx="15">
                  <c:v>3.2162538336052204</c:v>
                </c:pt>
                <c:pt idx="16">
                  <c:v>2.9841059724349162</c:v>
                </c:pt>
              </c:numCache>
            </c:numRef>
          </c:yVal>
          <c:smooth val="1"/>
        </c:ser>
        <c:ser>
          <c:idx val="11"/>
          <c:order val="8"/>
          <c:tx>
            <c:v>rCO2 liq = 0.01</c:v>
          </c:tx>
          <c:spPr>
            <a:ln w="12700">
              <a:solidFill>
                <a:srgbClr val="C0C0C0"/>
              </a:solidFill>
              <a:prstDash val="solid"/>
            </a:ln>
          </c:spPr>
          <c:marker>
            <c:symbol val="none"/>
          </c:marker>
          <c:dLbls>
            <c:dLbl>
              <c:idx val="1"/>
              <c:layout>
                <c:manualLayout>
                  <c:x val="-5.9523480763572709E-2"/>
                  <c:y val="-1.0371949835798085E-3"/>
                </c:manualLayout>
              </c:layout>
              <c:tx>
                <c:rich>
                  <a:bodyPr rot="360000" vert="horz"/>
                  <a:lstStyle/>
                  <a:p>
                    <a:pPr algn="ctr">
                      <a:defRPr sz="1200" b="0" i="0" u="none" strike="noStrike" baseline="0">
                        <a:solidFill>
                          <a:srgbClr val="808080"/>
                        </a:solidFill>
                        <a:latin typeface="Arial"/>
                        <a:ea typeface="Arial"/>
                        <a:cs typeface="Arial"/>
                      </a:defRPr>
                    </a:pPr>
                    <a:r>
                      <a:rPr lang="en-NZ"/>
                      <a:t>rCO2 liquid = 0.01</a:t>
                    </a:r>
                  </a:p>
                </c:rich>
              </c:tx>
              <c:spPr>
                <a:solidFill>
                  <a:srgbClr val="FFFFFF"/>
                </a:solidFill>
                <a:ln w="25400">
                  <a:noFill/>
                </a:ln>
              </c:spPr>
              <c:dLblPos val="r"/>
              <c:showLegendKey val="0"/>
              <c:showVal val="0"/>
              <c:showCatName val="0"/>
              <c:showSerName val="0"/>
              <c:showPercent val="0"/>
              <c:showBubbleSize val="0"/>
            </c:dLbl>
            <c:showLegendKey val="0"/>
            <c:showVal val="0"/>
            <c:showCatName val="0"/>
            <c:showSerName val="0"/>
            <c:showPercent val="0"/>
            <c:showBubbleSize val="0"/>
          </c:dLbls>
          <c:xVal>
            <c:numRef>
              <c:f>Ref!$H$31:$H$47</c:f>
              <c:numCache>
                <c:formatCode>0.00</c:formatCode>
                <c:ptCount val="17"/>
                <c:pt idx="0">
                  <c:v>-8.9456869009584522E-2</c:v>
                </c:pt>
                <c:pt idx="1">
                  <c:v>0.75675675675675613</c:v>
                </c:pt>
                <c:pt idx="2">
                  <c:v>1.5070821529745049</c:v>
                </c:pt>
                <c:pt idx="3">
                  <c:v>2.176943699731904</c:v>
                </c:pt>
                <c:pt idx="4">
                  <c:v>2.7786259541984735</c:v>
                </c:pt>
                <c:pt idx="5">
                  <c:v>3.3220338983050852</c:v>
                </c:pt>
                <c:pt idx="6">
                  <c:v>3.8152424942263288</c:v>
                </c:pt>
                <c:pt idx="7">
                  <c:v>4.2649006622516552</c:v>
                </c:pt>
                <c:pt idx="8">
                  <c:v>4.6765327695560268</c:v>
                </c:pt>
                <c:pt idx="9">
                  <c:v>5.0547667342799194</c:v>
                </c:pt>
                <c:pt idx="10">
                  <c:v>5.4035087719298263</c:v>
                </c:pt>
                <c:pt idx="11">
                  <c:v>5.7260787992495326</c:v>
                </c:pt>
                <c:pt idx="12">
                  <c:v>6.0253164556962027</c:v>
                </c:pt>
                <c:pt idx="13">
                  <c:v>6.3036649214659688</c:v>
                </c:pt>
                <c:pt idx="14">
                  <c:v>6.5632377740303554</c:v>
                </c:pt>
                <c:pt idx="15">
                  <c:v>6.805872756933117</c:v>
                </c:pt>
                <c:pt idx="16">
                  <c:v>7.2465543644716703</c:v>
                </c:pt>
              </c:numCache>
            </c:numRef>
          </c:xVal>
          <c:yVal>
            <c:numRef>
              <c:f>Ref!$R$31:$R$47</c:f>
              <c:numCache>
                <c:formatCode>0.0</c:formatCode>
                <c:ptCount val="17"/>
                <c:pt idx="0">
                  <c:v>4.2900690095846645</c:v>
                </c:pt>
                <c:pt idx="1">
                  <c:v>4.4646498498498497</c:v>
                </c:pt>
                <c:pt idx="2">
                  <c:v>4.5947002832861186</c:v>
                </c:pt>
                <c:pt idx="3">
                  <c:v>4.6873833780160856</c:v>
                </c:pt>
                <c:pt idx="4">
                  <c:v>4.748404071246819</c:v>
                </c:pt>
                <c:pt idx="5">
                  <c:v>4.7823622276029045</c:v>
                </c:pt>
                <c:pt idx="6">
                  <c:v>4.7930078521939947</c:v>
                </c:pt>
                <c:pt idx="7">
                  <c:v>4.7834286975717433</c:v>
                </c:pt>
                <c:pt idx="8">
                  <c:v>4.7561902748414369</c:v>
                </c:pt>
                <c:pt idx="9">
                  <c:v>4.7134417849898576</c:v>
                </c:pt>
                <c:pt idx="10">
                  <c:v>4.6569972709551655</c:v>
                </c:pt>
                <c:pt idx="11">
                  <c:v>4.5883984990619133</c:v>
                </c:pt>
                <c:pt idx="12">
                  <c:v>4.5089641952983728</c:v>
                </c:pt>
                <c:pt idx="13">
                  <c:v>4.4198289703315883</c:v>
                </c:pt>
                <c:pt idx="14">
                  <c:v>4.3219743676222597</c:v>
                </c:pt>
                <c:pt idx="15">
                  <c:v>4.2162538336052204</c:v>
                </c:pt>
                <c:pt idx="16">
                  <c:v>3.9841059724349162</c:v>
                </c:pt>
              </c:numCache>
            </c:numRef>
          </c:yVal>
          <c:smooth val="1"/>
        </c:ser>
        <c:ser>
          <c:idx val="4"/>
          <c:order val="9"/>
          <c:tx>
            <c:v>ROCKS</c:v>
          </c:tx>
          <c:spPr>
            <a:ln w="28575">
              <a:noFill/>
            </a:ln>
          </c:spPr>
          <c:marker>
            <c:symbol val="square"/>
            <c:size val="7"/>
            <c:spPr>
              <a:solidFill>
                <a:srgbClr val="C0C0C0"/>
              </a:solidFill>
              <a:ln>
                <a:solidFill>
                  <a:srgbClr val="800080"/>
                </a:solidFill>
                <a:prstDash val="solid"/>
              </a:ln>
            </c:spPr>
          </c:marker>
          <c:dLbls>
            <c:dLbl>
              <c:idx val="0"/>
              <c:delete val="1"/>
            </c:dLbl>
            <c:dLbl>
              <c:idx val="1"/>
              <c:layout/>
              <c:tx>
                <c:strRef>
                  <c:f>Ref!$B$5</c:f>
                  <c:strCache>
                    <c:ptCount val="1"/>
                    <c:pt idx="0">
                      <c:v>Diorite</c:v>
                    </c:pt>
                  </c:strCache>
                </c:strRef>
              </c:tx>
              <c:showLegendKey val="0"/>
              <c:showVal val="0"/>
              <c:showCatName val="0"/>
              <c:showSerName val="0"/>
              <c:showPercent val="0"/>
              <c:showBubbleSize val="0"/>
            </c:dLbl>
            <c:dLbl>
              <c:idx val="2"/>
              <c:layout/>
              <c:tx>
                <c:strRef>
                  <c:f>Ref!$B$6</c:f>
                  <c:strCache>
                    <c:ptCount val="1"/>
                    <c:pt idx="0">
                      <c:v>Basalt</c:v>
                    </c:pt>
                  </c:strCache>
                </c:strRef>
              </c:tx>
              <c:showLegendKey val="0"/>
              <c:showVal val="0"/>
              <c:showCatName val="0"/>
              <c:showSerName val="0"/>
              <c:showPercent val="0"/>
              <c:showBubbleSize val="0"/>
            </c:dLbl>
            <c:dLbl>
              <c:idx val="3"/>
              <c:layout/>
              <c:tx>
                <c:strRef>
                  <c:f>Ref!$B$7</c:f>
                  <c:strCache>
                    <c:ptCount val="1"/>
                    <c:pt idx="0">
                      <c:v>Ultramafic</c:v>
                    </c:pt>
                  </c:strCache>
                </c:strRef>
              </c:tx>
              <c:showLegendKey val="0"/>
              <c:showVal val="0"/>
              <c:showCatName val="0"/>
              <c:showSerName val="0"/>
              <c:showPercent val="0"/>
              <c:showBubbleSize val="0"/>
            </c:dLbl>
            <c:dLbl>
              <c:idx val="4"/>
              <c:layout/>
              <c:tx>
                <c:strRef>
                  <c:f>Ref!$B$8</c:f>
                  <c:strCache>
                    <c:ptCount val="1"/>
                    <c:pt idx="0">
                      <c:v>Limestone</c:v>
                    </c:pt>
                  </c:strCache>
                </c:strRef>
              </c:tx>
              <c:showLegendKey val="0"/>
              <c:showVal val="0"/>
              <c:showCatName val="0"/>
              <c:showSerName val="0"/>
              <c:showPercent val="0"/>
              <c:showBubbleSize val="0"/>
            </c:dLbl>
            <c:dLbl>
              <c:idx val="5"/>
              <c:layout/>
              <c:tx>
                <c:strRef>
                  <c:f>Ref!$B$9</c:f>
                  <c:strCache>
                    <c:ptCount val="1"/>
                    <c:pt idx="0">
                      <c:v>Sandstone</c:v>
                    </c:pt>
                  </c:strCache>
                </c:strRef>
              </c:tx>
              <c:showLegendKey val="0"/>
              <c:showVal val="0"/>
              <c:showCatName val="0"/>
              <c:showSerName val="0"/>
              <c:showPercent val="0"/>
              <c:showBubbleSize val="0"/>
            </c:dLbl>
            <c:dLbl>
              <c:idx val="6"/>
              <c:layout/>
              <c:tx>
                <c:strRef>
                  <c:f>Ref!$B$10</c:f>
                  <c:strCache>
                    <c:ptCount val="1"/>
                    <c:pt idx="0">
                      <c:v>Shale</c:v>
                    </c:pt>
                  </c:strCache>
                </c:strRef>
              </c:tx>
              <c:showLegendKey val="0"/>
              <c:showVal val="0"/>
              <c:showCatName val="0"/>
              <c:showSerName val="0"/>
              <c:showPercent val="0"/>
              <c:showBubbleSize val="0"/>
            </c:dLbl>
            <c:dLbl>
              <c:idx val="7"/>
              <c:layout/>
              <c:tx>
                <c:strRef>
                  <c:f>Ref!$B$11</c:f>
                  <c:strCache>
                    <c:ptCount val="1"/>
                    <c:pt idx="0">
                      <c:v>Seawater</c:v>
                    </c:pt>
                  </c:strCache>
                </c:strRef>
              </c:tx>
              <c:showLegendKey val="0"/>
              <c:showVal val="0"/>
              <c:showCatName val="0"/>
              <c:showSerName val="0"/>
              <c:showPercent val="0"/>
              <c:showBubbleSize val="0"/>
            </c:dLbl>
            <c:spPr>
              <a:noFill/>
              <a:ln w="25400">
                <a:noFill/>
              </a:ln>
            </c:spPr>
            <c:txPr>
              <a:bodyPr/>
              <a:lstStyle/>
              <a:p>
                <a:pPr>
                  <a:defRPr sz="1200" b="0" i="0" u="none" strike="noStrike" baseline="0">
                    <a:solidFill>
                      <a:srgbClr val="808080"/>
                    </a:solidFill>
                    <a:latin typeface="Arial"/>
                    <a:ea typeface="Arial"/>
                    <a:cs typeface="Arial"/>
                  </a:defRPr>
                </a:pPr>
                <a:endParaRPr lang="en-US"/>
              </a:p>
            </c:txPr>
            <c:showLegendKey val="0"/>
            <c:showVal val="1"/>
            <c:showCatName val="0"/>
            <c:showSerName val="0"/>
            <c:showPercent val="0"/>
            <c:showBubbleSize val="0"/>
            <c:showLeaderLines val="0"/>
          </c:dLbls>
          <c:xVal>
            <c:numRef>
              <c:f>Ref!$AT$4:$AT$11</c:f>
              <c:numCache>
                <c:formatCode>0.00</c:formatCode>
                <c:ptCount val="8"/>
                <c:pt idx="0">
                  <c:v>5.4887856607755285</c:v>
                </c:pt>
                <c:pt idx="1">
                  <c:v>4.1003705451175634</c:v>
                </c:pt>
                <c:pt idx="2">
                  <c:v>3.849937025807721</c:v>
                </c:pt>
                <c:pt idx="3">
                  <c:v>2.4921441283041688</c:v>
                </c:pt>
                <c:pt idx="4">
                  <c:v>2.0566154181488834</c:v>
                </c:pt>
                <c:pt idx="5">
                  <c:v>4.9912260756924951</c:v>
                </c:pt>
                <c:pt idx="6">
                  <c:v>4.6410532533557332</c:v>
                </c:pt>
                <c:pt idx="7">
                  <c:v>2.0550800819212252</c:v>
                </c:pt>
              </c:numCache>
            </c:numRef>
          </c:xVal>
          <c:yVal>
            <c:numRef>
              <c:f>Ref!$AU$4:$AU$11</c:f>
              <c:numCache>
                <c:formatCode>0.00</c:formatCode>
                <c:ptCount val="8"/>
                <c:pt idx="0">
                  <c:v>5.0628169285032474</c:v>
                </c:pt>
                <c:pt idx="1">
                  <c:v>3.8450980400142569</c:v>
                </c:pt>
                <c:pt idx="2">
                  <c:v>3.6081171952607454</c:v>
                </c:pt>
                <c:pt idx="3">
                  <c:v>3.3565473235138121</c:v>
                </c:pt>
                <c:pt idx="4">
                  <c:v>1.3248329103366059</c:v>
                </c:pt>
                <c:pt idx="5">
                  <c:v>4.2922560713564764</c:v>
                </c:pt>
                <c:pt idx="6">
                  <c:v>4.8171445124114136</c:v>
                </c:pt>
                <c:pt idx="7">
                  <c:v>2.5575072019056577</c:v>
                </c:pt>
              </c:numCache>
            </c:numRef>
          </c:yVal>
          <c:smooth val="1"/>
        </c:ser>
        <c:ser>
          <c:idx val="2"/>
          <c:order val="10"/>
          <c:tx>
            <c:v>label points</c:v>
          </c:tx>
          <c:spPr>
            <a:ln w="28575">
              <a:noFill/>
            </a:ln>
          </c:spPr>
          <c:marker>
            <c:symbol val="none"/>
          </c:marker>
          <c:dLbls>
            <c:dLbl>
              <c:idx val="0"/>
              <c:layout>
                <c:manualLayout>
                  <c:x val="-0.35198033098248988"/>
                  <c:y val="-0.42226766515523262"/>
                </c:manualLayout>
              </c:layout>
              <c:tx>
                <c:rich>
                  <a:bodyPr rot="1560000" vert="horz"/>
                  <a:lstStyle/>
                  <a:p>
                    <a:pPr algn="ctr">
                      <a:defRPr sz="1200" b="1" i="0" u="none" strike="noStrike" baseline="0">
                        <a:solidFill>
                          <a:srgbClr val="808080"/>
                        </a:solidFill>
                        <a:latin typeface="Arial"/>
                        <a:ea typeface="Arial"/>
                        <a:cs typeface="Arial"/>
                      </a:defRPr>
                    </a:pPr>
                    <a:r>
                      <a:rPr lang="en-NZ"/>
                      <a:t>Calcite Undersaturated</a:t>
                    </a:r>
                  </a:p>
                </c:rich>
              </c:tx>
              <c:spPr>
                <a:noFill/>
                <a:ln w="25400">
                  <a:noFill/>
                </a:ln>
              </c:spPr>
              <c:dLblPos val="r"/>
              <c:showLegendKey val="0"/>
              <c:showVal val="0"/>
              <c:showCatName val="0"/>
              <c:showSerName val="0"/>
              <c:showPercent val="0"/>
              <c:showBubbleSize val="0"/>
            </c:dLbl>
            <c:dLbl>
              <c:idx val="1"/>
              <c:delete val="1"/>
            </c:dLbl>
            <c:dLbl>
              <c:idx val="2"/>
              <c:delete val="1"/>
            </c:dLbl>
            <c:dLbl>
              <c:idx val="3"/>
              <c:layout>
                <c:manualLayout>
                  <c:x val="-0.87559684340234389"/>
                  <c:y val="0"/>
                </c:manualLayout>
              </c:layout>
              <c:tx>
                <c:rich>
                  <a:bodyPr rot="1500000" vert="horz"/>
                  <a:lstStyle/>
                  <a:p>
                    <a:pPr algn="ctr">
                      <a:defRPr sz="1450" b="1" i="0" u="none" strike="noStrike" baseline="0">
                        <a:solidFill>
                          <a:srgbClr val="808080"/>
                        </a:solidFill>
                        <a:latin typeface="Arial"/>
                        <a:ea typeface="Arial"/>
                        <a:cs typeface="Arial"/>
                      </a:defRPr>
                    </a:pPr>
                    <a:r>
                      <a:rPr lang="en-NZ"/>
                      <a:t>Calcite Formation</a:t>
                    </a:r>
                  </a:p>
                </c:rich>
              </c:tx>
              <c:spPr>
                <a:noFill/>
                <a:ln w="25400">
                  <a:noFill/>
                </a:ln>
              </c:spPr>
              <c:dLblPos val="r"/>
              <c:showLegendKey val="0"/>
              <c:showVal val="0"/>
              <c:showCatName val="0"/>
              <c:showSerName val="0"/>
              <c:showPercent val="0"/>
              <c:showBubbleSize val="0"/>
            </c:dLbl>
            <c:spPr>
              <a:noFill/>
              <a:ln w="25400">
                <a:noFill/>
              </a:ln>
            </c:spPr>
            <c:txPr>
              <a:bodyPr/>
              <a:lstStyle/>
              <a:p>
                <a:pPr>
                  <a:defRPr sz="10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xVal>
            <c:numRef>
              <c:f>Ref!$H$47:$H$50</c:f>
              <c:numCache>
                <c:formatCode>0.00</c:formatCode>
                <c:ptCount val="4"/>
                <c:pt idx="0">
                  <c:v>7.2465543644716703</c:v>
                </c:pt>
                <c:pt idx="1">
                  <c:v>7.6363636363636376</c:v>
                </c:pt>
                <c:pt idx="2">
                  <c:v>8.6415552855407043</c:v>
                </c:pt>
              </c:numCache>
            </c:numRef>
          </c:xVal>
          <c:yVal>
            <c:numRef>
              <c:f>Ref!$I$47:$I$50</c:f>
              <c:numCache>
                <c:formatCode>0.0</c:formatCode>
                <c:ptCount val="4"/>
                <c:pt idx="0">
                  <c:v>5.6039999999999992</c:v>
                </c:pt>
                <c:pt idx="1">
                  <c:v>6.2759999999999998</c:v>
                </c:pt>
                <c:pt idx="2">
                  <c:v>8.4600000000000026</c:v>
                </c:pt>
              </c:numCache>
            </c:numRef>
          </c:yVal>
          <c:smooth val="1"/>
        </c:ser>
        <c:ser>
          <c:idx val="0"/>
          <c:order val="11"/>
          <c:tx>
            <c:v>Equilibration line</c:v>
          </c:tx>
          <c:spPr>
            <a:ln w="25400">
              <a:solidFill>
                <a:srgbClr val="808080"/>
              </a:solidFill>
              <a:prstDash val="solid"/>
            </a:ln>
          </c:spPr>
          <c:marker>
            <c:symbol val="plus"/>
            <c:size val="7"/>
            <c:spPr>
              <a:noFill/>
              <a:ln>
                <a:solidFill>
                  <a:srgbClr val="808080"/>
                </a:solidFill>
                <a:prstDash val="solid"/>
              </a:ln>
            </c:spPr>
          </c:marker>
          <c:dLbls>
            <c:dLbl>
              <c:idx val="0"/>
              <c:layout>
                <c:manualLayout>
                  <c:x val="1.1035973444495913E-2"/>
                  <c:y val="8.8822322984504695E-2"/>
                </c:manualLayout>
              </c:layout>
              <c:tx>
                <c:rich>
                  <a:bodyPr rot="1200000" vert="horz"/>
                  <a:lstStyle/>
                  <a:p>
                    <a:pPr algn="ctr">
                      <a:defRPr sz="1400" b="1" i="0" u="none" strike="noStrike" baseline="0">
                        <a:solidFill>
                          <a:srgbClr val="808080"/>
                        </a:solidFill>
                        <a:latin typeface="Arial"/>
                        <a:ea typeface="Arial"/>
                        <a:cs typeface="Arial"/>
                      </a:defRPr>
                    </a:pPr>
                    <a:r>
                      <a:rPr lang="en-NZ"/>
                      <a:t>Calcite Formation</a:t>
                    </a:r>
                  </a:p>
                </c:rich>
              </c:tx>
              <c:spPr>
                <a:noFill/>
                <a:ln w="25400">
                  <a:noFill/>
                </a:ln>
              </c:spPr>
              <c:dLblPos val="r"/>
              <c:showLegendKey val="0"/>
              <c:showVal val="0"/>
              <c:showCatName val="0"/>
              <c:showSerName val="0"/>
              <c:showPercent val="0"/>
              <c:showBubbleSize val="0"/>
            </c:dLbl>
            <c:dLbl>
              <c:idx val="1"/>
              <c:delete val="1"/>
            </c:dLbl>
            <c:dLbl>
              <c:idx val="2"/>
              <c:layout/>
              <c:tx>
                <c:strRef>
                  <c:f>Ref!$B$33</c:f>
                  <c:strCache>
                    <c:ptCount val="1"/>
                    <c:pt idx="0">
                      <c:v>80</c:v>
                    </c:pt>
                  </c:strCache>
                </c:strRef>
              </c:tx>
              <c:dLblPos val="t"/>
              <c:showLegendKey val="0"/>
              <c:showVal val="0"/>
              <c:showCatName val="0"/>
              <c:showSerName val="0"/>
              <c:showPercent val="0"/>
              <c:showBubbleSize val="0"/>
            </c:dLbl>
            <c:dLbl>
              <c:idx val="3"/>
              <c:layout/>
              <c:tx>
                <c:strRef>
                  <c:f>Ref!$B$34</c:f>
                  <c:strCache>
                    <c:ptCount val="1"/>
                    <c:pt idx="0">
                      <c:v>100</c:v>
                    </c:pt>
                  </c:strCache>
                </c:strRef>
              </c:tx>
              <c:dLblPos val="t"/>
              <c:showLegendKey val="0"/>
              <c:showVal val="0"/>
              <c:showCatName val="0"/>
              <c:showSerName val="0"/>
              <c:showPercent val="0"/>
              <c:showBubbleSize val="0"/>
            </c:dLbl>
            <c:dLbl>
              <c:idx val="4"/>
              <c:layout/>
              <c:tx>
                <c:strRef>
                  <c:f>Ref!$B$35</c:f>
                  <c:strCache>
                    <c:ptCount val="1"/>
                    <c:pt idx="0">
                      <c:v>120</c:v>
                    </c:pt>
                  </c:strCache>
                </c:strRef>
              </c:tx>
              <c:dLblPos val="t"/>
              <c:showLegendKey val="0"/>
              <c:showVal val="0"/>
              <c:showCatName val="0"/>
              <c:showSerName val="0"/>
              <c:showPercent val="0"/>
              <c:showBubbleSize val="0"/>
            </c:dLbl>
            <c:dLbl>
              <c:idx val="5"/>
              <c:layout/>
              <c:tx>
                <c:strRef>
                  <c:f>Ref!$B$36</c:f>
                  <c:strCache>
                    <c:ptCount val="1"/>
                    <c:pt idx="0">
                      <c:v>140</c:v>
                    </c:pt>
                  </c:strCache>
                </c:strRef>
              </c:tx>
              <c:dLblPos val="t"/>
              <c:showLegendKey val="0"/>
              <c:showVal val="0"/>
              <c:showCatName val="0"/>
              <c:showSerName val="0"/>
              <c:showPercent val="0"/>
              <c:showBubbleSize val="0"/>
            </c:dLbl>
            <c:dLbl>
              <c:idx val="6"/>
              <c:layout/>
              <c:tx>
                <c:strRef>
                  <c:f>Ref!$B$37</c:f>
                  <c:strCache>
                    <c:ptCount val="1"/>
                    <c:pt idx="0">
                      <c:v>160</c:v>
                    </c:pt>
                  </c:strCache>
                </c:strRef>
              </c:tx>
              <c:dLblPos val="t"/>
              <c:showLegendKey val="0"/>
              <c:showVal val="0"/>
              <c:showCatName val="0"/>
              <c:showSerName val="0"/>
              <c:showPercent val="0"/>
              <c:showBubbleSize val="0"/>
            </c:dLbl>
            <c:dLbl>
              <c:idx val="7"/>
              <c:layout/>
              <c:tx>
                <c:strRef>
                  <c:f>Ref!$B$38</c:f>
                  <c:strCache>
                    <c:ptCount val="1"/>
                    <c:pt idx="0">
                      <c:v>180</c:v>
                    </c:pt>
                  </c:strCache>
                </c:strRef>
              </c:tx>
              <c:dLblPos val="t"/>
              <c:showLegendKey val="0"/>
              <c:showVal val="0"/>
              <c:showCatName val="0"/>
              <c:showSerName val="0"/>
              <c:showPercent val="0"/>
              <c:showBubbleSize val="0"/>
            </c:dLbl>
            <c:dLbl>
              <c:idx val="8"/>
              <c:layout/>
              <c:tx>
                <c:strRef>
                  <c:f>Ref!$B$39</c:f>
                  <c:strCache>
                    <c:ptCount val="1"/>
                    <c:pt idx="0">
                      <c:v>200</c:v>
                    </c:pt>
                  </c:strCache>
                </c:strRef>
              </c:tx>
              <c:dLblPos val="t"/>
              <c:showLegendKey val="0"/>
              <c:showVal val="0"/>
              <c:showCatName val="0"/>
              <c:showSerName val="0"/>
              <c:showPercent val="0"/>
              <c:showBubbleSize val="0"/>
            </c:dLbl>
            <c:dLbl>
              <c:idx val="9"/>
              <c:layout/>
              <c:tx>
                <c:strRef>
                  <c:f>Ref!$B$40</c:f>
                  <c:strCache>
                    <c:ptCount val="1"/>
                    <c:pt idx="0">
                      <c:v>220</c:v>
                    </c:pt>
                  </c:strCache>
                </c:strRef>
              </c:tx>
              <c:dLblPos val="t"/>
              <c:showLegendKey val="0"/>
              <c:showVal val="0"/>
              <c:showCatName val="0"/>
              <c:showSerName val="0"/>
              <c:showPercent val="0"/>
              <c:showBubbleSize val="0"/>
            </c:dLbl>
            <c:dLbl>
              <c:idx val="10"/>
              <c:layout/>
              <c:tx>
                <c:strRef>
                  <c:f>Ref!$B$41</c:f>
                  <c:strCache>
                    <c:ptCount val="1"/>
                    <c:pt idx="0">
                      <c:v>240</c:v>
                    </c:pt>
                  </c:strCache>
                </c:strRef>
              </c:tx>
              <c:dLblPos val="t"/>
              <c:showLegendKey val="0"/>
              <c:showVal val="0"/>
              <c:showCatName val="0"/>
              <c:showSerName val="0"/>
              <c:showPercent val="0"/>
              <c:showBubbleSize val="0"/>
            </c:dLbl>
            <c:dLbl>
              <c:idx val="11"/>
              <c:layout/>
              <c:tx>
                <c:strRef>
                  <c:f>Ref!$B$42</c:f>
                  <c:strCache>
                    <c:ptCount val="1"/>
                    <c:pt idx="0">
                      <c:v>260</c:v>
                    </c:pt>
                  </c:strCache>
                </c:strRef>
              </c:tx>
              <c:dLblPos val="t"/>
              <c:showLegendKey val="0"/>
              <c:showVal val="0"/>
              <c:showCatName val="0"/>
              <c:showSerName val="0"/>
              <c:showPercent val="0"/>
              <c:showBubbleSize val="0"/>
            </c:dLbl>
            <c:dLbl>
              <c:idx val="12"/>
              <c:layout/>
              <c:tx>
                <c:strRef>
                  <c:f>Ref!$B$43</c:f>
                  <c:strCache>
                    <c:ptCount val="1"/>
                    <c:pt idx="0">
                      <c:v>280</c:v>
                    </c:pt>
                  </c:strCache>
                </c:strRef>
              </c:tx>
              <c:dLblPos val="t"/>
              <c:showLegendKey val="0"/>
              <c:showVal val="0"/>
              <c:showCatName val="0"/>
              <c:showSerName val="0"/>
              <c:showPercent val="0"/>
              <c:showBubbleSize val="0"/>
            </c:dLbl>
            <c:dLbl>
              <c:idx val="13"/>
              <c:layout/>
              <c:tx>
                <c:strRef>
                  <c:f>Ref!$B$44</c:f>
                  <c:strCache>
                    <c:ptCount val="1"/>
                    <c:pt idx="0">
                      <c:v>300</c:v>
                    </c:pt>
                  </c:strCache>
                </c:strRef>
              </c:tx>
              <c:dLblPos val="t"/>
              <c:showLegendKey val="0"/>
              <c:showVal val="0"/>
              <c:showCatName val="0"/>
              <c:showSerName val="0"/>
              <c:showPercent val="0"/>
              <c:showBubbleSize val="0"/>
            </c:dLbl>
            <c:dLbl>
              <c:idx val="14"/>
              <c:layout/>
              <c:tx>
                <c:strRef>
                  <c:f>Ref!$B$45</c:f>
                  <c:strCache>
                    <c:ptCount val="1"/>
                    <c:pt idx="0">
                      <c:v>320</c:v>
                    </c:pt>
                  </c:strCache>
                </c:strRef>
              </c:tx>
              <c:dLblPos val="t"/>
              <c:showLegendKey val="0"/>
              <c:showVal val="0"/>
              <c:showCatName val="0"/>
              <c:showSerName val="0"/>
              <c:showPercent val="0"/>
              <c:showBubbleSize val="0"/>
            </c:dLbl>
            <c:dLbl>
              <c:idx val="15"/>
              <c:layout/>
              <c:tx>
                <c:strRef>
                  <c:f>Ref!$B$46</c:f>
                  <c:strCache>
                    <c:ptCount val="1"/>
                    <c:pt idx="0">
                      <c:v>340</c:v>
                    </c:pt>
                  </c:strCache>
                </c:strRef>
              </c:tx>
              <c:dLblPos val="t"/>
              <c:showLegendKey val="0"/>
              <c:showVal val="0"/>
              <c:showCatName val="0"/>
              <c:showSerName val="0"/>
              <c:showPercent val="0"/>
              <c:showBubbleSize val="0"/>
            </c:dLbl>
            <c:spPr>
              <a:noFill/>
              <a:ln w="25400">
                <a:noFill/>
              </a:ln>
            </c:spPr>
            <c:txPr>
              <a:bodyPr rot="-5400000" vert="horz"/>
              <a:lstStyle/>
              <a:p>
                <a:pPr algn="ctr">
                  <a:defRPr sz="1200" b="1" i="0" u="none" strike="noStrike" baseline="0">
                    <a:solidFill>
                      <a:srgbClr val="808080"/>
                    </a:solidFill>
                    <a:latin typeface="Arial"/>
                    <a:ea typeface="Arial"/>
                    <a:cs typeface="Arial"/>
                  </a:defRPr>
                </a:pPr>
                <a:endParaRPr lang="en-US"/>
              </a:p>
            </c:txPr>
            <c:dLblPos val="t"/>
            <c:showLegendKey val="0"/>
            <c:showVal val="1"/>
            <c:showCatName val="0"/>
            <c:showSerName val="0"/>
            <c:showPercent val="0"/>
            <c:showBubbleSize val="0"/>
            <c:showLeaderLines val="0"/>
          </c:dLbls>
          <c:xVal>
            <c:numRef>
              <c:f>Ref!$H$31:$H$46</c:f>
              <c:numCache>
                <c:formatCode>0.00</c:formatCode>
                <c:ptCount val="16"/>
                <c:pt idx="0">
                  <c:v>-8.9456869009584522E-2</c:v>
                </c:pt>
                <c:pt idx="1">
                  <c:v>0.75675675675675613</c:v>
                </c:pt>
                <c:pt idx="2">
                  <c:v>1.5070821529745049</c:v>
                </c:pt>
                <c:pt idx="3">
                  <c:v>2.176943699731904</c:v>
                </c:pt>
                <c:pt idx="4">
                  <c:v>2.7786259541984735</c:v>
                </c:pt>
                <c:pt idx="5">
                  <c:v>3.3220338983050852</c:v>
                </c:pt>
                <c:pt idx="6">
                  <c:v>3.8152424942263288</c:v>
                </c:pt>
                <c:pt idx="7">
                  <c:v>4.2649006622516552</c:v>
                </c:pt>
                <c:pt idx="8">
                  <c:v>4.6765327695560268</c:v>
                </c:pt>
                <c:pt idx="9">
                  <c:v>5.0547667342799194</c:v>
                </c:pt>
                <c:pt idx="10">
                  <c:v>5.4035087719298263</c:v>
                </c:pt>
                <c:pt idx="11">
                  <c:v>5.7260787992495326</c:v>
                </c:pt>
                <c:pt idx="12">
                  <c:v>6.0253164556962027</c:v>
                </c:pt>
                <c:pt idx="13">
                  <c:v>6.3036649214659688</c:v>
                </c:pt>
                <c:pt idx="14">
                  <c:v>6.5632377740303554</c:v>
                </c:pt>
                <c:pt idx="15">
                  <c:v>6.805872756933117</c:v>
                </c:pt>
              </c:numCache>
            </c:numRef>
          </c:xVal>
          <c:yVal>
            <c:numRef>
              <c:f>Ref!$I$31:$I$46</c:f>
              <c:numCache>
                <c:formatCode>0.0</c:formatCode>
                <c:ptCount val="16"/>
                <c:pt idx="0">
                  <c:v>-0.10800000000000011</c:v>
                </c:pt>
                <c:pt idx="1">
                  <c:v>0.22799999999999995</c:v>
                </c:pt>
                <c:pt idx="2">
                  <c:v>0.56399999999999995</c:v>
                </c:pt>
                <c:pt idx="3">
                  <c:v>0.9</c:v>
                </c:pt>
                <c:pt idx="4">
                  <c:v>1.2360000000000002</c:v>
                </c:pt>
                <c:pt idx="5">
                  <c:v>1.5720000000000001</c:v>
                </c:pt>
                <c:pt idx="6">
                  <c:v>1.9079999999999999</c:v>
                </c:pt>
                <c:pt idx="7">
                  <c:v>2.2440000000000002</c:v>
                </c:pt>
                <c:pt idx="8">
                  <c:v>2.5800000000000005</c:v>
                </c:pt>
                <c:pt idx="9">
                  <c:v>2.9159999999999999</c:v>
                </c:pt>
                <c:pt idx="10">
                  <c:v>3.2520000000000002</c:v>
                </c:pt>
                <c:pt idx="11">
                  <c:v>3.5879999999999992</c:v>
                </c:pt>
                <c:pt idx="12">
                  <c:v>3.9239999999999995</c:v>
                </c:pt>
                <c:pt idx="13">
                  <c:v>4.26</c:v>
                </c:pt>
                <c:pt idx="14">
                  <c:v>4.5960000000000001</c:v>
                </c:pt>
                <c:pt idx="15">
                  <c:v>4.9320000000000004</c:v>
                </c:pt>
              </c:numCache>
            </c:numRef>
          </c:yVal>
          <c:smooth val="1"/>
        </c:ser>
        <c:ser>
          <c:idx val="13"/>
          <c:order val="12"/>
          <c:tx>
            <c:v>CaCO3 sat limit</c:v>
          </c:tx>
          <c:spPr>
            <a:ln w="25400">
              <a:solidFill>
                <a:srgbClr val="808080"/>
              </a:solidFill>
              <a:prstDash val="solid"/>
            </a:ln>
          </c:spPr>
          <c:marker>
            <c:symbol val="none"/>
          </c:marker>
          <c:dLbls>
            <c:dLbl>
              <c:idx val="2"/>
              <c:layout>
                <c:manualLayout>
                  <c:x val="-2.1137202466788016E-4"/>
                  <c:y val="0.10686088382508466"/>
                </c:manualLayout>
              </c:layout>
              <c:tx>
                <c:rich>
                  <a:bodyPr rot="1500000" vert="horz"/>
                  <a:lstStyle/>
                  <a:p>
                    <a:pPr algn="ctr">
                      <a:defRPr sz="1450" b="1" i="0" u="none" strike="noStrike" baseline="0">
                        <a:solidFill>
                          <a:srgbClr val="808080"/>
                        </a:solidFill>
                        <a:latin typeface="Arial"/>
                        <a:ea typeface="Arial"/>
                        <a:cs typeface="Arial"/>
                      </a:defRPr>
                    </a:pPr>
                    <a:r>
                      <a:rPr lang="en-NZ"/>
                      <a:t>Immature Waters</a:t>
                    </a:r>
                  </a:p>
                </c:rich>
              </c:tx>
              <c:spPr>
                <a:noFill/>
                <a:ln w="25400">
                  <a:noFill/>
                </a:ln>
              </c:spPr>
              <c:dLblPos val="r"/>
              <c:showLegendKey val="0"/>
              <c:showVal val="0"/>
              <c:showCatName val="0"/>
              <c:showSerName val="0"/>
              <c:showPercent val="0"/>
              <c:showBubbleSize val="0"/>
            </c:dLbl>
            <c:showLegendKey val="0"/>
            <c:showVal val="0"/>
            <c:showCatName val="0"/>
            <c:showSerName val="0"/>
            <c:showPercent val="0"/>
            <c:showBubbleSize val="0"/>
          </c:dLbls>
          <c:xVal>
            <c:numRef>
              <c:f>Ref!$AB$31:$AB$38</c:f>
              <c:numCache>
                <c:formatCode>General</c:formatCode>
                <c:ptCount val="8"/>
                <c:pt idx="0">
                  <c:v>0</c:v>
                </c:pt>
                <c:pt idx="1">
                  <c:v>1</c:v>
                </c:pt>
                <c:pt idx="2">
                  <c:v>2</c:v>
                </c:pt>
                <c:pt idx="3">
                  <c:v>3</c:v>
                </c:pt>
                <c:pt idx="4">
                  <c:v>4</c:v>
                </c:pt>
                <c:pt idx="5">
                  <c:v>5</c:v>
                </c:pt>
                <c:pt idx="6">
                  <c:v>6</c:v>
                </c:pt>
                <c:pt idx="7">
                  <c:v>7</c:v>
                </c:pt>
              </c:numCache>
            </c:numRef>
          </c:xVal>
          <c:yVal>
            <c:numRef>
              <c:f>Ref!$AC$31:$AC$38</c:f>
              <c:numCache>
                <c:formatCode>General</c:formatCode>
                <c:ptCount val="8"/>
                <c:pt idx="0">
                  <c:v>0.3</c:v>
                </c:pt>
                <c:pt idx="1">
                  <c:v>0.82</c:v>
                </c:pt>
                <c:pt idx="2">
                  <c:v>1.39</c:v>
                </c:pt>
                <c:pt idx="3">
                  <c:v>1.98</c:v>
                </c:pt>
                <c:pt idx="4">
                  <c:v>2.68</c:v>
                </c:pt>
                <c:pt idx="5">
                  <c:v>3.51</c:v>
                </c:pt>
                <c:pt idx="6">
                  <c:v>4.5</c:v>
                </c:pt>
                <c:pt idx="7">
                  <c:v>5.62</c:v>
                </c:pt>
              </c:numCache>
            </c:numRef>
          </c:yVal>
          <c:smooth val="1"/>
        </c:ser>
        <c:ser>
          <c:idx val="3"/>
          <c:order val="13"/>
          <c:tx>
            <c:v>Data</c:v>
          </c:tx>
          <c:spPr>
            <a:ln w="28575">
              <a:noFill/>
            </a:ln>
          </c:spPr>
          <c:marker>
            <c:symbol val="diamond"/>
            <c:size val="7"/>
            <c:spPr>
              <a:solidFill>
                <a:srgbClr val="800080"/>
              </a:solidFill>
              <a:ln>
                <a:solidFill>
                  <a:srgbClr val="800080"/>
                </a:solidFill>
                <a:prstDash val="solid"/>
              </a:ln>
            </c:spPr>
          </c:marker>
          <c:dLbls>
            <c:dLbl>
              <c:idx val="0"/>
              <c:tx>
                <c:strRef>
                  <c:f>Input!$AH$8</c:f>
                  <c:strCache>
                    <c:ptCount val="1"/>
                    <c:pt idx="0">
                      <c:v>0</c:v>
                    </c:pt>
                  </c:strCache>
                </c:strRef>
              </c:tx>
              <c:dLblPos val="t"/>
              <c:showLegendKey val="0"/>
              <c:showVal val="0"/>
              <c:showCatName val="0"/>
              <c:showSerName val="0"/>
              <c:showPercent val="0"/>
              <c:showBubbleSize val="0"/>
            </c:dLbl>
            <c:dLbl>
              <c:idx val="1"/>
              <c:tx>
                <c:strRef>
                  <c:f>Input!$AH$9</c:f>
                  <c:strCache>
                    <c:ptCount val="1"/>
                    <c:pt idx="0">
                      <c:v>0</c:v>
                    </c:pt>
                  </c:strCache>
                </c:strRef>
              </c:tx>
              <c:dLblPos val="t"/>
              <c:showLegendKey val="0"/>
              <c:showVal val="0"/>
              <c:showCatName val="0"/>
              <c:showSerName val="0"/>
              <c:showPercent val="0"/>
              <c:showBubbleSize val="0"/>
            </c:dLbl>
            <c:dLbl>
              <c:idx val="2"/>
              <c:tx>
                <c:strRef>
                  <c:f>Input!$AH$10</c:f>
                  <c:strCache>
                    <c:ptCount val="1"/>
                    <c:pt idx="0">
                      <c:v>0</c:v>
                    </c:pt>
                  </c:strCache>
                </c:strRef>
              </c:tx>
              <c:dLblPos val="t"/>
              <c:showLegendKey val="0"/>
              <c:showVal val="0"/>
              <c:showCatName val="0"/>
              <c:showSerName val="0"/>
              <c:showPercent val="0"/>
              <c:showBubbleSize val="0"/>
            </c:dLbl>
            <c:dLbl>
              <c:idx val="3"/>
              <c:tx>
                <c:strRef>
                  <c:f>Input!$AH$11</c:f>
                  <c:strCache>
                    <c:ptCount val="1"/>
                    <c:pt idx="0">
                      <c:v>0</c:v>
                    </c:pt>
                  </c:strCache>
                </c:strRef>
              </c:tx>
              <c:dLblPos val="t"/>
              <c:showLegendKey val="0"/>
              <c:showVal val="0"/>
              <c:showCatName val="0"/>
              <c:showSerName val="0"/>
              <c:showPercent val="0"/>
              <c:showBubbleSize val="0"/>
            </c:dLbl>
            <c:dLbl>
              <c:idx val="4"/>
              <c:tx>
                <c:strRef>
                  <c:f>Input!$AH$12</c:f>
                  <c:strCache>
                    <c:ptCount val="1"/>
                    <c:pt idx="0">
                      <c:v>0</c:v>
                    </c:pt>
                  </c:strCache>
                </c:strRef>
              </c:tx>
              <c:dLblPos val="t"/>
              <c:showLegendKey val="0"/>
              <c:showVal val="0"/>
              <c:showCatName val="0"/>
              <c:showSerName val="0"/>
              <c:showPercent val="0"/>
              <c:showBubbleSize val="0"/>
            </c:dLbl>
            <c:dLbl>
              <c:idx val="5"/>
              <c:tx>
                <c:strRef>
                  <c:f>Input!$AH$13</c:f>
                  <c:strCache>
                    <c:ptCount val="1"/>
                    <c:pt idx="0">
                      <c:v>0</c:v>
                    </c:pt>
                  </c:strCache>
                </c:strRef>
              </c:tx>
              <c:dLblPos val="t"/>
              <c:showLegendKey val="0"/>
              <c:showVal val="0"/>
              <c:showCatName val="0"/>
              <c:showSerName val="0"/>
              <c:showPercent val="0"/>
              <c:showBubbleSize val="0"/>
            </c:dLbl>
            <c:dLbl>
              <c:idx val="6"/>
              <c:tx>
                <c:strRef>
                  <c:f>Input!$AH$14</c:f>
                  <c:strCache>
                    <c:ptCount val="1"/>
                    <c:pt idx="0">
                      <c:v>0</c:v>
                    </c:pt>
                  </c:strCache>
                </c:strRef>
              </c:tx>
              <c:dLblPos val="t"/>
              <c:showLegendKey val="0"/>
              <c:showVal val="0"/>
              <c:showCatName val="0"/>
              <c:showSerName val="0"/>
              <c:showPercent val="0"/>
              <c:showBubbleSize val="0"/>
            </c:dLbl>
            <c:dLbl>
              <c:idx val="7"/>
              <c:tx>
                <c:strRef>
                  <c:f>Input!$AH$15</c:f>
                  <c:strCache>
                    <c:ptCount val="1"/>
                    <c:pt idx="0">
                      <c:v>0</c:v>
                    </c:pt>
                  </c:strCache>
                </c:strRef>
              </c:tx>
              <c:dLblPos val="t"/>
              <c:showLegendKey val="0"/>
              <c:showVal val="0"/>
              <c:showCatName val="0"/>
              <c:showSerName val="0"/>
              <c:showPercent val="0"/>
              <c:showBubbleSize val="0"/>
            </c:dLbl>
            <c:dLbl>
              <c:idx val="8"/>
              <c:tx>
                <c:strRef>
                  <c:f>Input!$AH$16</c:f>
                  <c:strCache>
                    <c:ptCount val="1"/>
                    <c:pt idx="0">
                      <c:v>0</c:v>
                    </c:pt>
                  </c:strCache>
                </c:strRef>
              </c:tx>
              <c:dLblPos val="t"/>
              <c:showLegendKey val="0"/>
              <c:showVal val="0"/>
              <c:showCatName val="0"/>
              <c:showSerName val="0"/>
              <c:showPercent val="0"/>
              <c:showBubbleSize val="0"/>
            </c:dLbl>
            <c:dLbl>
              <c:idx val="9"/>
              <c:tx>
                <c:strRef>
                  <c:f>Input!$AH$17</c:f>
                  <c:strCache>
                    <c:ptCount val="1"/>
                    <c:pt idx="0">
                      <c:v>0</c:v>
                    </c:pt>
                  </c:strCache>
                </c:strRef>
              </c:tx>
              <c:dLblPos val="t"/>
              <c:showLegendKey val="0"/>
              <c:showVal val="0"/>
              <c:showCatName val="0"/>
              <c:showSerName val="0"/>
              <c:showPercent val="0"/>
              <c:showBubbleSize val="0"/>
            </c:dLbl>
            <c:dLbl>
              <c:idx val="10"/>
              <c:tx>
                <c:strRef>
                  <c:f>Input!$AH$18</c:f>
                  <c:strCache>
                    <c:ptCount val="1"/>
                    <c:pt idx="0">
                      <c:v>0</c:v>
                    </c:pt>
                  </c:strCache>
                </c:strRef>
              </c:tx>
              <c:dLblPos val="t"/>
              <c:showLegendKey val="0"/>
              <c:showVal val="0"/>
              <c:showCatName val="0"/>
              <c:showSerName val="0"/>
              <c:showPercent val="0"/>
              <c:showBubbleSize val="0"/>
            </c:dLbl>
            <c:dLbl>
              <c:idx val="11"/>
              <c:tx>
                <c:strRef>
                  <c:f>Input!$AH$19</c:f>
                  <c:strCache>
                    <c:ptCount val="1"/>
                    <c:pt idx="0">
                      <c:v>0</c:v>
                    </c:pt>
                  </c:strCache>
                </c:strRef>
              </c:tx>
              <c:dLblPos val="t"/>
              <c:showLegendKey val="0"/>
              <c:showVal val="0"/>
              <c:showCatName val="0"/>
              <c:showSerName val="0"/>
              <c:showPercent val="0"/>
              <c:showBubbleSize val="0"/>
            </c:dLbl>
            <c:dLbl>
              <c:idx val="12"/>
              <c:tx>
                <c:strRef>
                  <c:f>Input!$AH$20</c:f>
                  <c:strCache>
                    <c:ptCount val="1"/>
                    <c:pt idx="0">
                      <c:v>0</c:v>
                    </c:pt>
                  </c:strCache>
                </c:strRef>
              </c:tx>
              <c:dLblPos val="t"/>
              <c:showLegendKey val="0"/>
              <c:showVal val="0"/>
              <c:showCatName val="0"/>
              <c:showSerName val="0"/>
              <c:showPercent val="0"/>
              <c:showBubbleSize val="0"/>
            </c:dLbl>
            <c:dLbl>
              <c:idx val="13"/>
              <c:tx>
                <c:strRef>
                  <c:f>Input!$AH$21</c:f>
                  <c:strCache>
                    <c:ptCount val="1"/>
                    <c:pt idx="0">
                      <c:v>0</c:v>
                    </c:pt>
                  </c:strCache>
                </c:strRef>
              </c:tx>
              <c:dLblPos val="t"/>
              <c:showLegendKey val="0"/>
              <c:showVal val="0"/>
              <c:showCatName val="0"/>
              <c:showSerName val="0"/>
              <c:showPercent val="0"/>
              <c:showBubbleSize val="0"/>
            </c:dLbl>
            <c:dLbl>
              <c:idx val="14"/>
              <c:tx>
                <c:strRef>
                  <c:f>Input!$AH$22</c:f>
                  <c:strCache>
                    <c:ptCount val="1"/>
                    <c:pt idx="0">
                      <c:v>0</c:v>
                    </c:pt>
                  </c:strCache>
                </c:strRef>
              </c:tx>
              <c:dLblPos val="t"/>
              <c:showLegendKey val="0"/>
              <c:showVal val="0"/>
              <c:showCatName val="0"/>
              <c:showSerName val="0"/>
              <c:showPercent val="0"/>
              <c:showBubbleSize val="0"/>
            </c:dLbl>
            <c:dLbl>
              <c:idx val="15"/>
              <c:tx>
                <c:strRef>
                  <c:f>Input!$AH$23</c:f>
                  <c:strCache>
                    <c:ptCount val="1"/>
                    <c:pt idx="0">
                      <c:v>0</c:v>
                    </c:pt>
                  </c:strCache>
                </c:strRef>
              </c:tx>
              <c:dLblPos val="t"/>
              <c:showLegendKey val="0"/>
              <c:showVal val="0"/>
              <c:showCatName val="0"/>
              <c:showSerName val="0"/>
              <c:showPercent val="0"/>
              <c:showBubbleSize val="0"/>
            </c:dLbl>
            <c:dLbl>
              <c:idx val="16"/>
              <c:tx>
                <c:strRef>
                  <c:f>Input!$AH$24</c:f>
                  <c:strCache>
                    <c:ptCount val="1"/>
                    <c:pt idx="0">
                      <c:v>0</c:v>
                    </c:pt>
                  </c:strCache>
                </c:strRef>
              </c:tx>
              <c:dLblPos val="t"/>
              <c:showLegendKey val="0"/>
              <c:showVal val="0"/>
              <c:showCatName val="0"/>
              <c:showSerName val="0"/>
              <c:showPercent val="0"/>
              <c:showBubbleSize val="0"/>
            </c:dLbl>
            <c:dLbl>
              <c:idx val="17"/>
              <c:tx>
                <c:strRef>
                  <c:f>Input!$AH$25</c:f>
                  <c:strCache>
                    <c:ptCount val="1"/>
                    <c:pt idx="0">
                      <c:v>0</c:v>
                    </c:pt>
                  </c:strCache>
                </c:strRef>
              </c:tx>
              <c:dLblPos val="t"/>
              <c:showLegendKey val="0"/>
              <c:showVal val="0"/>
              <c:showCatName val="0"/>
              <c:showSerName val="0"/>
              <c:showPercent val="0"/>
              <c:showBubbleSize val="0"/>
            </c:dLbl>
            <c:dLbl>
              <c:idx val="18"/>
              <c:tx>
                <c:strRef>
                  <c:f>Input!$AH$26</c:f>
                  <c:strCache>
                    <c:ptCount val="1"/>
                    <c:pt idx="0">
                      <c:v>0</c:v>
                    </c:pt>
                  </c:strCache>
                </c:strRef>
              </c:tx>
              <c:dLblPos val="t"/>
              <c:showLegendKey val="0"/>
              <c:showVal val="0"/>
              <c:showCatName val="0"/>
              <c:showSerName val="0"/>
              <c:showPercent val="0"/>
              <c:showBubbleSize val="0"/>
            </c:dLbl>
            <c:dLbl>
              <c:idx val="19"/>
              <c:tx>
                <c:strRef>
                  <c:f>Input!$AH$27</c:f>
                  <c:strCache>
                    <c:ptCount val="1"/>
                    <c:pt idx="0">
                      <c:v>0</c:v>
                    </c:pt>
                  </c:strCache>
                </c:strRef>
              </c:tx>
              <c:dLblPos val="t"/>
              <c:showLegendKey val="0"/>
              <c:showVal val="0"/>
              <c:showCatName val="0"/>
              <c:showSerName val="0"/>
              <c:showPercent val="0"/>
              <c:showBubbleSize val="0"/>
            </c:dLbl>
            <c:dLbl>
              <c:idx val="20"/>
              <c:tx>
                <c:strRef>
                  <c:f>Input!$AH$28</c:f>
                  <c:strCache>
                    <c:ptCount val="1"/>
                    <c:pt idx="0">
                      <c:v>0</c:v>
                    </c:pt>
                  </c:strCache>
                </c:strRef>
              </c:tx>
              <c:dLblPos val="t"/>
              <c:showLegendKey val="0"/>
              <c:showVal val="0"/>
              <c:showCatName val="0"/>
              <c:showSerName val="0"/>
              <c:showPercent val="0"/>
              <c:showBubbleSize val="0"/>
            </c:dLbl>
            <c:dLbl>
              <c:idx val="21"/>
              <c:tx>
                <c:strRef>
                  <c:f>Input!$AH$29</c:f>
                  <c:strCache>
                    <c:ptCount val="1"/>
                    <c:pt idx="0">
                      <c:v>0</c:v>
                    </c:pt>
                  </c:strCache>
                </c:strRef>
              </c:tx>
              <c:dLblPos val="t"/>
              <c:showLegendKey val="0"/>
              <c:showVal val="0"/>
              <c:showCatName val="0"/>
              <c:showSerName val="0"/>
              <c:showPercent val="0"/>
              <c:showBubbleSize val="0"/>
            </c:dLbl>
            <c:dLbl>
              <c:idx val="22"/>
              <c:tx>
                <c:strRef>
                  <c:f>Input!$AH$30</c:f>
                  <c:strCache>
                    <c:ptCount val="1"/>
                    <c:pt idx="0">
                      <c:v>0</c:v>
                    </c:pt>
                  </c:strCache>
                </c:strRef>
              </c:tx>
              <c:dLblPos val="t"/>
              <c:showLegendKey val="0"/>
              <c:showVal val="0"/>
              <c:showCatName val="0"/>
              <c:showSerName val="0"/>
              <c:showPercent val="0"/>
              <c:showBubbleSize val="0"/>
            </c:dLbl>
            <c:dLbl>
              <c:idx val="23"/>
              <c:tx>
                <c:strRef>
                  <c:f>Input!$AH$31</c:f>
                  <c:strCache>
                    <c:ptCount val="1"/>
                    <c:pt idx="0">
                      <c:v>0</c:v>
                    </c:pt>
                  </c:strCache>
                </c:strRef>
              </c:tx>
              <c:dLblPos val="t"/>
              <c:showLegendKey val="0"/>
              <c:showVal val="0"/>
              <c:showCatName val="0"/>
              <c:showSerName val="0"/>
              <c:showPercent val="0"/>
              <c:showBubbleSize val="0"/>
            </c:dLbl>
            <c:dLbl>
              <c:idx val="24"/>
              <c:tx>
                <c:strRef>
                  <c:f>Input!$AH$32</c:f>
                  <c:strCache>
                    <c:ptCount val="1"/>
                    <c:pt idx="0">
                      <c:v>0</c:v>
                    </c:pt>
                  </c:strCache>
                </c:strRef>
              </c:tx>
              <c:dLblPos val="t"/>
              <c:showLegendKey val="0"/>
              <c:showVal val="0"/>
              <c:showCatName val="0"/>
              <c:showSerName val="0"/>
              <c:showPercent val="0"/>
              <c:showBubbleSize val="0"/>
            </c:dLbl>
            <c:dLbl>
              <c:idx val="25"/>
              <c:tx>
                <c:strRef>
                  <c:f>Input!$AH$33</c:f>
                  <c:strCache>
                    <c:ptCount val="1"/>
                    <c:pt idx="0">
                      <c:v>0</c:v>
                    </c:pt>
                  </c:strCache>
                </c:strRef>
              </c:tx>
              <c:dLblPos val="t"/>
              <c:showLegendKey val="0"/>
              <c:showVal val="0"/>
              <c:showCatName val="0"/>
              <c:showSerName val="0"/>
              <c:showPercent val="0"/>
              <c:showBubbleSize val="0"/>
            </c:dLbl>
            <c:dLbl>
              <c:idx val="26"/>
              <c:tx>
                <c:strRef>
                  <c:f>Input!$AH$34</c:f>
                  <c:strCache>
                    <c:ptCount val="1"/>
                    <c:pt idx="0">
                      <c:v>0</c:v>
                    </c:pt>
                  </c:strCache>
                </c:strRef>
              </c:tx>
              <c:dLblPos val="t"/>
              <c:showLegendKey val="0"/>
              <c:showVal val="0"/>
              <c:showCatName val="0"/>
              <c:showSerName val="0"/>
              <c:showPercent val="0"/>
              <c:showBubbleSize val="0"/>
            </c:dLbl>
            <c:dLbl>
              <c:idx val="27"/>
              <c:tx>
                <c:strRef>
                  <c:f>Input!$AH$35</c:f>
                  <c:strCache>
                    <c:ptCount val="1"/>
                    <c:pt idx="0">
                      <c:v>0</c:v>
                    </c:pt>
                  </c:strCache>
                </c:strRef>
              </c:tx>
              <c:dLblPos val="t"/>
              <c:showLegendKey val="0"/>
              <c:showVal val="0"/>
              <c:showCatName val="0"/>
              <c:showSerName val="0"/>
              <c:showPercent val="0"/>
              <c:showBubbleSize val="0"/>
            </c:dLbl>
            <c:dLbl>
              <c:idx val="28"/>
              <c:tx>
                <c:strRef>
                  <c:f>Input!$AH$36</c:f>
                  <c:strCache>
                    <c:ptCount val="1"/>
                    <c:pt idx="0">
                      <c:v>0</c:v>
                    </c:pt>
                  </c:strCache>
                </c:strRef>
              </c:tx>
              <c:dLblPos val="t"/>
              <c:showLegendKey val="0"/>
              <c:showVal val="0"/>
              <c:showCatName val="0"/>
              <c:showSerName val="0"/>
              <c:showPercent val="0"/>
              <c:showBubbleSize val="0"/>
            </c:dLbl>
            <c:dLbl>
              <c:idx val="29"/>
              <c:tx>
                <c:strRef>
                  <c:f>Input!$AH$37</c:f>
                  <c:strCache>
                    <c:ptCount val="1"/>
                    <c:pt idx="0">
                      <c:v>0</c:v>
                    </c:pt>
                  </c:strCache>
                </c:strRef>
              </c:tx>
              <c:dLblPos val="t"/>
              <c:showLegendKey val="0"/>
              <c:showVal val="0"/>
              <c:showCatName val="0"/>
              <c:showSerName val="0"/>
              <c:showPercent val="0"/>
              <c:showBubbleSize val="0"/>
            </c:dLbl>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dLbls>
          <c:xVal>
            <c:numRef>
              <c:f>Input!$CY$8:$CY$37</c:f>
              <c:numCache>
                <c:formatCode>0.00</c:formatCode>
                <c:ptCount val="30"/>
                <c:pt idx="0">
                  <c:v>-99</c:v>
                </c:pt>
                <c:pt idx="1">
                  <c:v>-99</c:v>
                </c:pt>
                <c:pt idx="2">
                  <c:v>-99</c:v>
                </c:pt>
                <c:pt idx="3">
                  <c:v>-99</c:v>
                </c:pt>
                <c:pt idx="4">
                  <c:v>-99</c:v>
                </c:pt>
                <c:pt idx="5">
                  <c:v>-99</c:v>
                </c:pt>
                <c:pt idx="6">
                  <c:v>-99</c:v>
                </c:pt>
                <c:pt idx="7">
                  <c:v>-99</c:v>
                </c:pt>
                <c:pt idx="8">
                  <c:v>-99</c:v>
                </c:pt>
                <c:pt idx="9">
                  <c:v>-99</c:v>
                </c:pt>
                <c:pt idx="10">
                  <c:v>-99</c:v>
                </c:pt>
                <c:pt idx="11">
                  <c:v>-99</c:v>
                </c:pt>
                <c:pt idx="12">
                  <c:v>-99</c:v>
                </c:pt>
                <c:pt idx="13">
                  <c:v>-99</c:v>
                </c:pt>
                <c:pt idx="14">
                  <c:v>-99</c:v>
                </c:pt>
                <c:pt idx="15">
                  <c:v>-99</c:v>
                </c:pt>
                <c:pt idx="16">
                  <c:v>-99</c:v>
                </c:pt>
                <c:pt idx="17">
                  <c:v>-99</c:v>
                </c:pt>
                <c:pt idx="18">
                  <c:v>-99</c:v>
                </c:pt>
                <c:pt idx="19">
                  <c:v>-99</c:v>
                </c:pt>
                <c:pt idx="20">
                  <c:v>-99</c:v>
                </c:pt>
                <c:pt idx="21">
                  <c:v>-99</c:v>
                </c:pt>
                <c:pt idx="22">
                  <c:v>-99</c:v>
                </c:pt>
                <c:pt idx="23">
                  <c:v>-99</c:v>
                </c:pt>
                <c:pt idx="24">
                  <c:v>-99</c:v>
                </c:pt>
                <c:pt idx="25">
                  <c:v>-99</c:v>
                </c:pt>
                <c:pt idx="26">
                  <c:v>-99</c:v>
                </c:pt>
                <c:pt idx="27">
                  <c:v>-99</c:v>
                </c:pt>
                <c:pt idx="28">
                  <c:v>-99</c:v>
                </c:pt>
                <c:pt idx="29" formatCode="General">
                  <c:v>-99</c:v>
                </c:pt>
              </c:numCache>
            </c:numRef>
          </c:xVal>
          <c:yVal>
            <c:numRef>
              <c:f>Input!$CZ$8:$CZ$37</c:f>
              <c:numCache>
                <c:formatCode>0.000</c:formatCode>
                <c:ptCount val="30"/>
                <c:pt idx="0">
                  <c:v>-99</c:v>
                </c:pt>
                <c:pt idx="1">
                  <c:v>-99</c:v>
                </c:pt>
                <c:pt idx="2">
                  <c:v>-99</c:v>
                </c:pt>
                <c:pt idx="3">
                  <c:v>-99</c:v>
                </c:pt>
                <c:pt idx="4">
                  <c:v>-99</c:v>
                </c:pt>
                <c:pt idx="5">
                  <c:v>-99</c:v>
                </c:pt>
                <c:pt idx="6">
                  <c:v>-99</c:v>
                </c:pt>
                <c:pt idx="7">
                  <c:v>-99</c:v>
                </c:pt>
                <c:pt idx="8">
                  <c:v>-99</c:v>
                </c:pt>
                <c:pt idx="9">
                  <c:v>-99</c:v>
                </c:pt>
                <c:pt idx="10">
                  <c:v>-99</c:v>
                </c:pt>
                <c:pt idx="11">
                  <c:v>-99</c:v>
                </c:pt>
                <c:pt idx="12">
                  <c:v>-99</c:v>
                </c:pt>
                <c:pt idx="13">
                  <c:v>-99</c:v>
                </c:pt>
                <c:pt idx="14">
                  <c:v>-99</c:v>
                </c:pt>
                <c:pt idx="15">
                  <c:v>-99</c:v>
                </c:pt>
                <c:pt idx="16">
                  <c:v>-99</c:v>
                </c:pt>
                <c:pt idx="17">
                  <c:v>-99</c:v>
                </c:pt>
                <c:pt idx="18">
                  <c:v>-99</c:v>
                </c:pt>
                <c:pt idx="19">
                  <c:v>-99</c:v>
                </c:pt>
                <c:pt idx="20">
                  <c:v>-99</c:v>
                </c:pt>
                <c:pt idx="21">
                  <c:v>-99</c:v>
                </c:pt>
                <c:pt idx="22">
                  <c:v>-99</c:v>
                </c:pt>
                <c:pt idx="23">
                  <c:v>-99</c:v>
                </c:pt>
                <c:pt idx="24">
                  <c:v>-99</c:v>
                </c:pt>
                <c:pt idx="25">
                  <c:v>-99</c:v>
                </c:pt>
                <c:pt idx="26">
                  <c:v>-99</c:v>
                </c:pt>
                <c:pt idx="27">
                  <c:v>-99</c:v>
                </c:pt>
                <c:pt idx="28">
                  <c:v>-99</c:v>
                </c:pt>
                <c:pt idx="29" formatCode="General">
                  <c:v>1.19050899741011</c:v>
                </c:pt>
              </c:numCache>
            </c:numRef>
          </c:yVal>
          <c:smooth val="1"/>
        </c:ser>
        <c:dLbls>
          <c:showLegendKey val="0"/>
          <c:showVal val="1"/>
          <c:showCatName val="0"/>
          <c:showSerName val="0"/>
          <c:showPercent val="0"/>
          <c:showBubbleSize val="0"/>
        </c:dLbls>
        <c:axId val="105278848"/>
        <c:axId val="105317888"/>
      </c:scatterChart>
      <c:scatterChart>
        <c:scatterStyle val="lineMarker"/>
        <c:varyColors val="0"/>
        <c:ser>
          <c:idx val="1"/>
          <c:order val="1"/>
          <c:tx>
            <c:v>rCO2v = 0.00001</c:v>
          </c:tx>
          <c:spPr>
            <a:ln w="12700">
              <a:solidFill>
                <a:srgbClr val="C0C0C0"/>
              </a:solidFill>
              <a:prstDash val="solid"/>
            </a:ln>
          </c:spPr>
          <c:marker>
            <c:symbol val="none"/>
          </c:marker>
          <c:dLbls>
            <c:dLbl>
              <c:idx val="10"/>
              <c:layout>
                <c:manualLayout>
                  <c:x val="-6.4645581899376919E-3"/>
                  <c:y val="2.574747487722271E-2"/>
                </c:manualLayout>
              </c:layout>
              <c:tx>
                <c:rich>
                  <a:bodyPr rot="1140000" vert="horz"/>
                  <a:lstStyle/>
                  <a:p>
                    <a:pPr algn="ctr">
                      <a:defRPr sz="1000" b="0" i="0" u="none" strike="noStrike" baseline="0">
                        <a:solidFill>
                          <a:srgbClr val="000000"/>
                        </a:solidFill>
                        <a:latin typeface="Arial"/>
                        <a:ea typeface="Arial"/>
                        <a:cs typeface="Arial"/>
                      </a:defRPr>
                    </a:pPr>
                    <a:r>
                      <a:rPr lang="en-NZ" sz="1200" b="0" i="0" u="none" strike="noStrike" baseline="0">
                        <a:solidFill>
                          <a:srgbClr val="969696"/>
                        </a:solidFill>
                        <a:latin typeface="Arial"/>
                        <a:cs typeface="Arial"/>
                      </a:rPr>
                      <a:t>r</a:t>
                    </a:r>
                    <a:r>
                      <a:rPr lang="en-NZ" sz="1200" b="0" i="0" u="none" strike="noStrike" baseline="-25000">
                        <a:solidFill>
                          <a:srgbClr val="969696"/>
                        </a:solidFill>
                        <a:latin typeface="Arial"/>
                        <a:cs typeface="Arial"/>
                      </a:rPr>
                      <a:t>CO2  vapor</a:t>
                    </a:r>
                    <a:r>
                      <a:rPr lang="en-NZ" sz="1200" b="0" i="0" u="none" strike="noStrike" baseline="0">
                        <a:solidFill>
                          <a:srgbClr val="969696"/>
                        </a:solidFill>
                        <a:latin typeface="Arial"/>
                        <a:cs typeface="Arial"/>
                      </a:rPr>
                      <a:t>  = 0.00001</a:t>
                    </a:r>
                  </a:p>
                </c:rich>
              </c:tx>
              <c:spPr>
                <a:solidFill>
                  <a:srgbClr val="FFFFFF"/>
                </a:solidFill>
                <a:ln w="25400">
                  <a:noFill/>
                </a:ln>
              </c:spPr>
              <c:dLblPos val="r"/>
              <c:showLegendKey val="0"/>
              <c:showVal val="0"/>
              <c:showCatName val="0"/>
              <c:showSerName val="0"/>
              <c:showPercent val="0"/>
              <c:showBubbleSize val="0"/>
            </c:dLbl>
            <c:showLegendKey val="0"/>
            <c:showVal val="0"/>
            <c:showCatName val="0"/>
            <c:showSerName val="0"/>
            <c:showPercent val="0"/>
            <c:showBubbleSize val="0"/>
          </c:dLbls>
          <c:xVal>
            <c:numRef>
              <c:f>Ref!$H$31:$H$48</c:f>
              <c:numCache>
                <c:formatCode>0.00</c:formatCode>
                <c:ptCount val="18"/>
                <c:pt idx="0">
                  <c:v>-8.9456869009584522E-2</c:v>
                </c:pt>
                <c:pt idx="1">
                  <c:v>0.75675675675675613</c:v>
                </c:pt>
                <c:pt idx="2">
                  <c:v>1.5070821529745049</c:v>
                </c:pt>
                <c:pt idx="3">
                  <c:v>2.176943699731904</c:v>
                </c:pt>
                <c:pt idx="4">
                  <c:v>2.7786259541984735</c:v>
                </c:pt>
                <c:pt idx="5">
                  <c:v>3.3220338983050852</c:v>
                </c:pt>
                <c:pt idx="6">
                  <c:v>3.8152424942263288</c:v>
                </c:pt>
                <c:pt idx="7">
                  <c:v>4.2649006622516552</c:v>
                </c:pt>
                <c:pt idx="8">
                  <c:v>4.6765327695560268</c:v>
                </c:pt>
                <c:pt idx="9">
                  <c:v>5.0547667342799194</c:v>
                </c:pt>
                <c:pt idx="10">
                  <c:v>5.4035087719298263</c:v>
                </c:pt>
                <c:pt idx="11">
                  <c:v>5.7260787992495326</c:v>
                </c:pt>
                <c:pt idx="12">
                  <c:v>6.0253164556962027</c:v>
                </c:pt>
                <c:pt idx="13">
                  <c:v>6.3036649214659688</c:v>
                </c:pt>
                <c:pt idx="14">
                  <c:v>6.5632377740303554</c:v>
                </c:pt>
                <c:pt idx="15">
                  <c:v>6.805872756933117</c:v>
                </c:pt>
                <c:pt idx="16">
                  <c:v>7.2465543644716703</c:v>
                </c:pt>
                <c:pt idx="17">
                  <c:v>7.6363636363636376</c:v>
                </c:pt>
              </c:numCache>
            </c:numRef>
          </c:xVal>
          <c:yVal>
            <c:numRef>
              <c:f>Ref!$J$31:$J$48</c:f>
              <c:numCache>
                <c:formatCode>0.0</c:formatCode>
                <c:ptCount val="18"/>
                <c:pt idx="0">
                  <c:v>-6.0331309904153354</c:v>
                </c:pt>
                <c:pt idx="1">
                  <c:v>-5.6401501501501503</c:v>
                </c:pt>
                <c:pt idx="2">
                  <c:v>-5.2916997167138815</c:v>
                </c:pt>
                <c:pt idx="3">
                  <c:v>-4.9806166219839145</c:v>
                </c:pt>
                <c:pt idx="4">
                  <c:v>-4.7011959287531813</c:v>
                </c:pt>
                <c:pt idx="5">
                  <c:v>-4.4488377723970949</c:v>
                </c:pt>
                <c:pt idx="6">
                  <c:v>-4.2197921478060048</c:v>
                </c:pt>
                <c:pt idx="7">
                  <c:v>-4.0109713024282563</c:v>
                </c:pt>
                <c:pt idx="8">
                  <c:v>-3.8198097251585628</c:v>
                </c:pt>
                <c:pt idx="9">
                  <c:v>-3.6441582150101421</c:v>
                </c:pt>
                <c:pt idx="10">
                  <c:v>-3.4822027290448343</c:v>
                </c:pt>
                <c:pt idx="11">
                  <c:v>-3.3324015009380865</c:v>
                </c:pt>
                <c:pt idx="12">
                  <c:v>-3.1934358047016276</c:v>
                </c:pt>
                <c:pt idx="13">
                  <c:v>-3.0641710296684121</c:v>
                </c:pt>
                <c:pt idx="14">
                  <c:v>-2.9436256323777403</c:v>
                </c:pt>
                <c:pt idx="15">
                  <c:v>-2.8309461663947801</c:v>
                </c:pt>
                <c:pt idx="16">
                  <c:v>-2.6262940275650846</c:v>
                </c:pt>
                <c:pt idx="17">
                  <c:v>-2.4452669552669555</c:v>
                </c:pt>
              </c:numCache>
            </c:numRef>
          </c:yVal>
          <c:smooth val="1"/>
        </c:ser>
        <c:dLbls>
          <c:showLegendKey val="0"/>
          <c:showVal val="1"/>
          <c:showCatName val="0"/>
          <c:showSerName val="0"/>
          <c:showPercent val="0"/>
          <c:showBubbleSize val="0"/>
        </c:dLbls>
        <c:axId val="105319808"/>
        <c:axId val="105342080"/>
      </c:scatterChart>
      <c:valAx>
        <c:axId val="105278848"/>
        <c:scaling>
          <c:orientation val="minMax"/>
          <c:max val="7"/>
          <c:min val="0"/>
        </c:scaling>
        <c:delete val="0"/>
        <c:axPos val="t"/>
        <c:title>
          <c:tx>
            <c:rich>
              <a:bodyPr/>
              <a:lstStyle/>
              <a:p>
                <a:pPr>
                  <a:defRPr sz="1000" b="0" i="0" u="none" strike="noStrike" baseline="0">
                    <a:solidFill>
                      <a:srgbClr val="000000"/>
                    </a:solidFill>
                    <a:latin typeface="Arial"/>
                    <a:ea typeface="Arial"/>
                    <a:cs typeface="Arial"/>
                  </a:defRPr>
                </a:pPr>
                <a:r>
                  <a:rPr lang="en-NZ" sz="1400" b="1" i="0" u="none" strike="noStrike" baseline="0">
                    <a:solidFill>
                      <a:srgbClr val="000000"/>
                    </a:solidFill>
                    <a:latin typeface="Arial"/>
                    <a:cs typeface="Arial"/>
                  </a:rPr>
                  <a:t>log(K</a:t>
                </a:r>
                <a:r>
                  <a:rPr lang="en-NZ" sz="1400" b="1" i="0" u="none" strike="noStrike" baseline="30000">
                    <a:solidFill>
                      <a:srgbClr val="000000"/>
                    </a:solidFill>
                    <a:latin typeface="Arial"/>
                    <a:cs typeface="Arial"/>
                  </a:rPr>
                  <a:t>2</a:t>
                </a:r>
                <a:r>
                  <a:rPr lang="en-NZ" sz="1400" b="1" i="0" u="none" strike="noStrike" baseline="0">
                    <a:solidFill>
                      <a:srgbClr val="000000"/>
                    </a:solidFill>
                    <a:latin typeface="Arial"/>
                    <a:cs typeface="Arial"/>
                  </a:rPr>
                  <a:t>/Mg)</a:t>
                </a:r>
              </a:p>
            </c:rich>
          </c:tx>
          <c:layout>
            <c:manualLayout>
              <c:xMode val="edge"/>
              <c:yMode val="edge"/>
              <c:x val="0.43507214206437311"/>
              <c:y val="2.1207177814029411E-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05317888"/>
        <c:crossesAt val="-2"/>
        <c:crossBetween val="midCat"/>
      </c:valAx>
      <c:valAx>
        <c:axId val="105317888"/>
        <c:scaling>
          <c:orientation val="maxMin"/>
          <c:max val="5"/>
          <c:min val="-1"/>
        </c:scaling>
        <c:delete val="0"/>
        <c:axPos val="l"/>
        <c:title>
          <c:tx>
            <c:rich>
              <a:bodyPr/>
              <a:lstStyle/>
              <a:p>
                <a:pPr>
                  <a:defRPr sz="1000" b="0" i="0" u="none" strike="noStrike" baseline="0">
                    <a:solidFill>
                      <a:srgbClr val="000000"/>
                    </a:solidFill>
                    <a:latin typeface="Arial"/>
                    <a:ea typeface="Arial"/>
                    <a:cs typeface="Arial"/>
                  </a:defRPr>
                </a:pPr>
                <a:r>
                  <a:rPr lang="en-NZ" sz="1400" b="1" i="0" u="none" strike="noStrike" baseline="0">
                    <a:solidFill>
                      <a:srgbClr val="000000"/>
                    </a:solidFill>
                    <a:latin typeface="Arial"/>
                    <a:cs typeface="Arial"/>
                  </a:rPr>
                  <a:t>log(K</a:t>
                </a:r>
                <a:r>
                  <a:rPr lang="en-NZ" sz="1400" b="1" i="0" u="none" strike="noStrike" baseline="30000">
                    <a:solidFill>
                      <a:srgbClr val="000000"/>
                    </a:solidFill>
                    <a:latin typeface="Arial"/>
                    <a:cs typeface="Arial"/>
                  </a:rPr>
                  <a:t>2</a:t>
                </a:r>
                <a:r>
                  <a:rPr lang="en-NZ" sz="1400" b="1" i="0" u="none" strike="noStrike" baseline="0">
                    <a:solidFill>
                      <a:srgbClr val="000000"/>
                    </a:solidFill>
                    <a:latin typeface="Arial"/>
                    <a:cs typeface="Arial"/>
                  </a:rPr>
                  <a:t>/Ca)</a:t>
                </a:r>
              </a:p>
            </c:rich>
          </c:tx>
          <c:layout>
            <c:manualLayout>
              <c:xMode val="edge"/>
              <c:yMode val="edge"/>
              <c:x val="1.1098779134295239E-3"/>
              <c:y val="0.4535073409461662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05278848"/>
        <c:crosses val="autoZero"/>
        <c:crossBetween val="midCat"/>
        <c:majorUnit val="1"/>
      </c:valAx>
      <c:valAx>
        <c:axId val="105319808"/>
        <c:scaling>
          <c:orientation val="minMax"/>
        </c:scaling>
        <c:delete val="1"/>
        <c:axPos val="t"/>
        <c:numFmt formatCode="0.00" sourceLinked="1"/>
        <c:majorTickMark val="out"/>
        <c:minorTickMark val="none"/>
        <c:tickLblPos val="none"/>
        <c:crossAx val="105342080"/>
        <c:crosses val="autoZero"/>
        <c:crossBetween val="midCat"/>
      </c:valAx>
      <c:valAx>
        <c:axId val="105342080"/>
        <c:scaling>
          <c:orientation val="maxMin"/>
          <c:max val="2"/>
          <c:min val="-4"/>
        </c:scaling>
        <c:delete val="0"/>
        <c:axPos val="r"/>
        <c:title>
          <c:tx>
            <c:rich>
              <a:bodyPr/>
              <a:lstStyle/>
              <a:p>
                <a:pPr>
                  <a:defRPr sz="1000" b="0" i="0" u="none" strike="noStrike" baseline="0">
                    <a:solidFill>
                      <a:srgbClr val="000000"/>
                    </a:solidFill>
                    <a:latin typeface="Arial"/>
                    <a:ea typeface="Arial"/>
                    <a:cs typeface="Arial"/>
                  </a:defRPr>
                </a:pPr>
                <a:r>
                  <a:rPr lang="en-NZ" sz="1400" b="1" i="0" u="none" strike="noStrike" baseline="0">
                    <a:solidFill>
                      <a:srgbClr val="000000"/>
                    </a:solidFill>
                    <a:latin typeface="Arial"/>
                    <a:cs typeface="Arial"/>
                  </a:rPr>
                  <a:t>Log(P</a:t>
                </a:r>
                <a:r>
                  <a:rPr lang="en-NZ" sz="1400" b="1" i="0" u="none" strike="noStrike" baseline="-25000">
                    <a:solidFill>
                      <a:srgbClr val="000000"/>
                    </a:solidFill>
                    <a:latin typeface="Arial"/>
                    <a:cs typeface="Arial"/>
                  </a:rPr>
                  <a:t>CO2</a:t>
                </a:r>
                <a:r>
                  <a:rPr lang="en-NZ" sz="1400" b="1" i="0" u="none" strike="noStrike" baseline="0">
                    <a:solidFill>
                      <a:srgbClr val="000000"/>
                    </a:solidFill>
                    <a:latin typeface="Arial"/>
                    <a:cs typeface="Arial"/>
                  </a:rPr>
                  <a:t>) bar</a:t>
                </a:r>
              </a:p>
            </c:rich>
          </c:tx>
          <c:layout>
            <c:manualLayout>
              <c:xMode val="edge"/>
              <c:yMode val="edge"/>
              <c:x val="0.94228634850166437"/>
              <c:y val="0.4290375203915171"/>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05319808"/>
        <c:crosses val="max"/>
        <c:crossBetween val="midCat"/>
      </c:valAx>
      <c:spPr>
        <a:noFill/>
        <a:ln w="3175">
          <a:solidFill>
            <a:srgbClr val="000000"/>
          </a:solidFill>
          <a:prstDash val="solid"/>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21864594894563"/>
          <c:y val="0.13485589994562261"/>
          <c:w val="0.83351831298557189"/>
          <c:h val="0.84828711256117495"/>
        </c:manualLayout>
      </c:layout>
      <c:scatterChart>
        <c:scatterStyle val="smoothMarker"/>
        <c:varyColors val="0"/>
        <c:ser>
          <c:idx val="0"/>
          <c:order val="0"/>
          <c:tx>
            <c:v>Chalcedony</c:v>
          </c:tx>
          <c:spPr>
            <a:ln w="25400">
              <a:solidFill>
                <a:srgbClr val="969696"/>
              </a:solidFill>
              <a:prstDash val="solid"/>
            </a:ln>
          </c:spPr>
          <c:marker>
            <c:symbol val="none"/>
          </c:marker>
          <c:dLbls>
            <c:dLbl>
              <c:idx val="0"/>
              <c:tx>
                <c:strRef>
                  <c:f>Ref!$B$31</c:f>
                  <c:strCache>
                    <c:ptCount val="1"/>
                    <c:pt idx="0">
                      <c:v>40</c:v>
                    </c:pt>
                  </c:strCache>
                </c:strRef>
              </c:tx>
              <c:spPr>
                <a:solidFill>
                  <a:srgbClr val="FFFFFF"/>
                </a:solidFill>
                <a:ln w="25400">
                  <a:noFill/>
                </a:ln>
              </c:spPr>
              <c:txPr>
                <a:bodyPr rot="-5400000" vert="horz"/>
                <a:lstStyle/>
                <a:p>
                  <a:pPr algn="ctr">
                    <a:defRPr sz="1100" b="0" i="0" u="none" strike="noStrike" baseline="0">
                      <a:solidFill>
                        <a:srgbClr val="808080"/>
                      </a:solidFill>
                      <a:latin typeface="Arial"/>
                      <a:ea typeface="Arial"/>
                      <a:cs typeface="Arial"/>
                    </a:defRPr>
                  </a:pPr>
                  <a:endParaRPr lang="en-US"/>
                </a:p>
              </c:txPr>
              <c:dLblPos val="t"/>
              <c:showLegendKey val="0"/>
              <c:showVal val="0"/>
              <c:showCatName val="0"/>
              <c:showSerName val="0"/>
              <c:showPercent val="0"/>
              <c:showBubbleSize val="0"/>
            </c:dLbl>
            <c:dLbl>
              <c:idx val="1"/>
              <c:layout>
                <c:manualLayout>
                  <c:x val="-1.971888918990565E-2"/>
                  <c:y val="8.5655247417074518E-2"/>
                </c:manualLayout>
              </c:layout>
              <c:tx>
                <c:strRef>
                  <c:f>Ref!$B$32</c:f>
                  <c:strCache>
                    <c:ptCount val="1"/>
                    <c:pt idx="0">
                      <c:v>60</c:v>
                    </c:pt>
                  </c:strCache>
                </c:strRef>
              </c:tx>
              <c:spPr>
                <a:solidFill>
                  <a:srgbClr val="FFFFFF"/>
                </a:solidFill>
                <a:ln w="25400">
                  <a:noFill/>
                </a:ln>
              </c:spPr>
              <c:txPr>
                <a:bodyPr rot="-5400000" vert="horz"/>
                <a:lstStyle/>
                <a:p>
                  <a:pPr algn="ctr">
                    <a:defRPr sz="1100" b="0" i="0" u="none" strike="noStrike" baseline="0">
                      <a:solidFill>
                        <a:srgbClr val="808080"/>
                      </a:solidFill>
                      <a:latin typeface="Arial"/>
                      <a:ea typeface="Arial"/>
                      <a:cs typeface="Arial"/>
                    </a:defRPr>
                  </a:pPr>
                  <a:endParaRPr lang="en-US"/>
                </a:p>
              </c:txPr>
              <c:dLblPos val="r"/>
              <c:showLegendKey val="0"/>
              <c:showVal val="0"/>
              <c:showCatName val="0"/>
              <c:showSerName val="0"/>
              <c:showPercent val="0"/>
              <c:showBubbleSize val="0"/>
            </c:dLbl>
            <c:dLbl>
              <c:idx val="2"/>
              <c:layout>
                <c:manualLayout>
                  <c:x val="-1.8239051971999612E-2"/>
                  <c:y val="0.10088091353996737"/>
                </c:manualLayout>
              </c:layout>
              <c:tx>
                <c:strRef>
                  <c:f>Ref!$B$33</c:f>
                  <c:strCache>
                    <c:ptCount val="1"/>
                    <c:pt idx="0">
                      <c:v>80</c:v>
                    </c:pt>
                  </c:strCache>
                </c:strRef>
              </c:tx>
              <c:spPr>
                <a:solidFill>
                  <a:srgbClr val="FFFFFF"/>
                </a:solidFill>
                <a:ln w="25400">
                  <a:noFill/>
                </a:ln>
              </c:spPr>
              <c:txPr>
                <a:bodyPr rot="-5400000" vert="horz"/>
                <a:lstStyle/>
                <a:p>
                  <a:pPr algn="ctr">
                    <a:defRPr sz="1100" b="0" i="0" u="none" strike="noStrike" baseline="0">
                      <a:solidFill>
                        <a:srgbClr val="808080"/>
                      </a:solidFill>
                      <a:latin typeface="Arial"/>
                      <a:ea typeface="Arial"/>
                      <a:cs typeface="Arial"/>
                    </a:defRPr>
                  </a:pPr>
                  <a:endParaRPr lang="en-US"/>
                </a:p>
              </c:txPr>
              <c:dLblPos val="r"/>
              <c:showLegendKey val="0"/>
              <c:showVal val="0"/>
              <c:showCatName val="0"/>
              <c:showSerName val="0"/>
              <c:showPercent val="0"/>
              <c:showBubbleSize val="0"/>
            </c:dLbl>
            <c:dLbl>
              <c:idx val="3"/>
              <c:layout>
                <c:manualLayout>
                  <c:x val="-2.1198726407811678E-2"/>
                  <c:y val="0.13120174007612839"/>
                </c:manualLayout>
              </c:layout>
              <c:tx>
                <c:strRef>
                  <c:f>Ref!$B$34</c:f>
                  <c:strCache>
                    <c:ptCount val="1"/>
                    <c:pt idx="0">
                      <c:v>100</c:v>
                    </c:pt>
                  </c:strCache>
                </c:strRef>
              </c:tx>
              <c:spPr>
                <a:solidFill>
                  <a:srgbClr val="FFFFFF"/>
                </a:solidFill>
                <a:ln w="25400">
                  <a:noFill/>
                </a:ln>
              </c:spPr>
              <c:txPr>
                <a:bodyPr rot="-5400000" vert="horz"/>
                <a:lstStyle/>
                <a:p>
                  <a:pPr algn="ctr">
                    <a:defRPr sz="1100" b="0" i="0" u="none" strike="noStrike" baseline="0">
                      <a:solidFill>
                        <a:srgbClr val="808080"/>
                      </a:solidFill>
                      <a:latin typeface="Arial"/>
                      <a:ea typeface="Arial"/>
                      <a:cs typeface="Arial"/>
                    </a:defRPr>
                  </a:pPr>
                  <a:endParaRPr lang="en-US"/>
                </a:p>
              </c:txPr>
              <c:dLblPos val="r"/>
              <c:showLegendKey val="0"/>
              <c:showVal val="0"/>
              <c:showCatName val="0"/>
              <c:showSerName val="0"/>
              <c:showPercent val="0"/>
              <c:showBubbleSize val="0"/>
            </c:dLbl>
            <c:dLbl>
              <c:idx val="4"/>
              <c:layout>
                <c:manualLayout>
                  <c:x val="-2.2678563625717657E-2"/>
                  <c:y val="0.17905383360522026"/>
                </c:manualLayout>
              </c:layout>
              <c:tx>
                <c:strRef>
                  <c:f>Ref!$B$35</c:f>
                  <c:strCache>
                    <c:ptCount val="1"/>
                    <c:pt idx="0">
                      <c:v>120</c:v>
                    </c:pt>
                  </c:strCache>
                </c:strRef>
              </c:tx>
              <c:spPr>
                <a:solidFill>
                  <a:srgbClr val="FFFFFF"/>
                </a:solidFill>
                <a:ln w="25400">
                  <a:noFill/>
                </a:ln>
              </c:spPr>
              <c:txPr>
                <a:bodyPr rot="-5400000" vert="horz"/>
                <a:lstStyle/>
                <a:p>
                  <a:pPr algn="ctr">
                    <a:defRPr sz="1100" b="0" i="0" u="none" strike="noStrike" baseline="0">
                      <a:solidFill>
                        <a:srgbClr val="808080"/>
                      </a:solidFill>
                      <a:latin typeface="Arial"/>
                      <a:ea typeface="Arial"/>
                      <a:cs typeface="Arial"/>
                    </a:defRPr>
                  </a:pPr>
                  <a:endParaRPr lang="en-US"/>
                </a:p>
              </c:txPr>
              <c:dLblPos val="r"/>
              <c:showLegendKey val="0"/>
              <c:showVal val="0"/>
              <c:showCatName val="0"/>
              <c:showSerName val="0"/>
              <c:showPercent val="0"/>
              <c:showBubbleSize val="0"/>
            </c:dLbl>
            <c:dLbl>
              <c:idx val="5"/>
              <c:layout>
                <c:manualLayout>
                  <c:x val="-1.8239051971999612E-2"/>
                  <c:y val="0.2312561174551386"/>
                </c:manualLayout>
              </c:layout>
              <c:tx>
                <c:strRef>
                  <c:f>Ref!$B$36</c:f>
                  <c:strCache>
                    <c:ptCount val="1"/>
                    <c:pt idx="0">
                      <c:v>140</c:v>
                    </c:pt>
                  </c:strCache>
                </c:strRef>
              </c:tx>
              <c:spPr>
                <a:solidFill>
                  <a:srgbClr val="FFFFFF"/>
                </a:solidFill>
                <a:ln w="25400">
                  <a:noFill/>
                </a:ln>
              </c:spPr>
              <c:txPr>
                <a:bodyPr rot="-5400000" vert="horz"/>
                <a:lstStyle/>
                <a:p>
                  <a:pPr algn="ctr">
                    <a:defRPr sz="1100" b="0" i="0" u="none" strike="noStrike" baseline="0">
                      <a:solidFill>
                        <a:srgbClr val="808080"/>
                      </a:solidFill>
                      <a:latin typeface="Arial"/>
                      <a:ea typeface="Arial"/>
                      <a:cs typeface="Arial"/>
                    </a:defRPr>
                  </a:pPr>
                  <a:endParaRPr lang="en-US"/>
                </a:p>
              </c:txPr>
              <c:dLblPos val="r"/>
              <c:showLegendKey val="0"/>
              <c:showVal val="0"/>
              <c:showCatName val="0"/>
              <c:showSerName val="0"/>
              <c:showPercent val="0"/>
              <c:showBubbleSize val="0"/>
            </c:dLbl>
            <c:dLbl>
              <c:idx val="6"/>
              <c:layout>
                <c:manualLayout>
                  <c:x val="-1.971888918990565E-2"/>
                  <c:y val="0.2595323545405111"/>
                </c:manualLayout>
              </c:layout>
              <c:tx>
                <c:strRef>
                  <c:f>Ref!$B$37</c:f>
                  <c:strCache>
                    <c:ptCount val="1"/>
                    <c:pt idx="0">
                      <c:v>160</c:v>
                    </c:pt>
                  </c:strCache>
                </c:strRef>
              </c:tx>
              <c:spPr>
                <a:solidFill>
                  <a:srgbClr val="FFFFFF"/>
                </a:solidFill>
                <a:ln w="25400">
                  <a:noFill/>
                </a:ln>
              </c:spPr>
              <c:txPr>
                <a:bodyPr rot="-5400000" vert="horz"/>
                <a:lstStyle/>
                <a:p>
                  <a:pPr algn="ctr">
                    <a:defRPr sz="1100" b="0" i="0" u="none" strike="noStrike" baseline="0">
                      <a:solidFill>
                        <a:srgbClr val="808080"/>
                      </a:solidFill>
                      <a:latin typeface="Arial"/>
                      <a:ea typeface="Arial"/>
                      <a:cs typeface="Arial"/>
                    </a:defRPr>
                  </a:pPr>
                  <a:endParaRPr lang="en-US"/>
                </a:p>
              </c:txPr>
              <c:dLblPos val="r"/>
              <c:showLegendKey val="0"/>
              <c:showVal val="0"/>
              <c:showCatName val="0"/>
              <c:showSerName val="0"/>
              <c:showPercent val="0"/>
              <c:showBubbleSize val="0"/>
            </c:dLbl>
            <c:dLbl>
              <c:idx val="7"/>
              <c:layout>
                <c:manualLayout>
                  <c:x val="-1.8239051971999612E-2"/>
                  <c:y val="0.30738444806960313"/>
                </c:manualLayout>
              </c:layout>
              <c:tx>
                <c:strRef>
                  <c:f>Ref!$B$38</c:f>
                  <c:strCache>
                    <c:ptCount val="1"/>
                    <c:pt idx="0">
                      <c:v>180</c:v>
                    </c:pt>
                  </c:strCache>
                </c:strRef>
              </c:tx>
              <c:spPr>
                <a:solidFill>
                  <a:srgbClr val="FFFFFF"/>
                </a:solidFill>
                <a:ln w="25400">
                  <a:noFill/>
                </a:ln>
              </c:spPr>
              <c:txPr>
                <a:bodyPr rot="-5400000" vert="horz"/>
                <a:lstStyle/>
                <a:p>
                  <a:pPr algn="ctr">
                    <a:defRPr sz="1100" b="0" i="0" u="none" strike="noStrike" baseline="0">
                      <a:solidFill>
                        <a:srgbClr val="808080"/>
                      </a:solidFill>
                      <a:latin typeface="Arial"/>
                      <a:ea typeface="Arial"/>
                      <a:cs typeface="Arial"/>
                    </a:defRPr>
                  </a:pPr>
                  <a:endParaRPr lang="en-US"/>
                </a:p>
              </c:txPr>
              <c:dLblPos val="r"/>
              <c:showLegendKey val="0"/>
              <c:showVal val="0"/>
              <c:showCatName val="0"/>
              <c:showSerName val="0"/>
              <c:showPercent val="0"/>
              <c:showBubbleSize val="0"/>
            </c:dLbl>
            <c:dLbl>
              <c:idx val="8"/>
              <c:layout>
                <c:manualLayout>
                  <c:x val="-2.1198726407811678E-2"/>
                  <c:y val="0.29868406742795006"/>
                </c:manualLayout>
              </c:layout>
              <c:tx>
                <c:strRef>
                  <c:f>Ref!$B$39</c:f>
                  <c:strCache>
                    <c:ptCount val="1"/>
                    <c:pt idx="0">
                      <c:v>200</c:v>
                    </c:pt>
                  </c:strCache>
                </c:strRef>
              </c:tx>
              <c:spPr>
                <a:solidFill>
                  <a:srgbClr val="FFFFFF"/>
                </a:solidFill>
                <a:ln w="25400">
                  <a:noFill/>
                </a:ln>
              </c:spPr>
              <c:txPr>
                <a:bodyPr rot="-5400000" vert="horz"/>
                <a:lstStyle/>
                <a:p>
                  <a:pPr algn="ctr">
                    <a:defRPr sz="1100" b="0" i="0" u="none" strike="noStrike" baseline="0">
                      <a:solidFill>
                        <a:srgbClr val="808080"/>
                      </a:solidFill>
                      <a:latin typeface="Arial"/>
                      <a:ea typeface="Arial"/>
                      <a:cs typeface="Arial"/>
                    </a:defRPr>
                  </a:pPr>
                  <a:endParaRPr lang="en-US"/>
                </a:p>
              </c:txPr>
              <c:dLblPos val="r"/>
              <c:showLegendKey val="0"/>
              <c:showVal val="0"/>
              <c:showCatName val="0"/>
              <c:showSerName val="0"/>
              <c:showPercent val="0"/>
              <c:showBubbleSize val="0"/>
            </c:dLbl>
            <c:dLbl>
              <c:idx val="9"/>
              <c:layout>
                <c:manualLayout>
                  <c:x val="-1.971888918990565E-2"/>
                  <c:y val="0.19862969004893963"/>
                </c:manualLayout>
              </c:layout>
              <c:tx>
                <c:strRef>
                  <c:f>Ref!$B$40</c:f>
                  <c:strCache>
                    <c:ptCount val="1"/>
                    <c:pt idx="0">
                      <c:v>220</c:v>
                    </c:pt>
                  </c:strCache>
                </c:strRef>
              </c:tx>
              <c:spPr>
                <a:solidFill>
                  <a:srgbClr val="FFFFFF"/>
                </a:solidFill>
                <a:ln w="25400">
                  <a:noFill/>
                </a:ln>
              </c:spPr>
              <c:txPr>
                <a:bodyPr rot="-5400000" vert="horz"/>
                <a:lstStyle/>
                <a:p>
                  <a:pPr algn="ctr">
                    <a:defRPr sz="1100" b="0" i="0" u="none" strike="noStrike" baseline="0">
                      <a:solidFill>
                        <a:srgbClr val="808080"/>
                      </a:solidFill>
                      <a:latin typeface="Arial"/>
                      <a:ea typeface="Arial"/>
                      <a:cs typeface="Arial"/>
                    </a:defRPr>
                  </a:pPr>
                  <a:endParaRPr lang="en-US"/>
                </a:p>
              </c:txPr>
              <c:dLblPos val="r"/>
              <c:showLegendKey val="0"/>
              <c:showVal val="0"/>
              <c:showCatName val="0"/>
              <c:showSerName val="0"/>
              <c:showPercent val="0"/>
              <c:showBubbleSize val="0"/>
            </c:dLbl>
            <c:dLbl>
              <c:idx val="10"/>
              <c:layout>
                <c:manualLayout>
                  <c:x val="-2.1198726407811678E-2"/>
                  <c:y val="8.7699836867862979E-2"/>
                </c:manualLayout>
              </c:layout>
              <c:tx>
                <c:strRef>
                  <c:f>Ref!$B$41</c:f>
                  <c:strCache>
                    <c:ptCount val="1"/>
                    <c:pt idx="0">
                      <c:v>240</c:v>
                    </c:pt>
                  </c:strCache>
                </c:strRef>
              </c:tx>
              <c:spPr>
                <a:solidFill>
                  <a:srgbClr val="FFFFFF"/>
                </a:solidFill>
                <a:ln w="25400">
                  <a:noFill/>
                </a:ln>
              </c:spPr>
              <c:txPr>
                <a:bodyPr rot="-5400000" vert="horz"/>
                <a:lstStyle/>
                <a:p>
                  <a:pPr algn="ctr">
                    <a:defRPr sz="1100" b="0" i="0" u="none" strike="noStrike" baseline="0">
                      <a:solidFill>
                        <a:srgbClr val="808080"/>
                      </a:solidFill>
                      <a:latin typeface="Arial"/>
                      <a:ea typeface="Arial"/>
                      <a:cs typeface="Arial"/>
                    </a:defRPr>
                  </a:pPr>
                  <a:endParaRPr lang="en-US"/>
                </a:p>
              </c:txPr>
              <c:dLblPos val="r"/>
              <c:showLegendKey val="0"/>
              <c:showVal val="0"/>
              <c:showCatName val="0"/>
              <c:showSerName val="0"/>
              <c:showPercent val="0"/>
              <c:showBubbleSize val="0"/>
            </c:dLbl>
            <c:dLbl>
              <c:idx val="11"/>
              <c:layout/>
              <c:tx>
                <c:strRef>
                  <c:f>Ref!$B$42</c:f>
                  <c:strCache>
                    <c:ptCount val="1"/>
                    <c:pt idx="0">
                      <c:v>260</c:v>
                    </c:pt>
                  </c:strCache>
                </c:strRef>
              </c:tx>
              <c:spPr>
                <a:solidFill>
                  <a:srgbClr val="FFFFFF"/>
                </a:solidFill>
                <a:ln w="25400">
                  <a:noFill/>
                </a:ln>
              </c:spPr>
              <c:txPr>
                <a:bodyPr rot="-5400000" vert="horz"/>
                <a:lstStyle/>
                <a:p>
                  <a:pPr algn="ctr">
                    <a:defRPr sz="1100" b="0" i="0" u="none" strike="noStrike" baseline="0">
                      <a:solidFill>
                        <a:srgbClr val="808080"/>
                      </a:solidFill>
                      <a:latin typeface="Arial"/>
                      <a:ea typeface="Arial"/>
                      <a:cs typeface="Arial"/>
                    </a:defRPr>
                  </a:pPr>
                  <a:endParaRPr lang="en-US"/>
                </a:p>
              </c:txPr>
              <c:dLblPos val="t"/>
              <c:showLegendKey val="0"/>
              <c:showVal val="0"/>
              <c:showCatName val="0"/>
              <c:showSerName val="0"/>
              <c:showPercent val="0"/>
              <c:showBubbleSize val="0"/>
            </c:dLbl>
            <c:dLbl>
              <c:idx val="12"/>
              <c:delete val="1"/>
            </c:dLbl>
            <c:dLbl>
              <c:idx val="13"/>
              <c:spPr>
                <a:noFill/>
                <a:ln w="25400">
                  <a:noFill/>
                </a:ln>
              </c:spPr>
              <c:txPr>
                <a:bodyPr rot="-5400000" vert="horz"/>
                <a:lstStyle/>
                <a:p>
                  <a:pPr algn="ctr">
                    <a:defRPr sz="11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dLbl>
            <c:dLbl>
              <c:idx val="14"/>
              <c:spPr>
                <a:noFill/>
                <a:ln w="25400">
                  <a:noFill/>
                </a:ln>
              </c:spPr>
              <c:txPr>
                <a:bodyPr rot="-5400000" vert="horz"/>
                <a:lstStyle/>
                <a:p>
                  <a:pPr algn="ctr">
                    <a:defRPr sz="11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dLbl>
            <c:spPr>
              <a:noFill/>
              <a:ln w="25400">
                <a:noFill/>
              </a:ln>
            </c:spPr>
            <c:txPr>
              <a:bodyPr rot="-5400000" vert="horz"/>
              <a:lstStyle/>
              <a:p>
                <a:pPr algn="ctr">
                  <a:defRPr sz="1100" b="0" i="0" u="none" strike="noStrike" baseline="0">
                    <a:solidFill>
                      <a:srgbClr val="808080"/>
                    </a:solidFill>
                    <a:latin typeface="Arial"/>
                    <a:ea typeface="Arial"/>
                    <a:cs typeface="Arial"/>
                  </a:defRPr>
                </a:pPr>
                <a:endParaRPr lang="en-US"/>
              </a:p>
            </c:txPr>
            <c:dLblPos val="t"/>
            <c:showLegendKey val="0"/>
            <c:showVal val="1"/>
            <c:showCatName val="0"/>
            <c:showSerName val="0"/>
            <c:showPercent val="0"/>
            <c:showBubbleSize val="0"/>
            <c:showLeaderLines val="0"/>
          </c:dLbls>
          <c:xVal>
            <c:numRef>
              <c:f>Ref!$H$31:$H$43</c:f>
              <c:numCache>
                <c:formatCode>0.00</c:formatCode>
                <c:ptCount val="13"/>
                <c:pt idx="0">
                  <c:v>-8.9456869009584522E-2</c:v>
                </c:pt>
                <c:pt idx="1">
                  <c:v>0.75675675675675613</c:v>
                </c:pt>
                <c:pt idx="2">
                  <c:v>1.5070821529745049</c:v>
                </c:pt>
                <c:pt idx="3">
                  <c:v>2.176943699731904</c:v>
                </c:pt>
                <c:pt idx="4">
                  <c:v>2.7786259541984735</c:v>
                </c:pt>
                <c:pt idx="5">
                  <c:v>3.3220338983050852</c:v>
                </c:pt>
                <c:pt idx="6">
                  <c:v>3.8152424942263288</c:v>
                </c:pt>
                <c:pt idx="7">
                  <c:v>4.2649006622516552</c:v>
                </c:pt>
                <c:pt idx="8">
                  <c:v>4.6765327695560268</c:v>
                </c:pt>
                <c:pt idx="9">
                  <c:v>5.0547667342799194</c:v>
                </c:pt>
                <c:pt idx="10">
                  <c:v>5.4035087719298263</c:v>
                </c:pt>
                <c:pt idx="11">
                  <c:v>5.7260787992495326</c:v>
                </c:pt>
                <c:pt idx="12">
                  <c:v>6.0253164556962027</c:v>
                </c:pt>
              </c:numCache>
            </c:numRef>
          </c:xVal>
          <c:yVal>
            <c:numRef>
              <c:f>Ref!$U$31:$U$43</c:f>
              <c:numCache>
                <c:formatCode>0</c:formatCode>
                <c:ptCount val="13"/>
                <c:pt idx="0">
                  <c:v>24.710151002438657</c:v>
                </c:pt>
                <c:pt idx="1">
                  <c:v>38.985301826299484</c:v>
                </c:pt>
                <c:pt idx="2">
                  <c:v>58.410006171250878</c:v>
                </c:pt>
                <c:pt idx="3">
                  <c:v>83.799990197445268</c:v>
                </c:pt>
                <c:pt idx="4">
                  <c:v>115.88995694757628</c:v>
                </c:pt>
                <c:pt idx="5">
                  <c:v>155.31401751157085</c:v>
                </c:pt>
                <c:pt idx="6">
                  <c:v>202.59474466812</c:v>
                </c:pt>
                <c:pt idx="7">
                  <c:v>258.13940496753702</c:v>
                </c:pt>
                <c:pt idx="8">
                  <c:v>322.24175799605899</c:v>
                </c:pt>
                <c:pt idx="9">
                  <c:v>395.08788437729567</c:v>
                </c:pt>
                <c:pt idx="10">
                  <c:v>476.76470122880727</c:v>
                </c:pt>
                <c:pt idx="11">
                  <c:v>567.27006805626013</c:v>
                </c:pt>
                <c:pt idx="12">
                  <c:v>666.52363098663034</c:v>
                </c:pt>
              </c:numCache>
            </c:numRef>
          </c:yVal>
          <c:smooth val="1"/>
        </c:ser>
        <c:ser>
          <c:idx val="1"/>
          <c:order val="1"/>
          <c:tx>
            <c:v>Quartz</c:v>
          </c:tx>
          <c:spPr>
            <a:ln w="25400">
              <a:solidFill>
                <a:srgbClr val="808080"/>
              </a:solidFill>
              <a:prstDash val="solid"/>
            </a:ln>
          </c:spPr>
          <c:marker>
            <c:symbol val="none"/>
          </c:marker>
          <c:dLbls>
            <c:dLbl>
              <c:idx val="1"/>
              <c:layout>
                <c:manualLayout>
                  <c:x val="0.407635144386086"/>
                  <c:y val="0.18314952066554488"/>
                </c:manualLayout>
              </c:layout>
              <c:tx>
                <c:rich>
                  <a:bodyPr rot="2220000" vert="horz"/>
                  <a:lstStyle/>
                  <a:p>
                    <a:pPr algn="ctr">
                      <a:defRPr sz="1200" b="1" i="0" u="none" strike="noStrike" baseline="0">
                        <a:solidFill>
                          <a:srgbClr val="808080"/>
                        </a:solidFill>
                        <a:latin typeface="Arial"/>
                        <a:ea typeface="Arial"/>
                        <a:cs typeface="Arial"/>
                      </a:defRPr>
                    </a:pPr>
                    <a:r>
                      <a:rPr lang="en-NZ"/>
                      <a:t>Quartz </a:t>
                    </a:r>
                  </a:p>
                </c:rich>
              </c:tx>
              <c:spPr>
                <a:noFill/>
                <a:ln w="25400">
                  <a:noFill/>
                </a:ln>
              </c:spPr>
              <c:dLblPos val="r"/>
              <c:showLegendKey val="0"/>
              <c:showVal val="0"/>
              <c:showCatName val="0"/>
              <c:showSerName val="0"/>
              <c:showPercent val="0"/>
              <c:showBubbleSize val="0"/>
            </c:dLbl>
            <c:dLbl>
              <c:idx val="2"/>
              <c:layout>
                <c:manualLayout>
                  <c:x val="0.23606759476929981"/>
                  <c:y val="0.24371701498161019"/>
                </c:manualLayout>
              </c:layout>
              <c:tx>
                <c:rich>
                  <a:bodyPr rot="2160000" vert="horz"/>
                  <a:lstStyle/>
                  <a:p>
                    <a:pPr algn="ctr">
                      <a:defRPr sz="1200" b="1" i="0" u="none" strike="noStrike" baseline="0">
                        <a:solidFill>
                          <a:srgbClr val="808080"/>
                        </a:solidFill>
                        <a:latin typeface="Arial"/>
                        <a:ea typeface="Arial"/>
                        <a:cs typeface="Arial"/>
                      </a:defRPr>
                    </a:pPr>
                    <a:r>
                      <a:rPr lang="en-NZ"/>
                      <a:t>Chalcedony </a:t>
                    </a:r>
                  </a:p>
                </c:rich>
              </c:tx>
              <c:spPr>
                <a:noFill/>
                <a:ln w="25400">
                  <a:noFill/>
                </a:ln>
              </c:spPr>
              <c:dLblPos val="r"/>
              <c:showLegendKey val="0"/>
              <c:showVal val="0"/>
              <c:showCatName val="0"/>
              <c:showSerName val="0"/>
              <c:showPercent val="0"/>
              <c:showBubbleSize val="0"/>
            </c:dLbl>
            <c:showLegendKey val="0"/>
            <c:showVal val="0"/>
            <c:showCatName val="0"/>
            <c:showSerName val="0"/>
            <c:showPercent val="0"/>
            <c:showBubbleSize val="0"/>
          </c:dLbls>
          <c:xVal>
            <c:numRef>
              <c:f>Ref!$H$31:$H$45</c:f>
              <c:numCache>
                <c:formatCode>0.00</c:formatCode>
                <c:ptCount val="15"/>
                <c:pt idx="0">
                  <c:v>-8.9456869009584522E-2</c:v>
                </c:pt>
                <c:pt idx="1">
                  <c:v>0.75675675675675613</c:v>
                </c:pt>
                <c:pt idx="2">
                  <c:v>1.5070821529745049</c:v>
                </c:pt>
                <c:pt idx="3">
                  <c:v>2.176943699731904</c:v>
                </c:pt>
                <c:pt idx="4">
                  <c:v>2.7786259541984735</c:v>
                </c:pt>
                <c:pt idx="5">
                  <c:v>3.3220338983050852</c:v>
                </c:pt>
                <c:pt idx="6">
                  <c:v>3.8152424942263288</c:v>
                </c:pt>
                <c:pt idx="7">
                  <c:v>4.2649006622516552</c:v>
                </c:pt>
                <c:pt idx="8">
                  <c:v>4.6765327695560268</c:v>
                </c:pt>
                <c:pt idx="9">
                  <c:v>5.0547667342799194</c:v>
                </c:pt>
                <c:pt idx="10">
                  <c:v>5.4035087719298263</c:v>
                </c:pt>
                <c:pt idx="11">
                  <c:v>5.7260787992495326</c:v>
                </c:pt>
                <c:pt idx="12">
                  <c:v>6.0253164556962027</c:v>
                </c:pt>
                <c:pt idx="13">
                  <c:v>6.3036649214659688</c:v>
                </c:pt>
                <c:pt idx="14">
                  <c:v>6.5632377740303554</c:v>
                </c:pt>
              </c:numCache>
            </c:numRef>
          </c:xVal>
          <c:yVal>
            <c:numRef>
              <c:f>Ref!$V$31:$V$45</c:f>
              <c:numCache>
                <c:formatCode>0</c:formatCode>
                <c:ptCount val="15"/>
                <c:pt idx="0">
                  <c:v>10.183366487510948</c:v>
                </c:pt>
                <c:pt idx="1">
                  <c:v>18.158044206408697</c:v>
                </c:pt>
                <c:pt idx="2">
                  <c:v>30.323875335963724</c:v>
                </c:pt>
                <c:pt idx="3">
                  <c:v>47.931014576041115</c:v>
                </c:pt>
                <c:pt idx="4">
                  <c:v>72.312136957399574</c:v>
                </c:pt>
                <c:pt idx="5">
                  <c:v>104.83552503913405</c:v>
                </c:pt>
                <c:pt idx="6">
                  <c:v>146.86060459549768</c:v>
                </c:pt>
                <c:pt idx="7">
                  <c:v>199.69871757975861</c:v>
                </c:pt>
                <c:pt idx="8">
                  <c:v>264.58068684268164</c:v>
                </c:pt>
                <c:pt idx="9">
                  <c:v>342.63173562388459</c:v>
                </c:pt>
                <c:pt idx="10">
                  <c:v>434.85361013824428</c:v>
                </c:pt>
                <c:pt idx="11">
                  <c:v>542.11329258464423</c:v>
                </c:pt>
                <c:pt idx="12">
                  <c:v>665.13743667568758</c:v>
                </c:pt>
                <c:pt idx="13">
                  <c:v>804.51155512801085</c:v>
                </c:pt>
                <c:pt idx="14">
                  <c:v>960.68299021067844</c:v>
                </c:pt>
              </c:numCache>
            </c:numRef>
          </c:yVal>
          <c:smooth val="1"/>
        </c:ser>
        <c:ser>
          <c:idx val="2"/>
          <c:order val="2"/>
          <c:tx>
            <c:v>60C</c:v>
          </c:tx>
          <c:spPr>
            <a:ln w="25400">
              <a:solidFill>
                <a:srgbClr val="808080"/>
              </a:solidFill>
              <a:prstDash val="solid"/>
            </a:ln>
          </c:spPr>
          <c:marker>
            <c:symbol val="none"/>
          </c:marker>
          <c:xVal>
            <c:numRef>
              <c:f>(Ref!$H$32,Ref!$H$32)</c:f>
              <c:numCache>
                <c:formatCode>0.00</c:formatCode>
                <c:ptCount val="2"/>
                <c:pt idx="0">
                  <c:v>0.75675675675675613</c:v>
                </c:pt>
                <c:pt idx="1">
                  <c:v>0.75675675675675613</c:v>
                </c:pt>
              </c:numCache>
            </c:numRef>
          </c:xVal>
          <c:yVal>
            <c:numRef>
              <c:f>(Ref!$T$32,Ref!$V$32)</c:f>
              <c:numCache>
                <c:formatCode>0</c:formatCode>
                <c:ptCount val="2"/>
                <c:pt idx="0">
                  <c:v>211.25393381312085</c:v>
                </c:pt>
                <c:pt idx="1">
                  <c:v>18.158044206408697</c:v>
                </c:pt>
              </c:numCache>
            </c:numRef>
          </c:yVal>
          <c:smooth val="1"/>
        </c:ser>
        <c:ser>
          <c:idx val="3"/>
          <c:order val="3"/>
          <c:tx>
            <c:v>80C</c:v>
          </c:tx>
          <c:spPr>
            <a:ln w="25400">
              <a:solidFill>
                <a:srgbClr val="808080"/>
              </a:solidFill>
              <a:prstDash val="solid"/>
            </a:ln>
          </c:spPr>
          <c:marker>
            <c:symbol val="none"/>
          </c:marker>
          <c:xVal>
            <c:numRef>
              <c:f>(Ref!$H$33,Ref!$H$33)</c:f>
              <c:numCache>
                <c:formatCode>0.00</c:formatCode>
                <c:ptCount val="2"/>
                <c:pt idx="0">
                  <c:v>1.5070821529745049</c:v>
                </c:pt>
                <c:pt idx="1">
                  <c:v>1.5070821529745049</c:v>
                </c:pt>
              </c:numCache>
            </c:numRef>
          </c:xVal>
          <c:yVal>
            <c:numRef>
              <c:f>(Ref!$T$33,Ref!$V$33)</c:f>
              <c:numCache>
                <c:formatCode>0</c:formatCode>
                <c:ptCount val="2"/>
                <c:pt idx="0">
                  <c:v>281.3056598678524</c:v>
                </c:pt>
                <c:pt idx="1">
                  <c:v>30.323875335963724</c:v>
                </c:pt>
              </c:numCache>
            </c:numRef>
          </c:yVal>
          <c:smooth val="1"/>
        </c:ser>
        <c:ser>
          <c:idx val="4"/>
          <c:order val="4"/>
          <c:tx>
            <c:v>100C</c:v>
          </c:tx>
          <c:spPr>
            <a:ln w="25400">
              <a:solidFill>
                <a:srgbClr val="808080"/>
              </a:solidFill>
              <a:prstDash val="solid"/>
            </a:ln>
          </c:spPr>
          <c:marker>
            <c:symbol val="none"/>
          </c:marker>
          <c:xVal>
            <c:numRef>
              <c:f>(Ref!$H$34,Ref!$H$34)</c:f>
              <c:numCache>
                <c:formatCode>0.00</c:formatCode>
                <c:ptCount val="2"/>
                <c:pt idx="0">
                  <c:v>2.176943699731904</c:v>
                </c:pt>
                <c:pt idx="1">
                  <c:v>2.176943699731904</c:v>
                </c:pt>
              </c:numCache>
            </c:numRef>
          </c:xVal>
          <c:yVal>
            <c:numRef>
              <c:f>(Ref!$T$34,Ref!$V$34)</c:f>
              <c:numCache>
                <c:formatCode>0</c:formatCode>
                <c:ptCount val="2"/>
                <c:pt idx="0">
                  <c:v>363.2574058875523</c:v>
                </c:pt>
                <c:pt idx="1">
                  <c:v>47.931014576041115</c:v>
                </c:pt>
              </c:numCache>
            </c:numRef>
          </c:yVal>
          <c:smooth val="1"/>
        </c:ser>
        <c:ser>
          <c:idx val="5"/>
          <c:order val="5"/>
          <c:tx>
            <c:v>120C</c:v>
          </c:tx>
          <c:spPr>
            <a:ln w="25400">
              <a:solidFill>
                <a:srgbClr val="808080"/>
              </a:solidFill>
              <a:prstDash val="solid"/>
            </a:ln>
          </c:spPr>
          <c:marker>
            <c:symbol val="none"/>
          </c:marker>
          <c:xVal>
            <c:numRef>
              <c:f>(Ref!$H$35,Ref!$H$35)</c:f>
              <c:numCache>
                <c:formatCode>0.00</c:formatCode>
                <c:ptCount val="2"/>
                <c:pt idx="0">
                  <c:v>2.7786259541984735</c:v>
                </c:pt>
                <c:pt idx="1">
                  <c:v>2.7786259541984735</c:v>
                </c:pt>
              </c:numCache>
            </c:numRef>
          </c:xVal>
          <c:yVal>
            <c:numRef>
              <c:f>(Ref!$T$35,Ref!$V$35)</c:f>
              <c:numCache>
                <c:formatCode>0</c:formatCode>
                <c:ptCount val="2"/>
                <c:pt idx="0">
                  <c:v>457.03463120322141</c:v>
                </c:pt>
                <c:pt idx="1">
                  <c:v>72.312136957399574</c:v>
                </c:pt>
              </c:numCache>
            </c:numRef>
          </c:yVal>
          <c:smooth val="1"/>
        </c:ser>
        <c:ser>
          <c:idx val="6"/>
          <c:order val="6"/>
          <c:tx>
            <c:v>140C</c:v>
          </c:tx>
          <c:spPr>
            <a:ln w="25400">
              <a:solidFill>
                <a:srgbClr val="808080"/>
              </a:solidFill>
              <a:prstDash val="solid"/>
            </a:ln>
          </c:spPr>
          <c:marker>
            <c:symbol val="none"/>
          </c:marker>
          <c:xVal>
            <c:numRef>
              <c:f>(Ref!$H$36,Ref!$H$36)</c:f>
              <c:numCache>
                <c:formatCode>0.00</c:formatCode>
                <c:ptCount val="2"/>
                <c:pt idx="0">
                  <c:v>3.3220338983050852</c:v>
                </c:pt>
                <c:pt idx="1">
                  <c:v>3.3220338983050852</c:v>
                </c:pt>
              </c:numCache>
            </c:numRef>
          </c:xVal>
          <c:yVal>
            <c:numRef>
              <c:f>(Ref!$T$36,Ref!$V$36)</c:f>
              <c:numCache>
                <c:formatCode>0</c:formatCode>
                <c:ptCount val="2"/>
                <c:pt idx="0">
                  <c:v>562.37267809225182</c:v>
                </c:pt>
                <c:pt idx="1">
                  <c:v>104.83552503913405</c:v>
                </c:pt>
              </c:numCache>
            </c:numRef>
          </c:yVal>
          <c:smooth val="1"/>
        </c:ser>
        <c:ser>
          <c:idx val="14"/>
          <c:order val="7"/>
          <c:tx>
            <c:v>160C</c:v>
          </c:tx>
          <c:spPr>
            <a:ln w="25400">
              <a:solidFill>
                <a:srgbClr val="808080"/>
              </a:solidFill>
            </a:ln>
          </c:spPr>
          <c:marker>
            <c:symbol val="none"/>
          </c:marker>
          <c:xVal>
            <c:numRef>
              <c:f>(Ref!$H$37,Ref!$H$37)</c:f>
              <c:numCache>
                <c:formatCode>0.00</c:formatCode>
                <c:ptCount val="2"/>
                <c:pt idx="0">
                  <c:v>3.8152424942263288</c:v>
                </c:pt>
                <c:pt idx="1">
                  <c:v>3.8152424942263288</c:v>
                </c:pt>
              </c:numCache>
            </c:numRef>
          </c:xVal>
          <c:yVal>
            <c:numRef>
              <c:f>(Ref!$T$37,Ref!$V$37)</c:f>
              <c:numCache>
                <c:formatCode>0</c:formatCode>
                <c:ptCount val="2"/>
                <c:pt idx="0">
                  <c:v>678.85698503484628</c:v>
                </c:pt>
                <c:pt idx="1">
                  <c:v>146.86060459549768</c:v>
                </c:pt>
              </c:numCache>
            </c:numRef>
          </c:yVal>
          <c:smooth val="1"/>
        </c:ser>
        <c:ser>
          <c:idx val="8"/>
          <c:order val="8"/>
          <c:tx>
            <c:v>180C</c:v>
          </c:tx>
          <c:spPr>
            <a:ln w="25400">
              <a:solidFill>
                <a:srgbClr val="808080"/>
              </a:solidFill>
              <a:prstDash val="solid"/>
            </a:ln>
          </c:spPr>
          <c:marker>
            <c:symbol val="none"/>
          </c:marker>
          <c:xVal>
            <c:numRef>
              <c:f>(Ref!$H$38,Ref!$H$38)</c:f>
              <c:numCache>
                <c:formatCode>0.00</c:formatCode>
                <c:ptCount val="2"/>
                <c:pt idx="0">
                  <c:v>4.2649006622516552</c:v>
                </c:pt>
                <c:pt idx="1">
                  <c:v>4.2649006622516552</c:v>
                </c:pt>
              </c:numCache>
            </c:numRef>
          </c:xVal>
          <c:yVal>
            <c:numRef>
              <c:f>(Ref!$T$38,Ref!$V$38)</c:f>
              <c:numCache>
                <c:formatCode>0</c:formatCode>
                <c:ptCount val="2"/>
                <c:pt idx="0">
                  <c:v>805.95995841065974</c:v>
                </c:pt>
                <c:pt idx="1">
                  <c:v>199.69871757975861</c:v>
                </c:pt>
              </c:numCache>
            </c:numRef>
          </c:yVal>
          <c:smooth val="1"/>
        </c:ser>
        <c:ser>
          <c:idx val="9"/>
          <c:order val="9"/>
          <c:tx>
            <c:v>200C</c:v>
          </c:tx>
          <c:spPr>
            <a:ln w="25400">
              <a:solidFill>
                <a:srgbClr val="808080"/>
              </a:solidFill>
              <a:prstDash val="solid"/>
            </a:ln>
          </c:spPr>
          <c:marker>
            <c:symbol val="none"/>
          </c:marker>
          <c:xVal>
            <c:numRef>
              <c:f>(Ref!$H$39,Ref!$H$39)</c:f>
              <c:numCache>
                <c:formatCode>0.00</c:formatCode>
                <c:ptCount val="2"/>
                <c:pt idx="0">
                  <c:v>4.6765327695560268</c:v>
                </c:pt>
                <c:pt idx="1">
                  <c:v>4.6765327695560268</c:v>
                </c:pt>
              </c:numCache>
            </c:numRef>
          </c:xVal>
          <c:yVal>
            <c:numRef>
              <c:f>(Ref!$T$39,Ref!$V$39)</c:f>
              <c:numCache>
                <c:formatCode>0</c:formatCode>
                <c:ptCount val="2"/>
                <c:pt idx="0">
                  <c:v>943.07331113779207</c:v>
                </c:pt>
                <c:pt idx="1">
                  <c:v>264.58068684268164</c:v>
                </c:pt>
              </c:numCache>
            </c:numRef>
          </c:yVal>
          <c:smooth val="1"/>
        </c:ser>
        <c:ser>
          <c:idx val="10"/>
          <c:order val="10"/>
          <c:tx>
            <c:v>220C</c:v>
          </c:tx>
          <c:spPr>
            <a:ln w="25400">
              <a:solidFill>
                <a:srgbClr val="808080"/>
              </a:solidFill>
              <a:prstDash val="solid"/>
            </a:ln>
          </c:spPr>
          <c:marker>
            <c:symbol val="none"/>
          </c:marker>
          <c:xVal>
            <c:numRef>
              <c:f>(Ref!$H$40,Ref!$H$40)</c:f>
              <c:numCache>
                <c:formatCode>0.00</c:formatCode>
                <c:ptCount val="2"/>
                <c:pt idx="0">
                  <c:v>5.0547667342799194</c:v>
                </c:pt>
                <c:pt idx="1">
                  <c:v>5.0547667342799194</c:v>
                </c:pt>
              </c:numCache>
            </c:numRef>
          </c:xVal>
          <c:yVal>
            <c:numRef>
              <c:f>(Ref!$T$40,Ref!$V$40)</c:f>
              <c:numCache>
                <c:formatCode>0</c:formatCode>
                <c:ptCount val="2"/>
                <c:pt idx="0">
                  <c:v>1089.5354849827384</c:v>
                </c:pt>
                <c:pt idx="1">
                  <c:v>342.63173562388459</c:v>
                </c:pt>
              </c:numCache>
            </c:numRef>
          </c:yVal>
          <c:smooth val="1"/>
        </c:ser>
        <c:ser>
          <c:idx val="13"/>
          <c:order val="11"/>
          <c:tx>
            <c:v>beta cristobalite</c:v>
          </c:tx>
          <c:spPr>
            <a:ln w="25400">
              <a:solidFill>
                <a:schemeClr val="tx1">
                  <a:lumMod val="50000"/>
                  <a:lumOff val="50000"/>
                </a:schemeClr>
              </a:solidFill>
            </a:ln>
          </c:spPr>
          <c:marker>
            <c:symbol val="none"/>
          </c:marker>
          <c:dLbls>
            <c:dLbl>
              <c:idx val="4"/>
              <c:layout>
                <c:manualLayout>
                  <c:x val="-8.2870884202737624E-2"/>
                  <c:y val="2.1750780336797206E-2"/>
                </c:manualLayout>
              </c:layout>
              <c:tx>
                <c:rich>
                  <a:bodyPr rot="2640000"/>
                  <a:lstStyle/>
                  <a:p>
                    <a:pPr>
                      <a:defRPr sz="1200" b="1">
                        <a:solidFill>
                          <a:schemeClr val="tx1">
                            <a:lumMod val="50000"/>
                            <a:lumOff val="50000"/>
                          </a:schemeClr>
                        </a:solidFill>
                      </a:defRPr>
                    </a:pPr>
                    <a:r>
                      <a:rPr lang="en-US" sz="1200" b="1">
                        <a:solidFill>
                          <a:schemeClr val="tx1">
                            <a:lumMod val="50000"/>
                            <a:lumOff val="50000"/>
                          </a:schemeClr>
                        </a:solidFill>
                      </a:rPr>
                      <a:t>Beta Cristobalite</a:t>
                    </a:r>
                  </a:p>
                </c:rich>
              </c:tx>
              <c:spPr/>
              <c:showLegendKey val="0"/>
              <c:showVal val="1"/>
              <c:showCatName val="0"/>
              <c:showSerName val="0"/>
              <c:showPercent val="0"/>
              <c:showBubbleSize val="0"/>
            </c:dLbl>
            <c:showLegendKey val="0"/>
            <c:showVal val="0"/>
            <c:showCatName val="0"/>
            <c:showSerName val="0"/>
            <c:showPercent val="0"/>
            <c:showBubbleSize val="0"/>
          </c:dLbls>
          <c:xVal>
            <c:numRef>
              <c:f>Ref!$H$31:$H$46</c:f>
              <c:numCache>
                <c:formatCode>0.00</c:formatCode>
                <c:ptCount val="16"/>
                <c:pt idx="0">
                  <c:v>-8.9456869009584522E-2</c:v>
                </c:pt>
                <c:pt idx="1">
                  <c:v>0.75675675675675613</c:v>
                </c:pt>
                <c:pt idx="2">
                  <c:v>1.5070821529745049</c:v>
                </c:pt>
                <c:pt idx="3">
                  <c:v>2.176943699731904</c:v>
                </c:pt>
                <c:pt idx="4">
                  <c:v>2.7786259541984735</c:v>
                </c:pt>
                <c:pt idx="5">
                  <c:v>3.3220338983050852</c:v>
                </c:pt>
                <c:pt idx="6">
                  <c:v>3.8152424942263288</c:v>
                </c:pt>
                <c:pt idx="7">
                  <c:v>4.2649006622516552</c:v>
                </c:pt>
                <c:pt idx="8">
                  <c:v>4.6765327695560268</c:v>
                </c:pt>
                <c:pt idx="9">
                  <c:v>5.0547667342799194</c:v>
                </c:pt>
                <c:pt idx="10">
                  <c:v>5.4035087719298263</c:v>
                </c:pt>
                <c:pt idx="11">
                  <c:v>5.7260787992495326</c:v>
                </c:pt>
                <c:pt idx="12">
                  <c:v>6.0253164556962027</c:v>
                </c:pt>
                <c:pt idx="13">
                  <c:v>6.3036649214659688</c:v>
                </c:pt>
                <c:pt idx="14">
                  <c:v>6.5632377740303554</c:v>
                </c:pt>
                <c:pt idx="15">
                  <c:v>6.805872756933117</c:v>
                </c:pt>
              </c:numCache>
            </c:numRef>
          </c:xVal>
          <c:yVal>
            <c:numRef>
              <c:f>Ref!$X$31:$X$46</c:f>
              <c:numCache>
                <c:formatCode>0</c:formatCode>
                <c:ptCount val="16"/>
                <c:pt idx="0">
                  <c:v>103.46473083574539</c:v>
                </c:pt>
                <c:pt idx="1">
                  <c:v>146.10149322725778</c:v>
                </c:pt>
                <c:pt idx="2">
                  <c:v>198.39714159290222</c:v>
                </c:pt>
                <c:pt idx="3">
                  <c:v>260.71512079289329</c:v>
                </c:pt>
                <c:pt idx="4">
                  <c:v>333.21354447550226</c:v>
                </c:pt>
                <c:pt idx="5">
                  <c:v>415.87119254917843</c:v>
                </c:pt>
                <c:pt idx="6">
                  <c:v>508.51626664276796</c:v>
                </c:pt>
                <c:pt idx="7">
                  <c:v>610.85507990527071</c:v>
                </c:pt>
                <c:pt idx="8">
                  <c:v>722.49893174815907</c:v>
                </c:pt>
                <c:pt idx="9">
                  <c:v>842.9882107231391</c:v>
                </c:pt>
                <c:pt idx="10">
                  <c:v>971.81331697907808</c:v>
                </c:pt>
                <c:pt idx="11">
                  <c:v>1108.432352319262</c:v>
                </c:pt>
                <c:pt idx="12">
                  <c:v>1252.285741681847</c:v>
                </c:pt>
                <c:pt idx="13">
                  <c:v>1402.8080674041319</c:v>
                </c:pt>
                <c:pt idx="14">
                  <c:v>1559.4374496603741</c:v>
                </c:pt>
                <c:pt idx="15">
                  <c:v>1721.6228168999812</c:v>
                </c:pt>
              </c:numCache>
            </c:numRef>
          </c:yVal>
          <c:smooth val="1"/>
        </c:ser>
        <c:ser>
          <c:idx val="7"/>
          <c:order val="12"/>
          <c:tx>
            <c:v>alpha cristo</c:v>
          </c:tx>
          <c:spPr>
            <a:ln w="25400">
              <a:solidFill>
                <a:schemeClr val="bg1">
                  <a:lumMod val="50000"/>
                </a:schemeClr>
              </a:solidFill>
            </a:ln>
          </c:spPr>
          <c:marker>
            <c:symbol val="none"/>
          </c:marker>
          <c:dLbls>
            <c:dLbl>
              <c:idx val="5"/>
              <c:layout>
                <c:manualLayout>
                  <c:x val="-8.1391046984831683E-2"/>
                  <c:y val="3.9151712887438822E-2"/>
                </c:manualLayout>
              </c:layout>
              <c:tx>
                <c:rich>
                  <a:bodyPr rot="2400000"/>
                  <a:lstStyle/>
                  <a:p>
                    <a:pPr>
                      <a:defRPr sz="1200" b="1">
                        <a:solidFill>
                          <a:schemeClr val="tx1">
                            <a:lumMod val="50000"/>
                            <a:lumOff val="50000"/>
                          </a:schemeClr>
                        </a:solidFill>
                      </a:defRPr>
                    </a:pPr>
                    <a:r>
                      <a:rPr lang="en-US" sz="1200" b="1">
                        <a:solidFill>
                          <a:schemeClr val="tx1">
                            <a:lumMod val="50000"/>
                            <a:lumOff val="50000"/>
                          </a:schemeClr>
                        </a:solidFill>
                      </a:rPr>
                      <a:t>Alpha Cristobalite</a:t>
                    </a:r>
                  </a:p>
                </c:rich>
              </c:tx>
              <c:spPr/>
              <c:showLegendKey val="0"/>
              <c:showVal val="1"/>
              <c:showCatName val="0"/>
              <c:showSerName val="0"/>
              <c:showPercent val="0"/>
              <c:showBubbleSize val="0"/>
            </c:dLbl>
            <c:txPr>
              <a:bodyPr rot="2400000"/>
              <a:lstStyle/>
              <a:p>
                <a:pPr>
                  <a:defRPr/>
                </a:pPr>
                <a:endParaRPr lang="en-US"/>
              </a:p>
            </c:txPr>
            <c:showLegendKey val="0"/>
            <c:showVal val="0"/>
            <c:showCatName val="0"/>
            <c:showSerName val="0"/>
            <c:showPercent val="0"/>
            <c:showBubbleSize val="0"/>
          </c:dLbls>
          <c:xVal>
            <c:numRef>
              <c:f>Ref!$H$31:$H$46</c:f>
              <c:numCache>
                <c:formatCode>0.00</c:formatCode>
                <c:ptCount val="16"/>
                <c:pt idx="0">
                  <c:v>-8.9456869009584522E-2</c:v>
                </c:pt>
                <c:pt idx="1">
                  <c:v>0.75675675675675613</c:v>
                </c:pt>
                <c:pt idx="2">
                  <c:v>1.5070821529745049</c:v>
                </c:pt>
                <c:pt idx="3">
                  <c:v>2.176943699731904</c:v>
                </c:pt>
                <c:pt idx="4">
                  <c:v>2.7786259541984735</c:v>
                </c:pt>
                <c:pt idx="5">
                  <c:v>3.3220338983050852</c:v>
                </c:pt>
                <c:pt idx="6">
                  <c:v>3.8152424942263288</c:v>
                </c:pt>
                <c:pt idx="7">
                  <c:v>4.2649006622516552</c:v>
                </c:pt>
                <c:pt idx="8">
                  <c:v>4.6765327695560268</c:v>
                </c:pt>
                <c:pt idx="9">
                  <c:v>5.0547667342799194</c:v>
                </c:pt>
                <c:pt idx="10">
                  <c:v>5.4035087719298263</c:v>
                </c:pt>
                <c:pt idx="11">
                  <c:v>5.7260787992495326</c:v>
                </c:pt>
                <c:pt idx="12">
                  <c:v>6.0253164556962027</c:v>
                </c:pt>
                <c:pt idx="13">
                  <c:v>6.3036649214659688</c:v>
                </c:pt>
                <c:pt idx="14">
                  <c:v>6.5632377740303554</c:v>
                </c:pt>
                <c:pt idx="15">
                  <c:v>6.805872756933117</c:v>
                </c:pt>
              </c:numCache>
            </c:numRef>
          </c:xVal>
          <c:yVal>
            <c:numRef>
              <c:f>Ref!$W$31:$W$46</c:f>
              <c:numCache>
                <c:formatCode>0</c:formatCode>
                <c:ptCount val="16"/>
                <c:pt idx="0">
                  <c:v>38.469081855070932</c:v>
                </c:pt>
                <c:pt idx="1">
                  <c:v>59.840745725595298</c:v>
                </c:pt>
                <c:pt idx="2">
                  <c:v>88.539855772776036</c:v>
                </c:pt>
                <c:pt idx="3">
                  <c:v>125.61307653436113</c:v>
                </c:pt>
                <c:pt idx="4">
                  <c:v>171.97714618089276</c:v>
                </c:pt>
                <c:pt idx="5">
                  <c:v>228.39810377096529</c:v>
                </c:pt>
                <c:pt idx="6">
                  <c:v>295.48210062967837</c:v>
                </c:pt>
                <c:pt idx="7">
                  <c:v>373.67537690077319</c:v>
                </c:pt>
                <c:pt idx="8">
                  <c:v>463.27097888019568</c:v>
                </c:pt>
                <c:pt idx="9">
                  <c:v>564.42005155418121</c:v>
                </c:pt>
                <c:pt idx="10">
                  <c:v>677.14591243710493</c:v>
                </c:pt>
                <c:pt idx="11">
                  <c:v>801.35950429484615</c:v>
                </c:pt>
                <c:pt idx="12">
                  <c:v>936.87518507601681</c:v>
                </c:pt>
                <c:pt idx="13">
                  <c:v>1083.4261206612468</c:v>
                </c:pt>
                <c:pt idx="14">
                  <c:v>1240.6787939195372</c:v>
                </c:pt>
                <c:pt idx="15">
                  <c:v>1408.2463351445542</c:v>
                </c:pt>
              </c:numCache>
            </c:numRef>
          </c:yVal>
          <c:smooth val="1"/>
        </c:ser>
        <c:ser>
          <c:idx val="11"/>
          <c:order val="13"/>
          <c:tx>
            <c:v>Amorphous</c:v>
          </c:tx>
          <c:spPr>
            <a:ln w="25400">
              <a:solidFill>
                <a:prstClr val="white">
                  <a:lumMod val="50000"/>
                </a:prstClr>
              </a:solidFill>
            </a:ln>
          </c:spPr>
          <c:marker>
            <c:symbol val="none"/>
          </c:marker>
          <c:dLbls>
            <c:dLbl>
              <c:idx val="3"/>
              <c:layout>
                <c:manualLayout>
                  <c:x val="-7.2512023677395496E-2"/>
                  <c:y val="5.8727569331158323E-2"/>
                </c:manualLayout>
              </c:layout>
              <c:tx>
                <c:rich>
                  <a:bodyPr rot="2700000"/>
                  <a:lstStyle/>
                  <a:p>
                    <a:pPr>
                      <a:defRPr sz="1200" b="1">
                        <a:solidFill>
                          <a:schemeClr val="tx1">
                            <a:lumMod val="50000"/>
                            <a:lumOff val="50000"/>
                          </a:schemeClr>
                        </a:solidFill>
                      </a:defRPr>
                    </a:pPr>
                    <a:r>
                      <a:rPr lang="en-US" sz="1200" b="1">
                        <a:solidFill>
                          <a:schemeClr val="tx1">
                            <a:lumMod val="50000"/>
                            <a:lumOff val="50000"/>
                          </a:schemeClr>
                        </a:solidFill>
                      </a:rPr>
                      <a:t>Amorphous</a:t>
                    </a:r>
                    <a:r>
                      <a:rPr lang="en-US" sz="1200" b="1" baseline="0">
                        <a:solidFill>
                          <a:schemeClr val="tx1">
                            <a:lumMod val="50000"/>
                            <a:lumOff val="50000"/>
                          </a:schemeClr>
                        </a:solidFill>
                      </a:rPr>
                      <a:t> Silica</a:t>
                    </a:r>
                    <a:endParaRPr lang="en-US" sz="1200" b="1">
                      <a:solidFill>
                        <a:schemeClr val="tx1">
                          <a:lumMod val="50000"/>
                          <a:lumOff val="50000"/>
                        </a:schemeClr>
                      </a:solidFill>
                    </a:endParaRPr>
                  </a:p>
                </c:rich>
              </c:tx>
              <c:spPr/>
              <c:showLegendKey val="0"/>
              <c:showVal val="1"/>
              <c:showCatName val="0"/>
              <c:showSerName val="0"/>
              <c:showPercent val="0"/>
              <c:showBubbleSize val="0"/>
            </c:dLbl>
            <c:showLegendKey val="0"/>
            <c:showVal val="0"/>
            <c:showCatName val="0"/>
            <c:showSerName val="0"/>
            <c:showPercent val="0"/>
            <c:showBubbleSize val="0"/>
          </c:dLbls>
          <c:xVal>
            <c:numRef>
              <c:f>Ref!$H$31:$H$46</c:f>
              <c:numCache>
                <c:formatCode>0.00</c:formatCode>
                <c:ptCount val="16"/>
                <c:pt idx="0">
                  <c:v>-8.9456869009584522E-2</c:v>
                </c:pt>
                <c:pt idx="1">
                  <c:v>0.75675675675675613</c:v>
                </c:pt>
                <c:pt idx="2">
                  <c:v>1.5070821529745049</c:v>
                </c:pt>
                <c:pt idx="3">
                  <c:v>2.176943699731904</c:v>
                </c:pt>
                <c:pt idx="4">
                  <c:v>2.7786259541984735</c:v>
                </c:pt>
                <c:pt idx="5">
                  <c:v>3.3220338983050852</c:v>
                </c:pt>
                <c:pt idx="6">
                  <c:v>3.8152424942263288</c:v>
                </c:pt>
                <c:pt idx="7">
                  <c:v>4.2649006622516552</c:v>
                </c:pt>
                <c:pt idx="8">
                  <c:v>4.6765327695560268</c:v>
                </c:pt>
                <c:pt idx="9">
                  <c:v>5.0547667342799194</c:v>
                </c:pt>
                <c:pt idx="10">
                  <c:v>5.4035087719298263</c:v>
                </c:pt>
                <c:pt idx="11">
                  <c:v>5.7260787992495326</c:v>
                </c:pt>
                <c:pt idx="12">
                  <c:v>6.0253164556962027</c:v>
                </c:pt>
                <c:pt idx="13">
                  <c:v>6.3036649214659688</c:v>
                </c:pt>
                <c:pt idx="14">
                  <c:v>6.5632377740303554</c:v>
                </c:pt>
                <c:pt idx="15">
                  <c:v>6.805872756933117</c:v>
                </c:pt>
              </c:numCache>
            </c:numRef>
          </c:xVal>
          <c:yVal>
            <c:numRef>
              <c:f>Ref!$T$31:$T$46</c:f>
              <c:numCache>
                <c:formatCode>0</c:formatCode>
                <c:ptCount val="16"/>
                <c:pt idx="0">
                  <c:v>152.94551325008536</c:v>
                </c:pt>
                <c:pt idx="1">
                  <c:v>211.25393381312085</c:v>
                </c:pt>
                <c:pt idx="2">
                  <c:v>281.3056598678524</c:v>
                </c:pt>
                <c:pt idx="3">
                  <c:v>363.2574058875523</c:v>
                </c:pt>
                <c:pt idx="4">
                  <c:v>457.03463120322141</c:v>
                </c:pt>
                <c:pt idx="5">
                  <c:v>562.37267809225182</c:v>
                </c:pt>
                <c:pt idx="6">
                  <c:v>678.85698503484628</c:v>
                </c:pt>
                <c:pt idx="7">
                  <c:v>805.95995841065974</c:v>
                </c:pt>
                <c:pt idx="8">
                  <c:v>943.07331113779207</c:v>
                </c:pt>
                <c:pt idx="9">
                  <c:v>1089.5354849827384</c:v>
                </c:pt>
                <c:pt idx="10">
                  <c:v>1244.6542687682715</c:v>
                </c:pt>
                <c:pt idx="11">
                  <c:v>1407.725000840388</c:v>
                </c:pt>
                <c:pt idx="12">
                  <c:v>1578.0448745868243</c:v>
                </c:pt>
                <c:pt idx="13">
                  <c:v>1754.9239044869184</c:v>
                </c:pt>
                <c:pt idx="14">
                  <c:v>1937.6930946340706</c:v>
                </c:pt>
                <c:pt idx="15">
                  <c:v>2125.7103069050459</c:v>
                </c:pt>
              </c:numCache>
            </c:numRef>
          </c:yVal>
          <c:smooth val="1"/>
        </c:ser>
        <c:ser>
          <c:idx val="12"/>
          <c:order val="14"/>
          <c:tx>
            <c:v>data</c:v>
          </c:tx>
          <c:spPr>
            <a:ln w="28575">
              <a:noFill/>
            </a:ln>
          </c:spPr>
          <c:marker>
            <c:symbol val="diamond"/>
            <c:size val="7"/>
            <c:spPr>
              <a:solidFill>
                <a:srgbClr val="800080"/>
              </a:solidFill>
              <a:ln>
                <a:solidFill>
                  <a:srgbClr val="800080"/>
                </a:solidFill>
                <a:prstDash val="solid"/>
              </a:ln>
            </c:spPr>
          </c:marker>
          <c:dLbls>
            <c:dLbl>
              <c:idx val="0"/>
              <c:tx>
                <c:strRef>
                  <c:f>Input!$AH$8</c:f>
                  <c:strCache>
                    <c:ptCount val="1"/>
                    <c:pt idx="0">
                      <c:v>0</c:v>
                    </c:pt>
                  </c:strCache>
                </c:strRef>
              </c:tx>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1"/>
              <c:tx>
                <c:strRef>
                  <c:f>Input!$AH$9</c:f>
                  <c:strCache>
                    <c:ptCount val="1"/>
                    <c:pt idx="0">
                      <c:v>0</c:v>
                    </c:pt>
                  </c:strCache>
                </c:strRef>
              </c:tx>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2"/>
              <c:tx>
                <c:strRef>
                  <c:f>Input!$AH$10</c:f>
                  <c:strCache>
                    <c:ptCount val="1"/>
                    <c:pt idx="0">
                      <c:v>0</c:v>
                    </c:pt>
                  </c:strCache>
                </c:strRef>
              </c:tx>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3"/>
              <c:tx>
                <c:strRef>
                  <c:f>Input!$AH$11</c:f>
                  <c:strCache>
                    <c:ptCount val="1"/>
                    <c:pt idx="0">
                      <c:v>0</c:v>
                    </c:pt>
                  </c:strCache>
                </c:strRef>
              </c:tx>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4"/>
              <c:tx>
                <c:strRef>
                  <c:f>Input!$AH$12</c:f>
                  <c:strCache>
                    <c:ptCount val="1"/>
                    <c:pt idx="0">
                      <c:v>0</c:v>
                    </c:pt>
                  </c:strCache>
                </c:strRef>
              </c:tx>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5"/>
              <c:tx>
                <c:strRef>
                  <c:f>Input!$AH$13</c:f>
                  <c:strCache>
                    <c:ptCount val="1"/>
                    <c:pt idx="0">
                      <c:v>0</c:v>
                    </c:pt>
                  </c:strCache>
                </c:strRef>
              </c:tx>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6"/>
              <c:tx>
                <c:strRef>
                  <c:f>Input!$AH$14</c:f>
                  <c:strCache>
                    <c:ptCount val="1"/>
                    <c:pt idx="0">
                      <c:v>0</c:v>
                    </c:pt>
                  </c:strCache>
                </c:strRef>
              </c:tx>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7"/>
              <c:tx>
                <c:strRef>
                  <c:f>Input!$AH$15</c:f>
                  <c:strCache>
                    <c:ptCount val="1"/>
                    <c:pt idx="0">
                      <c:v>0</c:v>
                    </c:pt>
                  </c:strCache>
                </c:strRef>
              </c:tx>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8"/>
              <c:tx>
                <c:strRef>
                  <c:f>Input!$AH$16</c:f>
                  <c:strCache>
                    <c:ptCount val="1"/>
                    <c:pt idx="0">
                      <c:v>0</c:v>
                    </c:pt>
                  </c:strCache>
                </c:strRef>
              </c:tx>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9"/>
              <c:tx>
                <c:strRef>
                  <c:f>Input!$AH$17</c:f>
                  <c:strCache>
                    <c:ptCount val="1"/>
                    <c:pt idx="0">
                      <c:v>0</c:v>
                    </c:pt>
                  </c:strCache>
                </c:strRef>
              </c:tx>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10"/>
              <c:tx>
                <c:strRef>
                  <c:f>Input!$AH$18</c:f>
                  <c:strCache>
                    <c:ptCount val="1"/>
                    <c:pt idx="0">
                      <c:v>0</c:v>
                    </c:pt>
                  </c:strCache>
                </c:strRef>
              </c:tx>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11"/>
              <c:tx>
                <c:strRef>
                  <c:f>Input!$AH$19</c:f>
                  <c:strCache>
                    <c:ptCount val="1"/>
                    <c:pt idx="0">
                      <c:v>0</c:v>
                    </c:pt>
                  </c:strCache>
                </c:strRef>
              </c:tx>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12"/>
              <c:tx>
                <c:strRef>
                  <c:f>Input!$AH$20</c:f>
                  <c:strCache>
                    <c:ptCount val="1"/>
                    <c:pt idx="0">
                      <c:v>0</c:v>
                    </c:pt>
                  </c:strCache>
                </c:strRef>
              </c:tx>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13"/>
              <c:tx>
                <c:strRef>
                  <c:f>Input!$AH$21</c:f>
                  <c:strCache>
                    <c:ptCount val="1"/>
                    <c:pt idx="0">
                      <c:v>0</c:v>
                    </c:pt>
                  </c:strCache>
                </c:strRef>
              </c:tx>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14"/>
              <c:tx>
                <c:strRef>
                  <c:f>Input!$AH$22</c:f>
                  <c:strCache>
                    <c:ptCount val="1"/>
                    <c:pt idx="0">
                      <c:v>0</c:v>
                    </c:pt>
                  </c:strCache>
                </c:strRef>
              </c:tx>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15"/>
              <c:tx>
                <c:strRef>
                  <c:f>Input!$AH$23</c:f>
                  <c:strCache>
                    <c:ptCount val="1"/>
                    <c:pt idx="0">
                      <c:v>0</c:v>
                    </c:pt>
                  </c:strCache>
                </c:strRef>
              </c:tx>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16"/>
              <c:tx>
                <c:strRef>
                  <c:f>Input!$AH$24</c:f>
                  <c:strCache>
                    <c:ptCount val="1"/>
                    <c:pt idx="0">
                      <c:v>0</c:v>
                    </c:pt>
                  </c:strCache>
                </c:strRef>
              </c:tx>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17"/>
              <c:tx>
                <c:strRef>
                  <c:f>Input!$AH$25</c:f>
                  <c:strCache>
                    <c:ptCount val="1"/>
                    <c:pt idx="0">
                      <c:v>0</c:v>
                    </c:pt>
                  </c:strCache>
                </c:strRef>
              </c:tx>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18"/>
              <c:tx>
                <c:strRef>
                  <c:f>Input!$AH$26</c:f>
                  <c:strCache>
                    <c:ptCount val="1"/>
                    <c:pt idx="0">
                      <c:v>0</c:v>
                    </c:pt>
                  </c:strCache>
                </c:strRef>
              </c:tx>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19"/>
              <c:tx>
                <c:strRef>
                  <c:f>Input!$AH$27</c:f>
                  <c:strCache>
                    <c:ptCount val="1"/>
                    <c:pt idx="0">
                      <c:v>0</c:v>
                    </c:pt>
                  </c:strCache>
                </c:strRef>
              </c:tx>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20"/>
              <c:tx>
                <c:strRef>
                  <c:f>Input!$AH$28</c:f>
                  <c:strCache>
                    <c:ptCount val="1"/>
                    <c:pt idx="0">
                      <c:v>0</c:v>
                    </c:pt>
                  </c:strCache>
                </c:strRef>
              </c:tx>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21"/>
              <c:tx>
                <c:strRef>
                  <c:f>Input!$AH$29</c:f>
                  <c:strCache>
                    <c:ptCount val="1"/>
                    <c:pt idx="0">
                      <c:v>0</c:v>
                    </c:pt>
                  </c:strCache>
                </c:strRef>
              </c:tx>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22"/>
              <c:tx>
                <c:strRef>
                  <c:f>Input!$AH$30</c:f>
                  <c:strCache>
                    <c:ptCount val="1"/>
                    <c:pt idx="0">
                      <c:v>0</c:v>
                    </c:pt>
                  </c:strCache>
                </c:strRef>
              </c:tx>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23"/>
              <c:tx>
                <c:strRef>
                  <c:f>Input!$AH$31</c:f>
                  <c:strCache>
                    <c:ptCount val="1"/>
                    <c:pt idx="0">
                      <c:v>0</c:v>
                    </c:pt>
                  </c:strCache>
                </c:strRef>
              </c:tx>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24"/>
              <c:tx>
                <c:strRef>
                  <c:f>Input!$AH$32</c:f>
                  <c:strCache>
                    <c:ptCount val="1"/>
                    <c:pt idx="0">
                      <c:v>0</c:v>
                    </c:pt>
                  </c:strCache>
                </c:strRef>
              </c:tx>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25"/>
              <c:tx>
                <c:strRef>
                  <c:f>Input!$AH$33</c:f>
                  <c:strCache>
                    <c:ptCount val="1"/>
                    <c:pt idx="0">
                      <c:v>0</c:v>
                    </c:pt>
                  </c:strCache>
                </c:strRef>
              </c:tx>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26"/>
              <c:tx>
                <c:strRef>
                  <c:f>Input!$AH$34</c:f>
                  <c:strCache>
                    <c:ptCount val="1"/>
                    <c:pt idx="0">
                      <c:v>0</c:v>
                    </c:pt>
                  </c:strCache>
                </c:strRef>
              </c:tx>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27"/>
              <c:tx>
                <c:strRef>
                  <c:f>Input!$AH$35</c:f>
                  <c:strCache>
                    <c:ptCount val="1"/>
                    <c:pt idx="0">
                      <c:v>0</c:v>
                    </c:pt>
                  </c:strCache>
                </c:strRef>
              </c:tx>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28"/>
              <c:tx>
                <c:strRef>
                  <c:f>Input!$AH$36</c:f>
                  <c:strCache>
                    <c:ptCount val="1"/>
                    <c:pt idx="0">
                      <c:v>0</c:v>
                    </c:pt>
                  </c:strCache>
                </c:strRef>
              </c:tx>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dLbl>
              <c:idx val="29"/>
              <c:tx>
                <c:strRef>
                  <c:f>Input!$AH$37</c:f>
                  <c:strCache>
                    <c:ptCount val="1"/>
                    <c:pt idx="0">
                      <c:v>0</c:v>
                    </c:pt>
                  </c:strCache>
                </c:strRef>
              </c:tx>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0"/>
              <c:showCatName val="0"/>
              <c:showSerName val="0"/>
              <c:showPercent val="0"/>
              <c:showBubbleSize val="0"/>
            </c:dLbl>
            <c:showLegendKey val="0"/>
            <c:showVal val="0"/>
            <c:showCatName val="0"/>
            <c:showSerName val="0"/>
            <c:showPercent val="0"/>
            <c:showBubbleSize val="0"/>
          </c:dLbls>
          <c:xVal>
            <c:numRef>
              <c:f>Input!$CY$8:$CY$37</c:f>
              <c:numCache>
                <c:formatCode>0.00</c:formatCode>
                <c:ptCount val="30"/>
                <c:pt idx="0">
                  <c:v>-99</c:v>
                </c:pt>
                <c:pt idx="1">
                  <c:v>-99</c:v>
                </c:pt>
                <c:pt idx="2">
                  <c:v>-99</c:v>
                </c:pt>
                <c:pt idx="3">
                  <c:v>-99</c:v>
                </c:pt>
                <c:pt idx="4">
                  <c:v>-99</c:v>
                </c:pt>
                <c:pt idx="5">
                  <c:v>-99</c:v>
                </c:pt>
                <c:pt idx="6">
                  <c:v>-99</c:v>
                </c:pt>
                <c:pt idx="7">
                  <c:v>-99</c:v>
                </c:pt>
                <c:pt idx="8">
                  <c:v>-99</c:v>
                </c:pt>
                <c:pt idx="9">
                  <c:v>-99</c:v>
                </c:pt>
                <c:pt idx="10">
                  <c:v>-99</c:v>
                </c:pt>
                <c:pt idx="11">
                  <c:v>-99</c:v>
                </c:pt>
                <c:pt idx="12">
                  <c:v>-99</c:v>
                </c:pt>
                <c:pt idx="13">
                  <c:v>-99</c:v>
                </c:pt>
                <c:pt idx="14">
                  <c:v>-99</c:v>
                </c:pt>
                <c:pt idx="15">
                  <c:v>-99</c:v>
                </c:pt>
                <c:pt idx="16">
                  <c:v>-99</c:v>
                </c:pt>
                <c:pt idx="17">
                  <c:v>-99</c:v>
                </c:pt>
                <c:pt idx="18">
                  <c:v>-99</c:v>
                </c:pt>
                <c:pt idx="19">
                  <c:v>-99</c:v>
                </c:pt>
                <c:pt idx="20">
                  <c:v>-99</c:v>
                </c:pt>
                <c:pt idx="21">
                  <c:v>-99</c:v>
                </c:pt>
                <c:pt idx="22">
                  <c:v>-99</c:v>
                </c:pt>
                <c:pt idx="23">
                  <c:v>-99</c:v>
                </c:pt>
                <c:pt idx="24">
                  <c:v>-99</c:v>
                </c:pt>
                <c:pt idx="25">
                  <c:v>-99</c:v>
                </c:pt>
                <c:pt idx="26">
                  <c:v>-99</c:v>
                </c:pt>
                <c:pt idx="27">
                  <c:v>-99</c:v>
                </c:pt>
                <c:pt idx="28">
                  <c:v>-99</c:v>
                </c:pt>
                <c:pt idx="29" formatCode="General">
                  <c:v>-99</c:v>
                </c:pt>
              </c:numCache>
            </c:numRef>
          </c:xVal>
          <c:yVal>
            <c:numRef>
              <c:f>Input!$AT$8:$AT$37</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22</c:v>
                </c:pt>
              </c:numCache>
            </c:numRef>
          </c:yVal>
          <c:smooth val="1"/>
        </c:ser>
        <c:ser>
          <c:idx val="15"/>
          <c:order val="15"/>
          <c:tx>
            <c:v>240C</c:v>
          </c:tx>
          <c:spPr>
            <a:ln w="25400">
              <a:solidFill>
                <a:srgbClr val="808080"/>
              </a:solidFill>
            </a:ln>
          </c:spPr>
          <c:marker>
            <c:symbol val="none"/>
          </c:marker>
          <c:xVal>
            <c:numRef>
              <c:f>(Ref!$H$41,Ref!$H$41)</c:f>
              <c:numCache>
                <c:formatCode>0.00</c:formatCode>
                <c:ptCount val="2"/>
                <c:pt idx="0">
                  <c:v>5.4035087719298263</c:v>
                </c:pt>
                <c:pt idx="1">
                  <c:v>5.4035087719298263</c:v>
                </c:pt>
              </c:numCache>
            </c:numRef>
          </c:xVal>
          <c:yVal>
            <c:numRef>
              <c:f>(Ref!$T$41,Ref!$V$41)</c:f>
              <c:numCache>
                <c:formatCode>0</c:formatCode>
                <c:ptCount val="2"/>
                <c:pt idx="0">
                  <c:v>1244.6542687682715</c:v>
                </c:pt>
                <c:pt idx="1">
                  <c:v>434.85361013824428</c:v>
                </c:pt>
              </c:numCache>
            </c:numRef>
          </c:yVal>
          <c:smooth val="1"/>
        </c:ser>
        <c:dLbls>
          <c:showLegendKey val="0"/>
          <c:showVal val="0"/>
          <c:showCatName val="0"/>
          <c:showSerName val="0"/>
          <c:showPercent val="0"/>
          <c:showBubbleSize val="0"/>
        </c:dLbls>
        <c:axId val="106016768"/>
        <c:axId val="106018688"/>
      </c:scatterChart>
      <c:valAx>
        <c:axId val="106016768"/>
        <c:scaling>
          <c:orientation val="minMax"/>
          <c:max val="6"/>
          <c:min val="0"/>
        </c:scaling>
        <c:delete val="0"/>
        <c:axPos val="t"/>
        <c:title>
          <c:tx>
            <c:rich>
              <a:bodyPr/>
              <a:lstStyle/>
              <a:p>
                <a:pPr>
                  <a:defRPr sz="1000" b="0" i="0" u="none" strike="noStrike" baseline="0">
                    <a:solidFill>
                      <a:srgbClr val="000000"/>
                    </a:solidFill>
                    <a:latin typeface="Arial"/>
                    <a:ea typeface="Arial"/>
                    <a:cs typeface="Arial"/>
                  </a:defRPr>
                </a:pPr>
                <a:r>
                  <a:rPr lang="en-NZ" sz="1400" b="1" i="0" u="none" strike="noStrike" baseline="0">
                    <a:solidFill>
                      <a:srgbClr val="000000"/>
                    </a:solidFill>
                    <a:latin typeface="Arial"/>
                    <a:cs typeface="Arial"/>
                  </a:rPr>
                  <a:t>log (K</a:t>
                </a:r>
                <a:r>
                  <a:rPr lang="en-NZ" sz="1400" b="1" i="0" u="none" strike="noStrike" baseline="30000">
                    <a:solidFill>
                      <a:srgbClr val="000000"/>
                    </a:solidFill>
                    <a:latin typeface="Arial"/>
                    <a:cs typeface="Arial"/>
                  </a:rPr>
                  <a:t>2</a:t>
                </a:r>
                <a:r>
                  <a:rPr lang="en-NZ" sz="1400" b="1" i="0" u="none" strike="noStrike" baseline="0">
                    <a:solidFill>
                      <a:srgbClr val="000000"/>
                    </a:solidFill>
                    <a:latin typeface="Arial"/>
                    <a:cs typeface="Arial"/>
                  </a:rPr>
                  <a:t>/Mg)</a:t>
                </a:r>
              </a:p>
            </c:rich>
          </c:tx>
          <c:layout>
            <c:manualLayout>
              <c:xMode val="edge"/>
              <c:yMode val="edge"/>
              <c:x val="0.46059933407325193"/>
              <c:y val="1.3050570962479609E-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06018688"/>
        <c:crosses val="autoZero"/>
        <c:crossBetween val="midCat"/>
        <c:majorUnit val="1"/>
      </c:valAx>
      <c:valAx>
        <c:axId val="106018688"/>
        <c:scaling>
          <c:orientation val="maxMin"/>
          <c:max val="600"/>
          <c:min val="0"/>
        </c:scaling>
        <c:delete val="0"/>
        <c:axPos val="l"/>
        <c:title>
          <c:tx>
            <c:rich>
              <a:bodyPr/>
              <a:lstStyle/>
              <a:p>
                <a:pPr>
                  <a:defRPr sz="1000" b="0" i="0" u="none" strike="noStrike" baseline="0">
                    <a:solidFill>
                      <a:srgbClr val="000000"/>
                    </a:solidFill>
                    <a:latin typeface="Arial"/>
                    <a:ea typeface="Arial"/>
                    <a:cs typeface="Arial"/>
                  </a:defRPr>
                </a:pPr>
                <a:r>
                  <a:rPr lang="en-NZ" sz="1400" b="1" i="0" u="none" strike="noStrike" baseline="0">
                    <a:solidFill>
                      <a:srgbClr val="000000"/>
                    </a:solidFill>
                    <a:latin typeface="Arial"/>
                    <a:cs typeface="Arial"/>
                  </a:rPr>
                  <a:t>SiO</a:t>
                </a:r>
                <a:r>
                  <a:rPr lang="en-NZ" sz="1400" b="1" i="0" u="none" strike="noStrike" baseline="-25000">
                    <a:solidFill>
                      <a:srgbClr val="000000"/>
                    </a:solidFill>
                    <a:latin typeface="Arial"/>
                    <a:cs typeface="Arial"/>
                  </a:rPr>
                  <a:t>2</a:t>
                </a:r>
                <a:r>
                  <a:rPr lang="en-NZ" sz="1400" b="1" i="0" u="none" strike="noStrike" baseline="0">
                    <a:solidFill>
                      <a:srgbClr val="000000"/>
                    </a:solidFill>
                    <a:latin typeface="Arial"/>
                    <a:cs typeface="Arial"/>
                  </a:rPr>
                  <a:t> mg/kg</a:t>
                </a:r>
              </a:p>
            </c:rich>
          </c:tx>
          <c:layout>
            <c:manualLayout>
              <c:xMode val="edge"/>
              <c:yMode val="edge"/>
              <c:x val="1.5538290788013319E-2"/>
              <c:y val="0.4665579119086462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06016768"/>
        <c:crosses val="autoZero"/>
        <c:crossBetween val="midCat"/>
      </c:valAx>
      <c:spPr>
        <a:noFill/>
        <a:ln w="3175">
          <a:solidFill>
            <a:srgbClr val="000000"/>
          </a:solidFill>
          <a:prstDash val="solid"/>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61820199778064E-2"/>
          <c:y val="3.1117397454031137E-2"/>
          <c:w val="0.92563817980022167"/>
          <c:h val="0.95332390381895338"/>
        </c:manualLayout>
      </c:layout>
      <c:scatterChart>
        <c:scatterStyle val="lineMarker"/>
        <c:varyColors val="0"/>
        <c:ser>
          <c:idx val="1"/>
          <c:order val="0"/>
          <c:tx>
            <c:v>A grid</c:v>
          </c:tx>
          <c:spPr>
            <a:ln w="28575">
              <a:noFill/>
            </a:ln>
          </c:spPr>
          <c:marker>
            <c:symbol val="none"/>
          </c:marker>
          <c:dLbls>
            <c:dLbl>
              <c:idx val="0"/>
              <c:layout/>
              <c:tx>
                <c:rich>
                  <a:bodyPr/>
                  <a:lstStyle/>
                  <a:p>
                    <a:r>
                      <a:rPr lang="en-NZ"/>
                      <a:t>10%</a:t>
                    </a:r>
                  </a:p>
                </c:rich>
              </c:tx>
              <c:dLblPos val="l"/>
              <c:showLegendKey val="0"/>
              <c:showVal val="0"/>
              <c:showCatName val="0"/>
              <c:showSerName val="0"/>
              <c:showPercent val="0"/>
              <c:showBubbleSize val="0"/>
            </c:dLbl>
            <c:dLbl>
              <c:idx val="1"/>
              <c:delete val="1"/>
            </c:dLbl>
            <c:dLbl>
              <c:idx val="2"/>
              <c:delete val="1"/>
            </c:dLbl>
            <c:dLbl>
              <c:idx val="3"/>
              <c:layout/>
              <c:tx>
                <c:rich>
                  <a:bodyPr/>
                  <a:lstStyle/>
                  <a:p>
                    <a:r>
                      <a:rPr lang="en-NZ"/>
                      <a:t>20%</a:t>
                    </a:r>
                  </a:p>
                </c:rich>
              </c:tx>
              <c:dLblPos val="l"/>
              <c:showLegendKey val="0"/>
              <c:showVal val="0"/>
              <c:showCatName val="0"/>
              <c:showSerName val="0"/>
              <c:showPercent val="0"/>
              <c:showBubbleSize val="0"/>
            </c:dLbl>
            <c:dLbl>
              <c:idx val="4"/>
              <c:layout/>
              <c:tx>
                <c:rich>
                  <a:bodyPr/>
                  <a:lstStyle/>
                  <a:p>
                    <a:r>
                      <a:rPr lang="en-NZ"/>
                      <a:t>30%</a:t>
                    </a:r>
                  </a:p>
                </c:rich>
              </c:tx>
              <c:dLblPos val="l"/>
              <c:showLegendKey val="0"/>
              <c:showVal val="0"/>
              <c:showCatName val="0"/>
              <c:showSerName val="0"/>
              <c:showPercent val="0"/>
              <c:showBubbleSize val="0"/>
            </c:dLbl>
            <c:dLbl>
              <c:idx val="5"/>
              <c:delete val="1"/>
            </c:dLbl>
            <c:dLbl>
              <c:idx val="6"/>
              <c:delete val="1"/>
            </c:dLbl>
            <c:dLbl>
              <c:idx val="7"/>
              <c:layout/>
              <c:tx>
                <c:rich>
                  <a:bodyPr/>
                  <a:lstStyle/>
                  <a:p>
                    <a:r>
                      <a:rPr lang="en-NZ"/>
                      <a:t>40%</a:t>
                    </a:r>
                  </a:p>
                </c:rich>
              </c:tx>
              <c:dLblPos val="l"/>
              <c:showLegendKey val="0"/>
              <c:showVal val="0"/>
              <c:showCatName val="0"/>
              <c:showSerName val="0"/>
              <c:showPercent val="0"/>
              <c:showBubbleSize val="0"/>
            </c:dLbl>
            <c:dLbl>
              <c:idx val="8"/>
              <c:layout/>
              <c:tx>
                <c:rich>
                  <a:bodyPr/>
                  <a:lstStyle/>
                  <a:p>
                    <a:r>
                      <a:rPr lang="en-NZ"/>
                      <a:t>50%</a:t>
                    </a:r>
                  </a:p>
                </c:rich>
              </c:tx>
              <c:dLblPos val="l"/>
              <c:showLegendKey val="0"/>
              <c:showVal val="0"/>
              <c:showCatName val="0"/>
              <c:showSerName val="0"/>
              <c:showPercent val="0"/>
              <c:showBubbleSize val="0"/>
            </c:dLbl>
            <c:dLbl>
              <c:idx val="9"/>
              <c:delete val="1"/>
            </c:dLbl>
            <c:dLbl>
              <c:idx val="10"/>
              <c:delete val="1"/>
            </c:dLbl>
            <c:dLbl>
              <c:idx val="11"/>
              <c:layout/>
              <c:tx>
                <c:rich>
                  <a:bodyPr/>
                  <a:lstStyle/>
                  <a:p>
                    <a:r>
                      <a:rPr lang="en-NZ"/>
                      <a:t>60%</a:t>
                    </a:r>
                  </a:p>
                </c:rich>
              </c:tx>
              <c:dLblPos val="l"/>
              <c:showLegendKey val="0"/>
              <c:showVal val="0"/>
              <c:showCatName val="0"/>
              <c:showSerName val="0"/>
              <c:showPercent val="0"/>
              <c:showBubbleSize val="0"/>
            </c:dLbl>
            <c:dLbl>
              <c:idx val="12"/>
              <c:layout/>
              <c:tx>
                <c:rich>
                  <a:bodyPr/>
                  <a:lstStyle/>
                  <a:p>
                    <a:r>
                      <a:rPr lang="en-NZ"/>
                      <a:t>70%</a:t>
                    </a:r>
                  </a:p>
                </c:rich>
              </c:tx>
              <c:dLblPos val="l"/>
              <c:showLegendKey val="0"/>
              <c:showVal val="0"/>
              <c:showCatName val="0"/>
              <c:showSerName val="0"/>
              <c:showPercent val="0"/>
              <c:showBubbleSize val="0"/>
            </c:dLbl>
            <c:dLbl>
              <c:idx val="13"/>
              <c:delete val="1"/>
            </c:dLbl>
            <c:dLbl>
              <c:idx val="14"/>
              <c:delete val="1"/>
            </c:dLbl>
            <c:dLbl>
              <c:idx val="15"/>
              <c:layout/>
              <c:tx>
                <c:rich>
                  <a:bodyPr/>
                  <a:lstStyle/>
                  <a:p>
                    <a:r>
                      <a:rPr lang="en-NZ"/>
                      <a:t>80%</a:t>
                    </a:r>
                  </a:p>
                </c:rich>
              </c:tx>
              <c:dLblPos val="l"/>
              <c:showLegendKey val="0"/>
              <c:showVal val="0"/>
              <c:showCatName val="0"/>
              <c:showSerName val="0"/>
              <c:showPercent val="0"/>
              <c:showBubbleSize val="0"/>
            </c:dLbl>
            <c:dLbl>
              <c:idx val="16"/>
              <c:layout/>
              <c:tx>
                <c:rich>
                  <a:bodyPr/>
                  <a:lstStyle/>
                  <a:p>
                    <a:r>
                      <a:rPr lang="en-NZ"/>
                      <a:t>90%</a:t>
                    </a:r>
                  </a:p>
                </c:rich>
              </c:tx>
              <c:dLblPos val="l"/>
              <c:showLegendKey val="0"/>
              <c:showVal val="0"/>
              <c:showCatName val="0"/>
              <c:showSerName val="0"/>
              <c:showPercent val="0"/>
              <c:showBubbleSize val="0"/>
            </c:dLbl>
            <c:dLbl>
              <c:idx val="17"/>
              <c:delete val="1"/>
            </c:dLbl>
            <c:spPr>
              <a:noFill/>
              <a:ln w="25400">
                <a:noFill/>
              </a:ln>
            </c:spPr>
            <c:txPr>
              <a:bodyPr/>
              <a:lstStyle/>
              <a:p>
                <a:pPr>
                  <a:defRPr sz="1200" b="0" i="0" u="none" strike="noStrike" baseline="0">
                    <a:solidFill>
                      <a:srgbClr val="FFFFFF"/>
                    </a:solidFill>
                    <a:latin typeface="Arial"/>
                    <a:ea typeface="Arial"/>
                    <a:cs typeface="Arial"/>
                  </a:defRPr>
                </a:pPr>
                <a:endParaRPr lang="en-US"/>
              </a:p>
            </c:txPr>
            <c:dLblPos val="l"/>
            <c:showLegendKey val="0"/>
            <c:showVal val="1"/>
            <c:showCatName val="0"/>
            <c:showSerName val="0"/>
            <c:showPercent val="0"/>
            <c:showBubbleSize val="0"/>
            <c:showLeaderLines val="0"/>
          </c:dLbls>
          <c:xVal>
            <c:numRef>
              <c:f>Tgrid!$F$5:$F$22</c:f>
              <c:numCache>
                <c:formatCode>General</c:formatCode>
                <c:ptCount val="18"/>
                <c:pt idx="0">
                  <c:v>5.7740000000000007E-2</c:v>
                </c:pt>
                <c:pt idx="1">
                  <c:v>1.09697</c:v>
                </c:pt>
                <c:pt idx="2">
                  <c:v>1.0392400000000002</c:v>
                </c:pt>
                <c:pt idx="3">
                  <c:v>0.11548000000000001</c:v>
                </c:pt>
                <c:pt idx="4">
                  <c:v>0.17322000000000001</c:v>
                </c:pt>
                <c:pt idx="5">
                  <c:v>0.98150999999999999</c:v>
                </c:pt>
                <c:pt idx="6">
                  <c:v>0.92378000000000005</c:v>
                </c:pt>
                <c:pt idx="7">
                  <c:v>0.23096000000000003</c:v>
                </c:pt>
                <c:pt idx="8">
                  <c:v>0.28870000000000001</c:v>
                </c:pt>
                <c:pt idx="9">
                  <c:v>0.86604999999999999</c:v>
                </c:pt>
                <c:pt idx="10">
                  <c:v>0.80832000000000015</c:v>
                </c:pt>
                <c:pt idx="11">
                  <c:v>0.34644000000000003</c:v>
                </c:pt>
                <c:pt idx="12">
                  <c:v>0.40417999999999998</c:v>
                </c:pt>
                <c:pt idx="13">
                  <c:v>0.75058999999999998</c:v>
                </c:pt>
                <c:pt idx="14">
                  <c:v>0.69286000000000003</c:v>
                </c:pt>
                <c:pt idx="15">
                  <c:v>0.46192000000000005</c:v>
                </c:pt>
                <c:pt idx="16">
                  <c:v>0.51966000000000001</c:v>
                </c:pt>
                <c:pt idx="17">
                  <c:v>0.63512999999999997</c:v>
                </c:pt>
              </c:numCache>
            </c:numRef>
          </c:xVal>
          <c:yVal>
            <c:numRef>
              <c:f>Tgrid!$G$5:$G$22</c:f>
              <c:numCache>
                <c:formatCode>_(* #,##0.00_);_(* \(#,##0.00\);_(* "-"??_);_(@_)</c:formatCode>
                <c:ptCount val="18"/>
                <c:pt idx="0">
                  <c:v>0.1</c:v>
                </c:pt>
                <c:pt idx="1">
                  <c:v>0.1</c:v>
                </c:pt>
                <c:pt idx="2">
                  <c:v>0.2</c:v>
                </c:pt>
                <c:pt idx="3">
                  <c:v>0.2</c:v>
                </c:pt>
                <c:pt idx="4">
                  <c:v>0.3</c:v>
                </c:pt>
                <c:pt idx="5">
                  <c:v>0.3</c:v>
                </c:pt>
                <c:pt idx="6">
                  <c:v>0.4</c:v>
                </c:pt>
                <c:pt idx="7">
                  <c:v>0.4</c:v>
                </c:pt>
                <c:pt idx="8">
                  <c:v>0.5</c:v>
                </c:pt>
                <c:pt idx="9">
                  <c:v>0.5</c:v>
                </c:pt>
                <c:pt idx="10">
                  <c:v>0.6</c:v>
                </c:pt>
                <c:pt idx="11">
                  <c:v>0.6</c:v>
                </c:pt>
                <c:pt idx="12">
                  <c:v>0.7</c:v>
                </c:pt>
                <c:pt idx="13">
                  <c:v>0.7</c:v>
                </c:pt>
                <c:pt idx="14">
                  <c:v>0.8</c:v>
                </c:pt>
                <c:pt idx="15">
                  <c:v>0.8</c:v>
                </c:pt>
                <c:pt idx="16">
                  <c:v>0.9</c:v>
                </c:pt>
                <c:pt idx="17">
                  <c:v>0.9</c:v>
                </c:pt>
              </c:numCache>
            </c:numRef>
          </c:yVal>
          <c:smooth val="0"/>
        </c:ser>
        <c:ser>
          <c:idx val="2"/>
          <c:order val="1"/>
          <c:tx>
            <c:v>B grid</c:v>
          </c:tx>
          <c:spPr>
            <a:ln w="28575">
              <a:noFill/>
            </a:ln>
          </c:spPr>
          <c:marker>
            <c:symbol val="none"/>
          </c:marker>
          <c:dLbls>
            <c:dLbl>
              <c:idx val="0"/>
              <c:layout>
                <c:manualLayout>
                  <c:x val="-2.083470975672996E-2"/>
                  <c:y val="3.5671036169983725E-2"/>
                </c:manualLayout>
              </c:layout>
              <c:tx>
                <c:rich>
                  <a:bodyPr/>
                  <a:lstStyle/>
                  <a:p>
                    <a:r>
                      <a:rPr lang="en-NZ"/>
                      <a:t>90%</a:t>
                    </a:r>
                  </a:p>
                </c:rich>
              </c:tx>
              <c:dLblPos val="r"/>
              <c:showLegendKey val="0"/>
              <c:showVal val="0"/>
              <c:showCatName val="0"/>
              <c:showSerName val="0"/>
              <c:showPercent val="0"/>
              <c:showBubbleSize val="0"/>
            </c:dLbl>
            <c:dLbl>
              <c:idx val="1"/>
              <c:delete val="1"/>
            </c:dLbl>
            <c:dLbl>
              <c:idx val="2"/>
              <c:delete val="1"/>
            </c:dLbl>
            <c:dLbl>
              <c:idx val="3"/>
              <c:layout>
                <c:manualLayout>
                  <c:x val="-2.3263973246407471E-2"/>
                  <c:y val="3.2842181855980888E-2"/>
                </c:manualLayout>
              </c:layout>
              <c:tx>
                <c:rich>
                  <a:bodyPr/>
                  <a:lstStyle/>
                  <a:p>
                    <a:r>
                      <a:rPr lang="en-NZ"/>
                      <a:t>80%</a:t>
                    </a:r>
                  </a:p>
                </c:rich>
              </c:tx>
              <c:dLblPos val="r"/>
              <c:showLegendKey val="0"/>
              <c:showVal val="0"/>
              <c:showCatName val="0"/>
              <c:showSerName val="0"/>
              <c:showPercent val="0"/>
              <c:showBubbleSize val="0"/>
            </c:dLbl>
            <c:dLbl>
              <c:idx val="4"/>
              <c:layout>
                <c:manualLayout>
                  <c:x val="-1.9033852732892327E-2"/>
                  <c:y val="3.5671036169983725E-2"/>
                </c:manualLayout>
              </c:layout>
              <c:tx>
                <c:rich>
                  <a:bodyPr/>
                  <a:lstStyle/>
                  <a:p>
                    <a:r>
                      <a:rPr lang="en-NZ"/>
                      <a:t>70%</a:t>
                    </a:r>
                  </a:p>
                </c:rich>
              </c:tx>
              <c:dLblPos val="r"/>
              <c:showLegendKey val="0"/>
              <c:showVal val="0"/>
              <c:showCatName val="0"/>
              <c:showSerName val="0"/>
              <c:showPercent val="0"/>
              <c:showBubbleSize val="0"/>
            </c:dLbl>
            <c:dLbl>
              <c:idx val="5"/>
              <c:delete val="1"/>
            </c:dLbl>
            <c:dLbl>
              <c:idx val="6"/>
              <c:delete val="1"/>
            </c:dLbl>
            <c:dLbl>
              <c:idx val="7"/>
              <c:layout>
                <c:manualLayout>
                  <c:x val="-2.0353238309140372E-2"/>
                  <c:y val="3.5671036169983725E-2"/>
                </c:manualLayout>
              </c:layout>
              <c:tx>
                <c:rich>
                  <a:bodyPr/>
                  <a:lstStyle/>
                  <a:p>
                    <a:r>
                      <a:rPr lang="en-NZ"/>
                      <a:t>60%</a:t>
                    </a:r>
                  </a:p>
                </c:rich>
              </c:tx>
              <c:dLblPos val="r"/>
              <c:showLegendKey val="0"/>
              <c:showVal val="0"/>
              <c:showCatName val="0"/>
              <c:showSerName val="0"/>
              <c:showPercent val="0"/>
              <c:showBubbleSize val="0"/>
            </c:dLbl>
            <c:dLbl>
              <c:idx val="8"/>
              <c:layout>
                <c:manualLayout>
                  <c:x val="-2.0562745971958771E-2"/>
                  <c:y val="3.5671036169983725E-2"/>
                </c:manualLayout>
              </c:layout>
              <c:tx>
                <c:rich>
                  <a:bodyPr/>
                  <a:lstStyle/>
                  <a:p>
                    <a:r>
                      <a:rPr lang="en-NZ"/>
                      <a:t>50%</a:t>
                    </a:r>
                  </a:p>
                </c:rich>
              </c:tx>
              <c:dLblPos val="r"/>
              <c:showLegendKey val="0"/>
              <c:showVal val="0"/>
              <c:showCatName val="0"/>
              <c:showSerName val="0"/>
              <c:showPercent val="0"/>
              <c:showBubbleSize val="0"/>
            </c:dLbl>
            <c:dLbl>
              <c:idx val="9"/>
              <c:delete val="1"/>
            </c:dLbl>
            <c:dLbl>
              <c:idx val="10"/>
              <c:delete val="1"/>
            </c:dLbl>
            <c:dLbl>
              <c:idx val="11"/>
              <c:layout>
                <c:manualLayout>
                  <c:x val="-1.9662375721347772E-2"/>
                  <c:y val="3.5671036169983725E-2"/>
                </c:manualLayout>
              </c:layout>
              <c:tx>
                <c:rich>
                  <a:bodyPr/>
                  <a:lstStyle/>
                  <a:p>
                    <a:r>
                      <a:rPr lang="en-NZ"/>
                      <a:t>40%</a:t>
                    </a:r>
                  </a:p>
                </c:rich>
              </c:tx>
              <c:dLblPos val="r"/>
              <c:showLegendKey val="0"/>
              <c:showVal val="0"/>
              <c:showCatName val="0"/>
              <c:showSerName val="0"/>
              <c:showPercent val="0"/>
              <c:showBubbleSize val="0"/>
            </c:dLbl>
            <c:dLbl>
              <c:idx val="12"/>
              <c:layout>
                <c:manualLayout>
                  <c:x val="-1.8761888948121159E-2"/>
                  <c:y val="3.5671036169983725E-2"/>
                </c:manualLayout>
              </c:layout>
              <c:tx>
                <c:rich>
                  <a:bodyPr/>
                  <a:lstStyle/>
                  <a:p>
                    <a:r>
                      <a:rPr lang="en-NZ"/>
                      <a:t>30%</a:t>
                    </a:r>
                  </a:p>
                </c:rich>
              </c:tx>
              <c:dLblPos val="r"/>
              <c:showLegendKey val="0"/>
              <c:showVal val="0"/>
              <c:showCatName val="0"/>
              <c:showSerName val="0"/>
              <c:showPercent val="0"/>
              <c:showBubbleSize val="0"/>
            </c:dLbl>
            <c:dLbl>
              <c:idx val="13"/>
              <c:delete val="1"/>
            </c:dLbl>
            <c:dLbl>
              <c:idx val="14"/>
              <c:delete val="1"/>
            </c:dLbl>
            <c:dLbl>
              <c:idx val="15"/>
              <c:layout>
                <c:manualLayout>
                  <c:x val="-1.5641762870651166E-2"/>
                  <c:y val="3.2842181855980888E-2"/>
                </c:manualLayout>
              </c:layout>
              <c:tx>
                <c:rich>
                  <a:bodyPr/>
                  <a:lstStyle/>
                  <a:p>
                    <a:r>
                      <a:rPr lang="en-NZ"/>
                      <a:t>20%</a:t>
                    </a:r>
                  </a:p>
                </c:rich>
              </c:tx>
              <c:dLblPos val="r"/>
              <c:showLegendKey val="0"/>
              <c:showVal val="0"/>
              <c:showCatName val="0"/>
              <c:showSerName val="0"/>
              <c:showPercent val="0"/>
              <c:showBubbleSize val="0"/>
            </c:dLbl>
            <c:dLbl>
              <c:idx val="16"/>
              <c:layout>
                <c:manualLayout>
                  <c:x val="-2.0290782187187714E-2"/>
                  <c:y val="3.2842181855980888E-2"/>
                </c:manualLayout>
              </c:layout>
              <c:tx>
                <c:rich>
                  <a:bodyPr/>
                  <a:lstStyle/>
                  <a:p>
                    <a:r>
                      <a:rPr lang="en-NZ"/>
                      <a:t>10%</a:t>
                    </a:r>
                  </a:p>
                </c:rich>
              </c:tx>
              <c:dLblPos val="r"/>
              <c:showLegendKey val="0"/>
              <c:showVal val="0"/>
              <c:showCatName val="0"/>
              <c:showSerName val="0"/>
              <c:showPercent val="0"/>
              <c:showBubbleSize val="0"/>
            </c:dLbl>
            <c:dLbl>
              <c:idx val="17"/>
              <c:delete val="1"/>
            </c:dLbl>
            <c:spPr>
              <a:noFill/>
              <a:ln w="25400">
                <a:noFill/>
              </a:ln>
            </c:spPr>
            <c:txPr>
              <a:bodyPr rot="3600000" vert="horz"/>
              <a:lstStyle/>
              <a:p>
                <a:pPr algn="l">
                  <a:defRPr sz="1200" b="0" i="0" u="none" strike="noStrike" baseline="0">
                    <a:solidFill>
                      <a:srgbClr val="FFFFFF"/>
                    </a:solidFill>
                    <a:latin typeface="Arial"/>
                    <a:ea typeface="Arial"/>
                    <a:cs typeface="Arial"/>
                  </a:defRPr>
                </a:pPr>
                <a:endParaRPr lang="en-US"/>
              </a:p>
            </c:txPr>
            <c:dLblPos val="b"/>
            <c:showLegendKey val="0"/>
            <c:showVal val="1"/>
            <c:showCatName val="0"/>
            <c:showSerName val="0"/>
            <c:showPercent val="0"/>
            <c:showBubbleSize val="0"/>
            <c:showLeaderLines val="0"/>
          </c:dLbls>
          <c:xVal>
            <c:numRef>
              <c:f>Tgrid!$K$5:$K$22</c:f>
              <c:numCache>
                <c:formatCode>General</c:formatCode>
                <c:ptCount val="18"/>
                <c:pt idx="0">
                  <c:v>0.11547000000000002</c:v>
                </c:pt>
                <c:pt idx="1">
                  <c:v>5.7740000000000007E-2</c:v>
                </c:pt>
                <c:pt idx="2">
                  <c:v>0.11548000000000001</c:v>
                </c:pt>
                <c:pt idx="3">
                  <c:v>0.23094000000000003</c:v>
                </c:pt>
                <c:pt idx="4">
                  <c:v>0.34641</c:v>
                </c:pt>
                <c:pt idx="5">
                  <c:v>0.17322000000000001</c:v>
                </c:pt>
                <c:pt idx="6">
                  <c:v>0.23096000000000003</c:v>
                </c:pt>
                <c:pt idx="7">
                  <c:v>0.46188000000000007</c:v>
                </c:pt>
                <c:pt idx="8">
                  <c:v>0.57735000000000003</c:v>
                </c:pt>
                <c:pt idx="9">
                  <c:v>0.28870000000000001</c:v>
                </c:pt>
                <c:pt idx="10">
                  <c:v>0.34644000000000003</c:v>
                </c:pt>
                <c:pt idx="11">
                  <c:v>0.69281999999999999</c:v>
                </c:pt>
                <c:pt idx="12">
                  <c:v>0.80828999999999995</c:v>
                </c:pt>
                <c:pt idx="13">
                  <c:v>0.40417999999999998</c:v>
                </c:pt>
                <c:pt idx="14">
                  <c:v>0.46192000000000005</c:v>
                </c:pt>
                <c:pt idx="15">
                  <c:v>0.92376000000000014</c:v>
                </c:pt>
                <c:pt idx="16">
                  <c:v>1.0392300000000001</c:v>
                </c:pt>
                <c:pt idx="17">
                  <c:v>0.51966000000000001</c:v>
                </c:pt>
              </c:numCache>
            </c:numRef>
          </c:xVal>
          <c:yVal>
            <c:numRef>
              <c:f>Tgrid!$L$5:$L$22</c:f>
              <c:numCache>
                <c:formatCode>0.00</c:formatCode>
                <c:ptCount val="18"/>
                <c:pt idx="0">
                  <c:v>0</c:v>
                </c:pt>
                <c:pt idx="1">
                  <c:v>0.1</c:v>
                </c:pt>
                <c:pt idx="2">
                  <c:v>0.2</c:v>
                </c:pt>
                <c:pt idx="3">
                  <c:v>0</c:v>
                </c:pt>
                <c:pt idx="4">
                  <c:v>0</c:v>
                </c:pt>
                <c:pt idx="5">
                  <c:v>0.3</c:v>
                </c:pt>
                <c:pt idx="6">
                  <c:v>0.4</c:v>
                </c:pt>
                <c:pt idx="7">
                  <c:v>0</c:v>
                </c:pt>
                <c:pt idx="8">
                  <c:v>0</c:v>
                </c:pt>
                <c:pt idx="9">
                  <c:v>0.5</c:v>
                </c:pt>
                <c:pt idx="10">
                  <c:v>0.6</c:v>
                </c:pt>
                <c:pt idx="11">
                  <c:v>0</c:v>
                </c:pt>
                <c:pt idx="12">
                  <c:v>0</c:v>
                </c:pt>
                <c:pt idx="13">
                  <c:v>0.7</c:v>
                </c:pt>
                <c:pt idx="14">
                  <c:v>0.8</c:v>
                </c:pt>
                <c:pt idx="15">
                  <c:v>0</c:v>
                </c:pt>
                <c:pt idx="16">
                  <c:v>0</c:v>
                </c:pt>
                <c:pt idx="17">
                  <c:v>0.9</c:v>
                </c:pt>
              </c:numCache>
            </c:numRef>
          </c:yVal>
          <c:smooth val="0"/>
        </c:ser>
        <c:ser>
          <c:idx val="3"/>
          <c:order val="2"/>
          <c:tx>
            <c:v>C grid</c:v>
          </c:tx>
          <c:spPr>
            <a:ln w="28575">
              <a:noFill/>
            </a:ln>
          </c:spPr>
          <c:marker>
            <c:symbol val="none"/>
          </c:marker>
          <c:dLbls>
            <c:dLbl>
              <c:idx val="0"/>
              <c:delete val="1"/>
            </c:dLbl>
            <c:dLbl>
              <c:idx val="1"/>
              <c:layout>
                <c:manualLayout>
                  <c:x val="-9.5947052123478878E-3"/>
                  <c:y val="-3.0402833309202699E-2"/>
                </c:manualLayout>
              </c:layout>
              <c:tx>
                <c:rich>
                  <a:bodyPr/>
                  <a:lstStyle/>
                  <a:p>
                    <a:r>
                      <a:rPr lang="en-NZ"/>
                      <a:t>10%</a:t>
                    </a:r>
                  </a:p>
                </c:rich>
              </c:tx>
              <c:dLblPos val="r"/>
              <c:showLegendKey val="0"/>
              <c:showVal val="0"/>
              <c:showCatName val="0"/>
              <c:showSerName val="0"/>
              <c:showPercent val="0"/>
              <c:showBubbleSize val="0"/>
            </c:dLbl>
            <c:dLbl>
              <c:idx val="2"/>
              <c:layout>
                <c:manualLayout>
                  <c:x val="-1.1916301805226581E-2"/>
                  <c:y val="-2.9190509602141323E-2"/>
                </c:manualLayout>
              </c:layout>
              <c:tx>
                <c:rich>
                  <a:bodyPr/>
                  <a:lstStyle/>
                  <a:p>
                    <a:r>
                      <a:rPr lang="en-NZ"/>
                      <a:t>20%</a:t>
                    </a:r>
                  </a:p>
                </c:rich>
              </c:tx>
              <c:dLblPos val="r"/>
              <c:showLegendKey val="0"/>
              <c:showVal val="0"/>
              <c:showCatName val="0"/>
              <c:showSerName val="0"/>
              <c:showPercent val="0"/>
              <c:showBubbleSize val="0"/>
            </c:dLbl>
            <c:dLbl>
              <c:idx val="3"/>
              <c:delete val="1"/>
            </c:dLbl>
            <c:dLbl>
              <c:idx val="4"/>
              <c:delete val="1"/>
            </c:dLbl>
            <c:dLbl>
              <c:idx val="5"/>
              <c:layout>
                <c:manualLayout>
                  <c:x val="-1.2018142571246294E-2"/>
                  <c:y val="-3.5050321680086996E-2"/>
                </c:manualLayout>
              </c:layout>
              <c:tx>
                <c:rich>
                  <a:bodyPr/>
                  <a:lstStyle/>
                  <a:p>
                    <a:r>
                      <a:rPr lang="en-NZ"/>
                      <a:t>30%</a:t>
                    </a:r>
                  </a:p>
                </c:rich>
              </c:tx>
              <c:dLblPos val="r"/>
              <c:showLegendKey val="0"/>
              <c:showVal val="0"/>
              <c:showCatName val="0"/>
              <c:showSerName val="0"/>
              <c:showPercent val="0"/>
              <c:showBubbleSize val="0"/>
            </c:dLbl>
            <c:dLbl>
              <c:idx val="6"/>
              <c:layout>
                <c:manualLayout>
                  <c:x val="-1.2119983337265935E-2"/>
                  <c:y val="-3.8081130947740439E-2"/>
                </c:manualLayout>
              </c:layout>
              <c:tx>
                <c:rich>
                  <a:bodyPr/>
                  <a:lstStyle/>
                  <a:p>
                    <a:r>
                      <a:rPr lang="en-NZ"/>
                      <a:t>40%</a:t>
                    </a:r>
                  </a:p>
                </c:rich>
              </c:tx>
              <c:dLblPos val="r"/>
              <c:showLegendKey val="0"/>
              <c:showVal val="0"/>
              <c:showCatName val="0"/>
              <c:showSerName val="0"/>
              <c:showPercent val="0"/>
              <c:showBubbleSize val="0"/>
            </c:dLbl>
            <c:dLbl>
              <c:idx val="7"/>
              <c:delete val="1"/>
            </c:dLbl>
            <c:dLbl>
              <c:idx val="8"/>
              <c:delete val="1"/>
            </c:dLbl>
            <c:dLbl>
              <c:idx val="9"/>
              <c:layout>
                <c:manualLayout>
                  <c:x val="-1.5551457843574165E-2"/>
                  <c:y val="-4.3940943025686095E-2"/>
                </c:manualLayout>
              </c:layout>
              <c:tx>
                <c:rich>
                  <a:bodyPr/>
                  <a:lstStyle/>
                  <a:p>
                    <a:r>
                      <a:rPr lang="en-NZ"/>
                      <a:t>50%</a:t>
                    </a:r>
                  </a:p>
                </c:rich>
              </c:tx>
              <c:dLblPos val="r"/>
              <c:showLegendKey val="0"/>
              <c:showVal val="0"/>
              <c:showCatName val="0"/>
              <c:showSerName val="0"/>
              <c:showPercent val="0"/>
              <c:showBubbleSize val="0"/>
            </c:dLbl>
            <c:dLbl>
              <c:idx val="10"/>
              <c:layout>
                <c:manualLayout>
                  <c:x val="-1.1213786955875757E-2"/>
                  <c:y val="-4.4143046475626273E-2"/>
                </c:manualLayout>
              </c:layout>
              <c:tx>
                <c:rich>
                  <a:bodyPr/>
                  <a:lstStyle/>
                  <a:p>
                    <a:r>
                      <a:rPr lang="en-NZ"/>
                      <a:t>60%</a:t>
                    </a:r>
                  </a:p>
                </c:rich>
              </c:tx>
              <c:dLblPos val="r"/>
              <c:showLegendKey val="0"/>
              <c:showVal val="0"/>
              <c:showCatName val="0"/>
              <c:showSerName val="0"/>
              <c:showPercent val="0"/>
              <c:showBubbleSize val="0"/>
            </c:dLbl>
            <c:dLbl>
              <c:idx val="11"/>
              <c:delete val="1"/>
            </c:dLbl>
            <c:dLbl>
              <c:idx val="12"/>
              <c:delete val="1"/>
            </c:dLbl>
            <c:dLbl>
              <c:idx val="13"/>
              <c:layout>
                <c:manualLayout>
                  <c:x val="-9.0958718950364201E-3"/>
                  <c:y val="-4.1516147115273905E-2"/>
                </c:manualLayout>
              </c:layout>
              <c:tx>
                <c:rich>
                  <a:bodyPr/>
                  <a:lstStyle/>
                  <a:p>
                    <a:r>
                      <a:rPr lang="en-NZ"/>
                      <a:t>70%</a:t>
                    </a:r>
                  </a:p>
                </c:rich>
              </c:tx>
              <c:dLblPos val="r"/>
              <c:showLegendKey val="0"/>
              <c:showVal val="0"/>
              <c:showCatName val="0"/>
              <c:showSerName val="0"/>
              <c:showPercent val="0"/>
              <c:showBubbleSize val="0"/>
            </c:dLbl>
            <c:dLbl>
              <c:idx val="14"/>
              <c:layout>
                <c:manualLayout>
                  <c:x val="-1.2527346401344638E-2"/>
                  <c:y val="-4.1718250565213937E-2"/>
                </c:manualLayout>
              </c:layout>
              <c:tx>
                <c:rich>
                  <a:bodyPr/>
                  <a:lstStyle/>
                  <a:p>
                    <a:r>
                      <a:rPr lang="en-NZ"/>
                      <a:t>80%</a:t>
                    </a:r>
                  </a:p>
                </c:rich>
              </c:tx>
              <c:dLblPos val="r"/>
              <c:showLegendKey val="0"/>
              <c:showVal val="0"/>
              <c:showCatName val="0"/>
              <c:showSerName val="0"/>
              <c:showPercent val="0"/>
              <c:showBubbleSize val="0"/>
            </c:dLbl>
            <c:dLbl>
              <c:idx val="15"/>
              <c:delete val="1"/>
            </c:dLbl>
            <c:dLbl>
              <c:idx val="16"/>
              <c:delete val="1"/>
            </c:dLbl>
            <c:dLbl>
              <c:idx val="17"/>
              <c:layout>
                <c:manualLayout>
                  <c:x val="-1.262918716736428E-2"/>
                  <c:y val="-4.6163635486158275E-2"/>
                </c:manualLayout>
              </c:layout>
              <c:tx>
                <c:rich>
                  <a:bodyPr/>
                  <a:lstStyle/>
                  <a:p>
                    <a:r>
                      <a:rPr lang="en-NZ"/>
                      <a:t>90%</a:t>
                    </a:r>
                  </a:p>
                </c:rich>
              </c:tx>
              <c:dLblPos val="r"/>
              <c:showLegendKey val="0"/>
              <c:showVal val="0"/>
              <c:showCatName val="0"/>
              <c:showSerName val="0"/>
              <c:showPercent val="0"/>
              <c:showBubbleSize val="0"/>
            </c:dLbl>
            <c:spPr>
              <a:noFill/>
              <a:ln w="25400">
                <a:noFill/>
              </a:ln>
            </c:spPr>
            <c:txPr>
              <a:bodyPr rot="-3600000" vert="horz"/>
              <a:lstStyle/>
              <a:p>
                <a:pPr algn="l">
                  <a:defRPr sz="1200" b="0" i="0" u="none" strike="noStrike" baseline="0">
                    <a:solidFill>
                      <a:srgbClr val="FFFFFF"/>
                    </a:solidFill>
                    <a:latin typeface="Arial"/>
                    <a:ea typeface="Arial"/>
                    <a:cs typeface="Arial"/>
                  </a:defRPr>
                </a:pPr>
                <a:endParaRPr lang="en-US"/>
              </a:p>
            </c:txPr>
            <c:dLblPos val="r"/>
            <c:showLegendKey val="0"/>
            <c:showVal val="1"/>
            <c:showCatName val="0"/>
            <c:showSerName val="0"/>
            <c:showPercent val="0"/>
            <c:showBubbleSize val="0"/>
            <c:showLeaderLines val="0"/>
          </c:dLbls>
          <c:xVal>
            <c:numRef>
              <c:f>Tgrid!$P$5:$P$22</c:f>
              <c:numCache>
                <c:formatCode>General</c:formatCode>
                <c:ptCount val="18"/>
                <c:pt idx="0">
                  <c:v>0.11547000000000002</c:v>
                </c:pt>
                <c:pt idx="1">
                  <c:v>0.63512999999999997</c:v>
                </c:pt>
                <c:pt idx="2">
                  <c:v>0.69286000000000003</c:v>
                </c:pt>
                <c:pt idx="3">
                  <c:v>0.23094000000000003</c:v>
                </c:pt>
                <c:pt idx="4">
                  <c:v>0.34641</c:v>
                </c:pt>
                <c:pt idx="5">
                  <c:v>0.75058999999999998</c:v>
                </c:pt>
                <c:pt idx="6">
                  <c:v>0.80832000000000015</c:v>
                </c:pt>
                <c:pt idx="7">
                  <c:v>0.46188000000000007</c:v>
                </c:pt>
                <c:pt idx="8">
                  <c:v>0.57735000000000003</c:v>
                </c:pt>
                <c:pt idx="9">
                  <c:v>0.86604999999999999</c:v>
                </c:pt>
                <c:pt idx="10">
                  <c:v>0.92378000000000005</c:v>
                </c:pt>
                <c:pt idx="11">
                  <c:v>0.69281999999999999</c:v>
                </c:pt>
                <c:pt idx="12">
                  <c:v>0.80828999999999995</c:v>
                </c:pt>
                <c:pt idx="13">
                  <c:v>0.98150999999999999</c:v>
                </c:pt>
                <c:pt idx="14">
                  <c:v>1.0392400000000002</c:v>
                </c:pt>
                <c:pt idx="15">
                  <c:v>0.92376000000000014</c:v>
                </c:pt>
                <c:pt idx="16">
                  <c:v>1.0392300000000001</c:v>
                </c:pt>
                <c:pt idx="17">
                  <c:v>1.09697</c:v>
                </c:pt>
              </c:numCache>
            </c:numRef>
          </c:xVal>
          <c:yVal>
            <c:numRef>
              <c:f>Tgrid!$Q$5:$Q$22</c:f>
              <c:numCache>
                <c:formatCode>0.00</c:formatCode>
                <c:ptCount val="18"/>
                <c:pt idx="0">
                  <c:v>0</c:v>
                </c:pt>
                <c:pt idx="1">
                  <c:v>0.9</c:v>
                </c:pt>
                <c:pt idx="2">
                  <c:v>0.8</c:v>
                </c:pt>
                <c:pt idx="3">
                  <c:v>0</c:v>
                </c:pt>
                <c:pt idx="4">
                  <c:v>0</c:v>
                </c:pt>
                <c:pt idx="5">
                  <c:v>0.7</c:v>
                </c:pt>
                <c:pt idx="6">
                  <c:v>0.6</c:v>
                </c:pt>
                <c:pt idx="7">
                  <c:v>0</c:v>
                </c:pt>
                <c:pt idx="8">
                  <c:v>0</c:v>
                </c:pt>
                <c:pt idx="9">
                  <c:v>0.5</c:v>
                </c:pt>
                <c:pt idx="10">
                  <c:v>0.4</c:v>
                </c:pt>
                <c:pt idx="11">
                  <c:v>0</c:v>
                </c:pt>
                <c:pt idx="12">
                  <c:v>0</c:v>
                </c:pt>
                <c:pt idx="13">
                  <c:v>0.3</c:v>
                </c:pt>
                <c:pt idx="14">
                  <c:v>0.2</c:v>
                </c:pt>
                <c:pt idx="15">
                  <c:v>0</c:v>
                </c:pt>
                <c:pt idx="16">
                  <c:v>0</c:v>
                </c:pt>
                <c:pt idx="17">
                  <c:v>0.1</c:v>
                </c:pt>
              </c:numCache>
            </c:numRef>
          </c:yVal>
          <c:smooth val="0"/>
        </c:ser>
        <c:ser>
          <c:idx val="0"/>
          <c:order val="3"/>
          <c:tx>
            <c:v>border</c:v>
          </c:tx>
          <c:spPr>
            <a:ln w="38100">
              <a:solidFill>
                <a:srgbClr val="000000"/>
              </a:solidFill>
              <a:prstDash val="solid"/>
            </a:ln>
          </c:spPr>
          <c:marker>
            <c:symbol val="none"/>
          </c:marker>
          <c:dLbls>
            <c:dLbl>
              <c:idx val="0"/>
              <c:delete val="1"/>
            </c:dLbl>
            <c:dLbl>
              <c:idx val="1"/>
              <c:layout/>
              <c:tx>
                <c:strRef>
                  <c:f>Input!$CS$7</c:f>
                  <c:strCache>
                    <c:ptCount val="1"/>
                    <c:pt idx="0">
                      <c:v>Na</c:v>
                    </c:pt>
                  </c:strCache>
                </c:strRef>
              </c:tx>
              <c:dLblPos val="t"/>
              <c:showLegendKey val="0"/>
              <c:showVal val="0"/>
              <c:showCatName val="0"/>
              <c:showSerName val="0"/>
              <c:showPercent val="0"/>
              <c:showBubbleSize val="0"/>
            </c:dLbl>
            <c:dLbl>
              <c:idx val="2"/>
              <c:layout>
                <c:manualLayout>
                  <c:x val="2.5749167591565133E-3"/>
                  <c:y val="-6.2908968062161527E-3"/>
                </c:manualLayout>
              </c:layout>
              <c:tx>
                <c:rich>
                  <a:bodyPr/>
                  <a:lstStyle/>
                  <a:p>
                    <a:r>
                      <a:rPr lang="en-US"/>
                      <a:t>1000</a:t>
                    </a:r>
                  </a:p>
                  <a:p>
                    <a:r>
                      <a:rPr lang="en-US"/>
                      <a:t> Mg^0.5</a:t>
                    </a:r>
                  </a:p>
                </c:rich>
              </c:tx>
              <c:dLblPos val="r"/>
              <c:showLegendKey val="0"/>
              <c:showVal val="0"/>
              <c:showCatName val="0"/>
              <c:showSerName val="0"/>
              <c:showPercent val="0"/>
              <c:showBubbleSize val="0"/>
            </c:dLbl>
            <c:dLbl>
              <c:idx val="3"/>
              <c:layout>
                <c:manualLayout>
                  <c:x val="-7.2789464025099004E-2"/>
                  <c:y val="-4.8764696492146946E-3"/>
                </c:manualLayout>
              </c:layout>
              <c:tx>
                <c:strRef>
                  <c:f>Input!$CT$7</c:f>
                  <c:strCache>
                    <c:ptCount val="1"/>
                    <c:pt idx="0">
                      <c:v>10 K</c:v>
                    </c:pt>
                  </c:strCache>
                </c:strRef>
              </c:tx>
              <c:dLblPos val="r"/>
              <c:showLegendKey val="0"/>
              <c:showVal val="0"/>
              <c:showCatName val="0"/>
              <c:showSerName val="0"/>
              <c:showPercent val="0"/>
              <c:showBubbleSize val="0"/>
            </c:dLbl>
            <c:spPr>
              <a:noFill/>
              <a:ln w="25400">
                <a:noFill/>
              </a:ln>
            </c:spPr>
            <c:txPr>
              <a:bodyPr/>
              <a:lstStyle/>
              <a:p>
                <a:pPr>
                  <a:defRPr sz="16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xVal>
            <c:numRef>
              <c:f>Tgrid!$A$5:$A$8</c:f>
              <c:numCache>
                <c:formatCode>General</c:formatCode>
                <c:ptCount val="4"/>
                <c:pt idx="0">
                  <c:v>0</c:v>
                </c:pt>
                <c:pt idx="1">
                  <c:v>0.57740000000000002</c:v>
                </c:pt>
                <c:pt idx="2">
                  <c:v>1.1547000000000001</c:v>
                </c:pt>
                <c:pt idx="3">
                  <c:v>0</c:v>
                </c:pt>
              </c:numCache>
            </c:numRef>
          </c:xVal>
          <c:yVal>
            <c:numRef>
              <c:f>Tgrid!$B$5:$B$8</c:f>
              <c:numCache>
                <c:formatCode>General</c:formatCode>
                <c:ptCount val="4"/>
                <c:pt idx="0">
                  <c:v>0</c:v>
                </c:pt>
                <c:pt idx="1">
                  <c:v>1</c:v>
                </c:pt>
                <c:pt idx="2">
                  <c:v>0</c:v>
                </c:pt>
                <c:pt idx="3">
                  <c:v>0</c:v>
                </c:pt>
              </c:numCache>
            </c:numRef>
          </c:yVal>
          <c:smooth val="0"/>
        </c:ser>
        <c:ser>
          <c:idx val="5"/>
          <c:order val="4"/>
          <c:tx>
            <c:v>Equilibration line</c:v>
          </c:tx>
          <c:spPr>
            <a:ln w="25400">
              <a:solidFill>
                <a:srgbClr val="808080"/>
              </a:solidFill>
              <a:prstDash val="solid"/>
            </a:ln>
          </c:spPr>
          <c:marker>
            <c:symbol val="none"/>
          </c:marker>
          <c:dLbls>
            <c:dLbl>
              <c:idx val="0"/>
              <c:layout>
                <c:manualLayout>
                  <c:x val="-1.2927485063257159E-2"/>
                  <c:y val="-3.642955521648901E-2"/>
                </c:manualLayout>
              </c:layout>
              <c:tx>
                <c:strRef>
                  <c:f>Ref!$B$32</c:f>
                  <c:strCache>
                    <c:ptCount val="1"/>
                    <c:pt idx="0">
                      <c:v>60</c:v>
                    </c:pt>
                  </c:strCache>
                </c:strRef>
              </c:tx>
              <c:dLblPos val="r"/>
              <c:showLegendKey val="0"/>
              <c:showVal val="0"/>
              <c:showCatName val="0"/>
              <c:showSerName val="0"/>
              <c:showPercent val="0"/>
              <c:showBubbleSize val="0"/>
            </c:dLbl>
            <c:dLbl>
              <c:idx val="1"/>
              <c:layout>
                <c:manualLayout>
                  <c:x val="-9.5669728298390568E-3"/>
                  <c:y val="-1.9978987775042915E-2"/>
                </c:manualLayout>
              </c:layout>
              <c:tx>
                <c:strRef>
                  <c:f>Ref!$B$33</c:f>
                  <c:strCache>
                    <c:ptCount val="1"/>
                    <c:pt idx="0">
                      <c:v>80</c:v>
                    </c:pt>
                  </c:strCache>
                </c:strRef>
              </c:tx>
              <c:dLblPos val="r"/>
              <c:showLegendKey val="0"/>
              <c:showVal val="0"/>
              <c:showCatName val="0"/>
              <c:showSerName val="0"/>
              <c:showPercent val="0"/>
              <c:showBubbleSize val="0"/>
            </c:dLbl>
            <c:dLbl>
              <c:idx val="2"/>
              <c:layout>
                <c:manualLayout>
                  <c:x val="-2.1248248519434541E-2"/>
                  <c:y val="-2.1454298410718515E-2"/>
                </c:manualLayout>
              </c:layout>
              <c:tx>
                <c:strRef>
                  <c:f>Ref!$B$34</c:f>
                  <c:strCache>
                    <c:ptCount val="1"/>
                    <c:pt idx="0">
                      <c:v>100</c:v>
                    </c:pt>
                  </c:strCache>
                </c:strRef>
              </c:tx>
              <c:dLblPos val="r"/>
              <c:showLegendKey val="0"/>
              <c:showVal val="0"/>
              <c:showCatName val="0"/>
              <c:showSerName val="0"/>
              <c:showPercent val="0"/>
              <c:showBubbleSize val="0"/>
            </c:dLbl>
            <c:dLbl>
              <c:idx val="3"/>
              <c:layout>
                <c:manualLayout>
                  <c:x val="-3.0289354785146952E-2"/>
                  <c:y val="-2.1048012562786138E-2"/>
                </c:manualLayout>
              </c:layout>
              <c:tx>
                <c:strRef>
                  <c:f>Ref!$B$35</c:f>
                  <c:strCache>
                    <c:ptCount val="1"/>
                    <c:pt idx="0">
                      <c:v>120</c:v>
                    </c:pt>
                  </c:strCache>
                </c:strRef>
              </c:tx>
              <c:dLblPos val="r"/>
              <c:showLegendKey val="0"/>
              <c:showVal val="0"/>
              <c:showCatName val="0"/>
              <c:showSerName val="0"/>
              <c:showPercent val="0"/>
              <c:showBubbleSize val="0"/>
            </c:dLbl>
            <c:dLbl>
              <c:idx val="4"/>
              <c:layout>
                <c:manualLayout>
                  <c:x val="-3.2445256218666452E-2"/>
                  <c:y val="-2.0046256594163397E-2"/>
                </c:manualLayout>
              </c:layout>
              <c:tx>
                <c:strRef>
                  <c:f>Ref!$B$36</c:f>
                  <c:strCache>
                    <c:ptCount val="1"/>
                    <c:pt idx="0">
                      <c:v>140</c:v>
                    </c:pt>
                  </c:strCache>
                </c:strRef>
              </c:tx>
              <c:dLblPos val="r"/>
              <c:showLegendKey val="0"/>
              <c:showVal val="0"/>
              <c:showCatName val="0"/>
              <c:showSerName val="0"/>
              <c:showPercent val="0"/>
              <c:showBubbleSize val="0"/>
            </c:dLbl>
            <c:dLbl>
              <c:idx val="5"/>
              <c:layout>
                <c:manualLayout>
                  <c:x val="-4.6024219225648984E-2"/>
                  <c:y val="-1.387579027869042E-2"/>
                </c:manualLayout>
              </c:layout>
              <c:tx>
                <c:strRef>
                  <c:f>Ref!$B$37</c:f>
                  <c:strCache>
                    <c:ptCount val="1"/>
                    <c:pt idx="0">
                      <c:v>160</c:v>
                    </c:pt>
                  </c:strCache>
                </c:strRef>
              </c:tx>
              <c:dLblPos val="r"/>
              <c:showLegendKey val="0"/>
              <c:showVal val="0"/>
              <c:showCatName val="0"/>
              <c:showSerName val="0"/>
              <c:showPercent val="0"/>
              <c:showBubbleSize val="0"/>
            </c:dLbl>
            <c:dLbl>
              <c:idx val="6"/>
              <c:layout>
                <c:manualLayout>
                  <c:x val="-4.8642482397802382E-2"/>
                  <c:y val="-1.2084628035356985E-2"/>
                </c:manualLayout>
              </c:layout>
              <c:tx>
                <c:strRef>
                  <c:f>Ref!$B$38</c:f>
                  <c:strCache>
                    <c:ptCount val="1"/>
                    <c:pt idx="0">
                      <c:v>180</c:v>
                    </c:pt>
                  </c:strCache>
                </c:strRef>
              </c:tx>
              <c:dLblPos val="r"/>
              <c:showLegendKey val="0"/>
              <c:showVal val="0"/>
              <c:showCatName val="0"/>
              <c:showSerName val="0"/>
              <c:showPercent val="0"/>
              <c:showBubbleSize val="0"/>
            </c:dLbl>
            <c:dLbl>
              <c:idx val="7"/>
              <c:layout>
                <c:manualLayout>
                  <c:x val="-4.6967003708332213E-2"/>
                  <c:y val="-9.1014860766166911E-3"/>
                </c:manualLayout>
              </c:layout>
              <c:tx>
                <c:strRef>
                  <c:f>Ref!$B$39</c:f>
                  <c:strCache>
                    <c:ptCount val="1"/>
                    <c:pt idx="0">
                      <c:v>200</c:v>
                    </c:pt>
                  </c:strCache>
                </c:strRef>
              </c:tx>
              <c:dLblPos val="r"/>
              <c:showLegendKey val="0"/>
              <c:showVal val="0"/>
              <c:showCatName val="0"/>
              <c:showSerName val="0"/>
              <c:showPercent val="0"/>
              <c:showBubbleSize val="0"/>
            </c:dLbl>
            <c:dLbl>
              <c:idx val="8"/>
              <c:layout>
                <c:manualLayout>
                  <c:x val="-4.7599954556179908E-2"/>
                  <c:y val="-1.1731206866468396E-2"/>
                </c:manualLayout>
              </c:layout>
              <c:tx>
                <c:strRef>
                  <c:f>Ref!$B$40</c:f>
                  <c:strCache>
                    <c:ptCount val="1"/>
                    <c:pt idx="0">
                      <c:v>220</c:v>
                    </c:pt>
                  </c:strCache>
                </c:strRef>
              </c:tx>
              <c:dLblPos val="r"/>
              <c:showLegendKey val="0"/>
              <c:showVal val="0"/>
              <c:showCatName val="0"/>
              <c:showSerName val="0"/>
              <c:showPercent val="0"/>
              <c:showBubbleSize val="0"/>
            </c:dLbl>
            <c:dLbl>
              <c:idx val="9"/>
              <c:layout>
                <c:manualLayout>
                  <c:x val="-4.6884389173883795E-2"/>
                  <c:y val="-1.0022608560068614E-2"/>
                </c:manualLayout>
              </c:layout>
              <c:tx>
                <c:strRef>
                  <c:f>Ref!$B$41</c:f>
                  <c:strCache>
                    <c:ptCount val="1"/>
                    <c:pt idx="0">
                      <c:v>240</c:v>
                    </c:pt>
                  </c:strCache>
                </c:strRef>
              </c:tx>
              <c:dLblPos val="r"/>
              <c:showLegendKey val="0"/>
              <c:showVal val="0"/>
              <c:showCatName val="0"/>
              <c:showSerName val="0"/>
              <c:showPercent val="0"/>
              <c:showBubbleSize val="0"/>
            </c:dLbl>
            <c:dLbl>
              <c:idx val="10"/>
              <c:layout>
                <c:manualLayout>
                  <c:x val="-4.7465603980412586E-2"/>
                  <c:y val="-1.0161155598124475E-2"/>
                </c:manualLayout>
              </c:layout>
              <c:tx>
                <c:strRef>
                  <c:f>Ref!$B$42</c:f>
                  <c:strCache>
                    <c:ptCount val="1"/>
                    <c:pt idx="0">
                      <c:v>260</c:v>
                    </c:pt>
                  </c:strCache>
                </c:strRef>
              </c:tx>
              <c:dLblPos val="r"/>
              <c:showLegendKey val="0"/>
              <c:showVal val="0"/>
              <c:showCatName val="0"/>
              <c:showSerName val="0"/>
              <c:showPercent val="0"/>
              <c:showBubbleSize val="0"/>
            </c:dLbl>
            <c:dLbl>
              <c:idx val="11"/>
              <c:layout>
                <c:manualLayout>
                  <c:x val="-5.2765751672827793E-2"/>
                  <c:y val="-9.1302943567697185E-3"/>
                </c:manualLayout>
              </c:layout>
              <c:tx>
                <c:strRef>
                  <c:f>Ref!$B$43</c:f>
                  <c:strCache>
                    <c:ptCount val="1"/>
                    <c:pt idx="0">
                      <c:v>280</c:v>
                    </c:pt>
                  </c:strCache>
                </c:strRef>
              </c:tx>
              <c:dLblPos val="r"/>
              <c:showLegendKey val="0"/>
              <c:showVal val="0"/>
              <c:showCatName val="0"/>
              <c:showSerName val="0"/>
              <c:showPercent val="0"/>
              <c:showBubbleSize val="0"/>
            </c:dLbl>
            <c:dLbl>
              <c:idx val="12"/>
              <c:layout>
                <c:manualLayout>
                  <c:x val="-4.9310390030325085E-2"/>
                  <c:y val="-8.7984051498512291E-3"/>
                </c:manualLayout>
              </c:layout>
              <c:tx>
                <c:strRef>
                  <c:f>Ref!$B$44</c:f>
                  <c:strCache>
                    <c:ptCount val="1"/>
                    <c:pt idx="0">
                      <c:v>300</c:v>
                    </c:pt>
                  </c:strCache>
                </c:strRef>
              </c:tx>
              <c:dLblPos val="r"/>
              <c:showLegendKey val="0"/>
              <c:showVal val="0"/>
              <c:showCatName val="0"/>
              <c:showSerName val="0"/>
              <c:showPercent val="0"/>
              <c:showBubbleSize val="0"/>
            </c:dLbl>
            <c:dLbl>
              <c:idx val="13"/>
              <c:layout>
                <c:manualLayout>
                  <c:x val="-4.7891261095137819E-2"/>
                  <c:y val="-8.7054464726562426E-3"/>
                </c:manualLayout>
              </c:layout>
              <c:tx>
                <c:strRef>
                  <c:f>Ref!$B$45</c:f>
                  <c:strCache>
                    <c:ptCount val="1"/>
                    <c:pt idx="0">
                      <c:v>320</c:v>
                    </c:pt>
                  </c:strCache>
                </c:strRef>
              </c:tx>
              <c:dLblPos val="r"/>
              <c:showLegendKey val="0"/>
              <c:showVal val="0"/>
              <c:showCatName val="0"/>
              <c:showSerName val="0"/>
              <c:showPercent val="0"/>
              <c:showBubbleSize val="0"/>
            </c:dLbl>
            <c:dLbl>
              <c:idx val="14"/>
              <c:layout>
                <c:manualLayout>
                  <c:x val="-4.9242690390671244E-2"/>
                  <c:y val="-4.4917157632523488E-3"/>
                </c:manualLayout>
              </c:layout>
              <c:tx>
                <c:rich>
                  <a:bodyPr/>
                  <a:lstStyle/>
                  <a:p>
                    <a:r>
                      <a:rPr lang="en-NZ"/>
                      <a:t>340</a:t>
                    </a:r>
                  </a:p>
                </c:rich>
              </c:tx>
              <c:dLblPos val="r"/>
              <c:showLegendKey val="0"/>
              <c:showVal val="0"/>
              <c:showCatName val="0"/>
              <c:showSerName val="0"/>
              <c:showPercent val="0"/>
              <c:showBubbleSize val="0"/>
            </c:dLbl>
            <c:dLbl>
              <c:idx val="15"/>
              <c:delete val="1"/>
            </c:dLbl>
            <c:dLbl>
              <c:idx val="16"/>
              <c:delete val="1"/>
            </c:dLbl>
            <c:dLbl>
              <c:idx val="17"/>
              <c:delete val="1"/>
            </c:dLbl>
            <c:dLbl>
              <c:idx val="18"/>
              <c:delete val="1"/>
            </c:dLbl>
            <c:spPr>
              <a:noFill/>
              <a:ln w="25400">
                <a:noFill/>
              </a:ln>
            </c:spPr>
            <c:txPr>
              <a:bodyPr/>
              <a:lstStyle/>
              <a:p>
                <a:pPr>
                  <a:defRPr sz="1400" b="1" i="0" u="none" strike="noStrike" baseline="0">
                    <a:solidFill>
                      <a:srgbClr val="969696"/>
                    </a:solidFill>
                    <a:latin typeface="Arial"/>
                    <a:ea typeface="Arial"/>
                    <a:cs typeface="Arial"/>
                  </a:defRPr>
                </a:pPr>
                <a:endParaRPr lang="en-US"/>
              </a:p>
            </c:txPr>
            <c:dLblPos val="l"/>
            <c:showLegendKey val="0"/>
            <c:showVal val="1"/>
            <c:showCatName val="0"/>
            <c:showSerName val="0"/>
            <c:showPercent val="0"/>
            <c:showBubbleSize val="0"/>
            <c:showLeaderLines val="0"/>
          </c:dLbls>
          <c:xVal>
            <c:numRef>
              <c:f>Ref!$AN$32:$AN$50</c:f>
              <c:numCache>
                <c:formatCode>0.000</c:formatCode>
                <c:ptCount val="19"/>
                <c:pt idx="0">
                  <c:v>0.9171498147198196</c:v>
                </c:pt>
                <c:pt idx="1">
                  <c:v>0.85954254516431061</c:v>
                </c:pt>
                <c:pt idx="2">
                  <c:v>0.79915841952166744</c:v>
                </c:pt>
                <c:pt idx="3">
                  <c:v>0.7361291883260157</c:v>
                </c:pt>
                <c:pt idx="4">
                  <c:v>0.67079112163549437</c:v>
                </c:pt>
                <c:pt idx="5">
                  <c:v>0.60409494109712225</c:v>
                </c:pt>
                <c:pt idx="6">
                  <c:v>0.53763749805554217</c:v>
                </c:pt>
                <c:pt idx="7">
                  <c:v>0.47335047425979726</c:v>
                </c:pt>
                <c:pt idx="8">
                  <c:v>0.41305373224475372</c:v>
                </c:pt>
                <c:pt idx="9">
                  <c:v>0.35809973118058736</c:v>
                </c:pt>
                <c:pt idx="10">
                  <c:v>0.30922427347380538</c:v>
                </c:pt>
                <c:pt idx="11">
                  <c:v>0.26658726377408248</c:v>
                </c:pt>
                <c:pt idx="12">
                  <c:v>0.22991901120695982</c:v>
                </c:pt>
                <c:pt idx="13">
                  <c:v>0.19868904907255372</c:v>
                </c:pt>
                <c:pt idx="14">
                  <c:v>0.17224815623346354</c:v>
                </c:pt>
                <c:pt idx="15">
                  <c:v>0.13109550146160109</c:v>
                </c:pt>
                <c:pt idx="16">
                  <c:v>0.10172442892211928</c:v>
                </c:pt>
                <c:pt idx="17">
                  <c:v>5.1008475361819447E-2</c:v>
                </c:pt>
                <c:pt idx="18">
                  <c:v>0</c:v>
                </c:pt>
              </c:numCache>
            </c:numRef>
          </c:xVal>
          <c:yVal>
            <c:numRef>
              <c:f>Ref!$AO$32:$AO$50</c:f>
              <c:numCache>
                <c:formatCode>0.000</c:formatCode>
                <c:ptCount val="19"/>
                <c:pt idx="0">
                  <c:v>0.38266370734539784</c:v>
                </c:pt>
                <c:pt idx="1">
                  <c:v>0.45251951830257164</c:v>
                </c:pt>
                <c:pt idx="2">
                  <c:v>0.50851321609254307</c:v>
                </c:pt>
                <c:pt idx="3">
                  <c:v>0.54649858163342147</c:v>
                </c:pt>
                <c:pt idx="4">
                  <c:v>0.5645868805227473</c:v>
                </c:pt>
                <c:pt idx="5">
                  <c:v>0.56326268002400914</c:v>
                </c:pt>
                <c:pt idx="6">
                  <c:v>0.54512154608911634</c:v>
                </c:pt>
                <c:pt idx="7">
                  <c:v>0.51419093393156023</c:v>
                </c:pt>
                <c:pt idx="8">
                  <c:v>0.4750174254513152</c:v>
                </c:pt>
                <c:pt idx="9">
                  <c:v>0.43182927973265017</c:v>
                </c:pt>
                <c:pt idx="10">
                  <c:v>0.38800559207221957</c:v>
                </c:pt>
                <c:pt idx="11">
                  <c:v>0.34589943314298421</c:v>
                </c:pt>
                <c:pt idx="12">
                  <c:v>0.30692092911833335</c:v>
                </c:pt>
                <c:pt idx="13">
                  <c:v>0.27174583175858663</c:v>
                </c:pt>
                <c:pt idx="14">
                  <c:v>0.24054507825546234</c:v>
                </c:pt>
                <c:pt idx="15">
                  <c:v>0.18934527129758802</c:v>
                </c:pt>
                <c:pt idx="16">
                  <c:v>0.15074970869021823</c:v>
                </c:pt>
                <c:pt idx="17">
                  <c:v>7.9589276603966932E-2</c:v>
                </c:pt>
                <c:pt idx="18">
                  <c:v>0</c:v>
                </c:pt>
              </c:numCache>
            </c:numRef>
          </c:yVal>
          <c:smooth val="1"/>
        </c:ser>
        <c:ser>
          <c:idx val="6"/>
          <c:order val="5"/>
          <c:tx>
            <c:v>immature waters</c:v>
          </c:tx>
          <c:spPr>
            <a:ln w="25400">
              <a:solidFill>
                <a:srgbClr val="808080"/>
              </a:solidFill>
              <a:prstDash val="solid"/>
            </a:ln>
          </c:spPr>
          <c:marker>
            <c:symbol val="none"/>
          </c:marker>
          <c:xVal>
            <c:numRef>
              <c:f>Ref!$AS$31:$AS$50</c:f>
              <c:numCache>
                <c:formatCode>0.000</c:formatCode>
                <c:ptCount val="20"/>
                <c:pt idx="0">
                  <c:v>1.1341606610179338</c:v>
                </c:pt>
                <c:pt idx="1">
                  <c:v>1.1247579334986173</c:v>
                </c:pt>
                <c:pt idx="2">
                  <c:v>1.1122815123748109</c:v>
                </c:pt>
                <c:pt idx="3">
                  <c:v>1.0957852825924117</c:v>
                </c:pt>
                <c:pt idx="4">
                  <c:v>1.0740301574525846</c:v>
                </c:pt>
                <c:pt idx="5">
                  <c:v>1.0455628552042115</c:v>
                </c:pt>
                <c:pt idx="6">
                  <c:v>1.0089339351956852</c:v>
                </c:pt>
                <c:pt idx="7">
                  <c:v>0.96305205690973783</c:v>
                </c:pt>
                <c:pt idx="8">
                  <c:v>0.90760001647247579</c:v>
                </c:pt>
                <c:pt idx="9">
                  <c:v>0.84336359670852135</c:v>
                </c:pt>
                <c:pt idx="10">
                  <c:v>0.7723052149165287</c:v>
                </c:pt>
                <c:pt idx="11">
                  <c:v>0.69729815413659402</c:v>
                </c:pt>
                <c:pt idx="12">
                  <c:v>0.62159598844691955</c:v>
                </c:pt>
                <c:pt idx="13">
                  <c:v>0.54823990383549837</c:v>
                </c:pt>
                <c:pt idx="14">
                  <c:v>0.47961269447337357</c:v>
                </c:pt>
                <c:pt idx="15">
                  <c:v>0.41724341948175275</c:v>
                </c:pt>
                <c:pt idx="16">
                  <c:v>0.31346610138629116</c:v>
                </c:pt>
                <c:pt idx="17">
                  <c:v>0.23604780938123918</c:v>
                </c:pt>
                <c:pt idx="18">
                  <c:v>0.10389603939018321</c:v>
                </c:pt>
                <c:pt idx="19">
                  <c:v>0</c:v>
                </c:pt>
              </c:numCache>
            </c:numRef>
          </c:xVal>
          <c:yVal>
            <c:numRef>
              <c:f>Ref!$AT$31:$AT$50</c:f>
              <c:numCache>
                <c:formatCode>0.000</c:formatCode>
                <c:ptCount val="20"/>
                <c:pt idx="0">
                  <c:v>3.4185088359894172E-2</c:v>
                </c:pt>
                <c:pt idx="1">
                  <c:v>4.8232933009450939E-2</c:v>
                </c:pt>
                <c:pt idx="2">
                  <c:v>6.5033741390540162E-2</c:v>
                </c:pt>
                <c:pt idx="3">
                  <c:v>8.4262753132307425E-2</c:v>
                </c:pt>
                <c:pt idx="4">
                  <c:v>0.10532496128060537</c:v>
                </c:pt>
                <c:pt idx="5">
                  <c:v>0.12733265059666909</c:v>
                </c:pt>
                <c:pt idx="6">
                  <c:v>0.14911701770744962</c:v>
                </c:pt>
                <c:pt idx="7">
                  <c:v>0.1693044427638325</c:v>
                </c:pt>
                <c:pt idx="8">
                  <c:v>0.1864778157238158</c:v>
                </c:pt>
                <c:pt idx="9">
                  <c:v>0.19940802397403351</c:v>
                </c:pt>
                <c:pt idx="10">
                  <c:v>0.20729250425793086</c:v>
                </c:pt>
                <c:pt idx="11">
                  <c:v>0.20991078566897028</c:v>
                </c:pt>
                <c:pt idx="12">
                  <c:v>0.20763172047963263</c:v>
                </c:pt>
                <c:pt idx="13">
                  <c:v>0.20127500288574654</c:v>
                </c:pt>
                <c:pt idx="14">
                  <c:v>0.19189336813770325</c:v>
                </c:pt>
                <c:pt idx="15">
                  <c:v>0.18056004678120552</c:v>
                </c:pt>
                <c:pt idx="16">
                  <c:v>0.15561055171717295</c:v>
                </c:pt>
                <c:pt idx="17">
                  <c:v>0.13151924311182928</c:v>
                </c:pt>
                <c:pt idx="18">
                  <c:v>7.5775454654266466E-2</c:v>
                </c:pt>
                <c:pt idx="19">
                  <c:v>0</c:v>
                </c:pt>
              </c:numCache>
            </c:numRef>
          </c:yVal>
          <c:smooth val="1"/>
        </c:ser>
        <c:ser>
          <c:idx val="7"/>
          <c:order val="6"/>
          <c:tx>
            <c:v>60</c:v>
          </c:tx>
          <c:spPr>
            <a:ln w="12700">
              <a:solidFill>
                <a:srgbClr val="808080"/>
              </a:solidFill>
              <a:prstDash val="solid"/>
            </a:ln>
          </c:spPr>
          <c:marker>
            <c:symbol val="none"/>
          </c:marker>
          <c:xVal>
            <c:numRef>
              <c:f>(Ref!$AN$32,Ref!$AS$32)</c:f>
              <c:numCache>
                <c:formatCode>0.000</c:formatCode>
                <c:ptCount val="2"/>
                <c:pt idx="0">
                  <c:v>0.9171498147198196</c:v>
                </c:pt>
                <c:pt idx="1">
                  <c:v>1.1247579334986173</c:v>
                </c:pt>
              </c:numCache>
            </c:numRef>
          </c:xVal>
          <c:yVal>
            <c:numRef>
              <c:f>(Ref!$AO$32,Ref!$AT$32)</c:f>
              <c:numCache>
                <c:formatCode>0.000</c:formatCode>
                <c:ptCount val="2"/>
                <c:pt idx="0">
                  <c:v>0.38266370734539784</c:v>
                </c:pt>
                <c:pt idx="1">
                  <c:v>4.8232933009450939E-2</c:v>
                </c:pt>
              </c:numCache>
            </c:numRef>
          </c:yVal>
          <c:smooth val="0"/>
        </c:ser>
        <c:ser>
          <c:idx val="8"/>
          <c:order val="7"/>
          <c:tx>
            <c:v>80</c:v>
          </c:tx>
          <c:spPr>
            <a:ln w="25400">
              <a:solidFill>
                <a:srgbClr val="808080"/>
              </a:solidFill>
              <a:prstDash val="solid"/>
            </a:ln>
          </c:spPr>
          <c:marker>
            <c:symbol val="none"/>
          </c:marker>
          <c:dPt>
            <c:idx val="1"/>
            <c:bubble3D val="0"/>
            <c:spPr>
              <a:ln w="12700">
                <a:solidFill>
                  <a:srgbClr val="808080"/>
                </a:solidFill>
                <a:prstDash val="solid"/>
              </a:ln>
            </c:spPr>
          </c:dPt>
          <c:xVal>
            <c:numRef>
              <c:f>(Ref!$AN$33,Ref!$AS$33)</c:f>
              <c:numCache>
                <c:formatCode>0.000</c:formatCode>
                <c:ptCount val="2"/>
                <c:pt idx="0">
                  <c:v>0.85954254516431061</c:v>
                </c:pt>
                <c:pt idx="1">
                  <c:v>1.1122815123748109</c:v>
                </c:pt>
              </c:numCache>
            </c:numRef>
          </c:xVal>
          <c:yVal>
            <c:numRef>
              <c:f>(Ref!$AO$33,Ref!$AT$33)</c:f>
              <c:numCache>
                <c:formatCode>0.000</c:formatCode>
                <c:ptCount val="2"/>
                <c:pt idx="0">
                  <c:v>0.45251951830257164</c:v>
                </c:pt>
                <c:pt idx="1">
                  <c:v>6.5033741390540162E-2</c:v>
                </c:pt>
              </c:numCache>
            </c:numRef>
          </c:yVal>
          <c:smooth val="0"/>
        </c:ser>
        <c:ser>
          <c:idx val="9"/>
          <c:order val="8"/>
          <c:tx>
            <c:v>100</c:v>
          </c:tx>
          <c:spPr>
            <a:ln w="12700">
              <a:solidFill>
                <a:srgbClr val="808080"/>
              </a:solidFill>
              <a:prstDash val="solid"/>
            </a:ln>
          </c:spPr>
          <c:marker>
            <c:symbol val="none"/>
          </c:marker>
          <c:xVal>
            <c:numRef>
              <c:f>(Ref!$AN$34,Ref!$AS$34)</c:f>
              <c:numCache>
                <c:formatCode>0.000</c:formatCode>
                <c:ptCount val="2"/>
                <c:pt idx="0">
                  <c:v>0.79915841952166744</c:v>
                </c:pt>
                <c:pt idx="1">
                  <c:v>1.0957852825924117</c:v>
                </c:pt>
              </c:numCache>
            </c:numRef>
          </c:xVal>
          <c:yVal>
            <c:numRef>
              <c:f>(Ref!$AO$34,Ref!$AT$34)</c:f>
              <c:numCache>
                <c:formatCode>0.000</c:formatCode>
                <c:ptCount val="2"/>
                <c:pt idx="0">
                  <c:v>0.50851321609254307</c:v>
                </c:pt>
                <c:pt idx="1">
                  <c:v>8.4262753132307425E-2</c:v>
                </c:pt>
              </c:numCache>
            </c:numRef>
          </c:yVal>
          <c:smooth val="0"/>
        </c:ser>
        <c:ser>
          <c:idx val="10"/>
          <c:order val="9"/>
          <c:tx>
            <c:v>120</c:v>
          </c:tx>
          <c:spPr>
            <a:ln w="12700">
              <a:solidFill>
                <a:srgbClr val="808080"/>
              </a:solidFill>
              <a:prstDash val="solid"/>
            </a:ln>
          </c:spPr>
          <c:marker>
            <c:symbol val="none"/>
          </c:marker>
          <c:xVal>
            <c:numRef>
              <c:f>(Ref!$AN$35,Ref!$AS$35)</c:f>
              <c:numCache>
                <c:formatCode>0.000</c:formatCode>
                <c:ptCount val="2"/>
                <c:pt idx="0">
                  <c:v>0.7361291883260157</c:v>
                </c:pt>
                <c:pt idx="1">
                  <c:v>1.0740301574525846</c:v>
                </c:pt>
              </c:numCache>
            </c:numRef>
          </c:xVal>
          <c:yVal>
            <c:numRef>
              <c:f>(Ref!$AO$35,Ref!$AT$35)</c:f>
              <c:numCache>
                <c:formatCode>0.000</c:formatCode>
                <c:ptCount val="2"/>
                <c:pt idx="0">
                  <c:v>0.54649858163342147</c:v>
                </c:pt>
                <c:pt idx="1">
                  <c:v>0.10532496128060537</c:v>
                </c:pt>
              </c:numCache>
            </c:numRef>
          </c:yVal>
          <c:smooth val="0"/>
        </c:ser>
        <c:ser>
          <c:idx val="11"/>
          <c:order val="10"/>
          <c:tx>
            <c:v>140</c:v>
          </c:tx>
          <c:spPr>
            <a:ln w="12700">
              <a:solidFill>
                <a:srgbClr val="808080"/>
              </a:solidFill>
              <a:prstDash val="solid"/>
            </a:ln>
          </c:spPr>
          <c:marker>
            <c:symbol val="none"/>
          </c:marker>
          <c:xVal>
            <c:numRef>
              <c:f>(Ref!$AN$36,Ref!$AS$36)</c:f>
              <c:numCache>
                <c:formatCode>0.000</c:formatCode>
                <c:ptCount val="2"/>
                <c:pt idx="0">
                  <c:v>0.67079112163549437</c:v>
                </c:pt>
                <c:pt idx="1">
                  <c:v>1.0455628552042115</c:v>
                </c:pt>
              </c:numCache>
            </c:numRef>
          </c:xVal>
          <c:yVal>
            <c:numRef>
              <c:f>(Ref!$AO$36,Ref!$AT$36)</c:f>
              <c:numCache>
                <c:formatCode>0.000</c:formatCode>
                <c:ptCount val="2"/>
                <c:pt idx="0">
                  <c:v>0.5645868805227473</c:v>
                </c:pt>
                <c:pt idx="1">
                  <c:v>0.12733265059666909</c:v>
                </c:pt>
              </c:numCache>
            </c:numRef>
          </c:yVal>
          <c:smooth val="0"/>
        </c:ser>
        <c:ser>
          <c:idx val="12"/>
          <c:order val="11"/>
          <c:tx>
            <c:v>160</c:v>
          </c:tx>
          <c:spPr>
            <a:ln w="12700">
              <a:solidFill>
                <a:srgbClr val="808080"/>
              </a:solidFill>
              <a:prstDash val="solid"/>
            </a:ln>
          </c:spPr>
          <c:marker>
            <c:symbol val="none"/>
          </c:marker>
          <c:xVal>
            <c:numRef>
              <c:f>(Ref!$AN$37,Ref!$AS$37)</c:f>
              <c:numCache>
                <c:formatCode>0.000</c:formatCode>
                <c:ptCount val="2"/>
                <c:pt idx="0">
                  <c:v>0.60409494109712225</c:v>
                </c:pt>
                <c:pt idx="1">
                  <c:v>1.0089339351956852</c:v>
                </c:pt>
              </c:numCache>
            </c:numRef>
          </c:xVal>
          <c:yVal>
            <c:numRef>
              <c:f>(Ref!$AO$37,Ref!$AT$37)</c:f>
              <c:numCache>
                <c:formatCode>0.000</c:formatCode>
                <c:ptCount val="2"/>
                <c:pt idx="0">
                  <c:v>0.56326268002400914</c:v>
                </c:pt>
                <c:pt idx="1">
                  <c:v>0.14911701770744962</c:v>
                </c:pt>
              </c:numCache>
            </c:numRef>
          </c:yVal>
          <c:smooth val="0"/>
        </c:ser>
        <c:ser>
          <c:idx val="13"/>
          <c:order val="12"/>
          <c:tx>
            <c:v>180</c:v>
          </c:tx>
          <c:spPr>
            <a:ln w="12700">
              <a:solidFill>
                <a:srgbClr val="808080"/>
              </a:solidFill>
              <a:prstDash val="solid"/>
            </a:ln>
          </c:spPr>
          <c:marker>
            <c:symbol val="none"/>
          </c:marker>
          <c:xVal>
            <c:numRef>
              <c:f>(Ref!$AN$38,Ref!$AS$38)</c:f>
              <c:numCache>
                <c:formatCode>0.000</c:formatCode>
                <c:ptCount val="2"/>
                <c:pt idx="0">
                  <c:v>0.53763749805554217</c:v>
                </c:pt>
                <c:pt idx="1">
                  <c:v>0.96305205690973783</c:v>
                </c:pt>
              </c:numCache>
            </c:numRef>
          </c:xVal>
          <c:yVal>
            <c:numRef>
              <c:f>(Ref!$AO$38,Ref!$AT$38)</c:f>
              <c:numCache>
                <c:formatCode>0.000</c:formatCode>
                <c:ptCount val="2"/>
                <c:pt idx="0">
                  <c:v>0.54512154608911634</c:v>
                </c:pt>
                <c:pt idx="1">
                  <c:v>0.1693044427638325</c:v>
                </c:pt>
              </c:numCache>
            </c:numRef>
          </c:yVal>
          <c:smooth val="0"/>
        </c:ser>
        <c:ser>
          <c:idx val="14"/>
          <c:order val="13"/>
          <c:tx>
            <c:v>200</c:v>
          </c:tx>
          <c:spPr>
            <a:ln w="12700">
              <a:solidFill>
                <a:srgbClr val="808080"/>
              </a:solidFill>
              <a:prstDash val="solid"/>
            </a:ln>
          </c:spPr>
          <c:marker>
            <c:symbol val="none"/>
          </c:marker>
          <c:xVal>
            <c:numRef>
              <c:f>(Ref!$AN$39,Ref!$AS$39)</c:f>
              <c:numCache>
                <c:formatCode>0.000</c:formatCode>
                <c:ptCount val="2"/>
                <c:pt idx="0">
                  <c:v>0.47335047425979726</c:v>
                </c:pt>
                <c:pt idx="1">
                  <c:v>0.90760001647247579</c:v>
                </c:pt>
              </c:numCache>
            </c:numRef>
          </c:xVal>
          <c:yVal>
            <c:numRef>
              <c:f>(Ref!$AO$39,Ref!$AT$39)</c:f>
              <c:numCache>
                <c:formatCode>0.000</c:formatCode>
                <c:ptCount val="2"/>
                <c:pt idx="0">
                  <c:v>0.51419093393156023</c:v>
                </c:pt>
                <c:pt idx="1">
                  <c:v>0.1864778157238158</c:v>
                </c:pt>
              </c:numCache>
            </c:numRef>
          </c:yVal>
          <c:smooth val="0"/>
        </c:ser>
        <c:ser>
          <c:idx val="15"/>
          <c:order val="14"/>
          <c:tx>
            <c:v>220</c:v>
          </c:tx>
          <c:spPr>
            <a:ln w="12700">
              <a:solidFill>
                <a:srgbClr val="808080"/>
              </a:solidFill>
              <a:prstDash val="solid"/>
            </a:ln>
          </c:spPr>
          <c:marker>
            <c:symbol val="none"/>
          </c:marker>
          <c:xVal>
            <c:numRef>
              <c:f>(Ref!$AN$40,Ref!$AS$40)</c:f>
              <c:numCache>
                <c:formatCode>0.000</c:formatCode>
                <c:ptCount val="2"/>
                <c:pt idx="0">
                  <c:v>0.41305373224475372</c:v>
                </c:pt>
                <c:pt idx="1">
                  <c:v>0.84336359670852135</c:v>
                </c:pt>
              </c:numCache>
            </c:numRef>
          </c:xVal>
          <c:yVal>
            <c:numRef>
              <c:f>(Ref!$AO$40,Ref!$AT$40)</c:f>
              <c:numCache>
                <c:formatCode>0.000</c:formatCode>
                <c:ptCount val="2"/>
                <c:pt idx="0">
                  <c:v>0.4750174254513152</c:v>
                </c:pt>
                <c:pt idx="1">
                  <c:v>0.19940802397403351</c:v>
                </c:pt>
              </c:numCache>
            </c:numRef>
          </c:yVal>
          <c:smooth val="0"/>
        </c:ser>
        <c:ser>
          <c:idx val="16"/>
          <c:order val="15"/>
          <c:tx>
            <c:v>240</c:v>
          </c:tx>
          <c:spPr>
            <a:ln w="12700">
              <a:solidFill>
                <a:srgbClr val="808080"/>
              </a:solidFill>
              <a:prstDash val="solid"/>
            </a:ln>
          </c:spPr>
          <c:marker>
            <c:symbol val="none"/>
          </c:marker>
          <c:xVal>
            <c:numRef>
              <c:f>(Ref!$AN$41,Ref!$AS$41)</c:f>
              <c:numCache>
                <c:formatCode>0.000</c:formatCode>
                <c:ptCount val="2"/>
                <c:pt idx="0">
                  <c:v>0.35809973118058736</c:v>
                </c:pt>
                <c:pt idx="1">
                  <c:v>0.7723052149165287</c:v>
                </c:pt>
              </c:numCache>
            </c:numRef>
          </c:xVal>
          <c:yVal>
            <c:numRef>
              <c:f>(Ref!$AO$41,Ref!$AT$41)</c:f>
              <c:numCache>
                <c:formatCode>0.000</c:formatCode>
                <c:ptCount val="2"/>
                <c:pt idx="0">
                  <c:v>0.43182927973265017</c:v>
                </c:pt>
                <c:pt idx="1">
                  <c:v>0.20729250425793086</c:v>
                </c:pt>
              </c:numCache>
            </c:numRef>
          </c:yVal>
          <c:smooth val="0"/>
        </c:ser>
        <c:ser>
          <c:idx val="17"/>
          <c:order val="16"/>
          <c:tx>
            <c:v>260</c:v>
          </c:tx>
          <c:spPr>
            <a:ln w="12700">
              <a:solidFill>
                <a:srgbClr val="808080"/>
              </a:solidFill>
              <a:prstDash val="solid"/>
            </a:ln>
          </c:spPr>
          <c:marker>
            <c:symbol val="none"/>
          </c:marker>
          <c:xVal>
            <c:numRef>
              <c:f>(Ref!$AN$42,Ref!$AS$42)</c:f>
              <c:numCache>
                <c:formatCode>0.000</c:formatCode>
                <c:ptCount val="2"/>
                <c:pt idx="0">
                  <c:v>0.30922427347380538</c:v>
                </c:pt>
                <c:pt idx="1">
                  <c:v>0.69729815413659402</c:v>
                </c:pt>
              </c:numCache>
            </c:numRef>
          </c:xVal>
          <c:yVal>
            <c:numRef>
              <c:f>(Ref!$AO$42,Ref!$AT$42)</c:f>
              <c:numCache>
                <c:formatCode>0.000</c:formatCode>
                <c:ptCount val="2"/>
                <c:pt idx="0">
                  <c:v>0.38800559207221957</c:v>
                </c:pt>
                <c:pt idx="1">
                  <c:v>0.20991078566897028</c:v>
                </c:pt>
              </c:numCache>
            </c:numRef>
          </c:yVal>
          <c:smooth val="0"/>
        </c:ser>
        <c:ser>
          <c:idx val="18"/>
          <c:order val="17"/>
          <c:tx>
            <c:v>280</c:v>
          </c:tx>
          <c:spPr>
            <a:ln w="12700">
              <a:solidFill>
                <a:srgbClr val="808080"/>
              </a:solidFill>
              <a:prstDash val="solid"/>
            </a:ln>
          </c:spPr>
          <c:marker>
            <c:symbol val="none"/>
          </c:marker>
          <c:xVal>
            <c:numRef>
              <c:f>(Ref!$AN$43,Ref!$AS$43)</c:f>
              <c:numCache>
                <c:formatCode>0.000</c:formatCode>
                <c:ptCount val="2"/>
                <c:pt idx="0">
                  <c:v>0.26658726377408248</c:v>
                </c:pt>
                <c:pt idx="1">
                  <c:v>0.62159598844691955</c:v>
                </c:pt>
              </c:numCache>
            </c:numRef>
          </c:xVal>
          <c:yVal>
            <c:numRef>
              <c:f>(Ref!$AO$43,Ref!$AT$43)</c:f>
              <c:numCache>
                <c:formatCode>0.000</c:formatCode>
                <c:ptCount val="2"/>
                <c:pt idx="0">
                  <c:v>0.34589943314298421</c:v>
                </c:pt>
                <c:pt idx="1">
                  <c:v>0.20763172047963263</c:v>
                </c:pt>
              </c:numCache>
            </c:numRef>
          </c:yVal>
          <c:smooth val="0"/>
        </c:ser>
        <c:ser>
          <c:idx val="19"/>
          <c:order val="18"/>
          <c:tx>
            <c:v>300</c:v>
          </c:tx>
          <c:spPr>
            <a:ln w="12700">
              <a:solidFill>
                <a:srgbClr val="808080"/>
              </a:solidFill>
              <a:prstDash val="solid"/>
            </a:ln>
          </c:spPr>
          <c:marker>
            <c:symbol val="none"/>
          </c:marker>
          <c:xVal>
            <c:numRef>
              <c:f>(Ref!$AN$44,Ref!$AS$44)</c:f>
              <c:numCache>
                <c:formatCode>0.000</c:formatCode>
                <c:ptCount val="2"/>
                <c:pt idx="0">
                  <c:v>0.22991901120695982</c:v>
                </c:pt>
                <c:pt idx="1">
                  <c:v>0.54823990383549837</c:v>
                </c:pt>
              </c:numCache>
            </c:numRef>
          </c:xVal>
          <c:yVal>
            <c:numRef>
              <c:f>(Ref!$AO$44,Ref!$AT$44)</c:f>
              <c:numCache>
                <c:formatCode>0.000</c:formatCode>
                <c:ptCount val="2"/>
                <c:pt idx="0">
                  <c:v>0.30692092911833335</c:v>
                </c:pt>
                <c:pt idx="1">
                  <c:v>0.20127500288574654</c:v>
                </c:pt>
              </c:numCache>
            </c:numRef>
          </c:yVal>
          <c:smooth val="0"/>
        </c:ser>
        <c:ser>
          <c:idx val="20"/>
          <c:order val="19"/>
          <c:tx>
            <c:v>320</c:v>
          </c:tx>
          <c:spPr>
            <a:ln w="12700">
              <a:solidFill>
                <a:srgbClr val="808080"/>
              </a:solidFill>
              <a:prstDash val="solid"/>
            </a:ln>
          </c:spPr>
          <c:marker>
            <c:symbol val="none"/>
          </c:marker>
          <c:xVal>
            <c:numRef>
              <c:f>(Ref!$AN$45,Ref!$AS$45)</c:f>
              <c:numCache>
                <c:formatCode>0.000</c:formatCode>
                <c:ptCount val="2"/>
                <c:pt idx="0">
                  <c:v>0.19868904907255372</c:v>
                </c:pt>
                <c:pt idx="1">
                  <c:v>0.47961269447337357</c:v>
                </c:pt>
              </c:numCache>
            </c:numRef>
          </c:xVal>
          <c:yVal>
            <c:numRef>
              <c:f>(Ref!$AO$45,Ref!$AT$45)</c:f>
              <c:numCache>
                <c:formatCode>0.000</c:formatCode>
                <c:ptCount val="2"/>
                <c:pt idx="0">
                  <c:v>0.27174583175858663</c:v>
                </c:pt>
                <c:pt idx="1">
                  <c:v>0.19189336813770325</c:v>
                </c:pt>
              </c:numCache>
            </c:numRef>
          </c:yVal>
          <c:smooth val="0"/>
        </c:ser>
        <c:ser>
          <c:idx val="21"/>
          <c:order val="20"/>
          <c:tx>
            <c:v>340</c:v>
          </c:tx>
          <c:spPr>
            <a:ln w="12700">
              <a:solidFill>
                <a:srgbClr val="969696"/>
              </a:solidFill>
              <a:prstDash val="solid"/>
            </a:ln>
          </c:spPr>
          <c:marker>
            <c:symbol val="none"/>
          </c:marker>
          <c:xVal>
            <c:numRef>
              <c:f>(Ref!$AN$46,Ref!$AS$46)</c:f>
              <c:numCache>
                <c:formatCode>0.000</c:formatCode>
                <c:ptCount val="2"/>
                <c:pt idx="0">
                  <c:v>0.17224815623346354</c:v>
                </c:pt>
                <c:pt idx="1">
                  <c:v>0.41724341948175275</c:v>
                </c:pt>
              </c:numCache>
            </c:numRef>
          </c:xVal>
          <c:yVal>
            <c:numRef>
              <c:f>(Ref!$AO$46,Ref!$AT$46)</c:f>
              <c:numCache>
                <c:formatCode>0.000</c:formatCode>
                <c:ptCount val="2"/>
                <c:pt idx="0">
                  <c:v>0.24054507825546234</c:v>
                </c:pt>
                <c:pt idx="1">
                  <c:v>0.18056004678120552</c:v>
                </c:pt>
              </c:numCache>
            </c:numRef>
          </c:yVal>
          <c:smooth val="0"/>
        </c:ser>
        <c:ser>
          <c:idx val="22"/>
          <c:order val="21"/>
          <c:tx>
            <c:v>rocks</c:v>
          </c:tx>
          <c:spPr>
            <a:ln w="28575">
              <a:noFill/>
            </a:ln>
          </c:spPr>
          <c:marker>
            <c:symbol val="square"/>
            <c:size val="7"/>
            <c:spPr>
              <a:solidFill>
                <a:srgbClr val="C0C0C0"/>
              </a:solidFill>
              <a:ln>
                <a:solidFill>
                  <a:srgbClr val="FF00FF"/>
                </a:solidFill>
                <a:prstDash val="solid"/>
              </a:ln>
            </c:spPr>
          </c:marker>
          <c:dLbls>
            <c:dLbl>
              <c:idx val="0"/>
              <c:layout/>
              <c:tx>
                <c:strRef>
                  <c:f>Ref!$B$4</c:f>
                  <c:strCache>
                    <c:ptCount val="1"/>
                    <c:pt idx="0">
                      <c:v>Granite</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1"/>
              <c:layout/>
              <c:tx>
                <c:strRef>
                  <c:f>Ref!$B$5</c:f>
                  <c:strCache>
                    <c:ptCount val="1"/>
                    <c:pt idx="0">
                      <c:v>Diorite</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2"/>
              <c:layout/>
              <c:tx>
                <c:strRef>
                  <c:f>Ref!$B$6</c:f>
                  <c:strCache>
                    <c:ptCount val="1"/>
                    <c:pt idx="0">
                      <c:v>Basalt</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3"/>
              <c:layout/>
              <c:tx>
                <c:strRef>
                  <c:f>Ref!$B$7</c:f>
                  <c:strCache>
                    <c:ptCount val="1"/>
                    <c:pt idx="0">
                      <c:v>Ultramafic</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4"/>
              <c:layout/>
              <c:tx>
                <c:strRef>
                  <c:f>Ref!$B$8</c:f>
                  <c:strCache>
                    <c:ptCount val="1"/>
                    <c:pt idx="0">
                      <c:v>Limestone</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5"/>
              <c:layout/>
              <c:tx>
                <c:strRef>
                  <c:f>Ref!$B$9</c:f>
                  <c:strCache>
                    <c:ptCount val="1"/>
                    <c:pt idx="0">
                      <c:v>Sandstone</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6"/>
              <c:layout/>
              <c:tx>
                <c:strRef>
                  <c:f>Ref!$B$10</c:f>
                  <c:strCache>
                    <c:ptCount val="1"/>
                    <c:pt idx="0">
                      <c:v>Shale</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dLbl>
              <c:idx val="7"/>
              <c:layout/>
              <c:tx>
                <c:strRef>
                  <c:f>Ref!$B$11</c:f>
                  <c:strCache>
                    <c:ptCount val="1"/>
                    <c:pt idx="0">
                      <c:v>Seawater</c:v>
                    </c:pt>
                  </c:strCache>
                </c:strRef>
              </c:tx>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0"/>
              <c:showCatName val="0"/>
              <c:showSerName val="0"/>
              <c:showPercent val="0"/>
              <c:showBubbleSize val="0"/>
            </c:dLbl>
            <c:showLegendKey val="0"/>
            <c:showVal val="0"/>
            <c:showCatName val="0"/>
            <c:showSerName val="0"/>
            <c:showPercent val="0"/>
            <c:showBubbleSize val="0"/>
          </c:dLbls>
          <c:xVal>
            <c:numRef>
              <c:f>Ref!$AN$4:$AN$11</c:f>
              <c:numCache>
                <c:formatCode>0.000</c:formatCode>
                <c:ptCount val="8"/>
                <c:pt idx="0">
                  <c:v>0.20144487957326287</c:v>
                </c:pt>
                <c:pt idx="1">
                  <c:v>0.54673213401621101</c:v>
                </c:pt>
                <c:pt idx="2">
                  <c:v>0.62303879107825022</c:v>
                </c:pt>
                <c:pt idx="3">
                  <c:v>0.97869223311108189</c:v>
                </c:pt>
                <c:pt idx="4">
                  <c:v>1.041845931228605</c:v>
                </c:pt>
                <c:pt idx="5">
                  <c:v>0.30465565971534431</c:v>
                </c:pt>
                <c:pt idx="6">
                  <c:v>0.37773392173277914</c:v>
                </c:pt>
                <c:pt idx="7">
                  <c:v>0.94511493513023836</c:v>
                </c:pt>
              </c:numCache>
            </c:numRef>
          </c:xVal>
          <c:yVal>
            <c:numRef>
              <c:f>Ref!$AO$4:$AO$11</c:f>
              <c:numCache>
                <c:formatCode>0.000</c:formatCode>
                <c:ptCount val="8"/>
                <c:pt idx="0">
                  <c:v>6.2793227412750161E-2</c:v>
                </c:pt>
                <c:pt idx="1">
                  <c:v>8.1002979945878226E-2</c:v>
                </c:pt>
                <c:pt idx="2">
                  <c:v>8.1708043344425246E-2</c:v>
                </c:pt>
                <c:pt idx="3">
                  <c:v>7.4354922158444293E-3</c:v>
                </c:pt>
                <c:pt idx="4">
                  <c:v>3.2044155672305377E-3</c:v>
                </c:pt>
                <c:pt idx="5">
                  <c:v>8.4274665002873034E-2</c:v>
                </c:pt>
                <c:pt idx="6">
                  <c:v>2.091834967388621E-2</c:v>
                </c:pt>
                <c:pt idx="7">
                  <c:v>0.21110976270303922</c:v>
                </c:pt>
              </c:numCache>
            </c:numRef>
          </c:yVal>
          <c:smooth val="0"/>
        </c:ser>
        <c:ser>
          <c:idx val="4"/>
          <c:order val="22"/>
          <c:tx>
            <c:v>data</c:v>
          </c:tx>
          <c:spPr>
            <a:ln w="28575">
              <a:noFill/>
            </a:ln>
          </c:spPr>
          <c:marker>
            <c:symbol val="diamond"/>
            <c:size val="10"/>
            <c:spPr>
              <a:noFill/>
              <a:ln>
                <a:solidFill>
                  <a:srgbClr val="800080"/>
                </a:solidFill>
                <a:prstDash val="solid"/>
              </a:ln>
            </c:spPr>
          </c:marker>
          <c:dLbls>
            <c:dLbl>
              <c:idx val="0"/>
              <c:tx>
                <c:strRef>
                  <c:f>Input!$AH$8</c:f>
                  <c:strCache>
                    <c:ptCount val="1"/>
                    <c:pt idx="0">
                      <c:v>0</c:v>
                    </c:pt>
                  </c:strCache>
                </c:strRef>
              </c:tx>
              <c:dLblPos val="t"/>
              <c:showLegendKey val="0"/>
              <c:showVal val="0"/>
              <c:showCatName val="0"/>
              <c:showSerName val="0"/>
              <c:showPercent val="0"/>
              <c:showBubbleSize val="0"/>
            </c:dLbl>
            <c:dLbl>
              <c:idx val="1"/>
              <c:tx>
                <c:strRef>
                  <c:f>Input!$AH$9</c:f>
                  <c:strCache>
                    <c:ptCount val="1"/>
                    <c:pt idx="0">
                      <c:v>0</c:v>
                    </c:pt>
                  </c:strCache>
                </c:strRef>
              </c:tx>
              <c:dLblPos val="t"/>
              <c:showLegendKey val="0"/>
              <c:showVal val="0"/>
              <c:showCatName val="0"/>
              <c:showSerName val="0"/>
              <c:showPercent val="0"/>
              <c:showBubbleSize val="0"/>
            </c:dLbl>
            <c:dLbl>
              <c:idx val="2"/>
              <c:tx>
                <c:strRef>
                  <c:f>Input!$AH$10</c:f>
                  <c:strCache>
                    <c:ptCount val="1"/>
                    <c:pt idx="0">
                      <c:v>0</c:v>
                    </c:pt>
                  </c:strCache>
                </c:strRef>
              </c:tx>
              <c:dLblPos val="t"/>
              <c:showLegendKey val="0"/>
              <c:showVal val="0"/>
              <c:showCatName val="0"/>
              <c:showSerName val="0"/>
              <c:showPercent val="0"/>
              <c:showBubbleSize val="0"/>
            </c:dLbl>
            <c:dLbl>
              <c:idx val="3"/>
              <c:tx>
                <c:strRef>
                  <c:f>Input!$AH$11</c:f>
                  <c:strCache>
                    <c:ptCount val="1"/>
                    <c:pt idx="0">
                      <c:v>0</c:v>
                    </c:pt>
                  </c:strCache>
                </c:strRef>
              </c:tx>
              <c:dLblPos val="t"/>
              <c:showLegendKey val="0"/>
              <c:showVal val="0"/>
              <c:showCatName val="0"/>
              <c:showSerName val="0"/>
              <c:showPercent val="0"/>
              <c:showBubbleSize val="0"/>
            </c:dLbl>
            <c:dLbl>
              <c:idx val="4"/>
              <c:tx>
                <c:strRef>
                  <c:f>Input!$AH$12</c:f>
                  <c:strCache>
                    <c:ptCount val="1"/>
                    <c:pt idx="0">
                      <c:v>0</c:v>
                    </c:pt>
                  </c:strCache>
                </c:strRef>
              </c:tx>
              <c:dLblPos val="t"/>
              <c:showLegendKey val="0"/>
              <c:showVal val="0"/>
              <c:showCatName val="0"/>
              <c:showSerName val="0"/>
              <c:showPercent val="0"/>
              <c:showBubbleSize val="0"/>
            </c:dLbl>
            <c:dLbl>
              <c:idx val="5"/>
              <c:tx>
                <c:strRef>
                  <c:f>Input!$AH$13</c:f>
                  <c:strCache>
                    <c:ptCount val="1"/>
                    <c:pt idx="0">
                      <c:v>0</c:v>
                    </c:pt>
                  </c:strCache>
                </c:strRef>
              </c:tx>
              <c:dLblPos val="t"/>
              <c:showLegendKey val="0"/>
              <c:showVal val="0"/>
              <c:showCatName val="0"/>
              <c:showSerName val="0"/>
              <c:showPercent val="0"/>
              <c:showBubbleSize val="0"/>
            </c:dLbl>
            <c:dLbl>
              <c:idx val="6"/>
              <c:tx>
                <c:strRef>
                  <c:f>Input!$AH$14</c:f>
                  <c:strCache>
                    <c:ptCount val="1"/>
                    <c:pt idx="0">
                      <c:v>0</c:v>
                    </c:pt>
                  </c:strCache>
                </c:strRef>
              </c:tx>
              <c:dLblPos val="t"/>
              <c:showLegendKey val="0"/>
              <c:showVal val="0"/>
              <c:showCatName val="0"/>
              <c:showSerName val="0"/>
              <c:showPercent val="0"/>
              <c:showBubbleSize val="0"/>
            </c:dLbl>
            <c:dLbl>
              <c:idx val="7"/>
              <c:tx>
                <c:strRef>
                  <c:f>Input!$AH$15</c:f>
                  <c:strCache>
                    <c:ptCount val="1"/>
                    <c:pt idx="0">
                      <c:v>0</c:v>
                    </c:pt>
                  </c:strCache>
                </c:strRef>
              </c:tx>
              <c:dLblPos val="t"/>
              <c:showLegendKey val="0"/>
              <c:showVal val="0"/>
              <c:showCatName val="0"/>
              <c:showSerName val="0"/>
              <c:showPercent val="0"/>
              <c:showBubbleSize val="0"/>
            </c:dLbl>
            <c:dLbl>
              <c:idx val="8"/>
              <c:tx>
                <c:strRef>
                  <c:f>Input!$AH$16</c:f>
                  <c:strCache>
                    <c:ptCount val="1"/>
                    <c:pt idx="0">
                      <c:v>0</c:v>
                    </c:pt>
                  </c:strCache>
                </c:strRef>
              </c:tx>
              <c:dLblPos val="t"/>
              <c:showLegendKey val="0"/>
              <c:showVal val="0"/>
              <c:showCatName val="0"/>
              <c:showSerName val="0"/>
              <c:showPercent val="0"/>
              <c:showBubbleSize val="0"/>
            </c:dLbl>
            <c:dLbl>
              <c:idx val="9"/>
              <c:tx>
                <c:strRef>
                  <c:f>Input!$AH$17</c:f>
                  <c:strCache>
                    <c:ptCount val="1"/>
                    <c:pt idx="0">
                      <c:v>0</c:v>
                    </c:pt>
                  </c:strCache>
                </c:strRef>
              </c:tx>
              <c:dLblPos val="t"/>
              <c:showLegendKey val="0"/>
              <c:showVal val="0"/>
              <c:showCatName val="0"/>
              <c:showSerName val="0"/>
              <c:showPercent val="0"/>
              <c:showBubbleSize val="0"/>
            </c:dLbl>
            <c:dLbl>
              <c:idx val="10"/>
              <c:tx>
                <c:strRef>
                  <c:f>Input!$AH$18</c:f>
                  <c:strCache>
                    <c:ptCount val="1"/>
                    <c:pt idx="0">
                      <c:v>0</c:v>
                    </c:pt>
                  </c:strCache>
                </c:strRef>
              </c:tx>
              <c:dLblPos val="t"/>
              <c:showLegendKey val="0"/>
              <c:showVal val="0"/>
              <c:showCatName val="0"/>
              <c:showSerName val="0"/>
              <c:showPercent val="0"/>
              <c:showBubbleSize val="0"/>
            </c:dLbl>
            <c:dLbl>
              <c:idx val="11"/>
              <c:tx>
                <c:strRef>
                  <c:f>Input!$AH$19</c:f>
                  <c:strCache>
                    <c:ptCount val="1"/>
                    <c:pt idx="0">
                      <c:v>0</c:v>
                    </c:pt>
                  </c:strCache>
                </c:strRef>
              </c:tx>
              <c:dLblPos val="t"/>
              <c:showLegendKey val="0"/>
              <c:showVal val="0"/>
              <c:showCatName val="0"/>
              <c:showSerName val="0"/>
              <c:showPercent val="0"/>
              <c:showBubbleSize val="0"/>
            </c:dLbl>
            <c:dLbl>
              <c:idx val="12"/>
              <c:tx>
                <c:strRef>
                  <c:f>Input!$AH$20</c:f>
                  <c:strCache>
                    <c:ptCount val="1"/>
                    <c:pt idx="0">
                      <c:v>0</c:v>
                    </c:pt>
                  </c:strCache>
                </c:strRef>
              </c:tx>
              <c:dLblPos val="t"/>
              <c:showLegendKey val="0"/>
              <c:showVal val="0"/>
              <c:showCatName val="0"/>
              <c:showSerName val="0"/>
              <c:showPercent val="0"/>
              <c:showBubbleSize val="0"/>
            </c:dLbl>
            <c:dLbl>
              <c:idx val="13"/>
              <c:tx>
                <c:strRef>
                  <c:f>Input!$AH$21</c:f>
                  <c:strCache>
                    <c:ptCount val="1"/>
                    <c:pt idx="0">
                      <c:v>0</c:v>
                    </c:pt>
                  </c:strCache>
                </c:strRef>
              </c:tx>
              <c:dLblPos val="t"/>
              <c:showLegendKey val="0"/>
              <c:showVal val="0"/>
              <c:showCatName val="0"/>
              <c:showSerName val="0"/>
              <c:showPercent val="0"/>
              <c:showBubbleSize val="0"/>
            </c:dLbl>
            <c:dLbl>
              <c:idx val="14"/>
              <c:tx>
                <c:strRef>
                  <c:f>Input!$AH$22</c:f>
                  <c:strCache>
                    <c:ptCount val="1"/>
                    <c:pt idx="0">
                      <c:v>0</c:v>
                    </c:pt>
                  </c:strCache>
                </c:strRef>
              </c:tx>
              <c:dLblPos val="t"/>
              <c:showLegendKey val="0"/>
              <c:showVal val="0"/>
              <c:showCatName val="0"/>
              <c:showSerName val="0"/>
              <c:showPercent val="0"/>
              <c:showBubbleSize val="0"/>
            </c:dLbl>
            <c:dLbl>
              <c:idx val="15"/>
              <c:tx>
                <c:strRef>
                  <c:f>Input!$AH$23</c:f>
                  <c:strCache>
                    <c:ptCount val="1"/>
                    <c:pt idx="0">
                      <c:v>0</c:v>
                    </c:pt>
                  </c:strCache>
                </c:strRef>
              </c:tx>
              <c:dLblPos val="t"/>
              <c:showLegendKey val="0"/>
              <c:showVal val="0"/>
              <c:showCatName val="0"/>
              <c:showSerName val="0"/>
              <c:showPercent val="0"/>
              <c:showBubbleSize val="0"/>
            </c:dLbl>
            <c:dLbl>
              <c:idx val="16"/>
              <c:tx>
                <c:strRef>
                  <c:f>Input!$AH$24</c:f>
                  <c:strCache>
                    <c:ptCount val="1"/>
                    <c:pt idx="0">
                      <c:v>0</c:v>
                    </c:pt>
                  </c:strCache>
                </c:strRef>
              </c:tx>
              <c:dLblPos val="t"/>
              <c:showLegendKey val="0"/>
              <c:showVal val="0"/>
              <c:showCatName val="0"/>
              <c:showSerName val="0"/>
              <c:showPercent val="0"/>
              <c:showBubbleSize val="0"/>
            </c:dLbl>
            <c:dLbl>
              <c:idx val="17"/>
              <c:tx>
                <c:strRef>
                  <c:f>Input!$AH$25</c:f>
                  <c:strCache>
                    <c:ptCount val="1"/>
                    <c:pt idx="0">
                      <c:v>0</c:v>
                    </c:pt>
                  </c:strCache>
                </c:strRef>
              </c:tx>
              <c:dLblPos val="t"/>
              <c:showLegendKey val="0"/>
              <c:showVal val="0"/>
              <c:showCatName val="0"/>
              <c:showSerName val="0"/>
              <c:showPercent val="0"/>
              <c:showBubbleSize val="0"/>
            </c:dLbl>
            <c:dLbl>
              <c:idx val="18"/>
              <c:tx>
                <c:strRef>
                  <c:f>Input!$AH$26</c:f>
                  <c:strCache>
                    <c:ptCount val="1"/>
                    <c:pt idx="0">
                      <c:v>0</c:v>
                    </c:pt>
                  </c:strCache>
                </c:strRef>
              </c:tx>
              <c:dLblPos val="t"/>
              <c:showLegendKey val="0"/>
              <c:showVal val="0"/>
              <c:showCatName val="0"/>
              <c:showSerName val="0"/>
              <c:showPercent val="0"/>
              <c:showBubbleSize val="0"/>
            </c:dLbl>
            <c:dLbl>
              <c:idx val="19"/>
              <c:tx>
                <c:strRef>
                  <c:f>Input!$AH$27</c:f>
                  <c:strCache>
                    <c:ptCount val="1"/>
                    <c:pt idx="0">
                      <c:v>0</c:v>
                    </c:pt>
                  </c:strCache>
                </c:strRef>
              </c:tx>
              <c:dLblPos val="t"/>
              <c:showLegendKey val="0"/>
              <c:showVal val="0"/>
              <c:showCatName val="0"/>
              <c:showSerName val="0"/>
              <c:showPercent val="0"/>
              <c:showBubbleSize val="0"/>
            </c:dLbl>
            <c:dLbl>
              <c:idx val="20"/>
              <c:tx>
                <c:strRef>
                  <c:f>Input!$AH$28</c:f>
                  <c:strCache>
                    <c:ptCount val="1"/>
                    <c:pt idx="0">
                      <c:v>0</c:v>
                    </c:pt>
                  </c:strCache>
                </c:strRef>
              </c:tx>
              <c:dLblPos val="t"/>
              <c:showLegendKey val="0"/>
              <c:showVal val="0"/>
              <c:showCatName val="0"/>
              <c:showSerName val="0"/>
              <c:showPercent val="0"/>
              <c:showBubbleSize val="0"/>
            </c:dLbl>
            <c:dLbl>
              <c:idx val="21"/>
              <c:tx>
                <c:strRef>
                  <c:f>Input!$AH$29</c:f>
                  <c:strCache>
                    <c:ptCount val="1"/>
                    <c:pt idx="0">
                      <c:v>0</c:v>
                    </c:pt>
                  </c:strCache>
                </c:strRef>
              </c:tx>
              <c:dLblPos val="t"/>
              <c:showLegendKey val="0"/>
              <c:showVal val="0"/>
              <c:showCatName val="0"/>
              <c:showSerName val="0"/>
              <c:showPercent val="0"/>
              <c:showBubbleSize val="0"/>
            </c:dLbl>
            <c:dLbl>
              <c:idx val="22"/>
              <c:tx>
                <c:strRef>
                  <c:f>Input!$AH$30</c:f>
                  <c:strCache>
                    <c:ptCount val="1"/>
                    <c:pt idx="0">
                      <c:v>0</c:v>
                    </c:pt>
                  </c:strCache>
                </c:strRef>
              </c:tx>
              <c:dLblPos val="t"/>
              <c:showLegendKey val="0"/>
              <c:showVal val="0"/>
              <c:showCatName val="0"/>
              <c:showSerName val="0"/>
              <c:showPercent val="0"/>
              <c:showBubbleSize val="0"/>
            </c:dLbl>
            <c:dLbl>
              <c:idx val="23"/>
              <c:tx>
                <c:strRef>
                  <c:f>Input!$AH$31</c:f>
                  <c:strCache>
                    <c:ptCount val="1"/>
                    <c:pt idx="0">
                      <c:v>0</c:v>
                    </c:pt>
                  </c:strCache>
                </c:strRef>
              </c:tx>
              <c:dLblPos val="t"/>
              <c:showLegendKey val="0"/>
              <c:showVal val="0"/>
              <c:showCatName val="0"/>
              <c:showSerName val="0"/>
              <c:showPercent val="0"/>
              <c:showBubbleSize val="0"/>
            </c:dLbl>
            <c:dLbl>
              <c:idx val="24"/>
              <c:tx>
                <c:strRef>
                  <c:f>Input!$AH$32</c:f>
                  <c:strCache>
                    <c:ptCount val="1"/>
                    <c:pt idx="0">
                      <c:v>0</c:v>
                    </c:pt>
                  </c:strCache>
                </c:strRef>
              </c:tx>
              <c:dLblPos val="t"/>
              <c:showLegendKey val="0"/>
              <c:showVal val="0"/>
              <c:showCatName val="0"/>
              <c:showSerName val="0"/>
              <c:showPercent val="0"/>
              <c:showBubbleSize val="0"/>
            </c:dLbl>
            <c:dLbl>
              <c:idx val="25"/>
              <c:tx>
                <c:strRef>
                  <c:f>Input!$AH$33</c:f>
                  <c:strCache>
                    <c:ptCount val="1"/>
                    <c:pt idx="0">
                      <c:v>0</c:v>
                    </c:pt>
                  </c:strCache>
                </c:strRef>
              </c:tx>
              <c:dLblPos val="t"/>
              <c:showLegendKey val="0"/>
              <c:showVal val="0"/>
              <c:showCatName val="0"/>
              <c:showSerName val="0"/>
              <c:showPercent val="0"/>
              <c:showBubbleSize val="0"/>
            </c:dLbl>
            <c:dLbl>
              <c:idx val="26"/>
              <c:tx>
                <c:strRef>
                  <c:f>Input!$AH$34</c:f>
                  <c:strCache>
                    <c:ptCount val="1"/>
                    <c:pt idx="0">
                      <c:v>0</c:v>
                    </c:pt>
                  </c:strCache>
                </c:strRef>
              </c:tx>
              <c:dLblPos val="t"/>
              <c:showLegendKey val="0"/>
              <c:showVal val="0"/>
              <c:showCatName val="0"/>
              <c:showSerName val="0"/>
              <c:showPercent val="0"/>
              <c:showBubbleSize val="0"/>
            </c:dLbl>
            <c:dLbl>
              <c:idx val="27"/>
              <c:tx>
                <c:strRef>
                  <c:f>Input!$AH$35</c:f>
                  <c:strCache>
                    <c:ptCount val="1"/>
                    <c:pt idx="0">
                      <c:v>0</c:v>
                    </c:pt>
                  </c:strCache>
                </c:strRef>
              </c:tx>
              <c:dLblPos val="t"/>
              <c:showLegendKey val="0"/>
              <c:showVal val="0"/>
              <c:showCatName val="0"/>
              <c:showSerName val="0"/>
              <c:showPercent val="0"/>
              <c:showBubbleSize val="0"/>
            </c:dLbl>
            <c:dLbl>
              <c:idx val="28"/>
              <c:tx>
                <c:strRef>
                  <c:f>Input!$AH$36</c:f>
                  <c:strCache>
                    <c:ptCount val="1"/>
                    <c:pt idx="0">
                      <c:v>0</c:v>
                    </c:pt>
                  </c:strCache>
                </c:strRef>
              </c:tx>
              <c:dLblPos val="t"/>
              <c:showLegendKey val="0"/>
              <c:showVal val="0"/>
              <c:showCatName val="0"/>
              <c:showSerName val="0"/>
              <c:showPercent val="0"/>
              <c:showBubbleSize val="0"/>
            </c:dLbl>
            <c:dLbl>
              <c:idx val="29"/>
              <c:layout/>
              <c:tx>
                <c:strRef>
                  <c:f>Input!$AH$37</c:f>
                  <c:strCache>
                    <c:ptCount val="1"/>
                    <c:pt idx="0">
                      <c:v>0</c:v>
                    </c:pt>
                  </c:strCache>
                </c:strRef>
              </c:tx>
              <c:dLblPos val="t"/>
              <c:showLegendKey val="0"/>
              <c:showVal val="0"/>
              <c:showCatName val="0"/>
              <c:showSerName val="0"/>
              <c:showPercent val="0"/>
              <c:showBubbleSize val="0"/>
            </c:dLbl>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dLbls>
          <c:xVal>
            <c:numRef>
              <c:f>Input!$CV$8:$CV$37</c:f>
              <c:numCache>
                <c:formatCode>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formatCode="General">
                  <c:v>0.34103742690058481</c:v>
                </c:pt>
              </c:numCache>
            </c:numRef>
          </c:xVal>
          <c:yVal>
            <c:numRef>
              <c:f>Input!$CW$8:$CW$37</c:f>
              <c:numCache>
                <c:formatCode>0.000</c:formatCode>
                <c:ptCount val="3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formatCode="General">
                  <c:v>0.59064327485380119</c:v>
                </c:pt>
              </c:numCache>
            </c:numRef>
          </c:yVal>
          <c:smooth val="0"/>
        </c:ser>
        <c:dLbls>
          <c:showLegendKey val="0"/>
          <c:showVal val="0"/>
          <c:showCatName val="0"/>
          <c:showSerName val="0"/>
          <c:showPercent val="0"/>
          <c:showBubbleSize val="0"/>
        </c:dLbls>
        <c:axId val="106960384"/>
        <c:axId val="106974592"/>
      </c:scatterChart>
      <c:valAx>
        <c:axId val="106960384"/>
        <c:scaling>
          <c:orientation val="minMax"/>
          <c:max val="1.4"/>
          <c:min val="-0.2"/>
        </c:scaling>
        <c:delete val="1"/>
        <c:axPos val="b"/>
        <c:numFmt formatCode="General" sourceLinked="1"/>
        <c:majorTickMark val="out"/>
        <c:minorTickMark val="none"/>
        <c:tickLblPos val="none"/>
        <c:crossAx val="106974592"/>
        <c:crosses val="autoZero"/>
        <c:crossBetween val="midCat"/>
      </c:valAx>
      <c:valAx>
        <c:axId val="106974592"/>
        <c:scaling>
          <c:orientation val="minMax"/>
          <c:max val="1.2"/>
          <c:min val="-0.2"/>
        </c:scaling>
        <c:delete val="1"/>
        <c:axPos val="l"/>
        <c:numFmt formatCode="_(* #,##0.00_);_(* \(#,##0.00\);_(* &quot;-&quot;??_);_(@_)" sourceLinked="1"/>
        <c:majorTickMark val="out"/>
        <c:minorTickMark val="none"/>
        <c:tickLblPos val="none"/>
        <c:crossAx val="106960384"/>
        <c:crosses val="autoZero"/>
        <c:crossBetween val="midCat"/>
      </c:valAx>
      <c:spPr>
        <a:noFill/>
        <a:ln w="25400">
          <a:noFill/>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2208657047724751E-2"/>
          <c:y val="1.9801980198019816E-2"/>
          <c:w val="0.97669256381797998"/>
          <c:h val="0.96605374823196566"/>
        </c:manualLayout>
      </c:layout>
      <c:scatterChart>
        <c:scatterStyle val="lineMarker"/>
        <c:varyColors val="0"/>
        <c:ser>
          <c:idx val="1"/>
          <c:order val="0"/>
          <c:tx>
            <c:v>A grid</c:v>
          </c:tx>
          <c:spPr>
            <a:ln w="3175">
              <a:solidFill>
                <a:srgbClr val="808080"/>
              </a:solidFill>
              <a:prstDash val="sysDash"/>
            </a:ln>
          </c:spPr>
          <c:marker>
            <c:symbol val="none"/>
          </c:marker>
          <c:dLbls>
            <c:dLbl>
              <c:idx val="0"/>
              <c:layout/>
              <c:tx>
                <c:rich>
                  <a:bodyPr/>
                  <a:lstStyle/>
                  <a:p>
                    <a:r>
                      <a:rPr lang="en-NZ"/>
                      <a:t>10%</a:t>
                    </a:r>
                  </a:p>
                </c:rich>
              </c:tx>
              <c:dLblPos val="l"/>
              <c:showLegendKey val="0"/>
              <c:showVal val="0"/>
              <c:showCatName val="0"/>
              <c:showSerName val="0"/>
              <c:showPercent val="0"/>
              <c:showBubbleSize val="0"/>
            </c:dLbl>
            <c:dLbl>
              <c:idx val="1"/>
              <c:delete val="1"/>
            </c:dLbl>
            <c:dLbl>
              <c:idx val="2"/>
              <c:delete val="1"/>
            </c:dLbl>
            <c:dLbl>
              <c:idx val="3"/>
              <c:layout/>
              <c:tx>
                <c:rich>
                  <a:bodyPr/>
                  <a:lstStyle/>
                  <a:p>
                    <a:r>
                      <a:rPr lang="en-NZ"/>
                      <a:t>20%</a:t>
                    </a:r>
                  </a:p>
                </c:rich>
              </c:tx>
              <c:dLblPos val="l"/>
              <c:showLegendKey val="0"/>
              <c:showVal val="0"/>
              <c:showCatName val="0"/>
              <c:showSerName val="0"/>
              <c:showPercent val="0"/>
              <c:showBubbleSize val="0"/>
            </c:dLbl>
            <c:dLbl>
              <c:idx val="4"/>
              <c:layout/>
              <c:tx>
                <c:rich>
                  <a:bodyPr/>
                  <a:lstStyle/>
                  <a:p>
                    <a:r>
                      <a:rPr lang="en-NZ"/>
                      <a:t>30%</a:t>
                    </a:r>
                  </a:p>
                </c:rich>
              </c:tx>
              <c:dLblPos val="l"/>
              <c:showLegendKey val="0"/>
              <c:showVal val="0"/>
              <c:showCatName val="0"/>
              <c:showSerName val="0"/>
              <c:showPercent val="0"/>
              <c:showBubbleSize val="0"/>
            </c:dLbl>
            <c:dLbl>
              <c:idx val="5"/>
              <c:delete val="1"/>
            </c:dLbl>
            <c:dLbl>
              <c:idx val="6"/>
              <c:delete val="1"/>
            </c:dLbl>
            <c:dLbl>
              <c:idx val="7"/>
              <c:layout/>
              <c:tx>
                <c:rich>
                  <a:bodyPr/>
                  <a:lstStyle/>
                  <a:p>
                    <a:r>
                      <a:rPr lang="en-NZ"/>
                      <a:t>40%</a:t>
                    </a:r>
                  </a:p>
                </c:rich>
              </c:tx>
              <c:dLblPos val="l"/>
              <c:showLegendKey val="0"/>
              <c:showVal val="0"/>
              <c:showCatName val="0"/>
              <c:showSerName val="0"/>
              <c:showPercent val="0"/>
              <c:showBubbleSize val="0"/>
            </c:dLbl>
            <c:dLbl>
              <c:idx val="8"/>
              <c:layout/>
              <c:tx>
                <c:rich>
                  <a:bodyPr/>
                  <a:lstStyle/>
                  <a:p>
                    <a:r>
                      <a:rPr lang="en-NZ"/>
                      <a:t>50%</a:t>
                    </a:r>
                  </a:p>
                </c:rich>
              </c:tx>
              <c:dLblPos val="l"/>
              <c:showLegendKey val="0"/>
              <c:showVal val="0"/>
              <c:showCatName val="0"/>
              <c:showSerName val="0"/>
              <c:showPercent val="0"/>
              <c:showBubbleSize val="0"/>
            </c:dLbl>
            <c:dLbl>
              <c:idx val="9"/>
              <c:delete val="1"/>
            </c:dLbl>
            <c:dLbl>
              <c:idx val="10"/>
              <c:delete val="1"/>
            </c:dLbl>
            <c:dLbl>
              <c:idx val="11"/>
              <c:layout/>
              <c:tx>
                <c:rich>
                  <a:bodyPr/>
                  <a:lstStyle/>
                  <a:p>
                    <a:r>
                      <a:rPr lang="en-NZ"/>
                      <a:t>60%</a:t>
                    </a:r>
                  </a:p>
                </c:rich>
              </c:tx>
              <c:dLblPos val="l"/>
              <c:showLegendKey val="0"/>
              <c:showVal val="0"/>
              <c:showCatName val="0"/>
              <c:showSerName val="0"/>
              <c:showPercent val="0"/>
              <c:showBubbleSize val="0"/>
            </c:dLbl>
            <c:dLbl>
              <c:idx val="12"/>
              <c:layout/>
              <c:tx>
                <c:rich>
                  <a:bodyPr/>
                  <a:lstStyle/>
                  <a:p>
                    <a:r>
                      <a:rPr lang="en-NZ"/>
                      <a:t>70%</a:t>
                    </a:r>
                  </a:p>
                </c:rich>
              </c:tx>
              <c:dLblPos val="l"/>
              <c:showLegendKey val="0"/>
              <c:showVal val="0"/>
              <c:showCatName val="0"/>
              <c:showSerName val="0"/>
              <c:showPercent val="0"/>
              <c:showBubbleSize val="0"/>
            </c:dLbl>
            <c:dLbl>
              <c:idx val="13"/>
              <c:delete val="1"/>
            </c:dLbl>
            <c:dLbl>
              <c:idx val="14"/>
              <c:delete val="1"/>
            </c:dLbl>
            <c:dLbl>
              <c:idx val="15"/>
              <c:layout/>
              <c:tx>
                <c:rich>
                  <a:bodyPr/>
                  <a:lstStyle/>
                  <a:p>
                    <a:r>
                      <a:rPr lang="en-NZ"/>
                      <a:t>80%</a:t>
                    </a:r>
                  </a:p>
                </c:rich>
              </c:tx>
              <c:dLblPos val="l"/>
              <c:showLegendKey val="0"/>
              <c:showVal val="0"/>
              <c:showCatName val="0"/>
              <c:showSerName val="0"/>
              <c:showPercent val="0"/>
              <c:showBubbleSize val="0"/>
            </c:dLbl>
            <c:dLbl>
              <c:idx val="16"/>
              <c:layout/>
              <c:tx>
                <c:rich>
                  <a:bodyPr/>
                  <a:lstStyle/>
                  <a:p>
                    <a:r>
                      <a:rPr lang="en-NZ"/>
                      <a:t>90%</a:t>
                    </a:r>
                  </a:p>
                </c:rich>
              </c:tx>
              <c:dLblPos val="l"/>
              <c:showLegendKey val="0"/>
              <c:showVal val="0"/>
              <c:showCatName val="0"/>
              <c:showSerName val="0"/>
              <c:showPercent val="0"/>
              <c:showBubbleSize val="0"/>
            </c:dLbl>
            <c:dLbl>
              <c:idx val="17"/>
              <c:delete val="1"/>
            </c:dLbl>
            <c:spPr>
              <a:noFill/>
              <a:ln w="25400">
                <a:noFill/>
              </a:ln>
            </c:spPr>
            <c:txPr>
              <a:bodyPr/>
              <a:lstStyle/>
              <a:p>
                <a:pPr>
                  <a:defRPr sz="1200" b="0" i="0" u="none" strike="noStrike" baseline="0">
                    <a:solidFill>
                      <a:srgbClr val="808080"/>
                    </a:solidFill>
                    <a:latin typeface="Arial"/>
                    <a:ea typeface="Arial"/>
                    <a:cs typeface="Arial"/>
                  </a:defRPr>
                </a:pPr>
                <a:endParaRPr lang="en-US"/>
              </a:p>
            </c:txPr>
            <c:dLblPos val="l"/>
            <c:showLegendKey val="0"/>
            <c:showVal val="1"/>
            <c:showCatName val="0"/>
            <c:showSerName val="0"/>
            <c:showPercent val="0"/>
            <c:showBubbleSize val="0"/>
            <c:showLeaderLines val="0"/>
          </c:dLbls>
          <c:xVal>
            <c:numRef>
              <c:f>Tgrid!$F$5:$F$22</c:f>
              <c:numCache>
                <c:formatCode>General</c:formatCode>
                <c:ptCount val="18"/>
                <c:pt idx="0">
                  <c:v>5.7740000000000007E-2</c:v>
                </c:pt>
                <c:pt idx="1">
                  <c:v>1.09697</c:v>
                </c:pt>
                <c:pt idx="2">
                  <c:v>1.0392400000000002</c:v>
                </c:pt>
                <c:pt idx="3">
                  <c:v>0.11548000000000001</c:v>
                </c:pt>
                <c:pt idx="4">
                  <c:v>0.17322000000000001</c:v>
                </c:pt>
                <c:pt idx="5">
                  <c:v>0.98150999999999999</c:v>
                </c:pt>
                <c:pt idx="6">
                  <c:v>0.92378000000000005</c:v>
                </c:pt>
                <c:pt idx="7">
                  <c:v>0.23096000000000003</c:v>
                </c:pt>
                <c:pt idx="8">
                  <c:v>0.28870000000000001</c:v>
                </c:pt>
                <c:pt idx="9">
                  <c:v>0.86604999999999999</c:v>
                </c:pt>
                <c:pt idx="10">
                  <c:v>0.80832000000000015</c:v>
                </c:pt>
                <c:pt idx="11">
                  <c:v>0.34644000000000003</c:v>
                </c:pt>
                <c:pt idx="12">
                  <c:v>0.40417999999999998</c:v>
                </c:pt>
                <c:pt idx="13">
                  <c:v>0.75058999999999998</c:v>
                </c:pt>
                <c:pt idx="14">
                  <c:v>0.69286000000000003</c:v>
                </c:pt>
                <c:pt idx="15">
                  <c:v>0.46192000000000005</c:v>
                </c:pt>
                <c:pt idx="16">
                  <c:v>0.51966000000000001</c:v>
                </c:pt>
                <c:pt idx="17">
                  <c:v>0.63512999999999997</c:v>
                </c:pt>
              </c:numCache>
            </c:numRef>
          </c:xVal>
          <c:yVal>
            <c:numRef>
              <c:f>Tgrid!$G$5:$G$22</c:f>
              <c:numCache>
                <c:formatCode>_(* #,##0.00_);_(* \(#,##0.00\);_(* "-"??_);_(@_)</c:formatCode>
                <c:ptCount val="18"/>
                <c:pt idx="0">
                  <c:v>0.1</c:v>
                </c:pt>
                <c:pt idx="1">
                  <c:v>0.1</c:v>
                </c:pt>
                <c:pt idx="2">
                  <c:v>0.2</c:v>
                </c:pt>
                <c:pt idx="3">
                  <c:v>0.2</c:v>
                </c:pt>
                <c:pt idx="4">
                  <c:v>0.3</c:v>
                </c:pt>
                <c:pt idx="5">
                  <c:v>0.3</c:v>
                </c:pt>
                <c:pt idx="6">
                  <c:v>0.4</c:v>
                </c:pt>
                <c:pt idx="7">
                  <c:v>0.4</c:v>
                </c:pt>
                <c:pt idx="8">
                  <c:v>0.5</c:v>
                </c:pt>
                <c:pt idx="9">
                  <c:v>0.5</c:v>
                </c:pt>
                <c:pt idx="10">
                  <c:v>0.6</c:v>
                </c:pt>
                <c:pt idx="11">
                  <c:v>0.6</c:v>
                </c:pt>
                <c:pt idx="12">
                  <c:v>0.7</c:v>
                </c:pt>
                <c:pt idx="13">
                  <c:v>0.7</c:v>
                </c:pt>
                <c:pt idx="14">
                  <c:v>0.8</c:v>
                </c:pt>
                <c:pt idx="15">
                  <c:v>0.8</c:v>
                </c:pt>
                <c:pt idx="16">
                  <c:v>0.9</c:v>
                </c:pt>
                <c:pt idx="17">
                  <c:v>0.9</c:v>
                </c:pt>
              </c:numCache>
            </c:numRef>
          </c:yVal>
          <c:smooth val="0"/>
        </c:ser>
        <c:ser>
          <c:idx val="2"/>
          <c:order val="1"/>
          <c:tx>
            <c:v>B grid</c:v>
          </c:tx>
          <c:spPr>
            <a:ln w="3175">
              <a:solidFill>
                <a:srgbClr val="808080"/>
              </a:solidFill>
              <a:prstDash val="sysDash"/>
            </a:ln>
          </c:spPr>
          <c:marker>
            <c:symbol val="none"/>
          </c:marker>
          <c:dLbls>
            <c:dLbl>
              <c:idx val="0"/>
              <c:layout>
                <c:manualLayout>
                  <c:x val="-2.0912080773477115E-2"/>
                  <c:y val="3.6075243069863851E-2"/>
                </c:manualLayout>
              </c:layout>
              <c:tx>
                <c:rich>
                  <a:bodyPr/>
                  <a:lstStyle/>
                  <a:p>
                    <a:r>
                      <a:rPr lang="en-NZ"/>
                      <a:t>90%</a:t>
                    </a:r>
                  </a:p>
                </c:rich>
              </c:tx>
              <c:dLblPos val="r"/>
              <c:showLegendKey val="0"/>
              <c:showVal val="0"/>
              <c:showCatName val="0"/>
              <c:showSerName val="0"/>
              <c:showPercent val="0"/>
              <c:showBubbleSize val="0"/>
            </c:dLbl>
            <c:dLbl>
              <c:idx val="1"/>
              <c:delete val="1"/>
            </c:dLbl>
            <c:dLbl>
              <c:idx val="2"/>
              <c:delete val="1"/>
            </c:dLbl>
            <c:dLbl>
              <c:idx val="3"/>
              <c:layout>
                <c:manualLayout>
                  <c:x val="-2.4806150063650511E-2"/>
                  <c:y val="3.3246388755861001E-2"/>
                </c:manualLayout>
              </c:layout>
              <c:tx>
                <c:rich>
                  <a:bodyPr/>
                  <a:lstStyle/>
                  <a:p>
                    <a:r>
                      <a:rPr lang="en-NZ"/>
                      <a:t>80%</a:t>
                    </a:r>
                  </a:p>
                </c:rich>
              </c:tx>
              <c:dLblPos val="r"/>
              <c:showLegendKey val="0"/>
              <c:showVal val="0"/>
              <c:showCatName val="0"/>
              <c:showSerName val="0"/>
              <c:showPercent val="0"/>
              <c:showBubbleSize val="0"/>
            </c:dLbl>
            <c:dLbl>
              <c:idx val="4"/>
              <c:layout>
                <c:manualLayout>
                  <c:x val="-1.9821079523772087E-2"/>
                  <c:y val="3.6075243069863851E-2"/>
                </c:manualLayout>
              </c:layout>
              <c:tx>
                <c:rich>
                  <a:bodyPr/>
                  <a:lstStyle/>
                  <a:p>
                    <a:r>
                      <a:rPr lang="en-NZ"/>
                      <a:t>70%</a:t>
                    </a:r>
                  </a:p>
                </c:rich>
              </c:tx>
              <c:dLblPos val="r"/>
              <c:showLegendKey val="0"/>
              <c:showVal val="0"/>
              <c:showCatName val="0"/>
              <c:showSerName val="0"/>
              <c:showPercent val="0"/>
              <c:showBubbleSize val="0"/>
            </c:dLbl>
            <c:dLbl>
              <c:idx val="5"/>
              <c:delete val="1"/>
            </c:dLbl>
            <c:dLbl>
              <c:idx val="6"/>
              <c:delete val="1"/>
            </c:dLbl>
            <c:dLbl>
              <c:idx val="7"/>
              <c:layout>
                <c:manualLayout>
                  <c:x val="-2.1495392987086432E-2"/>
                  <c:y val="3.6075243069863851E-2"/>
                </c:manualLayout>
              </c:layout>
              <c:tx>
                <c:rich>
                  <a:bodyPr/>
                  <a:lstStyle/>
                  <a:p>
                    <a:r>
                      <a:rPr lang="en-NZ"/>
                      <a:t>60%</a:t>
                    </a:r>
                  </a:p>
                </c:rich>
              </c:tx>
              <c:dLblPos val="r"/>
              <c:showLegendKey val="0"/>
              <c:showVal val="0"/>
              <c:showCatName val="0"/>
              <c:showSerName val="0"/>
              <c:showPercent val="0"/>
              <c:showBubbleSize val="0"/>
            </c:dLbl>
            <c:dLbl>
              <c:idx val="8"/>
              <c:layout>
                <c:manualLayout>
                  <c:x val="-2.0949834100926112E-2"/>
                  <c:y val="3.6075243069863851E-2"/>
                </c:manualLayout>
              </c:layout>
              <c:tx>
                <c:rich>
                  <a:bodyPr/>
                  <a:lstStyle/>
                  <a:p>
                    <a:r>
                      <a:rPr lang="en-NZ"/>
                      <a:t>50%</a:t>
                    </a:r>
                  </a:p>
                </c:rich>
              </c:tx>
              <c:dLblPos val="r"/>
              <c:showLegendKey val="0"/>
              <c:showVal val="0"/>
              <c:showCatName val="0"/>
              <c:showSerName val="0"/>
              <c:showPercent val="0"/>
              <c:showBubbleSize val="0"/>
            </c:dLbl>
            <c:dLbl>
              <c:idx val="9"/>
              <c:delete val="1"/>
            </c:dLbl>
            <c:dLbl>
              <c:idx val="10"/>
              <c:delete val="1"/>
            </c:dLbl>
            <c:dLbl>
              <c:idx val="11"/>
              <c:layout>
                <c:manualLayout>
                  <c:x val="-2.040439173738133E-2"/>
                  <c:y val="3.6075243069863851E-2"/>
                </c:manualLayout>
              </c:layout>
              <c:tx>
                <c:rich>
                  <a:bodyPr/>
                  <a:lstStyle/>
                  <a:p>
                    <a:r>
                      <a:rPr lang="en-NZ"/>
                      <a:t>40%</a:t>
                    </a:r>
                  </a:p>
                </c:rich>
              </c:tx>
              <c:dLblPos val="r"/>
              <c:showLegendKey val="0"/>
              <c:showVal val="0"/>
              <c:showCatName val="0"/>
              <c:showSerName val="0"/>
              <c:showPercent val="0"/>
              <c:showBubbleSize val="0"/>
            </c:dLbl>
            <c:dLbl>
              <c:idx val="12"/>
              <c:layout>
                <c:manualLayout>
                  <c:x val="-1.9858832851220965E-2"/>
                  <c:y val="3.6075243069863851E-2"/>
                </c:manualLayout>
              </c:layout>
              <c:tx>
                <c:rich>
                  <a:bodyPr/>
                  <a:lstStyle/>
                  <a:p>
                    <a:r>
                      <a:rPr lang="en-NZ"/>
                      <a:t>30%</a:t>
                    </a:r>
                  </a:p>
                </c:rich>
              </c:tx>
              <c:dLblPos val="r"/>
              <c:showLegendKey val="0"/>
              <c:showVal val="0"/>
              <c:showCatName val="0"/>
              <c:showSerName val="0"/>
              <c:showPercent val="0"/>
              <c:showBubbleSize val="0"/>
            </c:dLbl>
            <c:dLbl>
              <c:idx val="13"/>
              <c:delete val="1"/>
            </c:dLbl>
            <c:dLbl>
              <c:idx val="14"/>
              <c:delete val="1"/>
            </c:dLbl>
            <c:dLbl>
              <c:idx val="15"/>
              <c:layout>
                <c:manualLayout>
                  <c:x val="-1.7093634660817241E-2"/>
                  <c:y val="3.3246388755861001E-2"/>
                </c:manualLayout>
              </c:layout>
              <c:tx>
                <c:rich>
                  <a:bodyPr/>
                  <a:lstStyle/>
                  <a:p>
                    <a:r>
                      <a:rPr lang="en-NZ"/>
                      <a:t>20%</a:t>
                    </a:r>
                  </a:p>
                </c:rich>
              </c:tx>
              <c:dLblPos val="r"/>
              <c:showLegendKey val="0"/>
              <c:showVal val="0"/>
              <c:showCatName val="0"/>
              <c:showSerName val="0"/>
              <c:showPercent val="0"/>
              <c:showBubbleSize val="0"/>
            </c:dLbl>
            <c:dLbl>
              <c:idx val="16"/>
              <c:layout>
                <c:manualLayout>
                  <c:x val="-2.0987587428375042E-2"/>
                  <c:y val="3.3246388755861001E-2"/>
                </c:manualLayout>
              </c:layout>
              <c:tx>
                <c:rich>
                  <a:bodyPr/>
                  <a:lstStyle/>
                  <a:p>
                    <a:r>
                      <a:rPr lang="en-NZ"/>
                      <a:t>10%</a:t>
                    </a:r>
                  </a:p>
                </c:rich>
              </c:tx>
              <c:dLblPos val="r"/>
              <c:showLegendKey val="0"/>
              <c:showVal val="0"/>
              <c:showCatName val="0"/>
              <c:showSerName val="0"/>
              <c:showPercent val="0"/>
              <c:showBubbleSize val="0"/>
            </c:dLbl>
            <c:dLbl>
              <c:idx val="17"/>
              <c:delete val="1"/>
            </c:dLbl>
            <c:spPr>
              <a:noFill/>
              <a:ln w="25400">
                <a:noFill/>
              </a:ln>
            </c:spPr>
            <c:txPr>
              <a:bodyPr rot="3600000" vert="horz"/>
              <a:lstStyle/>
              <a:p>
                <a:pPr algn="l">
                  <a:defRPr sz="1200" b="0" i="0" u="none" strike="noStrike" baseline="0">
                    <a:solidFill>
                      <a:srgbClr val="808080"/>
                    </a:solidFill>
                    <a:latin typeface="Arial"/>
                    <a:ea typeface="Arial"/>
                    <a:cs typeface="Arial"/>
                  </a:defRPr>
                </a:pPr>
                <a:endParaRPr lang="en-US"/>
              </a:p>
            </c:txPr>
            <c:dLblPos val="b"/>
            <c:showLegendKey val="0"/>
            <c:showVal val="1"/>
            <c:showCatName val="0"/>
            <c:showSerName val="0"/>
            <c:showPercent val="0"/>
            <c:showBubbleSize val="0"/>
            <c:showLeaderLines val="0"/>
          </c:dLbls>
          <c:xVal>
            <c:numRef>
              <c:f>Tgrid!$K$5:$K$22</c:f>
              <c:numCache>
                <c:formatCode>General</c:formatCode>
                <c:ptCount val="18"/>
                <c:pt idx="0">
                  <c:v>0.11547000000000002</c:v>
                </c:pt>
                <c:pt idx="1">
                  <c:v>5.7740000000000007E-2</c:v>
                </c:pt>
                <c:pt idx="2">
                  <c:v>0.11548000000000001</c:v>
                </c:pt>
                <c:pt idx="3">
                  <c:v>0.23094000000000003</c:v>
                </c:pt>
                <c:pt idx="4">
                  <c:v>0.34641</c:v>
                </c:pt>
                <c:pt idx="5">
                  <c:v>0.17322000000000001</c:v>
                </c:pt>
                <c:pt idx="6">
                  <c:v>0.23096000000000003</c:v>
                </c:pt>
                <c:pt idx="7">
                  <c:v>0.46188000000000007</c:v>
                </c:pt>
                <c:pt idx="8">
                  <c:v>0.57735000000000003</c:v>
                </c:pt>
                <c:pt idx="9">
                  <c:v>0.28870000000000001</c:v>
                </c:pt>
                <c:pt idx="10">
                  <c:v>0.34644000000000003</c:v>
                </c:pt>
                <c:pt idx="11">
                  <c:v>0.69281999999999999</c:v>
                </c:pt>
                <c:pt idx="12">
                  <c:v>0.80828999999999995</c:v>
                </c:pt>
                <c:pt idx="13">
                  <c:v>0.40417999999999998</c:v>
                </c:pt>
                <c:pt idx="14">
                  <c:v>0.46192000000000005</c:v>
                </c:pt>
                <c:pt idx="15">
                  <c:v>0.92376000000000014</c:v>
                </c:pt>
                <c:pt idx="16">
                  <c:v>1.0392300000000001</c:v>
                </c:pt>
                <c:pt idx="17">
                  <c:v>0.51966000000000001</c:v>
                </c:pt>
              </c:numCache>
            </c:numRef>
          </c:xVal>
          <c:yVal>
            <c:numRef>
              <c:f>Tgrid!$L$5:$L$22</c:f>
              <c:numCache>
                <c:formatCode>0.00</c:formatCode>
                <c:ptCount val="18"/>
                <c:pt idx="0">
                  <c:v>0</c:v>
                </c:pt>
                <c:pt idx="1">
                  <c:v>0.1</c:v>
                </c:pt>
                <c:pt idx="2">
                  <c:v>0.2</c:v>
                </c:pt>
                <c:pt idx="3">
                  <c:v>0</c:v>
                </c:pt>
                <c:pt idx="4">
                  <c:v>0</c:v>
                </c:pt>
                <c:pt idx="5">
                  <c:v>0.3</c:v>
                </c:pt>
                <c:pt idx="6">
                  <c:v>0.4</c:v>
                </c:pt>
                <c:pt idx="7">
                  <c:v>0</c:v>
                </c:pt>
                <c:pt idx="8">
                  <c:v>0</c:v>
                </c:pt>
                <c:pt idx="9">
                  <c:v>0.5</c:v>
                </c:pt>
                <c:pt idx="10">
                  <c:v>0.6</c:v>
                </c:pt>
                <c:pt idx="11">
                  <c:v>0</c:v>
                </c:pt>
                <c:pt idx="12">
                  <c:v>0</c:v>
                </c:pt>
                <c:pt idx="13">
                  <c:v>0.7</c:v>
                </c:pt>
                <c:pt idx="14">
                  <c:v>0.8</c:v>
                </c:pt>
                <c:pt idx="15">
                  <c:v>0</c:v>
                </c:pt>
                <c:pt idx="16">
                  <c:v>0</c:v>
                </c:pt>
                <c:pt idx="17">
                  <c:v>0.9</c:v>
                </c:pt>
              </c:numCache>
            </c:numRef>
          </c:yVal>
          <c:smooth val="0"/>
        </c:ser>
        <c:ser>
          <c:idx val="3"/>
          <c:order val="2"/>
          <c:tx>
            <c:v>C grid</c:v>
          </c:tx>
          <c:spPr>
            <a:ln w="3175">
              <a:solidFill>
                <a:srgbClr val="808080"/>
              </a:solidFill>
              <a:prstDash val="sysDash"/>
            </a:ln>
          </c:spPr>
          <c:marker>
            <c:symbol val="none"/>
          </c:marker>
          <c:dLbls>
            <c:dLbl>
              <c:idx val="0"/>
              <c:delete val="1"/>
            </c:dLbl>
            <c:dLbl>
              <c:idx val="1"/>
              <c:layout>
                <c:manualLayout>
                  <c:x val="-1.0715652774257784E-2"/>
                  <c:y val="-3.17162829893788E-2"/>
                </c:manualLayout>
              </c:layout>
              <c:tx>
                <c:rich>
                  <a:bodyPr/>
                  <a:lstStyle/>
                  <a:p>
                    <a:r>
                      <a:rPr lang="en-NZ"/>
                      <a:t>10%</a:t>
                    </a:r>
                  </a:p>
                </c:rich>
              </c:tx>
              <c:dLblPos val="r"/>
              <c:showLegendKey val="0"/>
              <c:showVal val="0"/>
              <c:showCatName val="0"/>
              <c:showSerName val="0"/>
              <c:showPercent val="0"/>
              <c:showBubbleSize val="0"/>
            </c:dLbl>
            <c:dLbl>
              <c:idx val="2"/>
              <c:layout>
                <c:manualLayout>
                  <c:x val="-1.2659599570031457E-2"/>
                  <c:y val="-3.141320206261352E-2"/>
                </c:manualLayout>
              </c:layout>
              <c:tx>
                <c:rich>
                  <a:bodyPr/>
                  <a:lstStyle/>
                  <a:p>
                    <a:r>
                      <a:rPr lang="en-NZ"/>
                      <a:t>20%</a:t>
                    </a:r>
                  </a:p>
                </c:rich>
              </c:tx>
              <c:dLblPos val="r"/>
              <c:showLegendKey val="0"/>
              <c:showVal val="0"/>
              <c:showCatName val="0"/>
              <c:showSerName val="0"/>
              <c:showPercent val="0"/>
              <c:showBubbleSize val="0"/>
            </c:dLbl>
            <c:dLbl>
              <c:idx val="3"/>
              <c:delete val="1"/>
            </c:dLbl>
            <c:dLbl>
              <c:idx val="4"/>
              <c:delete val="1"/>
            </c:dLbl>
            <c:dLbl>
              <c:idx val="5"/>
              <c:layout>
                <c:manualLayout>
                  <c:x val="-1.2383790538946168E-2"/>
                  <c:y val="-3.6767829763853788E-2"/>
                </c:manualLayout>
              </c:layout>
              <c:tx>
                <c:rich>
                  <a:bodyPr/>
                  <a:lstStyle/>
                  <a:p>
                    <a:r>
                      <a:rPr lang="en-NZ"/>
                      <a:t>30%</a:t>
                    </a:r>
                  </a:p>
                </c:rich>
              </c:tx>
              <c:dLblPos val="r"/>
              <c:showLegendKey val="0"/>
              <c:showVal val="0"/>
              <c:showCatName val="0"/>
              <c:showSerName val="0"/>
              <c:showPercent val="0"/>
              <c:showBubbleSize val="0"/>
            </c:dLbl>
            <c:dLbl>
              <c:idx val="6"/>
              <c:layout>
                <c:manualLayout>
                  <c:x val="-1.2107981507860884E-2"/>
                  <c:y val="-3.9293603151091226E-2"/>
                </c:manualLayout>
              </c:layout>
              <c:tx>
                <c:rich>
                  <a:bodyPr/>
                  <a:lstStyle/>
                  <a:p>
                    <a:r>
                      <a:rPr lang="en-NZ"/>
                      <a:t>40%</a:t>
                    </a:r>
                  </a:p>
                </c:rich>
              </c:tx>
              <c:dLblPos val="r"/>
              <c:showLegendKey val="0"/>
              <c:showVal val="0"/>
              <c:showCatName val="0"/>
              <c:showSerName val="0"/>
              <c:showPercent val="0"/>
              <c:showBubbleSize val="0"/>
            </c:dLbl>
            <c:dLbl>
              <c:idx val="7"/>
              <c:delete val="1"/>
            </c:dLbl>
            <c:dLbl>
              <c:idx val="8"/>
              <c:delete val="1"/>
            </c:dLbl>
            <c:dLbl>
              <c:idx val="9"/>
              <c:layout>
                <c:manualLayout>
                  <c:x val="-1.7381562043923163E-2"/>
                  <c:y val="-4.3233655199040703E-2"/>
                </c:manualLayout>
              </c:layout>
              <c:tx>
                <c:rich>
                  <a:bodyPr/>
                  <a:lstStyle/>
                  <a:p>
                    <a:r>
                      <a:rPr lang="en-NZ"/>
                      <a:t>50%</a:t>
                    </a:r>
                  </a:p>
                </c:rich>
              </c:tx>
              <c:dLblPos val="r"/>
              <c:showLegendKey val="0"/>
              <c:showVal val="0"/>
              <c:showCatName val="0"/>
              <c:showSerName val="0"/>
              <c:showPercent val="0"/>
              <c:showBubbleSize val="0"/>
            </c:dLbl>
            <c:dLbl>
              <c:idx val="10"/>
              <c:layout>
                <c:manualLayout>
                  <c:x val="-1.2666241359119737E-2"/>
                  <c:y val="-4.434500142927681E-2"/>
                </c:manualLayout>
              </c:layout>
              <c:tx>
                <c:rich>
                  <a:bodyPr/>
                  <a:lstStyle/>
                  <a:p>
                    <a:r>
                      <a:rPr lang="en-NZ"/>
                      <a:t>60%</a:t>
                    </a:r>
                  </a:p>
                </c:rich>
              </c:tx>
              <c:dLblPos val="r"/>
              <c:showLegendKey val="0"/>
              <c:showVal val="0"/>
              <c:showCatName val="0"/>
              <c:showSerName val="0"/>
              <c:showPercent val="0"/>
              <c:showBubbleSize val="0"/>
            </c:dLbl>
            <c:dLbl>
              <c:idx val="11"/>
              <c:delete val="1"/>
            </c:dLbl>
            <c:dLbl>
              <c:idx val="12"/>
              <c:delete val="1"/>
            </c:dLbl>
            <c:dLbl>
              <c:idx val="13"/>
              <c:layout>
                <c:manualLayout>
                  <c:x val="-1.0170793023790958E-2"/>
                  <c:y val="-4.1213066188508549E-2"/>
                </c:manualLayout>
              </c:layout>
              <c:tx>
                <c:rich>
                  <a:bodyPr/>
                  <a:lstStyle/>
                  <a:p>
                    <a:r>
                      <a:rPr lang="en-NZ"/>
                      <a:t>70%</a:t>
                    </a:r>
                  </a:p>
                </c:rich>
              </c:tx>
              <c:dLblPos val="r"/>
              <c:showLegendKey val="0"/>
              <c:showVal val="0"/>
              <c:showCatName val="0"/>
              <c:showSerName val="0"/>
              <c:showPercent val="0"/>
              <c:showBubbleSize val="0"/>
            </c:dLbl>
            <c:dLbl>
              <c:idx val="14"/>
              <c:layout>
                <c:manualLayout>
                  <c:x val="-1.2114739819564745E-2"/>
                  <c:y val="-4.0909985261743283E-2"/>
                </c:manualLayout>
              </c:layout>
              <c:tx>
                <c:rich>
                  <a:bodyPr/>
                  <a:lstStyle/>
                  <a:p>
                    <a:r>
                      <a:rPr lang="en-NZ"/>
                      <a:t>80%</a:t>
                    </a:r>
                  </a:p>
                </c:rich>
              </c:tx>
              <c:dLblPos val="r"/>
              <c:showLegendKey val="0"/>
              <c:showVal val="0"/>
              <c:showCatName val="0"/>
              <c:showSerName val="0"/>
              <c:showPercent val="0"/>
              <c:showBubbleSize val="0"/>
            </c:dLbl>
            <c:dLbl>
              <c:idx val="15"/>
              <c:delete val="1"/>
            </c:dLbl>
            <c:dLbl>
              <c:idx val="16"/>
              <c:delete val="1"/>
            </c:dLbl>
            <c:dLbl>
              <c:idx val="17"/>
              <c:layout>
                <c:manualLayout>
                  <c:x val="-1.2948808701908888E-2"/>
                  <c:y val="-4.6264612962983585E-2"/>
                </c:manualLayout>
              </c:layout>
              <c:tx>
                <c:rich>
                  <a:bodyPr/>
                  <a:lstStyle/>
                  <a:p>
                    <a:r>
                      <a:rPr lang="en-NZ"/>
                      <a:t>90%</a:t>
                    </a:r>
                  </a:p>
                </c:rich>
              </c:tx>
              <c:dLblPos val="r"/>
              <c:showLegendKey val="0"/>
              <c:showVal val="0"/>
              <c:showCatName val="0"/>
              <c:showSerName val="0"/>
              <c:showPercent val="0"/>
              <c:showBubbleSize val="0"/>
            </c:dLbl>
            <c:spPr>
              <a:noFill/>
              <a:ln w="25400">
                <a:noFill/>
              </a:ln>
            </c:spPr>
            <c:txPr>
              <a:bodyPr rot="-3600000" vert="horz"/>
              <a:lstStyle/>
              <a:p>
                <a:pPr algn="l">
                  <a:defRPr sz="1200" b="0" i="0" u="none" strike="noStrike" baseline="0">
                    <a:solidFill>
                      <a:srgbClr val="808080"/>
                    </a:solidFill>
                    <a:latin typeface="Arial"/>
                    <a:ea typeface="Arial"/>
                    <a:cs typeface="Arial"/>
                  </a:defRPr>
                </a:pPr>
                <a:endParaRPr lang="en-US"/>
              </a:p>
            </c:txPr>
            <c:dLblPos val="r"/>
            <c:showLegendKey val="0"/>
            <c:showVal val="1"/>
            <c:showCatName val="0"/>
            <c:showSerName val="0"/>
            <c:showPercent val="0"/>
            <c:showBubbleSize val="0"/>
            <c:showLeaderLines val="0"/>
          </c:dLbls>
          <c:xVal>
            <c:numRef>
              <c:f>Tgrid!$P$5:$P$22</c:f>
              <c:numCache>
                <c:formatCode>General</c:formatCode>
                <c:ptCount val="18"/>
                <c:pt idx="0">
                  <c:v>0.11547000000000002</c:v>
                </c:pt>
                <c:pt idx="1">
                  <c:v>0.63512999999999997</c:v>
                </c:pt>
                <c:pt idx="2">
                  <c:v>0.69286000000000003</c:v>
                </c:pt>
                <c:pt idx="3">
                  <c:v>0.23094000000000003</c:v>
                </c:pt>
                <c:pt idx="4">
                  <c:v>0.34641</c:v>
                </c:pt>
                <c:pt idx="5">
                  <c:v>0.75058999999999998</c:v>
                </c:pt>
                <c:pt idx="6">
                  <c:v>0.80832000000000015</c:v>
                </c:pt>
                <c:pt idx="7">
                  <c:v>0.46188000000000007</c:v>
                </c:pt>
                <c:pt idx="8">
                  <c:v>0.57735000000000003</c:v>
                </c:pt>
                <c:pt idx="9">
                  <c:v>0.86604999999999999</c:v>
                </c:pt>
                <c:pt idx="10">
                  <c:v>0.92378000000000005</c:v>
                </c:pt>
                <c:pt idx="11">
                  <c:v>0.69281999999999999</c:v>
                </c:pt>
                <c:pt idx="12">
                  <c:v>0.80828999999999995</c:v>
                </c:pt>
                <c:pt idx="13">
                  <c:v>0.98150999999999999</c:v>
                </c:pt>
                <c:pt idx="14">
                  <c:v>1.0392400000000002</c:v>
                </c:pt>
                <c:pt idx="15">
                  <c:v>0.92376000000000014</c:v>
                </c:pt>
                <c:pt idx="16">
                  <c:v>1.0392300000000001</c:v>
                </c:pt>
                <c:pt idx="17">
                  <c:v>1.09697</c:v>
                </c:pt>
              </c:numCache>
            </c:numRef>
          </c:xVal>
          <c:yVal>
            <c:numRef>
              <c:f>Tgrid!$Q$5:$Q$22</c:f>
              <c:numCache>
                <c:formatCode>0.00</c:formatCode>
                <c:ptCount val="18"/>
                <c:pt idx="0">
                  <c:v>0</c:v>
                </c:pt>
                <c:pt idx="1">
                  <c:v>0.9</c:v>
                </c:pt>
                <c:pt idx="2">
                  <c:v>0.8</c:v>
                </c:pt>
                <c:pt idx="3">
                  <c:v>0</c:v>
                </c:pt>
                <c:pt idx="4">
                  <c:v>0</c:v>
                </c:pt>
                <c:pt idx="5">
                  <c:v>0.7</c:v>
                </c:pt>
                <c:pt idx="6">
                  <c:v>0.6</c:v>
                </c:pt>
                <c:pt idx="7">
                  <c:v>0</c:v>
                </c:pt>
                <c:pt idx="8">
                  <c:v>0</c:v>
                </c:pt>
                <c:pt idx="9">
                  <c:v>0.5</c:v>
                </c:pt>
                <c:pt idx="10">
                  <c:v>0.4</c:v>
                </c:pt>
                <c:pt idx="11">
                  <c:v>0</c:v>
                </c:pt>
                <c:pt idx="12">
                  <c:v>0</c:v>
                </c:pt>
                <c:pt idx="13">
                  <c:v>0.3</c:v>
                </c:pt>
                <c:pt idx="14">
                  <c:v>0.2</c:v>
                </c:pt>
                <c:pt idx="15">
                  <c:v>0</c:v>
                </c:pt>
                <c:pt idx="16">
                  <c:v>0</c:v>
                </c:pt>
                <c:pt idx="17">
                  <c:v>0.1</c:v>
                </c:pt>
              </c:numCache>
            </c:numRef>
          </c:yVal>
          <c:smooth val="0"/>
        </c:ser>
        <c:ser>
          <c:idx val="0"/>
          <c:order val="3"/>
          <c:tx>
            <c:v>border</c:v>
          </c:tx>
          <c:spPr>
            <a:ln w="38100">
              <a:solidFill>
                <a:srgbClr val="000000"/>
              </a:solidFill>
              <a:prstDash val="solid"/>
            </a:ln>
          </c:spPr>
          <c:marker>
            <c:symbol val="none"/>
          </c:marker>
          <c:dLbls>
            <c:dLbl>
              <c:idx val="0"/>
              <c:delete val="1"/>
            </c:dLbl>
            <c:dLbl>
              <c:idx val="1"/>
              <c:layout/>
              <c:tx>
                <c:strRef>
                  <c:f>Input!$CN$7</c:f>
                  <c:strCache>
                    <c:ptCount val="1"/>
                    <c:pt idx="0">
                      <c:v>Li</c:v>
                    </c:pt>
                  </c:strCache>
                </c:strRef>
              </c:tx>
              <c:dLblPos val="t"/>
              <c:showLegendKey val="0"/>
              <c:showVal val="0"/>
              <c:showCatName val="0"/>
              <c:showSerName val="0"/>
              <c:showPercent val="0"/>
              <c:showBubbleSize val="0"/>
            </c:dLbl>
            <c:dLbl>
              <c:idx val="2"/>
              <c:layout/>
              <c:tx>
                <c:strRef>
                  <c:f>Input!$CP$7</c:f>
                  <c:strCache>
                    <c:ptCount val="1"/>
                    <c:pt idx="0">
                      <c:v>10 Cs</c:v>
                    </c:pt>
                  </c:strCache>
                </c:strRef>
              </c:tx>
              <c:showLegendKey val="0"/>
              <c:showVal val="0"/>
              <c:showCatName val="0"/>
              <c:showSerName val="0"/>
              <c:showPercent val="0"/>
              <c:showBubbleSize val="0"/>
            </c:dLbl>
            <c:dLbl>
              <c:idx val="3"/>
              <c:layout/>
              <c:tx>
                <c:strRef>
                  <c:f>Input!$CO$7</c:f>
                  <c:strCache>
                    <c:ptCount val="1"/>
                    <c:pt idx="0">
                      <c:v>4 Rb</c:v>
                    </c:pt>
                  </c:strCache>
                </c:strRef>
              </c:tx>
              <c:dLblPos val="l"/>
              <c:showLegendKey val="0"/>
              <c:showVal val="0"/>
              <c:showCatName val="0"/>
              <c:showSerName val="0"/>
              <c:showPercent val="0"/>
              <c:showBubbleSize val="0"/>
            </c:dLbl>
            <c:spPr>
              <a:noFill/>
              <a:ln w="25400">
                <a:noFill/>
              </a:ln>
            </c:spPr>
            <c:txPr>
              <a:bodyPr/>
              <a:lstStyle/>
              <a:p>
                <a:pPr>
                  <a:defRPr sz="16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xVal>
            <c:numRef>
              <c:f>Tgrid!$A$5:$A$8</c:f>
              <c:numCache>
                <c:formatCode>General</c:formatCode>
                <c:ptCount val="4"/>
                <c:pt idx="0">
                  <c:v>0</c:v>
                </c:pt>
                <c:pt idx="1">
                  <c:v>0.57740000000000002</c:v>
                </c:pt>
                <c:pt idx="2">
                  <c:v>1.1547000000000001</c:v>
                </c:pt>
                <c:pt idx="3">
                  <c:v>0</c:v>
                </c:pt>
              </c:numCache>
            </c:numRef>
          </c:xVal>
          <c:yVal>
            <c:numRef>
              <c:f>Tgrid!$B$5:$B$8</c:f>
              <c:numCache>
                <c:formatCode>General</c:formatCode>
                <c:ptCount val="4"/>
                <c:pt idx="0">
                  <c:v>0</c:v>
                </c:pt>
                <c:pt idx="1">
                  <c:v>1</c:v>
                </c:pt>
                <c:pt idx="2">
                  <c:v>0</c:v>
                </c:pt>
                <c:pt idx="3">
                  <c:v>0</c:v>
                </c:pt>
              </c:numCache>
            </c:numRef>
          </c:yVal>
          <c:smooth val="0"/>
        </c:ser>
        <c:ser>
          <c:idx val="4"/>
          <c:order val="4"/>
          <c:tx>
            <c:v>data</c:v>
          </c:tx>
          <c:spPr>
            <a:ln w="28575">
              <a:noFill/>
            </a:ln>
          </c:spPr>
          <c:marker>
            <c:symbol val="triangle"/>
            <c:size val="6"/>
            <c:spPr>
              <a:solidFill>
                <a:srgbClr val="660066"/>
              </a:solidFill>
              <a:ln>
                <a:solidFill>
                  <a:srgbClr val="660066"/>
                </a:solidFill>
                <a:prstDash val="solid"/>
              </a:ln>
            </c:spPr>
          </c:marker>
          <c:dLbls>
            <c:dLbl>
              <c:idx val="0"/>
              <c:tx>
                <c:strRef>
                  <c:f>Input!$AH$8</c:f>
                  <c:strCache>
                    <c:ptCount val="1"/>
                    <c:pt idx="0">
                      <c:v>0</c:v>
                    </c:pt>
                  </c:strCache>
                </c:strRef>
              </c:tx>
              <c:dLblPos val="t"/>
              <c:showLegendKey val="0"/>
              <c:showVal val="0"/>
              <c:showCatName val="0"/>
              <c:showSerName val="0"/>
              <c:showPercent val="0"/>
              <c:showBubbleSize val="0"/>
            </c:dLbl>
            <c:dLbl>
              <c:idx val="1"/>
              <c:tx>
                <c:strRef>
                  <c:f>Input!$AH$9</c:f>
                  <c:strCache>
                    <c:ptCount val="1"/>
                    <c:pt idx="0">
                      <c:v>0</c:v>
                    </c:pt>
                  </c:strCache>
                </c:strRef>
              </c:tx>
              <c:dLblPos val="t"/>
              <c:showLegendKey val="0"/>
              <c:showVal val="0"/>
              <c:showCatName val="0"/>
              <c:showSerName val="0"/>
              <c:showPercent val="0"/>
              <c:showBubbleSize val="0"/>
            </c:dLbl>
            <c:dLbl>
              <c:idx val="2"/>
              <c:tx>
                <c:strRef>
                  <c:f>Input!$AH$10</c:f>
                  <c:strCache>
                    <c:ptCount val="1"/>
                    <c:pt idx="0">
                      <c:v>0</c:v>
                    </c:pt>
                  </c:strCache>
                </c:strRef>
              </c:tx>
              <c:dLblPos val="t"/>
              <c:showLegendKey val="0"/>
              <c:showVal val="0"/>
              <c:showCatName val="0"/>
              <c:showSerName val="0"/>
              <c:showPercent val="0"/>
              <c:showBubbleSize val="0"/>
            </c:dLbl>
            <c:dLbl>
              <c:idx val="3"/>
              <c:tx>
                <c:strRef>
                  <c:f>Input!$AH$11</c:f>
                  <c:strCache>
                    <c:ptCount val="1"/>
                    <c:pt idx="0">
                      <c:v>0</c:v>
                    </c:pt>
                  </c:strCache>
                </c:strRef>
              </c:tx>
              <c:dLblPos val="t"/>
              <c:showLegendKey val="0"/>
              <c:showVal val="0"/>
              <c:showCatName val="0"/>
              <c:showSerName val="0"/>
              <c:showPercent val="0"/>
              <c:showBubbleSize val="0"/>
            </c:dLbl>
            <c:dLbl>
              <c:idx val="4"/>
              <c:tx>
                <c:strRef>
                  <c:f>Input!$AH$12</c:f>
                  <c:strCache>
                    <c:ptCount val="1"/>
                    <c:pt idx="0">
                      <c:v>0</c:v>
                    </c:pt>
                  </c:strCache>
                </c:strRef>
              </c:tx>
              <c:dLblPos val="t"/>
              <c:showLegendKey val="0"/>
              <c:showVal val="0"/>
              <c:showCatName val="0"/>
              <c:showSerName val="0"/>
              <c:showPercent val="0"/>
              <c:showBubbleSize val="0"/>
            </c:dLbl>
            <c:dLbl>
              <c:idx val="5"/>
              <c:tx>
                <c:strRef>
                  <c:f>Input!$AH$13</c:f>
                  <c:strCache>
                    <c:ptCount val="1"/>
                    <c:pt idx="0">
                      <c:v>0</c:v>
                    </c:pt>
                  </c:strCache>
                </c:strRef>
              </c:tx>
              <c:dLblPos val="t"/>
              <c:showLegendKey val="0"/>
              <c:showVal val="0"/>
              <c:showCatName val="0"/>
              <c:showSerName val="0"/>
              <c:showPercent val="0"/>
              <c:showBubbleSize val="0"/>
            </c:dLbl>
            <c:dLbl>
              <c:idx val="6"/>
              <c:tx>
                <c:strRef>
                  <c:f>Input!$AH$14</c:f>
                  <c:strCache>
                    <c:ptCount val="1"/>
                    <c:pt idx="0">
                      <c:v>0</c:v>
                    </c:pt>
                  </c:strCache>
                </c:strRef>
              </c:tx>
              <c:dLblPos val="t"/>
              <c:showLegendKey val="0"/>
              <c:showVal val="0"/>
              <c:showCatName val="0"/>
              <c:showSerName val="0"/>
              <c:showPercent val="0"/>
              <c:showBubbleSize val="0"/>
            </c:dLbl>
            <c:dLbl>
              <c:idx val="7"/>
              <c:tx>
                <c:strRef>
                  <c:f>Input!$AH$15</c:f>
                  <c:strCache>
                    <c:ptCount val="1"/>
                    <c:pt idx="0">
                      <c:v>0</c:v>
                    </c:pt>
                  </c:strCache>
                </c:strRef>
              </c:tx>
              <c:dLblPos val="t"/>
              <c:showLegendKey val="0"/>
              <c:showVal val="0"/>
              <c:showCatName val="0"/>
              <c:showSerName val="0"/>
              <c:showPercent val="0"/>
              <c:showBubbleSize val="0"/>
            </c:dLbl>
            <c:dLbl>
              <c:idx val="8"/>
              <c:tx>
                <c:strRef>
                  <c:f>Input!$AH$16</c:f>
                  <c:strCache>
                    <c:ptCount val="1"/>
                    <c:pt idx="0">
                      <c:v>0</c:v>
                    </c:pt>
                  </c:strCache>
                </c:strRef>
              </c:tx>
              <c:dLblPos val="t"/>
              <c:showLegendKey val="0"/>
              <c:showVal val="0"/>
              <c:showCatName val="0"/>
              <c:showSerName val="0"/>
              <c:showPercent val="0"/>
              <c:showBubbleSize val="0"/>
            </c:dLbl>
            <c:dLbl>
              <c:idx val="9"/>
              <c:tx>
                <c:strRef>
                  <c:f>Input!$AH$17</c:f>
                  <c:strCache>
                    <c:ptCount val="1"/>
                    <c:pt idx="0">
                      <c:v>0</c:v>
                    </c:pt>
                  </c:strCache>
                </c:strRef>
              </c:tx>
              <c:dLblPos val="t"/>
              <c:showLegendKey val="0"/>
              <c:showVal val="0"/>
              <c:showCatName val="0"/>
              <c:showSerName val="0"/>
              <c:showPercent val="0"/>
              <c:showBubbleSize val="0"/>
            </c:dLbl>
            <c:dLbl>
              <c:idx val="10"/>
              <c:tx>
                <c:strRef>
                  <c:f>Input!$AH$18</c:f>
                  <c:strCache>
                    <c:ptCount val="1"/>
                    <c:pt idx="0">
                      <c:v>0</c:v>
                    </c:pt>
                  </c:strCache>
                </c:strRef>
              </c:tx>
              <c:dLblPos val="t"/>
              <c:showLegendKey val="0"/>
              <c:showVal val="0"/>
              <c:showCatName val="0"/>
              <c:showSerName val="0"/>
              <c:showPercent val="0"/>
              <c:showBubbleSize val="0"/>
            </c:dLbl>
            <c:dLbl>
              <c:idx val="11"/>
              <c:tx>
                <c:strRef>
                  <c:f>Input!$AH$19</c:f>
                  <c:strCache>
                    <c:ptCount val="1"/>
                    <c:pt idx="0">
                      <c:v>0</c:v>
                    </c:pt>
                  </c:strCache>
                </c:strRef>
              </c:tx>
              <c:dLblPos val="t"/>
              <c:showLegendKey val="0"/>
              <c:showVal val="0"/>
              <c:showCatName val="0"/>
              <c:showSerName val="0"/>
              <c:showPercent val="0"/>
              <c:showBubbleSize val="0"/>
            </c:dLbl>
            <c:dLbl>
              <c:idx val="12"/>
              <c:tx>
                <c:strRef>
                  <c:f>Input!$AH$20</c:f>
                  <c:strCache>
                    <c:ptCount val="1"/>
                    <c:pt idx="0">
                      <c:v>0</c:v>
                    </c:pt>
                  </c:strCache>
                </c:strRef>
              </c:tx>
              <c:dLblPos val="t"/>
              <c:showLegendKey val="0"/>
              <c:showVal val="0"/>
              <c:showCatName val="0"/>
              <c:showSerName val="0"/>
              <c:showPercent val="0"/>
              <c:showBubbleSize val="0"/>
            </c:dLbl>
            <c:dLbl>
              <c:idx val="13"/>
              <c:tx>
                <c:strRef>
                  <c:f>Input!$AH$21</c:f>
                  <c:strCache>
                    <c:ptCount val="1"/>
                    <c:pt idx="0">
                      <c:v>0</c:v>
                    </c:pt>
                  </c:strCache>
                </c:strRef>
              </c:tx>
              <c:dLblPos val="t"/>
              <c:showLegendKey val="0"/>
              <c:showVal val="0"/>
              <c:showCatName val="0"/>
              <c:showSerName val="0"/>
              <c:showPercent val="0"/>
              <c:showBubbleSize val="0"/>
            </c:dLbl>
            <c:dLbl>
              <c:idx val="14"/>
              <c:tx>
                <c:strRef>
                  <c:f>Input!$AH$22</c:f>
                  <c:strCache>
                    <c:ptCount val="1"/>
                    <c:pt idx="0">
                      <c:v>0</c:v>
                    </c:pt>
                  </c:strCache>
                </c:strRef>
              </c:tx>
              <c:dLblPos val="t"/>
              <c:showLegendKey val="0"/>
              <c:showVal val="0"/>
              <c:showCatName val="0"/>
              <c:showSerName val="0"/>
              <c:showPercent val="0"/>
              <c:showBubbleSize val="0"/>
            </c:dLbl>
            <c:dLbl>
              <c:idx val="15"/>
              <c:tx>
                <c:strRef>
                  <c:f>Input!$AH$23</c:f>
                  <c:strCache>
                    <c:ptCount val="1"/>
                    <c:pt idx="0">
                      <c:v>0</c:v>
                    </c:pt>
                  </c:strCache>
                </c:strRef>
              </c:tx>
              <c:dLblPos val="t"/>
              <c:showLegendKey val="0"/>
              <c:showVal val="0"/>
              <c:showCatName val="0"/>
              <c:showSerName val="0"/>
              <c:showPercent val="0"/>
              <c:showBubbleSize val="0"/>
            </c:dLbl>
            <c:dLbl>
              <c:idx val="16"/>
              <c:tx>
                <c:strRef>
                  <c:f>Input!$AH$24</c:f>
                  <c:strCache>
                    <c:ptCount val="1"/>
                    <c:pt idx="0">
                      <c:v>0</c:v>
                    </c:pt>
                  </c:strCache>
                </c:strRef>
              </c:tx>
              <c:dLblPos val="t"/>
              <c:showLegendKey val="0"/>
              <c:showVal val="0"/>
              <c:showCatName val="0"/>
              <c:showSerName val="0"/>
              <c:showPercent val="0"/>
              <c:showBubbleSize val="0"/>
            </c:dLbl>
            <c:dLbl>
              <c:idx val="17"/>
              <c:tx>
                <c:strRef>
                  <c:f>Input!$AH$25</c:f>
                  <c:strCache>
                    <c:ptCount val="1"/>
                    <c:pt idx="0">
                      <c:v>0</c:v>
                    </c:pt>
                  </c:strCache>
                </c:strRef>
              </c:tx>
              <c:dLblPos val="t"/>
              <c:showLegendKey val="0"/>
              <c:showVal val="0"/>
              <c:showCatName val="0"/>
              <c:showSerName val="0"/>
              <c:showPercent val="0"/>
              <c:showBubbleSize val="0"/>
            </c:dLbl>
            <c:dLbl>
              <c:idx val="18"/>
              <c:tx>
                <c:strRef>
                  <c:f>Input!$AH$26</c:f>
                  <c:strCache>
                    <c:ptCount val="1"/>
                    <c:pt idx="0">
                      <c:v>0</c:v>
                    </c:pt>
                  </c:strCache>
                </c:strRef>
              </c:tx>
              <c:dLblPos val="t"/>
              <c:showLegendKey val="0"/>
              <c:showVal val="0"/>
              <c:showCatName val="0"/>
              <c:showSerName val="0"/>
              <c:showPercent val="0"/>
              <c:showBubbleSize val="0"/>
            </c:dLbl>
            <c:dLbl>
              <c:idx val="19"/>
              <c:tx>
                <c:strRef>
                  <c:f>Input!$AH$27</c:f>
                  <c:strCache>
                    <c:ptCount val="1"/>
                    <c:pt idx="0">
                      <c:v>0</c:v>
                    </c:pt>
                  </c:strCache>
                </c:strRef>
              </c:tx>
              <c:dLblPos val="t"/>
              <c:showLegendKey val="0"/>
              <c:showVal val="0"/>
              <c:showCatName val="0"/>
              <c:showSerName val="0"/>
              <c:showPercent val="0"/>
              <c:showBubbleSize val="0"/>
            </c:dLbl>
            <c:dLbl>
              <c:idx val="20"/>
              <c:tx>
                <c:strRef>
                  <c:f>Input!$AH$28</c:f>
                  <c:strCache>
                    <c:ptCount val="1"/>
                    <c:pt idx="0">
                      <c:v>0</c:v>
                    </c:pt>
                  </c:strCache>
                </c:strRef>
              </c:tx>
              <c:dLblPos val="t"/>
              <c:showLegendKey val="0"/>
              <c:showVal val="0"/>
              <c:showCatName val="0"/>
              <c:showSerName val="0"/>
              <c:showPercent val="0"/>
              <c:showBubbleSize val="0"/>
            </c:dLbl>
            <c:dLbl>
              <c:idx val="21"/>
              <c:tx>
                <c:strRef>
                  <c:f>Input!$AH$29</c:f>
                  <c:strCache>
                    <c:ptCount val="1"/>
                    <c:pt idx="0">
                      <c:v>0</c:v>
                    </c:pt>
                  </c:strCache>
                </c:strRef>
              </c:tx>
              <c:dLblPos val="t"/>
              <c:showLegendKey val="0"/>
              <c:showVal val="0"/>
              <c:showCatName val="0"/>
              <c:showSerName val="0"/>
              <c:showPercent val="0"/>
              <c:showBubbleSize val="0"/>
            </c:dLbl>
            <c:dLbl>
              <c:idx val="22"/>
              <c:tx>
                <c:strRef>
                  <c:f>Input!$AH$30</c:f>
                  <c:strCache>
                    <c:ptCount val="1"/>
                    <c:pt idx="0">
                      <c:v>0</c:v>
                    </c:pt>
                  </c:strCache>
                </c:strRef>
              </c:tx>
              <c:dLblPos val="t"/>
              <c:showLegendKey val="0"/>
              <c:showVal val="0"/>
              <c:showCatName val="0"/>
              <c:showSerName val="0"/>
              <c:showPercent val="0"/>
              <c:showBubbleSize val="0"/>
            </c:dLbl>
            <c:dLbl>
              <c:idx val="23"/>
              <c:tx>
                <c:strRef>
                  <c:f>Input!$AH$31</c:f>
                  <c:strCache>
                    <c:ptCount val="1"/>
                    <c:pt idx="0">
                      <c:v>0</c:v>
                    </c:pt>
                  </c:strCache>
                </c:strRef>
              </c:tx>
              <c:dLblPos val="t"/>
              <c:showLegendKey val="0"/>
              <c:showVal val="0"/>
              <c:showCatName val="0"/>
              <c:showSerName val="0"/>
              <c:showPercent val="0"/>
              <c:showBubbleSize val="0"/>
            </c:dLbl>
            <c:dLbl>
              <c:idx val="24"/>
              <c:tx>
                <c:strRef>
                  <c:f>Input!$AH$32</c:f>
                  <c:strCache>
                    <c:ptCount val="1"/>
                    <c:pt idx="0">
                      <c:v>0</c:v>
                    </c:pt>
                  </c:strCache>
                </c:strRef>
              </c:tx>
              <c:dLblPos val="t"/>
              <c:showLegendKey val="0"/>
              <c:showVal val="0"/>
              <c:showCatName val="0"/>
              <c:showSerName val="0"/>
              <c:showPercent val="0"/>
              <c:showBubbleSize val="0"/>
            </c:dLbl>
            <c:dLbl>
              <c:idx val="25"/>
              <c:tx>
                <c:strRef>
                  <c:f>Input!$AH$33</c:f>
                  <c:strCache>
                    <c:ptCount val="1"/>
                    <c:pt idx="0">
                      <c:v>0</c:v>
                    </c:pt>
                  </c:strCache>
                </c:strRef>
              </c:tx>
              <c:dLblPos val="t"/>
              <c:showLegendKey val="0"/>
              <c:showVal val="0"/>
              <c:showCatName val="0"/>
              <c:showSerName val="0"/>
              <c:showPercent val="0"/>
              <c:showBubbleSize val="0"/>
            </c:dLbl>
            <c:dLbl>
              <c:idx val="26"/>
              <c:tx>
                <c:strRef>
                  <c:f>Input!$AH$34</c:f>
                  <c:strCache>
                    <c:ptCount val="1"/>
                    <c:pt idx="0">
                      <c:v>0</c:v>
                    </c:pt>
                  </c:strCache>
                </c:strRef>
              </c:tx>
              <c:dLblPos val="t"/>
              <c:showLegendKey val="0"/>
              <c:showVal val="0"/>
              <c:showCatName val="0"/>
              <c:showSerName val="0"/>
              <c:showPercent val="0"/>
              <c:showBubbleSize val="0"/>
            </c:dLbl>
            <c:dLbl>
              <c:idx val="27"/>
              <c:tx>
                <c:strRef>
                  <c:f>Input!$AH$35</c:f>
                  <c:strCache>
                    <c:ptCount val="1"/>
                    <c:pt idx="0">
                      <c:v>0</c:v>
                    </c:pt>
                  </c:strCache>
                </c:strRef>
              </c:tx>
              <c:dLblPos val="t"/>
              <c:showLegendKey val="0"/>
              <c:showVal val="0"/>
              <c:showCatName val="0"/>
              <c:showSerName val="0"/>
              <c:showPercent val="0"/>
              <c:showBubbleSize val="0"/>
            </c:dLbl>
            <c:dLbl>
              <c:idx val="28"/>
              <c:tx>
                <c:strRef>
                  <c:f>Input!$AH$36</c:f>
                  <c:strCache>
                    <c:ptCount val="1"/>
                    <c:pt idx="0">
                      <c:v>0</c:v>
                    </c:pt>
                  </c:strCache>
                </c:strRef>
              </c:tx>
              <c:dLblPos val="t"/>
              <c:showLegendKey val="0"/>
              <c:showVal val="0"/>
              <c:showCatName val="0"/>
              <c:showSerName val="0"/>
              <c:showPercent val="0"/>
              <c:showBubbleSize val="0"/>
            </c:dLbl>
            <c:dLbl>
              <c:idx val="29"/>
              <c:tx>
                <c:strRef>
                  <c:f>Input!$AH$37</c:f>
                  <c:strCache>
                    <c:ptCount val="1"/>
                    <c:pt idx="0">
                      <c:v>0</c:v>
                    </c:pt>
                  </c:strCache>
                </c:strRef>
              </c:tx>
              <c:dLblPos val="t"/>
              <c:showLegendKey val="0"/>
              <c:showVal val="0"/>
              <c:showCatName val="0"/>
              <c:showSerName val="0"/>
              <c:showPercent val="0"/>
              <c:showBubbleSize val="0"/>
            </c:dLbl>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dLbls>
          <c:xVal>
            <c:numRef>
              <c:f>Input!$CQ$8:$CQ$37</c:f>
              <c:numCache>
                <c:formatCode>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formatCode="General">
                  <c:v>0</c:v>
                </c:pt>
              </c:numCache>
            </c:numRef>
          </c:xVal>
          <c:yVal>
            <c:numRef>
              <c:f>Input!$CR$8:$CR$37</c:f>
              <c:numCache>
                <c:formatCode>0.000</c:formatCode>
                <c:ptCount val="3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formatCode="General">
                  <c:v>-1</c:v>
                </c:pt>
              </c:numCache>
            </c:numRef>
          </c:yVal>
          <c:smooth val="0"/>
        </c:ser>
        <c:dLbls>
          <c:showLegendKey val="0"/>
          <c:showVal val="0"/>
          <c:showCatName val="0"/>
          <c:showSerName val="0"/>
          <c:showPercent val="0"/>
          <c:showBubbleSize val="0"/>
        </c:dLbls>
        <c:axId val="108201472"/>
        <c:axId val="108203008"/>
      </c:scatterChart>
      <c:valAx>
        <c:axId val="108201472"/>
        <c:scaling>
          <c:orientation val="minMax"/>
          <c:max val="1.4"/>
          <c:min val="-0.2"/>
        </c:scaling>
        <c:delete val="1"/>
        <c:axPos val="b"/>
        <c:numFmt formatCode="General" sourceLinked="1"/>
        <c:majorTickMark val="out"/>
        <c:minorTickMark val="none"/>
        <c:tickLblPos val="none"/>
        <c:crossAx val="108203008"/>
        <c:crosses val="autoZero"/>
        <c:crossBetween val="midCat"/>
      </c:valAx>
      <c:valAx>
        <c:axId val="108203008"/>
        <c:scaling>
          <c:orientation val="minMax"/>
          <c:max val="1.2"/>
          <c:min val="-0.2"/>
        </c:scaling>
        <c:delete val="1"/>
        <c:axPos val="l"/>
        <c:numFmt formatCode="_(* #,##0.00_);_(* \(#,##0.00\);_(* &quot;-&quot;??_);_(@_)" sourceLinked="1"/>
        <c:majorTickMark val="out"/>
        <c:minorTickMark val="none"/>
        <c:tickLblPos val="none"/>
        <c:crossAx val="108201472"/>
        <c:crosses val="autoZero"/>
        <c:crossBetween val="midCat"/>
      </c:valAx>
      <c:spPr>
        <a:noFill/>
        <a:ln w="25400">
          <a:noFill/>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2208657047724751E-2"/>
          <c:y val="1.9801980198019813E-2"/>
          <c:w val="0.97669256381797998"/>
          <c:h val="0.96605374823196577"/>
        </c:manualLayout>
      </c:layout>
      <c:scatterChart>
        <c:scatterStyle val="lineMarker"/>
        <c:varyColors val="0"/>
        <c:ser>
          <c:idx val="1"/>
          <c:order val="0"/>
          <c:tx>
            <c:v>A grid</c:v>
          </c:tx>
          <c:spPr>
            <a:ln w="3175">
              <a:solidFill>
                <a:srgbClr val="808080"/>
              </a:solidFill>
              <a:prstDash val="sysDash"/>
            </a:ln>
          </c:spPr>
          <c:marker>
            <c:symbol val="none"/>
          </c:marker>
          <c:dLbls>
            <c:dLbl>
              <c:idx val="0"/>
              <c:layout/>
              <c:tx>
                <c:rich>
                  <a:bodyPr/>
                  <a:lstStyle/>
                  <a:p>
                    <a:r>
                      <a:rPr lang="en-NZ"/>
                      <a:t>10%</a:t>
                    </a:r>
                  </a:p>
                </c:rich>
              </c:tx>
              <c:dLblPos val="l"/>
              <c:showLegendKey val="0"/>
              <c:showVal val="0"/>
              <c:showCatName val="0"/>
              <c:showSerName val="0"/>
              <c:showPercent val="0"/>
              <c:showBubbleSize val="0"/>
            </c:dLbl>
            <c:dLbl>
              <c:idx val="1"/>
              <c:delete val="1"/>
            </c:dLbl>
            <c:dLbl>
              <c:idx val="2"/>
              <c:delete val="1"/>
            </c:dLbl>
            <c:dLbl>
              <c:idx val="3"/>
              <c:layout/>
              <c:tx>
                <c:rich>
                  <a:bodyPr/>
                  <a:lstStyle/>
                  <a:p>
                    <a:r>
                      <a:rPr lang="en-NZ"/>
                      <a:t>20%</a:t>
                    </a:r>
                  </a:p>
                </c:rich>
              </c:tx>
              <c:dLblPos val="l"/>
              <c:showLegendKey val="0"/>
              <c:showVal val="0"/>
              <c:showCatName val="0"/>
              <c:showSerName val="0"/>
              <c:showPercent val="0"/>
              <c:showBubbleSize val="0"/>
            </c:dLbl>
            <c:dLbl>
              <c:idx val="4"/>
              <c:layout/>
              <c:tx>
                <c:rich>
                  <a:bodyPr/>
                  <a:lstStyle/>
                  <a:p>
                    <a:r>
                      <a:rPr lang="en-NZ"/>
                      <a:t>30%</a:t>
                    </a:r>
                  </a:p>
                </c:rich>
              </c:tx>
              <c:dLblPos val="l"/>
              <c:showLegendKey val="0"/>
              <c:showVal val="0"/>
              <c:showCatName val="0"/>
              <c:showSerName val="0"/>
              <c:showPercent val="0"/>
              <c:showBubbleSize val="0"/>
            </c:dLbl>
            <c:dLbl>
              <c:idx val="5"/>
              <c:delete val="1"/>
            </c:dLbl>
            <c:dLbl>
              <c:idx val="6"/>
              <c:delete val="1"/>
            </c:dLbl>
            <c:dLbl>
              <c:idx val="7"/>
              <c:layout/>
              <c:tx>
                <c:rich>
                  <a:bodyPr/>
                  <a:lstStyle/>
                  <a:p>
                    <a:r>
                      <a:rPr lang="en-NZ"/>
                      <a:t>40%</a:t>
                    </a:r>
                  </a:p>
                </c:rich>
              </c:tx>
              <c:dLblPos val="l"/>
              <c:showLegendKey val="0"/>
              <c:showVal val="0"/>
              <c:showCatName val="0"/>
              <c:showSerName val="0"/>
              <c:showPercent val="0"/>
              <c:showBubbleSize val="0"/>
            </c:dLbl>
            <c:dLbl>
              <c:idx val="8"/>
              <c:layout/>
              <c:tx>
                <c:rich>
                  <a:bodyPr/>
                  <a:lstStyle/>
                  <a:p>
                    <a:r>
                      <a:rPr lang="en-NZ"/>
                      <a:t>50%</a:t>
                    </a:r>
                  </a:p>
                </c:rich>
              </c:tx>
              <c:dLblPos val="l"/>
              <c:showLegendKey val="0"/>
              <c:showVal val="0"/>
              <c:showCatName val="0"/>
              <c:showSerName val="0"/>
              <c:showPercent val="0"/>
              <c:showBubbleSize val="0"/>
            </c:dLbl>
            <c:dLbl>
              <c:idx val="9"/>
              <c:delete val="1"/>
            </c:dLbl>
            <c:dLbl>
              <c:idx val="10"/>
              <c:delete val="1"/>
            </c:dLbl>
            <c:dLbl>
              <c:idx val="11"/>
              <c:layout/>
              <c:tx>
                <c:rich>
                  <a:bodyPr/>
                  <a:lstStyle/>
                  <a:p>
                    <a:r>
                      <a:rPr lang="en-NZ"/>
                      <a:t>60%</a:t>
                    </a:r>
                  </a:p>
                </c:rich>
              </c:tx>
              <c:dLblPos val="l"/>
              <c:showLegendKey val="0"/>
              <c:showVal val="0"/>
              <c:showCatName val="0"/>
              <c:showSerName val="0"/>
              <c:showPercent val="0"/>
              <c:showBubbleSize val="0"/>
            </c:dLbl>
            <c:dLbl>
              <c:idx val="12"/>
              <c:layout/>
              <c:tx>
                <c:rich>
                  <a:bodyPr/>
                  <a:lstStyle/>
                  <a:p>
                    <a:r>
                      <a:rPr lang="en-NZ"/>
                      <a:t>70%</a:t>
                    </a:r>
                  </a:p>
                </c:rich>
              </c:tx>
              <c:dLblPos val="l"/>
              <c:showLegendKey val="0"/>
              <c:showVal val="0"/>
              <c:showCatName val="0"/>
              <c:showSerName val="0"/>
              <c:showPercent val="0"/>
              <c:showBubbleSize val="0"/>
            </c:dLbl>
            <c:dLbl>
              <c:idx val="13"/>
              <c:delete val="1"/>
            </c:dLbl>
            <c:dLbl>
              <c:idx val="14"/>
              <c:delete val="1"/>
            </c:dLbl>
            <c:dLbl>
              <c:idx val="15"/>
              <c:layout/>
              <c:tx>
                <c:rich>
                  <a:bodyPr/>
                  <a:lstStyle/>
                  <a:p>
                    <a:r>
                      <a:rPr lang="en-NZ"/>
                      <a:t>80%</a:t>
                    </a:r>
                  </a:p>
                </c:rich>
              </c:tx>
              <c:dLblPos val="l"/>
              <c:showLegendKey val="0"/>
              <c:showVal val="0"/>
              <c:showCatName val="0"/>
              <c:showSerName val="0"/>
              <c:showPercent val="0"/>
              <c:showBubbleSize val="0"/>
            </c:dLbl>
            <c:dLbl>
              <c:idx val="16"/>
              <c:layout/>
              <c:tx>
                <c:rich>
                  <a:bodyPr/>
                  <a:lstStyle/>
                  <a:p>
                    <a:r>
                      <a:rPr lang="en-NZ"/>
                      <a:t>90%</a:t>
                    </a:r>
                  </a:p>
                </c:rich>
              </c:tx>
              <c:dLblPos val="l"/>
              <c:showLegendKey val="0"/>
              <c:showVal val="0"/>
              <c:showCatName val="0"/>
              <c:showSerName val="0"/>
              <c:showPercent val="0"/>
              <c:showBubbleSize val="0"/>
            </c:dLbl>
            <c:dLbl>
              <c:idx val="17"/>
              <c:delete val="1"/>
            </c:dLbl>
            <c:spPr>
              <a:noFill/>
              <a:ln w="25400">
                <a:noFill/>
              </a:ln>
            </c:spPr>
            <c:txPr>
              <a:bodyPr/>
              <a:lstStyle/>
              <a:p>
                <a:pPr>
                  <a:defRPr sz="1200" b="0" i="0" u="none" strike="noStrike" baseline="0">
                    <a:solidFill>
                      <a:srgbClr val="808080"/>
                    </a:solidFill>
                    <a:latin typeface="Arial"/>
                    <a:ea typeface="Arial"/>
                    <a:cs typeface="Arial"/>
                  </a:defRPr>
                </a:pPr>
                <a:endParaRPr lang="en-US"/>
              </a:p>
            </c:txPr>
            <c:dLblPos val="l"/>
            <c:showLegendKey val="0"/>
            <c:showVal val="1"/>
            <c:showCatName val="0"/>
            <c:showSerName val="0"/>
            <c:showPercent val="0"/>
            <c:showBubbleSize val="0"/>
            <c:showLeaderLines val="0"/>
          </c:dLbls>
          <c:xVal>
            <c:numRef>
              <c:f>Tgrid!$F$5:$F$22</c:f>
              <c:numCache>
                <c:formatCode>General</c:formatCode>
                <c:ptCount val="18"/>
                <c:pt idx="0">
                  <c:v>5.7740000000000007E-2</c:v>
                </c:pt>
                <c:pt idx="1">
                  <c:v>1.09697</c:v>
                </c:pt>
                <c:pt idx="2">
                  <c:v>1.0392400000000002</c:v>
                </c:pt>
                <c:pt idx="3">
                  <c:v>0.11548000000000001</c:v>
                </c:pt>
                <c:pt idx="4">
                  <c:v>0.17322000000000001</c:v>
                </c:pt>
                <c:pt idx="5">
                  <c:v>0.98150999999999999</c:v>
                </c:pt>
                <c:pt idx="6">
                  <c:v>0.92378000000000005</c:v>
                </c:pt>
                <c:pt idx="7">
                  <c:v>0.23096000000000003</c:v>
                </c:pt>
                <c:pt idx="8">
                  <c:v>0.28870000000000001</c:v>
                </c:pt>
                <c:pt idx="9">
                  <c:v>0.86604999999999999</c:v>
                </c:pt>
                <c:pt idx="10">
                  <c:v>0.80832000000000015</c:v>
                </c:pt>
                <c:pt idx="11">
                  <c:v>0.34644000000000003</c:v>
                </c:pt>
                <c:pt idx="12">
                  <c:v>0.40417999999999998</c:v>
                </c:pt>
                <c:pt idx="13">
                  <c:v>0.75058999999999998</c:v>
                </c:pt>
                <c:pt idx="14">
                  <c:v>0.69286000000000003</c:v>
                </c:pt>
                <c:pt idx="15">
                  <c:v>0.46192000000000005</c:v>
                </c:pt>
                <c:pt idx="16">
                  <c:v>0.51966000000000001</c:v>
                </c:pt>
                <c:pt idx="17">
                  <c:v>0.63512999999999997</c:v>
                </c:pt>
              </c:numCache>
            </c:numRef>
          </c:xVal>
          <c:yVal>
            <c:numRef>
              <c:f>Tgrid!$G$5:$G$22</c:f>
              <c:numCache>
                <c:formatCode>_(* #,##0.00_);_(* \(#,##0.00\);_(* "-"??_);_(@_)</c:formatCode>
                <c:ptCount val="18"/>
                <c:pt idx="0">
                  <c:v>0.1</c:v>
                </c:pt>
                <c:pt idx="1">
                  <c:v>0.1</c:v>
                </c:pt>
                <c:pt idx="2">
                  <c:v>0.2</c:v>
                </c:pt>
                <c:pt idx="3">
                  <c:v>0.2</c:v>
                </c:pt>
                <c:pt idx="4">
                  <c:v>0.3</c:v>
                </c:pt>
                <c:pt idx="5">
                  <c:v>0.3</c:v>
                </c:pt>
                <c:pt idx="6">
                  <c:v>0.4</c:v>
                </c:pt>
                <c:pt idx="7">
                  <c:v>0.4</c:v>
                </c:pt>
                <c:pt idx="8">
                  <c:v>0.5</c:v>
                </c:pt>
                <c:pt idx="9">
                  <c:v>0.5</c:v>
                </c:pt>
                <c:pt idx="10">
                  <c:v>0.6</c:v>
                </c:pt>
                <c:pt idx="11">
                  <c:v>0.6</c:v>
                </c:pt>
                <c:pt idx="12">
                  <c:v>0.7</c:v>
                </c:pt>
                <c:pt idx="13">
                  <c:v>0.7</c:v>
                </c:pt>
                <c:pt idx="14">
                  <c:v>0.8</c:v>
                </c:pt>
                <c:pt idx="15">
                  <c:v>0.8</c:v>
                </c:pt>
                <c:pt idx="16">
                  <c:v>0.9</c:v>
                </c:pt>
                <c:pt idx="17">
                  <c:v>0.9</c:v>
                </c:pt>
              </c:numCache>
            </c:numRef>
          </c:yVal>
          <c:smooth val="0"/>
        </c:ser>
        <c:ser>
          <c:idx val="2"/>
          <c:order val="1"/>
          <c:tx>
            <c:v>B grid</c:v>
          </c:tx>
          <c:spPr>
            <a:ln w="3175">
              <a:solidFill>
                <a:srgbClr val="808080"/>
              </a:solidFill>
              <a:prstDash val="sysDash"/>
            </a:ln>
          </c:spPr>
          <c:marker>
            <c:symbol val="none"/>
          </c:marker>
          <c:dLbls>
            <c:dLbl>
              <c:idx val="0"/>
              <c:layout>
                <c:manualLayout>
                  <c:x val="-2.0912080773477115E-2"/>
                  <c:y val="3.6075243069863837E-2"/>
                </c:manualLayout>
              </c:layout>
              <c:tx>
                <c:rich>
                  <a:bodyPr/>
                  <a:lstStyle/>
                  <a:p>
                    <a:r>
                      <a:rPr lang="en-NZ"/>
                      <a:t>90%</a:t>
                    </a:r>
                  </a:p>
                </c:rich>
              </c:tx>
              <c:dLblPos val="r"/>
              <c:showLegendKey val="0"/>
              <c:showVal val="0"/>
              <c:showCatName val="0"/>
              <c:showSerName val="0"/>
              <c:showPercent val="0"/>
              <c:showBubbleSize val="0"/>
            </c:dLbl>
            <c:dLbl>
              <c:idx val="1"/>
              <c:delete val="1"/>
            </c:dLbl>
            <c:dLbl>
              <c:idx val="2"/>
              <c:delete val="1"/>
            </c:dLbl>
            <c:dLbl>
              <c:idx val="3"/>
              <c:layout>
                <c:manualLayout>
                  <c:x val="-2.4806150063650511E-2"/>
                  <c:y val="3.3246388755861001E-2"/>
                </c:manualLayout>
              </c:layout>
              <c:tx>
                <c:rich>
                  <a:bodyPr/>
                  <a:lstStyle/>
                  <a:p>
                    <a:r>
                      <a:rPr lang="en-NZ"/>
                      <a:t>80%</a:t>
                    </a:r>
                  </a:p>
                </c:rich>
              </c:tx>
              <c:dLblPos val="r"/>
              <c:showLegendKey val="0"/>
              <c:showVal val="0"/>
              <c:showCatName val="0"/>
              <c:showSerName val="0"/>
              <c:showPercent val="0"/>
              <c:showBubbleSize val="0"/>
            </c:dLbl>
            <c:dLbl>
              <c:idx val="4"/>
              <c:layout>
                <c:manualLayout>
                  <c:x val="-1.982107952377208E-2"/>
                  <c:y val="3.6075243069863837E-2"/>
                </c:manualLayout>
              </c:layout>
              <c:tx>
                <c:rich>
                  <a:bodyPr/>
                  <a:lstStyle/>
                  <a:p>
                    <a:r>
                      <a:rPr lang="en-NZ"/>
                      <a:t>70%</a:t>
                    </a:r>
                  </a:p>
                </c:rich>
              </c:tx>
              <c:dLblPos val="r"/>
              <c:showLegendKey val="0"/>
              <c:showVal val="0"/>
              <c:showCatName val="0"/>
              <c:showSerName val="0"/>
              <c:showPercent val="0"/>
              <c:showBubbleSize val="0"/>
            </c:dLbl>
            <c:dLbl>
              <c:idx val="5"/>
              <c:delete val="1"/>
            </c:dLbl>
            <c:dLbl>
              <c:idx val="6"/>
              <c:delete val="1"/>
            </c:dLbl>
            <c:dLbl>
              <c:idx val="7"/>
              <c:layout>
                <c:manualLayout>
                  <c:x val="-2.1495392987086425E-2"/>
                  <c:y val="3.6075243069863837E-2"/>
                </c:manualLayout>
              </c:layout>
              <c:tx>
                <c:rich>
                  <a:bodyPr/>
                  <a:lstStyle/>
                  <a:p>
                    <a:r>
                      <a:rPr lang="en-NZ"/>
                      <a:t>60%</a:t>
                    </a:r>
                  </a:p>
                </c:rich>
              </c:tx>
              <c:dLblPos val="r"/>
              <c:showLegendKey val="0"/>
              <c:showVal val="0"/>
              <c:showCatName val="0"/>
              <c:showSerName val="0"/>
              <c:showPercent val="0"/>
              <c:showBubbleSize val="0"/>
            </c:dLbl>
            <c:dLbl>
              <c:idx val="8"/>
              <c:layout>
                <c:manualLayout>
                  <c:x val="-2.0949834100926112E-2"/>
                  <c:y val="3.6075243069863837E-2"/>
                </c:manualLayout>
              </c:layout>
              <c:tx>
                <c:rich>
                  <a:bodyPr/>
                  <a:lstStyle/>
                  <a:p>
                    <a:r>
                      <a:rPr lang="en-NZ"/>
                      <a:t>50%</a:t>
                    </a:r>
                  </a:p>
                </c:rich>
              </c:tx>
              <c:dLblPos val="r"/>
              <c:showLegendKey val="0"/>
              <c:showVal val="0"/>
              <c:showCatName val="0"/>
              <c:showSerName val="0"/>
              <c:showPercent val="0"/>
              <c:showBubbleSize val="0"/>
            </c:dLbl>
            <c:dLbl>
              <c:idx val="9"/>
              <c:delete val="1"/>
            </c:dLbl>
            <c:dLbl>
              <c:idx val="10"/>
              <c:delete val="1"/>
            </c:dLbl>
            <c:dLbl>
              <c:idx val="11"/>
              <c:layout>
                <c:manualLayout>
                  <c:x val="-2.040439173738133E-2"/>
                  <c:y val="3.6075243069863837E-2"/>
                </c:manualLayout>
              </c:layout>
              <c:tx>
                <c:rich>
                  <a:bodyPr/>
                  <a:lstStyle/>
                  <a:p>
                    <a:r>
                      <a:rPr lang="en-NZ"/>
                      <a:t>40%</a:t>
                    </a:r>
                  </a:p>
                </c:rich>
              </c:tx>
              <c:dLblPos val="r"/>
              <c:showLegendKey val="0"/>
              <c:showVal val="0"/>
              <c:showCatName val="0"/>
              <c:showSerName val="0"/>
              <c:showPercent val="0"/>
              <c:showBubbleSize val="0"/>
            </c:dLbl>
            <c:dLbl>
              <c:idx val="12"/>
              <c:layout>
                <c:manualLayout>
                  <c:x val="-1.9858832851220965E-2"/>
                  <c:y val="3.6075243069863837E-2"/>
                </c:manualLayout>
              </c:layout>
              <c:tx>
                <c:rich>
                  <a:bodyPr/>
                  <a:lstStyle/>
                  <a:p>
                    <a:r>
                      <a:rPr lang="en-NZ"/>
                      <a:t>30%</a:t>
                    </a:r>
                  </a:p>
                </c:rich>
              </c:tx>
              <c:dLblPos val="r"/>
              <c:showLegendKey val="0"/>
              <c:showVal val="0"/>
              <c:showCatName val="0"/>
              <c:showSerName val="0"/>
              <c:showPercent val="0"/>
              <c:showBubbleSize val="0"/>
            </c:dLbl>
            <c:dLbl>
              <c:idx val="13"/>
              <c:delete val="1"/>
            </c:dLbl>
            <c:dLbl>
              <c:idx val="14"/>
              <c:delete val="1"/>
            </c:dLbl>
            <c:dLbl>
              <c:idx val="15"/>
              <c:layout>
                <c:manualLayout>
                  <c:x val="-1.7093634660817238E-2"/>
                  <c:y val="3.3246388755861001E-2"/>
                </c:manualLayout>
              </c:layout>
              <c:tx>
                <c:rich>
                  <a:bodyPr/>
                  <a:lstStyle/>
                  <a:p>
                    <a:r>
                      <a:rPr lang="en-NZ"/>
                      <a:t>20%</a:t>
                    </a:r>
                  </a:p>
                </c:rich>
              </c:tx>
              <c:dLblPos val="r"/>
              <c:showLegendKey val="0"/>
              <c:showVal val="0"/>
              <c:showCatName val="0"/>
              <c:showSerName val="0"/>
              <c:showPercent val="0"/>
              <c:showBubbleSize val="0"/>
            </c:dLbl>
            <c:dLbl>
              <c:idx val="16"/>
              <c:layout>
                <c:manualLayout>
                  <c:x val="-2.0987587428375035E-2"/>
                  <c:y val="3.3246388755861001E-2"/>
                </c:manualLayout>
              </c:layout>
              <c:tx>
                <c:rich>
                  <a:bodyPr/>
                  <a:lstStyle/>
                  <a:p>
                    <a:r>
                      <a:rPr lang="en-NZ"/>
                      <a:t>10%</a:t>
                    </a:r>
                  </a:p>
                </c:rich>
              </c:tx>
              <c:dLblPos val="r"/>
              <c:showLegendKey val="0"/>
              <c:showVal val="0"/>
              <c:showCatName val="0"/>
              <c:showSerName val="0"/>
              <c:showPercent val="0"/>
              <c:showBubbleSize val="0"/>
            </c:dLbl>
            <c:dLbl>
              <c:idx val="17"/>
              <c:delete val="1"/>
            </c:dLbl>
            <c:spPr>
              <a:noFill/>
              <a:ln w="25400">
                <a:noFill/>
              </a:ln>
            </c:spPr>
            <c:txPr>
              <a:bodyPr rot="3600000" vert="horz"/>
              <a:lstStyle/>
              <a:p>
                <a:pPr algn="l">
                  <a:defRPr sz="1200" b="0" i="0" u="none" strike="noStrike" baseline="0">
                    <a:solidFill>
                      <a:srgbClr val="808080"/>
                    </a:solidFill>
                    <a:latin typeface="Arial"/>
                    <a:ea typeface="Arial"/>
                    <a:cs typeface="Arial"/>
                  </a:defRPr>
                </a:pPr>
                <a:endParaRPr lang="en-US"/>
              </a:p>
            </c:txPr>
            <c:dLblPos val="b"/>
            <c:showLegendKey val="0"/>
            <c:showVal val="1"/>
            <c:showCatName val="0"/>
            <c:showSerName val="0"/>
            <c:showPercent val="0"/>
            <c:showBubbleSize val="0"/>
            <c:showLeaderLines val="0"/>
          </c:dLbls>
          <c:xVal>
            <c:numRef>
              <c:f>Tgrid!$K$5:$K$22</c:f>
              <c:numCache>
                <c:formatCode>General</c:formatCode>
                <c:ptCount val="18"/>
                <c:pt idx="0">
                  <c:v>0.11547000000000002</c:v>
                </c:pt>
                <c:pt idx="1">
                  <c:v>5.7740000000000007E-2</c:v>
                </c:pt>
                <c:pt idx="2">
                  <c:v>0.11548000000000001</c:v>
                </c:pt>
                <c:pt idx="3">
                  <c:v>0.23094000000000003</c:v>
                </c:pt>
                <c:pt idx="4">
                  <c:v>0.34641</c:v>
                </c:pt>
                <c:pt idx="5">
                  <c:v>0.17322000000000001</c:v>
                </c:pt>
                <c:pt idx="6">
                  <c:v>0.23096000000000003</c:v>
                </c:pt>
                <c:pt idx="7">
                  <c:v>0.46188000000000007</c:v>
                </c:pt>
                <c:pt idx="8">
                  <c:v>0.57735000000000003</c:v>
                </c:pt>
                <c:pt idx="9">
                  <c:v>0.28870000000000001</c:v>
                </c:pt>
                <c:pt idx="10">
                  <c:v>0.34644000000000003</c:v>
                </c:pt>
                <c:pt idx="11">
                  <c:v>0.69281999999999999</c:v>
                </c:pt>
                <c:pt idx="12">
                  <c:v>0.80828999999999995</c:v>
                </c:pt>
                <c:pt idx="13">
                  <c:v>0.40417999999999998</c:v>
                </c:pt>
                <c:pt idx="14">
                  <c:v>0.46192000000000005</c:v>
                </c:pt>
                <c:pt idx="15">
                  <c:v>0.92376000000000014</c:v>
                </c:pt>
                <c:pt idx="16">
                  <c:v>1.0392300000000001</c:v>
                </c:pt>
                <c:pt idx="17">
                  <c:v>0.51966000000000001</c:v>
                </c:pt>
              </c:numCache>
            </c:numRef>
          </c:xVal>
          <c:yVal>
            <c:numRef>
              <c:f>Tgrid!$L$5:$L$22</c:f>
              <c:numCache>
                <c:formatCode>0.00</c:formatCode>
                <c:ptCount val="18"/>
                <c:pt idx="0">
                  <c:v>0</c:v>
                </c:pt>
                <c:pt idx="1">
                  <c:v>0.1</c:v>
                </c:pt>
                <c:pt idx="2">
                  <c:v>0.2</c:v>
                </c:pt>
                <c:pt idx="3">
                  <c:v>0</c:v>
                </c:pt>
                <c:pt idx="4">
                  <c:v>0</c:v>
                </c:pt>
                <c:pt idx="5">
                  <c:v>0.3</c:v>
                </c:pt>
                <c:pt idx="6">
                  <c:v>0.4</c:v>
                </c:pt>
                <c:pt idx="7">
                  <c:v>0</c:v>
                </c:pt>
                <c:pt idx="8">
                  <c:v>0</c:v>
                </c:pt>
                <c:pt idx="9">
                  <c:v>0.5</c:v>
                </c:pt>
                <c:pt idx="10">
                  <c:v>0.6</c:v>
                </c:pt>
                <c:pt idx="11">
                  <c:v>0</c:v>
                </c:pt>
                <c:pt idx="12">
                  <c:v>0</c:v>
                </c:pt>
                <c:pt idx="13">
                  <c:v>0.7</c:v>
                </c:pt>
                <c:pt idx="14">
                  <c:v>0.8</c:v>
                </c:pt>
                <c:pt idx="15">
                  <c:v>0</c:v>
                </c:pt>
                <c:pt idx="16">
                  <c:v>0</c:v>
                </c:pt>
                <c:pt idx="17">
                  <c:v>0.9</c:v>
                </c:pt>
              </c:numCache>
            </c:numRef>
          </c:yVal>
          <c:smooth val="0"/>
        </c:ser>
        <c:ser>
          <c:idx val="3"/>
          <c:order val="2"/>
          <c:tx>
            <c:v>C grid</c:v>
          </c:tx>
          <c:spPr>
            <a:ln w="3175">
              <a:solidFill>
                <a:srgbClr val="808080"/>
              </a:solidFill>
              <a:prstDash val="sysDash"/>
            </a:ln>
          </c:spPr>
          <c:marker>
            <c:symbol val="none"/>
          </c:marker>
          <c:dLbls>
            <c:dLbl>
              <c:idx val="0"/>
              <c:delete val="1"/>
            </c:dLbl>
            <c:dLbl>
              <c:idx val="1"/>
              <c:layout>
                <c:manualLayout>
                  <c:x val="-1.0715652774257784E-2"/>
                  <c:y val="-3.17162829893788E-2"/>
                </c:manualLayout>
              </c:layout>
              <c:tx>
                <c:rich>
                  <a:bodyPr/>
                  <a:lstStyle/>
                  <a:p>
                    <a:r>
                      <a:rPr lang="en-NZ"/>
                      <a:t>10%</a:t>
                    </a:r>
                  </a:p>
                </c:rich>
              </c:tx>
              <c:dLblPos val="r"/>
              <c:showLegendKey val="0"/>
              <c:showVal val="0"/>
              <c:showCatName val="0"/>
              <c:showSerName val="0"/>
              <c:showPercent val="0"/>
              <c:showBubbleSize val="0"/>
            </c:dLbl>
            <c:dLbl>
              <c:idx val="2"/>
              <c:layout>
                <c:manualLayout>
                  <c:x val="-1.2659599570031457E-2"/>
                  <c:y val="-3.1413202062613506E-2"/>
                </c:manualLayout>
              </c:layout>
              <c:tx>
                <c:rich>
                  <a:bodyPr/>
                  <a:lstStyle/>
                  <a:p>
                    <a:r>
                      <a:rPr lang="en-NZ"/>
                      <a:t>20%</a:t>
                    </a:r>
                  </a:p>
                </c:rich>
              </c:tx>
              <c:dLblPos val="r"/>
              <c:showLegendKey val="0"/>
              <c:showVal val="0"/>
              <c:showCatName val="0"/>
              <c:showSerName val="0"/>
              <c:showPercent val="0"/>
              <c:showBubbleSize val="0"/>
            </c:dLbl>
            <c:dLbl>
              <c:idx val="3"/>
              <c:delete val="1"/>
            </c:dLbl>
            <c:dLbl>
              <c:idx val="4"/>
              <c:delete val="1"/>
            </c:dLbl>
            <c:dLbl>
              <c:idx val="5"/>
              <c:layout>
                <c:manualLayout>
                  <c:x val="-1.2383790538946168E-2"/>
                  <c:y val="-3.6767829763853781E-2"/>
                </c:manualLayout>
              </c:layout>
              <c:tx>
                <c:rich>
                  <a:bodyPr/>
                  <a:lstStyle/>
                  <a:p>
                    <a:r>
                      <a:rPr lang="en-NZ"/>
                      <a:t>30%</a:t>
                    </a:r>
                  </a:p>
                </c:rich>
              </c:tx>
              <c:dLblPos val="r"/>
              <c:showLegendKey val="0"/>
              <c:showVal val="0"/>
              <c:showCatName val="0"/>
              <c:showSerName val="0"/>
              <c:showPercent val="0"/>
              <c:showBubbleSize val="0"/>
            </c:dLbl>
            <c:dLbl>
              <c:idx val="6"/>
              <c:layout>
                <c:manualLayout>
                  <c:x val="-1.2107981507860884E-2"/>
                  <c:y val="-3.9293603151091226E-2"/>
                </c:manualLayout>
              </c:layout>
              <c:tx>
                <c:rich>
                  <a:bodyPr/>
                  <a:lstStyle/>
                  <a:p>
                    <a:r>
                      <a:rPr lang="en-NZ"/>
                      <a:t>40%</a:t>
                    </a:r>
                  </a:p>
                </c:rich>
              </c:tx>
              <c:dLblPos val="r"/>
              <c:showLegendKey val="0"/>
              <c:showVal val="0"/>
              <c:showCatName val="0"/>
              <c:showSerName val="0"/>
              <c:showPercent val="0"/>
              <c:showBubbleSize val="0"/>
            </c:dLbl>
            <c:dLbl>
              <c:idx val="7"/>
              <c:delete val="1"/>
            </c:dLbl>
            <c:dLbl>
              <c:idx val="8"/>
              <c:delete val="1"/>
            </c:dLbl>
            <c:dLbl>
              <c:idx val="9"/>
              <c:layout>
                <c:manualLayout>
                  <c:x val="-1.7381562043923163E-2"/>
                  <c:y val="-4.3233655199040703E-2"/>
                </c:manualLayout>
              </c:layout>
              <c:tx>
                <c:rich>
                  <a:bodyPr/>
                  <a:lstStyle/>
                  <a:p>
                    <a:r>
                      <a:rPr lang="en-NZ"/>
                      <a:t>50%</a:t>
                    </a:r>
                  </a:p>
                </c:rich>
              </c:tx>
              <c:dLblPos val="r"/>
              <c:showLegendKey val="0"/>
              <c:showVal val="0"/>
              <c:showCatName val="0"/>
              <c:showSerName val="0"/>
              <c:showPercent val="0"/>
              <c:showBubbleSize val="0"/>
            </c:dLbl>
            <c:dLbl>
              <c:idx val="10"/>
              <c:layout>
                <c:manualLayout>
                  <c:x val="-1.2666241359119737E-2"/>
                  <c:y val="-4.4345001429276797E-2"/>
                </c:manualLayout>
              </c:layout>
              <c:tx>
                <c:rich>
                  <a:bodyPr/>
                  <a:lstStyle/>
                  <a:p>
                    <a:r>
                      <a:rPr lang="en-NZ"/>
                      <a:t>60%</a:t>
                    </a:r>
                  </a:p>
                </c:rich>
              </c:tx>
              <c:dLblPos val="r"/>
              <c:showLegendKey val="0"/>
              <c:showVal val="0"/>
              <c:showCatName val="0"/>
              <c:showSerName val="0"/>
              <c:showPercent val="0"/>
              <c:showBubbleSize val="0"/>
            </c:dLbl>
            <c:dLbl>
              <c:idx val="11"/>
              <c:delete val="1"/>
            </c:dLbl>
            <c:dLbl>
              <c:idx val="12"/>
              <c:delete val="1"/>
            </c:dLbl>
            <c:dLbl>
              <c:idx val="13"/>
              <c:layout>
                <c:manualLayout>
                  <c:x val="-1.0170793023790958E-2"/>
                  <c:y val="-4.1213066188508549E-2"/>
                </c:manualLayout>
              </c:layout>
              <c:tx>
                <c:rich>
                  <a:bodyPr/>
                  <a:lstStyle/>
                  <a:p>
                    <a:r>
                      <a:rPr lang="en-NZ"/>
                      <a:t>70%</a:t>
                    </a:r>
                  </a:p>
                </c:rich>
              </c:tx>
              <c:dLblPos val="r"/>
              <c:showLegendKey val="0"/>
              <c:showVal val="0"/>
              <c:showCatName val="0"/>
              <c:showSerName val="0"/>
              <c:showPercent val="0"/>
              <c:showBubbleSize val="0"/>
            </c:dLbl>
            <c:dLbl>
              <c:idx val="14"/>
              <c:layout>
                <c:manualLayout>
                  <c:x val="-1.2114739819564745E-2"/>
                  <c:y val="-4.0909985261743283E-2"/>
                </c:manualLayout>
              </c:layout>
              <c:tx>
                <c:rich>
                  <a:bodyPr/>
                  <a:lstStyle/>
                  <a:p>
                    <a:r>
                      <a:rPr lang="en-NZ"/>
                      <a:t>80%</a:t>
                    </a:r>
                  </a:p>
                </c:rich>
              </c:tx>
              <c:dLblPos val="r"/>
              <c:showLegendKey val="0"/>
              <c:showVal val="0"/>
              <c:showCatName val="0"/>
              <c:showSerName val="0"/>
              <c:showPercent val="0"/>
              <c:showBubbleSize val="0"/>
            </c:dLbl>
            <c:dLbl>
              <c:idx val="15"/>
              <c:delete val="1"/>
            </c:dLbl>
            <c:dLbl>
              <c:idx val="16"/>
              <c:delete val="1"/>
            </c:dLbl>
            <c:dLbl>
              <c:idx val="17"/>
              <c:layout>
                <c:manualLayout>
                  <c:x val="-1.2948808701908886E-2"/>
                  <c:y val="-4.6264612962983585E-2"/>
                </c:manualLayout>
              </c:layout>
              <c:tx>
                <c:rich>
                  <a:bodyPr/>
                  <a:lstStyle/>
                  <a:p>
                    <a:r>
                      <a:rPr lang="en-NZ"/>
                      <a:t>90%</a:t>
                    </a:r>
                  </a:p>
                </c:rich>
              </c:tx>
              <c:dLblPos val="r"/>
              <c:showLegendKey val="0"/>
              <c:showVal val="0"/>
              <c:showCatName val="0"/>
              <c:showSerName val="0"/>
              <c:showPercent val="0"/>
              <c:showBubbleSize val="0"/>
            </c:dLbl>
            <c:spPr>
              <a:noFill/>
              <a:ln w="25400">
                <a:noFill/>
              </a:ln>
            </c:spPr>
            <c:txPr>
              <a:bodyPr rot="-3600000" vert="horz"/>
              <a:lstStyle/>
              <a:p>
                <a:pPr algn="l">
                  <a:defRPr sz="1200" b="0" i="0" u="none" strike="noStrike" baseline="0">
                    <a:solidFill>
                      <a:srgbClr val="808080"/>
                    </a:solidFill>
                    <a:latin typeface="Arial"/>
                    <a:ea typeface="Arial"/>
                    <a:cs typeface="Arial"/>
                  </a:defRPr>
                </a:pPr>
                <a:endParaRPr lang="en-US"/>
              </a:p>
            </c:txPr>
            <c:dLblPos val="r"/>
            <c:showLegendKey val="0"/>
            <c:showVal val="1"/>
            <c:showCatName val="0"/>
            <c:showSerName val="0"/>
            <c:showPercent val="0"/>
            <c:showBubbleSize val="0"/>
            <c:showLeaderLines val="0"/>
          </c:dLbls>
          <c:xVal>
            <c:numRef>
              <c:f>Tgrid!$P$5:$P$22</c:f>
              <c:numCache>
                <c:formatCode>General</c:formatCode>
                <c:ptCount val="18"/>
                <c:pt idx="0">
                  <c:v>0.11547000000000002</c:v>
                </c:pt>
                <c:pt idx="1">
                  <c:v>0.63512999999999997</c:v>
                </c:pt>
                <c:pt idx="2">
                  <c:v>0.69286000000000003</c:v>
                </c:pt>
                <c:pt idx="3">
                  <c:v>0.23094000000000003</c:v>
                </c:pt>
                <c:pt idx="4">
                  <c:v>0.34641</c:v>
                </c:pt>
                <c:pt idx="5">
                  <c:v>0.75058999999999998</c:v>
                </c:pt>
                <c:pt idx="6">
                  <c:v>0.80832000000000015</c:v>
                </c:pt>
                <c:pt idx="7">
                  <c:v>0.46188000000000007</c:v>
                </c:pt>
                <c:pt idx="8">
                  <c:v>0.57735000000000003</c:v>
                </c:pt>
                <c:pt idx="9">
                  <c:v>0.86604999999999999</c:v>
                </c:pt>
                <c:pt idx="10">
                  <c:v>0.92378000000000005</c:v>
                </c:pt>
                <c:pt idx="11">
                  <c:v>0.69281999999999999</c:v>
                </c:pt>
                <c:pt idx="12">
                  <c:v>0.80828999999999995</c:v>
                </c:pt>
                <c:pt idx="13">
                  <c:v>0.98150999999999999</c:v>
                </c:pt>
                <c:pt idx="14">
                  <c:v>1.0392400000000002</c:v>
                </c:pt>
                <c:pt idx="15">
                  <c:v>0.92376000000000014</c:v>
                </c:pt>
                <c:pt idx="16">
                  <c:v>1.0392300000000001</c:v>
                </c:pt>
                <c:pt idx="17">
                  <c:v>1.09697</c:v>
                </c:pt>
              </c:numCache>
            </c:numRef>
          </c:xVal>
          <c:yVal>
            <c:numRef>
              <c:f>Tgrid!$Q$5:$Q$22</c:f>
              <c:numCache>
                <c:formatCode>0.00</c:formatCode>
                <c:ptCount val="18"/>
                <c:pt idx="0">
                  <c:v>0</c:v>
                </c:pt>
                <c:pt idx="1">
                  <c:v>0.9</c:v>
                </c:pt>
                <c:pt idx="2">
                  <c:v>0.8</c:v>
                </c:pt>
                <c:pt idx="3">
                  <c:v>0</c:v>
                </c:pt>
                <c:pt idx="4">
                  <c:v>0</c:v>
                </c:pt>
                <c:pt idx="5">
                  <c:v>0.7</c:v>
                </c:pt>
                <c:pt idx="6">
                  <c:v>0.6</c:v>
                </c:pt>
                <c:pt idx="7">
                  <c:v>0</c:v>
                </c:pt>
                <c:pt idx="8">
                  <c:v>0</c:v>
                </c:pt>
                <c:pt idx="9">
                  <c:v>0.5</c:v>
                </c:pt>
                <c:pt idx="10">
                  <c:v>0.4</c:v>
                </c:pt>
                <c:pt idx="11">
                  <c:v>0</c:v>
                </c:pt>
                <c:pt idx="12">
                  <c:v>0</c:v>
                </c:pt>
                <c:pt idx="13">
                  <c:v>0.3</c:v>
                </c:pt>
                <c:pt idx="14">
                  <c:v>0.2</c:v>
                </c:pt>
                <c:pt idx="15">
                  <c:v>0</c:v>
                </c:pt>
                <c:pt idx="16">
                  <c:v>0</c:v>
                </c:pt>
                <c:pt idx="17">
                  <c:v>0.1</c:v>
                </c:pt>
              </c:numCache>
            </c:numRef>
          </c:yVal>
          <c:smooth val="0"/>
        </c:ser>
        <c:ser>
          <c:idx val="0"/>
          <c:order val="3"/>
          <c:tx>
            <c:v>border</c:v>
          </c:tx>
          <c:spPr>
            <a:ln w="38100">
              <a:solidFill>
                <a:srgbClr val="000000"/>
              </a:solidFill>
              <a:prstDash val="solid"/>
            </a:ln>
          </c:spPr>
          <c:marker>
            <c:symbol val="none"/>
          </c:marker>
          <c:dLbls>
            <c:dLbl>
              <c:idx val="0"/>
              <c:delete val="1"/>
            </c:dLbl>
            <c:dLbl>
              <c:idx val="1"/>
              <c:layout/>
              <c:tx>
                <c:strRef>
                  <c:f>Input!$BQ$7</c:f>
                  <c:strCache>
                    <c:ptCount val="1"/>
                    <c:pt idx="0">
                      <c:v>Cl</c:v>
                    </c:pt>
                  </c:strCache>
                </c:strRef>
              </c:tx>
              <c:dLblPos val="t"/>
              <c:showLegendKey val="0"/>
              <c:showVal val="0"/>
              <c:showCatName val="0"/>
              <c:showSerName val="0"/>
              <c:showPercent val="0"/>
              <c:showBubbleSize val="0"/>
            </c:dLbl>
            <c:dLbl>
              <c:idx val="2"/>
              <c:layout/>
              <c:tx>
                <c:strRef>
                  <c:f>Input!$BS$7</c:f>
                  <c:strCache>
                    <c:ptCount val="1"/>
                    <c:pt idx="0">
                      <c:v>25 B</c:v>
                    </c:pt>
                  </c:strCache>
                </c:strRef>
              </c:tx>
              <c:showLegendKey val="0"/>
              <c:showVal val="0"/>
              <c:showCatName val="0"/>
              <c:showSerName val="0"/>
              <c:showPercent val="0"/>
              <c:showBubbleSize val="0"/>
            </c:dLbl>
            <c:dLbl>
              <c:idx val="3"/>
              <c:layout/>
              <c:tx>
                <c:strRef>
                  <c:f>Input!$BR$7</c:f>
                  <c:strCache>
                    <c:ptCount val="1"/>
                    <c:pt idx="0">
                      <c:v>25 F</c:v>
                    </c:pt>
                  </c:strCache>
                </c:strRef>
              </c:tx>
              <c:dLblPos val="l"/>
              <c:showLegendKey val="0"/>
              <c:showVal val="0"/>
              <c:showCatName val="0"/>
              <c:showSerName val="0"/>
              <c:showPercent val="0"/>
              <c:showBubbleSize val="0"/>
            </c:dLbl>
            <c:spPr>
              <a:noFill/>
              <a:ln w="25400">
                <a:noFill/>
              </a:ln>
            </c:spPr>
            <c:txPr>
              <a:bodyPr/>
              <a:lstStyle/>
              <a:p>
                <a:pPr>
                  <a:defRPr sz="16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xVal>
            <c:numRef>
              <c:f>Tgrid!$A$5:$A$8</c:f>
              <c:numCache>
                <c:formatCode>General</c:formatCode>
                <c:ptCount val="4"/>
                <c:pt idx="0">
                  <c:v>0</c:v>
                </c:pt>
                <c:pt idx="1">
                  <c:v>0.57740000000000002</c:v>
                </c:pt>
                <c:pt idx="2">
                  <c:v>1.1547000000000001</c:v>
                </c:pt>
                <c:pt idx="3">
                  <c:v>0</c:v>
                </c:pt>
              </c:numCache>
            </c:numRef>
          </c:xVal>
          <c:yVal>
            <c:numRef>
              <c:f>Tgrid!$B$5:$B$8</c:f>
              <c:numCache>
                <c:formatCode>General</c:formatCode>
                <c:ptCount val="4"/>
                <c:pt idx="0">
                  <c:v>0</c:v>
                </c:pt>
                <c:pt idx="1">
                  <c:v>1</c:v>
                </c:pt>
                <c:pt idx="2">
                  <c:v>0</c:v>
                </c:pt>
                <c:pt idx="3">
                  <c:v>0</c:v>
                </c:pt>
              </c:numCache>
            </c:numRef>
          </c:yVal>
          <c:smooth val="0"/>
        </c:ser>
        <c:ser>
          <c:idx val="4"/>
          <c:order val="4"/>
          <c:tx>
            <c:v>data</c:v>
          </c:tx>
          <c:spPr>
            <a:ln w="28575">
              <a:noFill/>
            </a:ln>
          </c:spPr>
          <c:marker>
            <c:symbol val="triangle"/>
            <c:size val="6"/>
            <c:spPr>
              <a:solidFill>
                <a:srgbClr val="660066"/>
              </a:solidFill>
              <a:ln>
                <a:solidFill>
                  <a:srgbClr val="660066"/>
                </a:solidFill>
                <a:prstDash val="solid"/>
              </a:ln>
            </c:spPr>
          </c:marker>
          <c:dLbls>
            <c:dLbl>
              <c:idx val="0"/>
              <c:layout/>
              <c:tx>
                <c:strRef>
                  <c:f>Input!$AH$8</c:f>
                  <c:strCache>
                    <c:ptCount val="1"/>
                    <c:pt idx="0">
                      <c:v>0</c:v>
                    </c:pt>
                  </c:strCache>
                </c:strRef>
              </c:tx>
              <c:dLblPos val="t"/>
              <c:showLegendKey val="0"/>
              <c:showVal val="0"/>
              <c:showCatName val="0"/>
              <c:showSerName val="0"/>
              <c:showPercent val="0"/>
              <c:showBubbleSize val="0"/>
            </c:dLbl>
            <c:dLbl>
              <c:idx val="1"/>
              <c:layout/>
              <c:tx>
                <c:strRef>
                  <c:f>Input!$AH$9</c:f>
                  <c:strCache>
                    <c:ptCount val="1"/>
                    <c:pt idx="0">
                      <c:v>0</c:v>
                    </c:pt>
                  </c:strCache>
                </c:strRef>
              </c:tx>
              <c:dLblPos val="t"/>
              <c:showLegendKey val="0"/>
              <c:showVal val="0"/>
              <c:showCatName val="0"/>
              <c:showSerName val="0"/>
              <c:showPercent val="0"/>
              <c:showBubbleSize val="0"/>
            </c:dLbl>
            <c:dLbl>
              <c:idx val="2"/>
              <c:layout/>
              <c:tx>
                <c:strRef>
                  <c:f>Input!$AH$10</c:f>
                  <c:strCache>
                    <c:ptCount val="1"/>
                    <c:pt idx="0">
                      <c:v>0</c:v>
                    </c:pt>
                  </c:strCache>
                </c:strRef>
              </c:tx>
              <c:dLblPos val="t"/>
              <c:showLegendKey val="0"/>
              <c:showVal val="0"/>
              <c:showCatName val="0"/>
              <c:showSerName val="0"/>
              <c:showPercent val="0"/>
              <c:showBubbleSize val="0"/>
            </c:dLbl>
            <c:dLbl>
              <c:idx val="3"/>
              <c:layout/>
              <c:tx>
                <c:strRef>
                  <c:f>Input!$AH$11</c:f>
                  <c:strCache>
                    <c:ptCount val="1"/>
                    <c:pt idx="0">
                      <c:v>0</c:v>
                    </c:pt>
                  </c:strCache>
                </c:strRef>
              </c:tx>
              <c:dLblPos val="t"/>
              <c:showLegendKey val="0"/>
              <c:showVal val="0"/>
              <c:showCatName val="0"/>
              <c:showSerName val="0"/>
              <c:showPercent val="0"/>
              <c:showBubbleSize val="0"/>
            </c:dLbl>
            <c:dLbl>
              <c:idx val="4"/>
              <c:layout/>
              <c:tx>
                <c:strRef>
                  <c:f>Input!$AH$12</c:f>
                  <c:strCache>
                    <c:ptCount val="1"/>
                    <c:pt idx="0">
                      <c:v>0</c:v>
                    </c:pt>
                  </c:strCache>
                </c:strRef>
              </c:tx>
              <c:dLblPos val="t"/>
              <c:showLegendKey val="0"/>
              <c:showVal val="0"/>
              <c:showCatName val="0"/>
              <c:showSerName val="0"/>
              <c:showPercent val="0"/>
              <c:showBubbleSize val="0"/>
            </c:dLbl>
            <c:dLbl>
              <c:idx val="5"/>
              <c:layout/>
              <c:tx>
                <c:strRef>
                  <c:f>Input!$AH$13</c:f>
                  <c:strCache>
                    <c:ptCount val="1"/>
                    <c:pt idx="0">
                      <c:v>0</c:v>
                    </c:pt>
                  </c:strCache>
                </c:strRef>
              </c:tx>
              <c:dLblPos val="t"/>
              <c:showLegendKey val="0"/>
              <c:showVal val="0"/>
              <c:showCatName val="0"/>
              <c:showSerName val="0"/>
              <c:showPercent val="0"/>
              <c:showBubbleSize val="0"/>
            </c:dLbl>
            <c:dLbl>
              <c:idx val="6"/>
              <c:layout/>
              <c:tx>
                <c:strRef>
                  <c:f>Input!$AH$14</c:f>
                  <c:strCache>
                    <c:ptCount val="1"/>
                    <c:pt idx="0">
                      <c:v>0</c:v>
                    </c:pt>
                  </c:strCache>
                </c:strRef>
              </c:tx>
              <c:dLblPos val="t"/>
              <c:showLegendKey val="0"/>
              <c:showVal val="0"/>
              <c:showCatName val="0"/>
              <c:showSerName val="0"/>
              <c:showPercent val="0"/>
              <c:showBubbleSize val="0"/>
            </c:dLbl>
            <c:dLbl>
              <c:idx val="7"/>
              <c:layout/>
              <c:tx>
                <c:strRef>
                  <c:f>Input!$AH$15</c:f>
                  <c:strCache>
                    <c:ptCount val="1"/>
                    <c:pt idx="0">
                      <c:v>0</c:v>
                    </c:pt>
                  </c:strCache>
                </c:strRef>
              </c:tx>
              <c:dLblPos val="t"/>
              <c:showLegendKey val="0"/>
              <c:showVal val="0"/>
              <c:showCatName val="0"/>
              <c:showSerName val="0"/>
              <c:showPercent val="0"/>
              <c:showBubbleSize val="0"/>
            </c:dLbl>
            <c:dLbl>
              <c:idx val="8"/>
              <c:layout/>
              <c:tx>
                <c:strRef>
                  <c:f>Input!$AH$16</c:f>
                  <c:strCache>
                    <c:ptCount val="1"/>
                    <c:pt idx="0">
                      <c:v>0</c:v>
                    </c:pt>
                  </c:strCache>
                </c:strRef>
              </c:tx>
              <c:dLblPos val="t"/>
              <c:showLegendKey val="0"/>
              <c:showVal val="0"/>
              <c:showCatName val="0"/>
              <c:showSerName val="0"/>
              <c:showPercent val="0"/>
              <c:showBubbleSize val="0"/>
            </c:dLbl>
            <c:dLbl>
              <c:idx val="9"/>
              <c:layout/>
              <c:tx>
                <c:strRef>
                  <c:f>Input!$AH$17</c:f>
                  <c:strCache>
                    <c:ptCount val="1"/>
                    <c:pt idx="0">
                      <c:v>0</c:v>
                    </c:pt>
                  </c:strCache>
                </c:strRef>
              </c:tx>
              <c:dLblPos val="t"/>
              <c:showLegendKey val="0"/>
              <c:showVal val="0"/>
              <c:showCatName val="0"/>
              <c:showSerName val="0"/>
              <c:showPercent val="0"/>
              <c:showBubbleSize val="0"/>
            </c:dLbl>
            <c:dLbl>
              <c:idx val="10"/>
              <c:layout/>
              <c:tx>
                <c:strRef>
                  <c:f>Input!$AH$18</c:f>
                  <c:strCache>
                    <c:ptCount val="1"/>
                    <c:pt idx="0">
                      <c:v>0</c:v>
                    </c:pt>
                  </c:strCache>
                </c:strRef>
              </c:tx>
              <c:dLblPos val="t"/>
              <c:showLegendKey val="0"/>
              <c:showVal val="0"/>
              <c:showCatName val="0"/>
              <c:showSerName val="0"/>
              <c:showPercent val="0"/>
              <c:showBubbleSize val="0"/>
            </c:dLbl>
            <c:dLbl>
              <c:idx val="11"/>
              <c:layout/>
              <c:tx>
                <c:strRef>
                  <c:f>Input!$AH$19</c:f>
                  <c:strCache>
                    <c:ptCount val="1"/>
                    <c:pt idx="0">
                      <c:v>0</c:v>
                    </c:pt>
                  </c:strCache>
                </c:strRef>
              </c:tx>
              <c:dLblPos val="t"/>
              <c:showLegendKey val="0"/>
              <c:showVal val="0"/>
              <c:showCatName val="0"/>
              <c:showSerName val="0"/>
              <c:showPercent val="0"/>
              <c:showBubbleSize val="0"/>
            </c:dLbl>
            <c:dLbl>
              <c:idx val="12"/>
              <c:layout/>
              <c:tx>
                <c:strRef>
                  <c:f>Input!$AH$20</c:f>
                  <c:strCache>
                    <c:ptCount val="1"/>
                    <c:pt idx="0">
                      <c:v>0</c:v>
                    </c:pt>
                  </c:strCache>
                </c:strRef>
              </c:tx>
              <c:dLblPos val="t"/>
              <c:showLegendKey val="0"/>
              <c:showVal val="0"/>
              <c:showCatName val="0"/>
              <c:showSerName val="0"/>
              <c:showPercent val="0"/>
              <c:showBubbleSize val="0"/>
            </c:dLbl>
            <c:dLbl>
              <c:idx val="13"/>
              <c:layout/>
              <c:tx>
                <c:strRef>
                  <c:f>Input!$AH$21</c:f>
                  <c:strCache>
                    <c:ptCount val="1"/>
                    <c:pt idx="0">
                      <c:v>0</c:v>
                    </c:pt>
                  </c:strCache>
                </c:strRef>
              </c:tx>
              <c:dLblPos val="t"/>
              <c:showLegendKey val="0"/>
              <c:showVal val="0"/>
              <c:showCatName val="0"/>
              <c:showSerName val="0"/>
              <c:showPercent val="0"/>
              <c:showBubbleSize val="0"/>
            </c:dLbl>
            <c:dLbl>
              <c:idx val="14"/>
              <c:layout/>
              <c:tx>
                <c:strRef>
                  <c:f>Input!$AH$22</c:f>
                  <c:strCache>
                    <c:ptCount val="1"/>
                    <c:pt idx="0">
                      <c:v>0</c:v>
                    </c:pt>
                  </c:strCache>
                </c:strRef>
              </c:tx>
              <c:dLblPos val="t"/>
              <c:showLegendKey val="0"/>
              <c:showVal val="0"/>
              <c:showCatName val="0"/>
              <c:showSerName val="0"/>
              <c:showPercent val="0"/>
              <c:showBubbleSize val="0"/>
            </c:dLbl>
            <c:dLbl>
              <c:idx val="15"/>
              <c:layout/>
              <c:tx>
                <c:strRef>
                  <c:f>Input!$AH$23</c:f>
                  <c:strCache>
                    <c:ptCount val="1"/>
                    <c:pt idx="0">
                      <c:v>0</c:v>
                    </c:pt>
                  </c:strCache>
                </c:strRef>
              </c:tx>
              <c:dLblPos val="t"/>
              <c:showLegendKey val="0"/>
              <c:showVal val="0"/>
              <c:showCatName val="0"/>
              <c:showSerName val="0"/>
              <c:showPercent val="0"/>
              <c:showBubbleSize val="0"/>
            </c:dLbl>
            <c:dLbl>
              <c:idx val="16"/>
              <c:layout/>
              <c:tx>
                <c:strRef>
                  <c:f>Input!$AH$24</c:f>
                  <c:strCache>
                    <c:ptCount val="1"/>
                    <c:pt idx="0">
                      <c:v>0</c:v>
                    </c:pt>
                  </c:strCache>
                </c:strRef>
              </c:tx>
              <c:dLblPos val="t"/>
              <c:showLegendKey val="0"/>
              <c:showVal val="0"/>
              <c:showCatName val="0"/>
              <c:showSerName val="0"/>
              <c:showPercent val="0"/>
              <c:showBubbleSize val="0"/>
            </c:dLbl>
            <c:dLbl>
              <c:idx val="17"/>
              <c:layout/>
              <c:tx>
                <c:strRef>
                  <c:f>Input!$AH$25</c:f>
                  <c:strCache>
                    <c:ptCount val="1"/>
                    <c:pt idx="0">
                      <c:v>0</c:v>
                    </c:pt>
                  </c:strCache>
                </c:strRef>
              </c:tx>
              <c:dLblPos val="t"/>
              <c:showLegendKey val="0"/>
              <c:showVal val="0"/>
              <c:showCatName val="0"/>
              <c:showSerName val="0"/>
              <c:showPercent val="0"/>
              <c:showBubbleSize val="0"/>
            </c:dLbl>
            <c:dLbl>
              <c:idx val="18"/>
              <c:layout/>
              <c:tx>
                <c:strRef>
                  <c:f>Input!$AH$26</c:f>
                  <c:strCache>
                    <c:ptCount val="1"/>
                    <c:pt idx="0">
                      <c:v>0</c:v>
                    </c:pt>
                  </c:strCache>
                </c:strRef>
              </c:tx>
              <c:dLblPos val="t"/>
              <c:showLegendKey val="0"/>
              <c:showVal val="0"/>
              <c:showCatName val="0"/>
              <c:showSerName val="0"/>
              <c:showPercent val="0"/>
              <c:showBubbleSize val="0"/>
            </c:dLbl>
            <c:dLbl>
              <c:idx val="19"/>
              <c:layout/>
              <c:tx>
                <c:strRef>
                  <c:f>Input!$AH$27</c:f>
                  <c:strCache>
                    <c:ptCount val="1"/>
                    <c:pt idx="0">
                      <c:v>0</c:v>
                    </c:pt>
                  </c:strCache>
                </c:strRef>
              </c:tx>
              <c:dLblPos val="t"/>
              <c:showLegendKey val="0"/>
              <c:showVal val="0"/>
              <c:showCatName val="0"/>
              <c:showSerName val="0"/>
              <c:showPercent val="0"/>
              <c:showBubbleSize val="0"/>
            </c:dLbl>
            <c:dLbl>
              <c:idx val="20"/>
              <c:layout/>
              <c:tx>
                <c:strRef>
                  <c:f>Input!$AH$28</c:f>
                  <c:strCache>
                    <c:ptCount val="1"/>
                    <c:pt idx="0">
                      <c:v>0</c:v>
                    </c:pt>
                  </c:strCache>
                </c:strRef>
              </c:tx>
              <c:dLblPos val="t"/>
              <c:showLegendKey val="0"/>
              <c:showVal val="0"/>
              <c:showCatName val="0"/>
              <c:showSerName val="0"/>
              <c:showPercent val="0"/>
              <c:showBubbleSize val="0"/>
            </c:dLbl>
            <c:dLbl>
              <c:idx val="21"/>
              <c:layout/>
              <c:tx>
                <c:strRef>
                  <c:f>Input!$AH$29</c:f>
                  <c:strCache>
                    <c:ptCount val="1"/>
                    <c:pt idx="0">
                      <c:v>0</c:v>
                    </c:pt>
                  </c:strCache>
                </c:strRef>
              </c:tx>
              <c:dLblPos val="t"/>
              <c:showLegendKey val="0"/>
              <c:showVal val="0"/>
              <c:showCatName val="0"/>
              <c:showSerName val="0"/>
              <c:showPercent val="0"/>
              <c:showBubbleSize val="0"/>
            </c:dLbl>
            <c:dLbl>
              <c:idx val="22"/>
              <c:layout/>
              <c:tx>
                <c:strRef>
                  <c:f>Input!$AH$30</c:f>
                  <c:strCache>
                    <c:ptCount val="1"/>
                    <c:pt idx="0">
                      <c:v>0</c:v>
                    </c:pt>
                  </c:strCache>
                </c:strRef>
              </c:tx>
              <c:dLblPos val="t"/>
              <c:showLegendKey val="0"/>
              <c:showVal val="0"/>
              <c:showCatName val="0"/>
              <c:showSerName val="0"/>
              <c:showPercent val="0"/>
              <c:showBubbleSize val="0"/>
            </c:dLbl>
            <c:dLbl>
              <c:idx val="23"/>
              <c:layout/>
              <c:tx>
                <c:strRef>
                  <c:f>Input!$AH$31</c:f>
                  <c:strCache>
                    <c:ptCount val="1"/>
                    <c:pt idx="0">
                      <c:v>0</c:v>
                    </c:pt>
                  </c:strCache>
                </c:strRef>
              </c:tx>
              <c:dLblPos val="t"/>
              <c:showLegendKey val="0"/>
              <c:showVal val="0"/>
              <c:showCatName val="0"/>
              <c:showSerName val="0"/>
              <c:showPercent val="0"/>
              <c:showBubbleSize val="0"/>
            </c:dLbl>
            <c:dLbl>
              <c:idx val="24"/>
              <c:layout/>
              <c:tx>
                <c:strRef>
                  <c:f>Input!$AH$32</c:f>
                  <c:strCache>
                    <c:ptCount val="1"/>
                    <c:pt idx="0">
                      <c:v>0</c:v>
                    </c:pt>
                  </c:strCache>
                </c:strRef>
              </c:tx>
              <c:dLblPos val="t"/>
              <c:showLegendKey val="0"/>
              <c:showVal val="0"/>
              <c:showCatName val="0"/>
              <c:showSerName val="0"/>
              <c:showPercent val="0"/>
              <c:showBubbleSize val="0"/>
            </c:dLbl>
            <c:dLbl>
              <c:idx val="25"/>
              <c:layout/>
              <c:tx>
                <c:strRef>
                  <c:f>Input!$AH$33</c:f>
                  <c:strCache>
                    <c:ptCount val="1"/>
                    <c:pt idx="0">
                      <c:v>0</c:v>
                    </c:pt>
                  </c:strCache>
                </c:strRef>
              </c:tx>
              <c:dLblPos val="t"/>
              <c:showLegendKey val="0"/>
              <c:showVal val="0"/>
              <c:showCatName val="0"/>
              <c:showSerName val="0"/>
              <c:showPercent val="0"/>
              <c:showBubbleSize val="0"/>
            </c:dLbl>
            <c:dLbl>
              <c:idx val="26"/>
              <c:layout/>
              <c:tx>
                <c:strRef>
                  <c:f>Input!$AH$34</c:f>
                  <c:strCache>
                    <c:ptCount val="1"/>
                    <c:pt idx="0">
                      <c:v>0</c:v>
                    </c:pt>
                  </c:strCache>
                </c:strRef>
              </c:tx>
              <c:dLblPos val="t"/>
              <c:showLegendKey val="0"/>
              <c:showVal val="0"/>
              <c:showCatName val="0"/>
              <c:showSerName val="0"/>
              <c:showPercent val="0"/>
              <c:showBubbleSize val="0"/>
            </c:dLbl>
            <c:dLbl>
              <c:idx val="27"/>
              <c:layout/>
              <c:tx>
                <c:strRef>
                  <c:f>Input!$AH$35</c:f>
                  <c:strCache>
                    <c:ptCount val="1"/>
                    <c:pt idx="0">
                      <c:v>0</c:v>
                    </c:pt>
                  </c:strCache>
                </c:strRef>
              </c:tx>
              <c:dLblPos val="t"/>
              <c:showLegendKey val="0"/>
              <c:showVal val="0"/>
              <c:showCatName val="0"/>
              <c:showSerName val="0"/>
              <c:showPercent val="0"/>
              <c:showBubbleSize val="0"/>
            </c:dLbl>
            <c:dLbl>
              <c:idx val="28"/>
              <c:layout/>
              <c:tx>
                <c:strRef>
                  <c:f>Input!$AH$36</c:f>
                  <c:strCache>
                    <c:ptCount val="1"/>
                    <c:pt idx="0">
                      <c:v>0</c:v>
                    </c:pt>
                  </c:strCache>
                </c:strRef>
              </c:tx>
              <c:dLblPos val="t"/>
              <c:showLegendKey val="0"/>
              <c:showVal val="0"/>
              <c:showCatName val="0"/>
              <c:showSerName val="0"/>
              <c:showPercent val="0"/>
              <c:showBubbleSize val="0"/>
            </c:dLbl>
            <c:dLbl>
              <c:idx val="29"/>
              <c:layout/>
              <c:tx>
                <c:strRef>
                  <c:f>Input!$AH$37</c:f>
                  <c:strCache>
                    <c:ptCount val="1"/>
                    <c:pt idx="0">
                      <c:v>0</c:v>
                    </c:pt>
                  </c:strCache>
                </c:strRef>
              </c:tx>
              <c:dLblPos val="t"/>
              <c:showLegendKey val="0"/>
              <c:showVal val="0"/>
              <c:showCatName val="0"/>
              <c:showSerName val="0"/>
              <c:showPercent val="0"/>
              <c:showBubbleSize val="0"/>
            </c:dLbl>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dLbls>
          <c:xVal>
            <c:numRef>
              <c:f>Input!$BT$8:$BT$37</c:f>
              <c:numCache>
                <c:formatCode>0.000</c:formatCode>
                <c:ptCount val="30"/>
                <c:pt idx="0">
                  <c:v>1.1547000000000001</c:v>
                </c:pt>
                <c:pt idx="1">
                  <c:v>1.1547000000000001</c:v>
                </c:pt>
                <c:pt idx="2">
                  <c:v>1.1547000000000001</c:v>
                </c:pt>
                <c:pt idx="3">
                  <c:v>1.1547000000000001</c:v>
                </c:pt>
                <c:pt idx="4">
                  <c:v>1.1547000000000001</c:v>
                </c:pt>
                <c:pt idx="5">
                  <c:v>1.1547000000000001</c:v>
                </c:pt>
                <c:pt idx="6">
                  <c:v>1.1547000000000001</c:v>
                </c:pt>
                <c:pt idx="7">
                  <c:v>1.1547000000000001</c:v>
                </c:pt>
                <c:pt idx="8">
                  <c:v>1.1547000000000001</c:v>
                </c:pt>
                <c:pt idx="9">
                  <c:v>1.1547000000000001</c:v>
                </c:pt>
                <c:pt idx="10">
                  <c:v>1.1547000000000001</c:v>
                </c:pt>
                <c:pt idx="11">
                  <c:v>1.1547000000000001</c:v>
                </c:pt>
                <c:pt idx="12">
                  <c:v>1.1547000000000001</c:v>
                </c:pt>
                <c:pt idx="13">
                  <c:v>1.1547000000000001</c:v>
                </c:pt>
                <c:pt idx="14">
                  <c:v>1.1547000000000001</c:v>
                </c:pt>
                <c:pt idx="15">
                  <c:v>1.1547000000000001</c:v>
                </c:pt>
                <c:pt idx="16">
                  <c:v>1.1547000000000001</c:v>
                </c:pt>
                <c:pt idx="17">
                  <c:v>1.1547000000000001</c:v>
                </c:pt>
                <c:pt idx="18">
                  <c:v>1.1547000000000001</c:v>
                </c:pt>
                <c:pt idx="19">
                  <c:v>1.1547000000000001</c:v>
                </c:pt>
                <c:pt idx="20">
                  <c:v>1.1547000000000001</c:v>
                </c:pt>
                <c:pt idx="21">
                  <c:v>1.1547000000000001</c:v>
                </c:pt>
                <c:pt idx="22">
                  <c:v>1.1547000000000001</c:v>
                </c:pt>
                <c:pt idx="23">
                  <c:v>1.1547000000000001</c:v>
                </c:pt>
                <c:pt idx="24">
                  <c:v>1.1547000000000001</c:v>
                </c:pt>
                <c:pt idx="25">
                  <c:v>1.1547000000000001</c:v>
                </c:pt>
                <c:pt idx="26">
                  <c:v>1.1547000000000001</c:v>
                </c:pt>
                <c:pt idx="27">
                  <c:v>1.1547000000000001</c:v>
                </c:pt>
                <c:pt idx="28">
                  <c:v>1.1547000000000001</c:v>
                </c:pt>
                <c:pt idx="29" formatCode="General">
                  <c:v>0.52975973597359738</c:v>
                </c:pt>
              </c:numCache>
            </c:numRef>
          </c:xVal>
          <c:yVal>
            <c:numRef>
              <c:f>Input!$BU$8:$BU$37</c:f>
              <c:numCache>
                <c:formatCode>0.000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formatCode="General">
                  <c:v>0.91749174917491749</c:v>
                </c:pt>
              </c:numCache>
            </c:numRef>
          </c:yVal>
          <c:smooth val="0"/>
        </c:ser>
        <c:dLbls>
          <c:showLegendKey val="0"/>
          <c:showVal val="0"/>
          <c:showCatName val="0"/>
          <c:showSerName val="0"/>
          <c:showPercent val="0"/>
          <c:showBubbleSize val="0"/>
        </c:dLbls>
        <c:axId val="108433408"/>
        <c:axId val="108434944"/>
      </c:scatterChart>
      <c:valAx>
        <c:axId val="108433408"/>
        <c:scaling>
          <c:orientation val="minMax"/>
          <c:max val="1.4"/>
          <c:min val="-0.2"/>
        </c:scaling>
        <c:delete val="1"/>
        <c:axPos val="b"/>
        <c:numFmt formatCode="General" sourceLinked="1"/>
        <c:majorTickMark val="out"/>
        <c:minorTickMark val="none"/>
        <c:tickLblPos val="none"/>
        <c:crossAx val="108434944"/>
        <c:crosses val="autoZero"/>
        <c:crossBetween val="midCat"/>
      </c:valAx>
      <c:valAx>
        <c:axId val="108434944"/>
        <c:scaling>
          <c:orientation val="minMax"/>
          <c:max val="1.2"/>
          <c:min val="-0.2"/>
        </c:scaling>
        <c:delete val="1"/>
        <c:axPos val="l"/>
        <c:numFmt formatCode="_(* #,##0.00_);_(* \(#,##0.00\);_(* &quot;-&quot;??_);_(@_)" sourceLinked="1"/>
        <c:majorTickMark val="out"/>
        <c:minorTickMark val="none"/>
        <c:tickLblPos val="none"/>
        <c:crossAx val="108433408"/>
        <c:crosses val="autoZero"/>
        <c:crossBetween val="midCat"/>
      </c:valAx>
      <c:spPr>
        <a:noFill/>
        <a:ln w="25400">
          <a:noFill/>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0.bin"/></Relationships>
</file>

<file path=xl/chart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chartsheets/_rels/sheet1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2.bin"/></Relationships>
</file>

<file path=xl/chartsheets/_rels/sheet1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chart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chartsheets/sheet1.xml><?xml version="1.0" encoding="utf-8"?>
<chartsheet xmlns="http://schemas.openxmlformats.org/spreadsheetml/2006/main" xmlns:r="http://schemas.openxmlformats.org/officeDocument/2006/relationships">
  <sheetPr/>
  <sheetViews>
    <sheetView zoomScale="75" workbookViewId="0"/>
  </sheetViews>
  <pageMargins left="0.75" right="0.75" top="1" bottom="1" header="0.5" footer="0.5"/>
  <pageSetup orientation="landscape" horizontalDpi="300" verticalDpi="300" r:id="rId1"/>
  <headerFooter alignWithMargins="0">
    <oddHeader>&amp;C&amp;"Arial,Bold"&amp;18Stable Isotopes</oddHeader>
    <oddFooter>&amp;C&amp;F&amp;R&amp;D</oddFooter>
  </headerFooter>
  <drawing r:id="rId2"/>
</chartsheet>
</file>

<file path=xl/chartsheets/sheet10.xml><?xml version="1.0" encoding="utf-8"?>
<chartsheet xmlns="http://schemas.openxmlformats.org/spreadsheetml/2006/main" xmlns:r="http://schemas.openxmlformats.org/officeDocument/2006/relationships">
  <sheetPr/>
  <sheetViews>
    <sheetView zoomScale="75" workbookViewId="0"/>
  </sheetViews>
  <pageMargins left="0.75" right="0.75" top="0.52" bottom="0.5" header="0.5" footer="0.5"/>
  <pageSetup orientation="landscape" horizontalDpi="300" verticalDpi="300" r:id="rId1"/>
  <headerFooter alignWithMargins="0">
    <oddHeader>&amp;C&amp;"Arial,Bold"&amp;14Li - Rb - Cs Ternary</oddHeader>
    <oddFooter>&amp;C&amp;F&amp;R&amp;D</oddFooter>
  </headerFooter>
  <drawing r:id="rId2"/>
</chartsheet>
</file>

<file path=xl/chartsheets/sheet11.xml><?xml version="1.0" encoding="utf-8"?>
<chartsheet xmlns="http://schemas.openxmlformats.org/spreadsheetml/2006/main" xmlns:r="http://schemas.openxmlformats.org/officeDocument/2006/relationships">
  <sheetPr/>
  <sheetViews>
    <sheetView zoomScale="75" workbookViewId="0"/>
  </sheetViews>
  <pageMargins left="0.75" right="0.75" top="0.52" bottom="0.5" header="0.5" footer="0.5"/>
  <pageSetup orientation="landscape" horizontalDpi="300" verticalDpi="300" r:id="rId1"/>
  <headerFooter alignWithMargins="0"/>
  <drawing r:id="rId2"/>
</chartsheet>
</file>

<file path=xl/chartsheets/sheet12.xml><?xml version="1.0" encoding="utf-8"?>
<chartsheet xmlns="http://schemas.openxmlformats.org/spreadsheetml/2006/main" xmlns:r="http://schemas.openxmlformats.org/officeDocument/2006/relationships">
  <sheetPr/>
  <sheetViews>
    <sheetView zoomScale="75" workbookViewId="0"/>
  </sheetViews>
  <pageMargins left="0.75" right="0.75" top="0.52" bottom="0.5" header="0.5" footer="0.5"/>
  <pageSetup orientation="landscape" horizontalDpi="300" verticalDpi="300" r:id="rId1"/>
  <headerFooter alignWithMargins="0">
    <oddHeader>&amp;C&amp;"Arial,Bold"&amp;14Li - Rb - Cs Ternary</oddHeader>
    <oddFooter>&amp;C&amp;F&amp;R&amp;D</oddFooter>
  </headerFooter>
  <drawing r:id="rId2"/>
</chartsheet>
</file>

<file path=xl/chartsheets/sheet13.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orientation="landscape" horizontalDpi="360" verticalDpi="360" r:id="rId1"/>
  <headerFooter alignWithMargins="0"/>
  <drawing r:id="rId2"/>
</chartsheet>
</file>

<file path=xl/chartsheets/sheet14.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orientation="portrait" horizontalDpi="300" verticalDpi="300" r:id="rId1"/>
  <headerFooter alignWithMargins="0"/>
  <drawing r:id="rId2"/>
</chartsheet>
</file>

<file path=xl/chartsheets/sheet2.xml><?xml version="1.0" encoding="utf-8"?>
<chartsheet xmlns="http://schemas.openxmlformats.org/spreadsheetml/2006/main" xmlns:r="http://schemas.openxmlformats.org/officeDocument/2006/relationships">
  <sheetPr/>
  <sheetViews>
    <sheetView zoomScale="68" workbookViewId="0"/>
  </sheetViews>
  <pageMargins left="0.75" right="0.75" top="1" bottom="1" header="0.5" footer="0.5"/>
  <pageSetup orientation="landscape" horizontalDpi="300" verticalDpi="300" r:id="rId1"/>
  <headerFooter alignWithMargins="0"/>
  <drawing r:id="rId2"/>
</chartsheet>
</file>

<file path=xl/chartsheets/sheet3.xml><?xml version="1.0" encoding="utf-8"?>
<chartsheet xmlns="http://schemas.openxmlformats.org/spreadsheetml/2006/main" xmlns:r="http://schemas.openxmlformats.org/officeDocument/2006/relationships">
  <sheetPr/>
  <sheetViews>
    <sheetView zoomScale="68" workbookViewId="0"/>
  </sheetViews>
  <pageMargins left="0.75" right="0.75" top="1" bottom="1" header="0.5" footer="0.5"/>
  <pageSetup orientation="landscape" horizontalDpi="300" verticalDpi="300" r:id="rId1"/>
  <headerFooter alignWithMargins="0"/>
  <drawing r:id="rId2"/>
</chartsheet>
</file>

<file path=xl/chartsheets/sheet4.xml><?xml version="1.0" encoding="utf-8"?>
<chartsheet xmlns="http://schemas.openxmlformats.org/spreadsheetml/2006/main" xmlns:r="http://schemas.openxmlformats.org/officeDocument/2006/relationships">
  <sheetPr/>
  <sheetViews>
    <sheetView zoomScale="68" workbookViewId="0"/>
  </sheetViews>
  <pageMargins left="0.75" right="0.75" top="1" bottom="1" header="0.5" footer="0.5"/>
  <pageSetup orientation="landscape" horizontalDpi="300" verticalDpi="300" r:id="rId1"/>
  <headerFooter alignWithMargins="0"/>
  <drawing r:id="rId2"/>
</chartsheet>
</file>

<file path=xl/chartsheets/sheet5.xml><?xml version="1.0" encoding="utf-8"?>
<chartsheet xmlns="http://schemas.openxmlformats.org/spreadsheetml/2006/main" xmlns:r="http://schemas.openxmlformats.org/officeDocument/2006/relationships">
  <sheetPr/>
  <sheetViews>
    <sheetView zoomScale="75" workbookViewId="0"/>
  </sheetViews>
  <pageMargins left="0.75" right="0.75" top="1" bottom="1" header="0.5" footer="0.5"/>
  <pageSetup orientation="landscape" horizontalDpi="300" verticalDpi="300" r:id="rId1"/>
  <headerFooter alignWithMargins="0"/>
  <drawing r:id="rId2"/>
</chartsheet>
</file>

<file path=xl/chartsheets/sheet6.xml><?xml version="1.0" encoding="utf-8"?>
<chartsheet xmlns="http://schemas.openxmlformats.org/spreadsheetml/2006/main" xmlns:r="http://schemas.openxmlformats.org/officeDocument/2006/relationships">
  <sheetPr/>
  <sheetViews>
    <sheetView zoomScale="70" workbookViewId="0"/>
  </sheetViews>
  <pageMargins left="0.75" right="0.75" top="1" bottom="1" header="0.5" footer="0.5"/>
  <pageSetup orientation="landscape" horizontalDpi="300" verticalDpi="300" r:id="rId1"/>
  <headerFooter alignWithMargins="0"/>
  <drawing r:id="rId2"/>
</chartsheet>
</file>

<file path=xl/chartsheets/sheet7.xml><?xml version="1.0" encoding="utf-8"?>
<chartsheet xmlns="http://schemas.openxmlformats.org/spreadsheetml/2006/main" xmlns:r="http://schemas.openxmlformats.org/officeDocument/2006/relationships">
  <sheetPr/>
  <sheetViews>
    <sheetView zoomScale="75" workbookViewId="0"/>
  </sheetViews>
  <pageMargins left="0.75" right="0.75" top="0.52" bottom="0.5" header="0.5" footer="0.5"/>
  <pageSetup orientation="landscape" horizontalDpi="300" verticalDpi="300" r:id="rId1"/>
  <headerFooter alignWithMargins="0"/>
  <drawing r:id="rId2"/>
</chartsheet>
</file>

<file path=xl/chartsheets/sheet8.xml><?xml version="1.0" encoding="utf-8"?>
<chartsheet xmlns="http://schemas.openxmlformats.org/spreadsheetml/2006/main" xmlns:r="http://schemas.openxmlformats.org/officeDocument/2006/relationships">
  <sheetPr/>
  <sheetViews>
    <sheetView zoomScale="75" workbookViewId="0"/>
  </sheetViews>
  <pageMargins left="0.75" right="0.75" top="0.52" bottom="0.5" header="0.5" footer="0.5"/>
  <pageSetup orientation="landscape" horizontalDpi="300" verticalDpi="300" r:id="rId1"/>
  <headerFooter alignWithMargins="0"/>
  <drawing r:id="rId2"/>
</chartsheet>
</file>

<file path=xl/chartsheets/sheet9.xml><?xml version="1.0" encoding="utf-8"?>
<chartsheet xmlns="http://schemas.openxmlformats.org/spreadsheetml/2006/main" xmlns:r="http://schemas.openxmlformats.org/officeDocument/2006/relationships">
  <sheetPr/>
  <sheetViews>
    <sheetView zoomScale="75" workbookViewId="0"/>
  </sheetViews>
  <pageMargins left="0.75" right="0.75" top="0.52" bottom="0.5" header="0.5" footer="0.5"/>
  <pageSetup orientation="landscape" horizontalDpi="300" verticalDpi="300"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8572500" cy="6731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0.33681</cdr:x>
      <cdr:y>0.65037</cdr:y>
    </cdr:from>
    <cdr:to>
      <cdr:x>0.60294</cdr:x>
      <cdr:y>0.70513</cdr:y>
    </cdr:to>
    <cdr:sp macro="" textlink="">
      <cdr:nvSpPr>
        <cdr:cNvPr id="150530" name="Text Box 2"/>
        <cdr:cNvSpPr txBox="1">
          <a:spLocks xmlns:a="http://schemas.openxmlformats.org/drawingml/2006/main" noChangeArrowheads="1"/>
        </cdr:cNvSpPr>
      </cdr:nvSpPr>
      <cdr:spPr bwMode="auto">
        <a:xfrm xmlns:a="http://schemas.openxmlformats.org/drawingml/2006/main">
          <a:off x="2890532" y="4379677"/>
          <a:ext cx="2283895" cy="36881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36576" tIns="36576" rIns="36576" bIns="36576" anchor="ctr" upright="1">
          <a:spAutoFit/>
        </a:bodyPr>
        <a:lstStyle xmlns:a="http://schemas.openxmlformats.org/drawingml/2006/main"/>
        <a:p xmlns:a="http://schemas.openxmlformats.org/drawingml/2006/main">
          <a:pPr algn="ctr" rtl="0">
            <a:defRPr sz="1000"/>
          </a:pPr>
          <a:r>
            <a:rPr lang="en-NZ" sz="2000" b="0" i="0" u="none" strike="noStrike" baseline="0">
              <a:solidFill>
                <a:srgbClr val="808080"/>
              </a:solidFill>
              <a:latin typeface="Arial"/>
              <a:cs typeface="Arial"/>
            </a:rPr>
            <a:t>Partial Equilibration</a:t>
          </a:r>
        </a:p>
      </cdr:txBody>
    </cdr:sp>
  </cdr:relSizeAnchor>
  <cdr:relSizeAnchor xmlns:cdr="http://schemas.openxmlformats.org/drawingml/2006/chartDrawing">
    <cdr:from>
      <cdr:x>0.43099</cdr:x>
      <cdr:y>0.72724</cdr:y>
    </cdr:from>
    <cdr:to>
      <cdr:x>0.66876</cdr:x>
      <cdr:y>0.78201</cdr:y>
    </cdr:to>
    <cdr:sp macro="" textlink="">
      <cdr:nvSpPr>
        <cdr:cNvPr id="150529" name="Text Box 1"/>
        <cdr:cNvSpPr txBox="1">
          <a:spLocks xmlns:a="http://schemas.openxmlformats.org/drawingml/2006/main" noChangeArrowheads="1"/>
        </cdr:cNvSpPr>
      </cdr:nvSpPr>
      <cdr:spPr bwMode="auto">
        <a:xfrm xmlns:a="http://schemas.openxmlformats.org/drawingml/2006/main">
          <a:off x="3698761" y="4897367"/>
          <a:ext cx="2040560" cy="36881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36576" tIns="36576" rIns="36576" bIns="36576" anchor="ctr" upright="1">
          <a:spAutoFit/>
        </a:bodyPr>
        <a:lstStyle xmlns:a="http://schemas.openxmlformats.org/drawingml/2006/main"/>
        <a:p xmlns:a="http://schemas.openxmlformats.org/drawingml/2006/main">
          <a:pPr algn="ctr" rtl="0">
            <a:defRPr sz="1000"/>
          </a:pPr>
          <a:r>
            <a:rPr lang="en-NZ" sz="2000" b="0" i="0" u="none" strike="noStrike" baseline="0">
              <a:solidFill>
                <a:srgbClr val="808080"/>
              </a:solidFill>
              <a:latin typeface="Arial"/>
              <a:cs typeface="Arial"/>
            </a:rPr>
            <a:t>Immature Waters</a:t>
          </a: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8572500" cy="6731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absoluteAnchor>
    <xdr:pos x="0" y="0"/>
    <xdr:ext cx="8572500" cy="6731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xdr:wsDr xmlns:xdr="http://schemas.openxmlformats.org/drawingml/2006/spreadsheetDrawing" xmlns:a="http://schemas.openxmlformats.org/drawingml/2006/main">
  <xdr:absoluteAnchor>
    <xdr:pos x="0" y="0"/>
    <xdr:ext cx="8572500" cy="6731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xdr:wsDr xmlns:xdr="http://schemas.openxmlformats.org/drawingml/2006/spreadsheetDrawing" xmlns:a="http://schemas.openxmlformats.org/drawingml/2006/main">
  <xdr:absoluteAnchor>
    <xdr:pos x="0" y="0"/>
    <xdr:ext cx="8572500" cy="6731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absoluteAnchor>
    <xdr:pos x="0" y="0"/>
    <xdr:ext cx="8572500" cy="6731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absoluteAnchor>
    <xdr:pos x="0" y="0"/>
    <xdr:ext cx="6296025" cy="8124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c:userShapes xmlns:c="http://schemas.openxmlformats.org/drawingml/2006/chart">
  <cdr:relSizeAnchor xmlns:cdr="http://schemas.openxmlformats.org/drawingml/2006/chartDrawing">
    <cdr:from>
      <cdr:x>0.12825</cdr:x>
      <cdr:y>0.09975</cdr:y>
    </cdr:from>
    <cdr:to>
      <cdr:x>0.3315</cdr:x>
      <cdr:y>0.2625</cdr:y>
    </cdr:to>
    <cdr:sp macro="" textlink="">
      <cdr:nvSpPr>
        <cdr:cNvPr id="373761" name="Text Box 1"/>
        <cdr:cNvSpPr txBox="1">
          <a:spLocks xmlns:a="http://schemas.openxmlformats.org/drawingml/2006/main" noChangeArrowheads="1"/>
        </cdr:cNvSpPr>
      </cdr:nvSpPr>
      <cdr:spPr bwMode="auto">
        <a:xfrm xmlns:a="http://schemas.openxmlformats.org/drawingml/2006/main">
          <a:off x="807465" y="810451"/>
          <a:ext cx="1279667" cy="1322316"/>
        </a:xfrm>
        <a:prstGeom xmlns:a="http://schemas.openxmlformats.org/drawingml/2006/main" prst="rect">
          <a:avLst/>
        </a:prstGeom>
        <a:noFill xmlns:a="http://schemas.openxmlformats.org/drawingml/2006/main"/>
        <a:ln xmlns:a="http://schemas.openxmlformats.org/drawingml/2006/main" w="3175" cap="rnd">
          <a:solidFill>
            <a:srgbClr val="000000"/>
          </a:solidFill>
          <a:prstDash val="sysDot"/>
          <a:miter lim="800000"/>
          <a:headEnd/>
          <a:tailEnd/>
        </a:ln>
        <a:effectLst xmlns:a="http://schemas.openxmlformats.org/drawingml/2006/main"/>
      </cdr:spPr>
      <cdr:txBody>
        <a:bodyPr xmlns:a="http://schemas.openxmlformats.org/drawingml/2006/main" vertOverflow="clip" wrap="square" lIns="720000" tIns="720000" rIns="720000" bIns="720000" anchor="ctr" upright="1"/>
        <a:lstStyle xmlns:a="http://schemas.openxmlformats.org/drawingml/2006/main"/>
        <a:p xmlns:a="http://schemas.openxmlformats.org/drawingml/2006/main">
          <a:pPr algn="ctr" rtl="0">
            <a:defRPr sz="1000"/>
          </a:pPr>
          <a:r>
            <a:rPr lang="en-NZ" sz="800" b="0" i="0" u="none" strike="noStrike" baseline="0">
              <a:solidFill>
                <a:srgbClr val="000000"/>
              </a:solidFill>
              <a:latin typeface="Arial"/>
              <a:cs typeface="Arial"/>
            </a:rPr>
            <a:t>-------------------------------------------</a:t>
          </a:r>
        </a:p>
      </cdr:txBody>
    </cdr:sp>
  </cdr:relSizeAnchor>
</c:userShapes>
</file>

<file path=xl/drawings/drawing2.xml><?xml version="1.0" encoding="utf-8"?>
<c:userShapes xmlns:c="http://schemas.openxmlformats.org/drawingml/2006/chart">
  <cdr:relSizeAnchor xmlns:cdr="http://schemas.openxmlformats.org/drawingml/2006/chartDrawing">
    <cdr:from>
      <cdr:x>0.39068</cdr:x>
      <cdr:y>0.278</cdr:y>
    </cdr:from>
    <cdr:to>
      <cdr:x>0.81175</cdr:x>
      <cdr:y>0.47635</cdr:y>
    </cdr:to>
    <cdr:sp macro="" textlink="">
      <cdr:nvSpPr>
        <cdr:cNvPr id="105477" name="Line 5"/>
        <cdr:cNvSpPr>
          <a:spLocks xmlns:a="http://schemas.openxmlformats.org/drawingml/2006/main" noChangeShapeType="1"/>
        </cdr:cNvSpPr>
      </cdr:nvSpPr>
      <cdr:spPr bwMode="auto">
        <a:xfrm xmlns:a="http://schemas.openxmlformats.org/drawingml/2006/main" flipV="1">
          <a:off x="3352799" y="1623192"/>
          <a:ext cx="3613659" cy="1158107"/>
        </a:xfrm>
        <a:prstGeom xmlns:a="http://schemas.openxmlformats.org/drawingml/2006/main" prst="line">
          <a:avLst/>
        </a:prstGeom>
        <a:noFill xmlns:a="http://schemas.openxmlformats.org/drawingml/2006/main"/>
        <a:ln xmlns:a="http://schemas.openxmlformats.org/drawingml/2006/main" w="25400">
          <a:solidFill>
            <a:srgbClr val="800080"/>
          </a:solidFill>
          <a:round/>
          <a:headEnd/>
          <a:tailEnd type="arrow" w="med" len="lg"/>
        </a:ln>
      </cdr:spPr>
      <cdr:txBody>
        <a:bodyPr xmlns:a="http://schemas.openxmlformats.org/drawingml/2006/main"/>
        <a:lstStyle xmlns:a="http://schemas.openxmlformats.org/drawingml/2006/main"/>
        <a:p xmlns:a="http://schemas.openxmlformats.org/drawingml/2006/main">
          <a:endParaRPr lang="en-NZ"/>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6507" cy="58410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0.11575</cdr:x>
      <cdr:y>0.12975</cdr:y>
    </cdr:from>
    <cdr:to>
      <cdr:x>0.59875</cdr:x>
      <cdr:y>0.47875</cdr:y>
    </cdr:to>
    <cdr:sp macro="" textlink="">
      <cdr:nvSpPr>
        <cdr:cNvPr id="136193" name="Line 1"/>
        <cdr:cNvSpPr>
          <a:spLocks xmlns:a="http://schemas.openxmlformats.org/drawingml/2006/main" noChangeShapeType="1"/>
        </cdr:cNvSpPr>
      </cdr:nvSpPr>
      <cdr:spPr bwMode="auto">
        <a:xfrm xmlns:a="http://schemas.openxmlformats.org/drawingml/2006/main">
          <a:off x="993369" y="767805"/>
          <a:ext cx="4145118" cy="2037750"/>
        </a:xfrm>
        <a:prstGeom xmlns:a="http://schemas.openxmlformats.org/drawingml/2006/main" prst="line">
          <a:avLst/>
        </a:prstGeom>
        <a:noFill xmlns:a="http://schemas.openxmlformats.org/drawingml/2006/main"/>
        <a:ln xmlns:a="http://schemas.openxmlformats.org/drawingml/2006/main" w="9525">
          <a:solidFill>
            <a:srgbClr val="80008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NZ"/>
        </a:p>
      </cdr:txBody>
    </cdr:sp>
  </cdr:relSizeAnchor>
  <cdr:relSizeAnchor xmlns:cdr="http://schemas.openxmlformats.org/drawingml/2006/chartDrawing">
    <cdr:from>
      <cdr:x>0.142</cdr:x>
      <cdr:y>0.58776</cdr:y>
    </cdr:from>
    <cdr:to>
      <cdr:x>0.77365</cdr:x>
      <cdr:y>0.75808</cdr:y>
    </cdr:to>
    <cdr:sp macro="" textlink="">
      <cdr:nvSpPr>
        <cdr:cNvPr id="136194" name="Line 2"/>
        <cdr:cNvSpPr>
          <a:spLocks xmlns:a="http://schemas.openxmlformats.org/drawingml/2006/main" noChangeShapeType="1"/>
        </cdr:cNvSpPr>
      </cdr:nvSpPr>
      <cdr:spPr bwMode="auto">
        <a:xfrm xmlns:a="http://schemas.openxmlformats.org/drawingml/2006/main" flipV="1">
          <a:off x="1218640" y="3431799"/>
          <a:ext cx="5420845" cy="994524"/>
        </a:xfrm>
        <a:prstGeom xmlns:a="http://schemas.openxmlformats.org/drawingml/2006/main" prst="line">
          <a:avLst/>
        </a:prstGeom>
        <a:noFill xmlns:a="http://schemas.openxmlformats.org/drawingml/2006/main"/>
        <a:ln xmlns:a="http://schemas.openxmlformats.org/drawingml/2006/main" w="9525">
          <a:solidFill>
            <a:srgbClr val="800080"/>
          </a:solidFill>
          <a:round/>
          <a:headEnd type="stealth" w="lg" len="med"/>
          <a:tailEnd/>
        </a:ln>
      </cdr:spPr>
      <cdr:txBody>
        <a:bodyPr xmlns:a="http://schemas.openxmlformats.org/drawingml/2006/main"/>
        <a:lstStyle xmlns:a="http://schemas.openxmlformats.org/drawingml/2006/main"/>
        <a:p xmlns:a="http://schemas.openxmlformats.org/drawingml/2006/main">
          <a:endParaRPr lang="en-NZ"/>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6507" cy="58410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0.11575</cdr:x>
      <cdr:y>0.12975</cdr:y>
    </cdr:from>
    <cdr:to>
      <cdr:x>0.59875</cdr:x>
      <cdr:y>0.47875</cdr:y>
    </cdr:to>
    <cdr:sp macro="" textlink="">
      <cdr:nvSpPr>
        <cdr:cNvPr id="136193" name="Line 1"/>
        <cdr:cNvSpPr>
          <a:spLocks xmlns:a="http://schemas.openxmlformats.org/drawingml/2006/main" noChangeShapeType="1"/>
        </cdr:cNvSpPr>
      </cdr:nvSpPr>
      <cdr:spPr bwMode="auto">
        <a:xfrm xmlns:a="http://schemas.openxmlformats.org/drawingml/2006/main">
          <a:off x="993369" y="767805"/>
          <a:ext cx="4145118" cy="2037750"/>
        </a:xfrm>
        <a:prstGeom xmlns:a="http://schemas.openxmlformats.org/drawingml/2006/main" prst="line">
          <a:avLst/>
        </a:prstGeom>
        <a:noFill xmlns:a="http://schemas.openxmlformats.org/drawingml/2006/main"/>
        <a:ln xmlns:a="http://schemas.openxmlformats.org/drawingml/2006/main" w="9525">
          <a:solidFill>
            <a:srgbClr val="80008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NZ"/>
        </a:p>
      </cdr:txBody>
    </cdr:sp>
  </cdr:relSizeAnchor>
  <cdr:relSizeAnchor xmlns:cdr="http://schemas.openxmlformats.org/drawingml/2006/chartDrawing">
    <cdr:from>
      <cdr:x>0.17575</cdr:x>
      <cdr:y>0.4</cdr:y>
    </cdr:from>
    <cdr:to>
      <cdr:x>0.46475</cdr:x>
      <cdr:y>0.654</cdr:y>
    </cdr:to>
    <cdr:sp macro="" textlink="">
      <cdr:nvSpPr>
        <cdr:cNvPr id="136194" name="Line 2"/>
        <cdr:cNvSpPr>
          <a:spLocks xmlns:a="http://schemas.openxmlformats.org/drawingml/2006/main" noChangeShapeType="1"/>
        </cdr:cNvSpPr>
      </cdr:nvSpPr>
      <cdr:spPr bwMode="auto">
        <a:xfrm xmlns:a="http://schemas.openxmlformats.org/drawingml/2006/main" flipV="1">
          <a:off x="1508291" y="2345748"/>
          <a:ext cx="2480205" cy="1483061"/>
        </a:xfrm>
        <a:prstGeom xmlns:a="http://schemas.openxmlformats.org/drawingml/2006/main" prst="line">
          <a:avLst/>
        </a:prstGeom>
        <a:noFill xmlns:a="http://schemas.openxmlformats.org/drawingml/2006/main"/>
        <a:ln xmlns:a="http://schemas.openxmlformats.org/drawingml/2006/main" w="9525">
          <a:solidFill>
            <a:srgbClr val="800080"/>
          </a:solidFill>
          <a:round/>
          <a:headEnd type="stealth" w="lg" len="med"/>
          <a:tailEnd/>
        </a:ln>
      </cdr:spPr>
      <cdr:txBody>
        <a:bodyPr xmlns:a="http://schemas.openxmlformats.org/drawingml/2006/main"/>
        <a:lstStyle xmlns:a="http://schemas.openxmlformats.org/drawingml/2006/main"/>
        <a:p xmlns:a="http://schemas.openxmlformats.org/drawingml/2006/main">
          <a:endParaRPr lang="en-NZ"/>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6507" cy="58410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558893" cy="582385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34" zoomScale="75" workbookViewId="0">
      <selection activeCell="B42" sqref="B42"/>
    </sheetView>
  </sheetViews>
  <sheetFormatPr defaultRowHeight="12.75" x14ac:dyDescent="0.2"/>
  <sheetData>
    <row r="1" spans="1:17" x14ac:dyDescent="0.2">
      <c r="A1" s="325" t="s">
        <v>147</v>
      </c>
    </row>
    <row r="3" spans="1:17" x14ac:dyDescent="0.2">
      <c r="A3" s="368" t="s">
        <v>0</v>
      </c>
      <c r="B3" s="370"/>
      <c r="D3" s="368" t="s">
        <v>4</v>
      </c>
      <c r="E3" s="369"/>
      <c r="F3" s="369"/>
      <c r="G3" s="370"/>
      <c r="I3" s="368" t="s">
        <v>5</v>
      </c>
      <c r="J3" s="369"/>
      <c r="K3" s="369"/>
      <c r="L3" s="370"/>
      <c r="N3" s="368" t="s">
        <v>6</v>
      </c>
      <c r="O3" s="369"/>
      <c r="P3" s="369"/>
      <c r="Q3" s="370"/>
    </row>
    <row r="4" spans="1:17" x14ac:dyDescent="0.2">
      <c r="A4" s="1" t="s">
        <v>1</v>
      </c>
      <c r="B4" s="2" t="s">
        <v>2</v>
      </c>
      <c r="D4" s="1" t="s">
        <v>7</v>
      </c>
      <c r="E4" s="8" t="s">
        <v>8</v>
      </c>
      <c r="F4" s="8" t="s">
        <v>3</v>
      </c>
      <c r="G4" s="2" t="s">
        <v>2</v>
      </c>
      <c r="I4" s="1" t="s">
        <v>7</v>
      </c>
      <c r="J4" s="8" t="s">
        <v>8</v>
      </c>
      <c r="K4" s="8" t="s">
        <v>3</v>
      </c>
      <c r="L4" s="2" t="s">
        <v>2</v>
      </c>
      <c r="N4" s="1" t="s">
        <v>7</v>
      </c>
      <c r="O4" s="8" t="s">
        <v>8</v>
      </c>
      <c r="P4" s="8" t="s">
        <v>3</v>
      </c>
      <c r="Q4" s="2" t="s">
        <v>2</v>
      </c>
    </row>
    <row r="5" spans="1:17" x14ac:dyDescent="0.2">
      <c r="A5" s="3">
        <v>0</v>
      </c>
      <c r="B5" s="4">
        <v>0</v>
      </c>
      <c r="D5" s="9">
        <v>0.1</v>
      </c>
      <c r="E5" s="10">
        <v>0</v>
      </c>
      <c r="F5" s="7">
        <f t="shared" ref="F5:F22" si="0">0.5774*D5+1.1547*E5</f>
        <v>5.7740000000000007E-2</v>
      </c>
      <c r="G5" s="11">
        <f t="shared" ref="G5:G22" si="1">D5</f>
        <v>0.1</v>
      </c>
      <c r="I5" s="9">
        <v>0</v>
      </c>
      <c r="J5" s="10">
        <v>0.1</v>
      </c>
      <c r="K5" s="7">
        <f t="shared" ref="K5:K22" si="2">0.5774*I5+1.1547*(J5)</f>
        <v>0.11547000000000002</v>
      </c>
      <c r="L5" s="16">
        <f t="shared" ref="L5:L22" si="3">I5</f>
        <v>0</v>
      </c>
      <c r="N5" s="9">
        <v>0</v>
      </c>
      <c r="O5" s="10">
        <v>0.1</v>
      </c>
      <c r="P5" s="7">
        <f>0.5774*N5+1.1547*(O5)</f>
        <v>0.11547000000000002</v>
      </c>
      <c r="Q5" s="16">
        <f t="shared" ref="Q5:Q22" si="4">N5</f>
        <v>0</v>
      </c>
    </row>
    <row r="6" spans="1:17" x14ac:dyDescent="0.2">
      <c r="A6" s="3">
        <v>0.57740000000000002</v>
      </c>
      <c r="B6" s="4">
        <v>1</v>
      </c>
      <c r="D6" s="9">
        <v>0.1</v>
      </c>
      <c r="E6" s="10">
        <v>0.9</v>
      </c>
      <c r="F6" s="7">
        <f t="shared" si="0"/>
        <v>1.09697</v>
      </c>
      <c r="G6" s="11">
        <f t="shared" si="1"/>
        <v>0.1</v>
      </c>
      <c r="I6" s="9">
        <v>0.1</v>
      </c>
      <c r="J6" s="10">
        <v>0</v>
      </c>
      <c r="K6" s="7">
        <f t="shared" si="2"/>
        <v>5.7740000000000007E-2</v>
      </c>
      <c r="L6" s="16">
        <f t="shared" si="3"/>
        <v>0.1</v>
      </c>
      <c r="N6" s="9">
        <v>0.9</v>
      </c>
      <c r="O6" s="10">
        <v>0.1</v>
      </c>
      <c r="P6" s="7">
        <f t="shared" ref="P6:P22" si="5">0.5774*N6+1.1547*(O6)</f>
        <v>0.63512999999999997</v>
      </c>
      <c r="Q6" s="16">
        <f t="shared" si="4"/>
        <v>0.9</v>
      </c>
    </row>
    <row r="7" spans="1:17" x14ac:dyDescent="0.2">
      <c r="A7" s="3">
        <v>1.1547000000000001</v>
      </c>
      <c r="B7" s="4">
        <v>0</v>
      </c>
      <c r="D7" s="9">
        <v>0.2</v>
      </c>
      <c r="E7" s="10">
        <v>0.8</v>
      </c>
      <c r="F7" s="7">
        <f t="shared" si="0"/>
        <v>1.0392400000000002</v>
      </c>
      <c r="G7" s="11">
        <f t="shared" si="1"/>
        <v>0.2</v>
      </c>
      <c r="I7" s="9">
        <v>0.2</v>
      </c>
      <c r="J7" s="10">
        <v>0</v>
      </c>
      <c r="K7" s="7">
        <f t="shared" si="2"/>
        <v>0.11548000000000001</v>
      </c>
      <c r="L7" s="16">
        <f t="shared" si="3"/>
        <v>0.2</v>
      </c>
      <c r="N7" s="9">
        <v>0.8</v>
      </c>
      <c r="O7" s="10">
        <v>0.2</v>
      </c>
      <c r="P7" s="7">
        <f t="shared" si="5"/>
        <v>0.69286000000000003</v>
      </c>
      <c r="Q7" s="16">
        <f t="shared" si="4"/>
        <v>0.8</v>
      </c>
    </row>
    <row r="8" spans="1:17" x14ac:dyDescent="0.2">
      <c r="A8" s="5">
        <v>0</v>
      </c>
      <c r="B8" s="6">
        <v>0</v>
      </c>
      <c r="D8" s="9">
        <v>0.2</v>
      </c>
      <c r="E8" s="10">
        <v>0</v>
      </c>
      <c r="F8" s="7">
        <f t="shared" si="0"/>
        <v>0.11548000000000001</v>
      </c>
      <c r="G8" s="11">
        <f t="shared" si="1"/>
        <v>0.2</v>
      </c>
      <c r="I8" s="9">
        <v>0</v>
      </c>
      <c r="J8" s="10">
        <v>0.2</v>
      </c>
      <c r="K8" s="7">
        <f t="shared" si="2"/>
        <v>0.23094000000000003</v>
      </c>
      <c r="L8" s="16">
        <f t="shared" si="3"/>
        <v>0</v>
      </c>
      <c r="N8" s="9">
        <v>0</v>
      </c>
      <c r="O8" s="10">
        <v>0.2</v>
      </c>
      <c r="P8" s="7">
        <f t="shared" si="5"/>
        <v>0.23094000000000003</v>
      </c>
      <c r="Q8" s="16">
        <f t="shared" si="4"/>
        <v>0</v>
      </c>
    </row>
    <row r="9" spans="1:17" x14ac:dyDescent="0.2">
      <c r="D9" s="9">
        <v>0.3</v>
      </c>
      <c r="E9" s="10">
        <v>0</v>
      </c>
      <c r="F9" s="7">
        <f t="shared" si="0"/>
        <v>0.17322000000000001</v>
      </c>
      <c r="G9" s="11">
        <f t="shared" si="1"/>
        <v>0.3</v>
      </c>
      <c r="I9" s="9">
        <v>0</v>
      </c>
      <c r="J9" s="10">
        <v>0.3</v>
      </c>
      <c r="K9" s="7">
        <f t="shared" si="2"/>
        <v>0.34641</v>
      </c>
      <c r="L9" s="16">
        <f t="shared" si="3"/>
        <v>0</v>
      </c>
      <c r="N9" s="9">
        <v>0</v>
      </c>
      <c r="O9" s="10">
        <v>0.3</v>
      </c>
      <c r="P9" s="7">
        <f t="shared" si="5"/>
        <v>0.34641</v>
      </c>
      <c r="Q9" s="16">
        <f t="shared" si="4"/>
        <v>0</v>
      </c>
    </row>
    <row r="10" spans="1:17" x14ac:dyDescent="0.2">
      <c r="D10" s="9">
        <v>0.3</v>
      </c>
      <c r="E10" s="10">
        <v>0.7</v>
      </c>
      <c r="F10" s="7">
        <f t="shared" si="0"/>
        <v>0.98150999999999999</v>
      </c>
      <c r="G10" s="11">
        <f t="shared" si="1"/>
        <v>0.3</v>
      </c>
      <c r="I10" s="9">
        <v>0.3</v>
      </c>
      <c r="J10" s="10">
        <v>0</v>
      </c>
      <c r="K10" s="7">
        <f t="shared" si="2"/>
        <v>0.17322000000000001</v>
      </c>
      <c r="L10" s="16">
        <f t="shared" si="3"/>
        <v>0.3</v>
      </c>
      <c r="N10" s="9">
        <v>0.7</v>
      </c>
      <c r="O10" s="10">
        <v>0.3</v>
      </c>
      <c r="P10" s="7">
        <f t="shared" si="5"/>
        <v>0.75058999999999998</v>
      </c>
      <c r="Q10" s="16">
        <f t="shared" si="4"/>
        <v>0.7</v>
      </c>
    </row>
    <row r="11" spans="1:17" x14ac:dyDescent="0.2">
      <c r="D11" s="9">
        <v>0.4</v>
      </c>
      <c r="E11" s="10">
        <v>0.6</v>
      </c>
      <c r="F11" s="7">
        <f t="shared" si="0"/>
        <v>0.92378000000000005</v>
      </c>
      <c r="G11" s="11">
        <f t="shared" si="1"/>
        <v>0.4</v>
      </c>
      <c r="I11" s="9">
        <v>0.4</v>
      </c>
      <c r="J11" s="10">
        <v>0</v>
      </c>
      <c r="K11" s="7">
        <f t="shared" si="2"/>
        <v>0.23096000000000003</v>
      </c>
      <c r="L11" s="16">
        <f t="shared" si="3"/>
        <v>0.4</v>
      </c>
      <c r="N11" s="9">
        <v>0.6</v>
      </c>
      <c r="O11" s="10">
        <v>0.4</v>
      </c>
      <c r="P11" s="7">
        <f t="shared" si="5"/>
        <v>0.80832000000000015</v>
      </c>
      <c r="Q11" s="16">
        <f t="shared" si="4"/>
        <v>0.6</v>
      </c>
    </row>
    <row r="12" spans="1:17" x14ac:dyDescent="0.2">
      <c r="D12" s="9">
        <v>0.4</v>
      </c>
      <c r="E12" s="10">
        <v>0</v>
      </c>
      <c r="F12" s="7">
        <f t="shared" si="0"/>
        <v>0.23096000000000003</v>
      </c>
      <c r="G12" s="11">
        <f t="shared" si="1"/>
        <v>0.4</v>
      </c>
      <c r="I12" s="9">
        <v>0</v>
      </c>
      <c r="J12" s="10">
        <v>0.4</v>
      </c>
      <c r="K12" s="7">
        <f t="shared" si="2"/>
        <v>0.46188000000000007</v>
      </c>
      <c r="L12" s="16">
        <f t="shared" si="3"/>
        <v>0</v>
      </c>
      <c r="N12" s="9">
        <v>0</v>
      </c>
      <c r="O12" s="10">
        <v>0.4</v>
      </c>
      <c r="P12" s="7">
        <f t="shared" si="5"/>
        <v>0.46188000000000007</v>
      </c>
      <c r="Q12" s="16">
        <f t="shared" si="4"/>
        <v>0</v>
      </c>
    </row>
    <row r="13" spans="1:17" x14ac:dyDescent="0.2">
      <c r="D13" s="9">
        <v>0.5</v>
      </c>
      <c r="E13" s="10">
        <v>0</v>
      </c>
      <c r="F13" s="7">
        <f t="shared" si="0"/>
        <v>0.28870000000000001</v>
      </c>
      <c r="G13" s="11">
        <f t="shared" si="1"/>
        <v>0.5</v>
      </c>
      <c r="I13" s="9">
        <v>0</v>
      </c>
      <c r="J13" s="10">
        <v>0.5</v>
      </c>
      <c r="K13" s="7">
        <f t="shared" si="2"/>
        <v>0.57735000000000003</v>
      </c>
      <c r="L13" s="16">
        <f t="shared" si="3"/>
        <v>0</v>
      </c>
      <c r="N13" s="9">
        <v>0</v>
      </c>
      <c r="O13" s="10">
        <v>0.5</v>
      </c>
      <c r="P13" s="7">
        <f t="shared" si="5"/>
        <v>0.57735000000000003</v>
      </c>
      <c r="Q13" s="16">
        <f t="shared" si="4"/>
        <v>0</v>
      </c>
    </row>
    <row r="14" spans="1:17" x14ac:dyDescent="0.2">
      <c r="D14" s="9">
        <v>0.5</v>
      </c>
      <c r="E14" s="10">
        <v>0.5</v>
      </c>
      <c r="F14" s="7">
        <f t="shared" si="0"/>
        <v>0.86604999999999999</v>
      </c>
      <c r="G14" s="11">
        <f t="shared" si="1"/>
        <v>0.5</v>
      </c>
      <c r="I14" s="9">
        <v>0.5</v>
      </c>
      <c r="J14" s="10">
        <v>0</v>
      </c>
      <c r="K14" s="7">
        <f t="shared" si="2"/>
        <v>0.28870000000000001</v>
      </c>
      <c r="L14" s="16">
        <f t="shared" si="3"/>
        <v>0.5</v>
      </c>
      <c r="N14" s="9">
        <v>0.5</v>
      </c>
      <c r="O14" s="10">
        <v>0.5</v>
      </c>
      <c r="P14" s="7">
        <f t="shared" si="5"/>
        <v>0.86604999999999999</v>
      </c>
      <c r="Q14" s="16">
        <f t="shared" si="4"/>
        <v>0.5</v>
      </c>
    </row>
    <row r="15" spans="1:17" x14ac:dyDescent="0.2">
      <c r="D15" s="9">
        <v>0.6</v>
      </c>
      <c r="E15" s="10">
        <v>0.4</v>
      </c>
      <c r="F15" s="7">
        <f t="shared" si="0"/>
        <v>0.80832000000000015</v>
      </c>
      <c r="G15" s="11">
        <f t="shared" si="1"/>
        <v>0.6</v>
      </c>
      <c r="I15" s="9">
        <v>0.6</v>
      </c>
      <c r="J15" s="10">
        <v>0</v>
      </c>
      <c r="K15" s="7">
        <f t="shared" si="2"/>
        <v>0.34644000000000003</v>
      </c>
      <c r="L15" s="16">
        <f t="shared" si="3"/>
        <v>0.6</v>
      </c>
      <c r="N15" s="9">
        <v>0.4</v>
      </c>
      <c r="O15" s="10">
        <v>0.6</v>
      </c>
      <c r="P15" s="7">
        <f t="shared" si="5"/>
        <v>0.92378000000000005</v>
      </c>
      <c r="Q15" s="16">
        <f t="shared" si="4"/>
        <v>0.4</v>
      </c>
    </row>
    <row r="16" spans="1:17" x14ac:dyDescent="0.2">
      <c r="D16" s="9">
        <v>0.6</v>
      </c>
      <c r="E16" s="10">
        <v>0</v>
      </c>
      <c r="F16" s="7">
        <f t="shared" si="0"/>
        <v>0.34644000000000003</v>
      </c>
      <c r="G16" s="11">
        <f t="shared" si="1"/>
        <v>0.6</v>
      </c>
      <c r="I16" s="9">
        <v>0</v>
      </c>
      <c r="J16" s="10">
        <v>0.6</v>
      </c>
      <c r="K16" s="7">
        <f t="shared" si="2"/>
        <v>0.69281999999999999</v>
      </c>
      <c r="L16" s="16">
        <f t="shared" si="3"/>
        <v>0</v>
      </c>
      <c r="N16" s="9">
        <v>0</v>
      </c>
      <c r="O16" s="10">
        <v>0.6</v>
      </c>
      <c r="P16" s="7">
        <f t="shared" si="5"/>
        <v>0.69281999999999999</v>
      </c>
      <c r="Q16" s="16">
        <f t="shared" si="4"/>
        <v>0</v>
      </c>
    </row>
    <row r="17" spans="1:17" x14ac:dyDescent="0.2">
      <c r="D17" s="9">
        <v>0.7</v>
      </c>
      <c r="E17" s="10">
        <v>0</v>
      </c>
      <c r="F17" s="7">
        <f t="shared" si="0"/>
        <v>0.40417999999999998</v>
      </c>
      <c r="G17" s="11">
        <f t="shared" si="1"/>
        <v>0.7</v>
      </c>
      <c r="I17" s="9">
        <v>0</v>
      </c>
      <c r="J17" s="10">
        <v>0.7</v>
      </c>
      <c r="K17" s="7">
        <f t="shared" si="2"/>
        <v>0.80828999999999995</v>
      </c>
      <c r="L17" s="16">
        <f t="shared" si="3"/>
        <v>0</v>
      </c>
      <c r="N17" s="9">
        <v>0</v>
      </c>
      <c r="O17" s="10">
        <v>0.7</v>
      </c>
      <c r="P17" s="7">
        <f t="shared" si="5"/>
        <v>0.80828999999999995</v>
      </c>
      <c r="Q17" s="16">
        <f t="shared" si="4"/>
        <v>0</v>
      </c>
    </row>
    <row r="18" spans="1:17" x14ac:dyDescent="0.2">
      <c r="D18" s="9">
        <v>0.7</v>
      </c>
      <c r="E18" s="10">
        <v>0.3</v>
      </c>
      <c r="F18" s="7">
        <f t="shared" si="0"/>
        <v>0.75058999999999998</v>
      </c>
      <c r="G18" s="11">
        <f t="shared" si="1"/>
        <v>0.7</v>
      </c>
      <c r="I18" s="9">
        <v>0.7</v>
      </c>
      <c r="J18" s="10">
        <v>0</v>
      </c>
      <c r="K18" s="7">
        <f t="shared" si="2"/>
        <v>0.40417999999999998</v>
      </c>
      <c r="L18" s="16">
        <f t="shared" si="3"/>
        <v>0.7</v>
      </c>
      <c r="N18" s="9">
        <v>0.3</v>
      </c>
      <c r="O18" s="10">
        <v>0.7</v>
      </c>
      <c r="P18" s="7">
        <f t="shared" si="5"/>
        <v>0.98150999999999999</v>
      </c>
      <c r="Q18" s="16">
        <f t="shared" si="4"/>
        <v>0.3</v>
      </c>
    </row>
    <row r="19" spans="1:17" x14ac:dyDescent="0.2">
      <c r="D19" s="9">
        <v>0.8</v>
      </c>
      <c r="E19" s="10">
        <v>0.2</v>
      </c>
      <c r="F19" s="7">
        <f t="shared" si="0"/>
        <v>0.69286000000000003</v>
      </c>
      <c r="G19" s="11">
        <f t="shared" si="1"/>
        <v>0.8</v>
      </c>
      <c r="I19" s="9">
        <v>0.8</v>
      </c>
      <c r="J19" s="10">
        <v>0</v>
      </c>
      <c r="K19" s="7">
        <f t="shared" si="2"/>
        <v>0.46192000000000005</v>
      </c>
      <c r="L19" s="16">
        <f t="shared" si="3"/>
        <v>0.8</v>
      </c>
      <c r="N19" s="9">
        <v>0.2</v>
      </c>
      <c r="O19" s="10">
        <v>0.8</v>
      </c>
      <c r="P19" s="7">
        <f t="shared" si="5"/>
        <v>1.0392400000000002</v>
      </c>
      <c r="Q19" s="16">
        <f t="shared" si="4"/>
        <v>0.2</v>
      </c>
    </row>
    <row r="20" spans="1:17" x14ac:dyDescent="0.2">
      <c r="D20" s="9">
        <v>0.8</v>
      </c>
      <c r="E20" s="10">
        <v>0</v>
      </c>
      <c r="F20" s="7">
        <f t="shared" si="0"/>
        <v>0.46192000000000005</v>
      </c>
      <c r="G20" s="11">
        <f t="shared" si="1"/>
        <v>0.8</v>
      </c>
      <c r="I20" s="9">
        <v>0</v>
      </c>
      <c r="J20" s="10">
        <v>0.8</v>
      </c>
      <c r="K20" s="7">
        <f t="shared" si="2"/>
        <v>0.92376000000000014</v>
      </c>
      <c r="L20" s="16">
        <f t="shared" si="3"/>
        <v>0</v>
      </c>
      <c r="N20" s="9">
        <v>0</v>
      </c>
      <c r="O20" s="10">
        <v>0.8</v>
      </c>
      <c r="P20" s="7">
        <f t="shared" si="5"/>
        <v>0.92376000000000014</v>
      </c>
      <c r="Q20" s="16">
        <f t="shared" si="4"/>
        <v>0</v>
      </c>
    </row>
    <row r="21" spans="1:17" x14ac:dyDescent="0.2">
      <c r="D21" s="9">
        <v>0.9</v>
      </c>
      <c r="E21" s="10">
        <v>0</v>
      </c>
      <c r="F21" s="7">
        <f t="shared" si="0"/>
        <v>0.51966000000000001</v>
      </c>
      <c r="G21" s="11">
        <f t="shared" si="1"/>
        <v>0.9</v>
      </c>
      <c r="I21" s="9">
        <v>0</v>
      </c>
      <c r="J21" s="10">
        <v>0.9</v>
      </c>
      <c r="K21" s="7">
        <f t="shared" si="2"/>
        <v>1.0392300000000001</v>
      </c>
      <c r="L21" s="16">
        <f t="shared" si="3"/>
        <v>0</v>
      </c>
      <c r="N21" s="9">
        <v>0</v>
      </c>
      <c r="O21" s="10">
        <v>0.9</v>
      </c>
      <c r="P21" s="7">
        <f t="shared" si="5"/>
        <v>1.0392300000000001</v>
      </c>
      <c r="Q21" s="16">
        <f t="shared" si="4"/>
        <v>0</v>
      </c>
    </row>
    <row r="22" spans="1:17" x14ac:dyDescent="0.2">
      <c r="D22" s="12">
        <v>0.9</v>
      </c>
      <c r="E22" s="13">
        <v>0.1</v>
      </c>
      <c r="F22" s="14">
        <f t="shared" si="0"/>
        <v>0.63512999999999997</v>
      </c>
      <c r="G22" s="15">
        <f t="shared" si="1"/>
        <v>0.9</v>
      </c>
      <c r="I22" s="12">
        <v>0.9</v>
      </c>
      <c r="J22" s="13">
        <v>0</v>
      </c>
      <c r="K22" s="14">
        <f t="shared" si="2"/>
        <v>0.51966000000000001</v>
      </c>
      <c r="L22" s="17">
        <f t="shared" si="3"/>
        <v>0.9</v>
      </c>
      <c r="N22" s="12">
        <v>0.1</v>
      </c>
      <c r="O22" s="13">
        <v>0.9</v>
      </c>
      <c r="P22" s="14">
        <f t="shared" si="5"/>
        <v>1.09697</v>
      </c>
      <c r="Q22" s="17">
        <f t="shared" si="4"/>
        <v>0.1</v>
      </c>
    </row>
    <row r="31" spans="1:17" x14ac:dyDescent="0.2">
      <c r="A31" s="325" t="s">
        <v>215</v>
      </c>
    </row>
    <row r="33" spans="1:17" x14ac:dyDescent="0.2">
      <c r="A33" s="371" t="s">
        <v>224</v>
      </c>
      <c r="B33" s="370"/>
      <c r="D33" s="368" t="s">
        <v>4</v>
      </c>
      <c r="E33" s="369"/>
      <c r="F33" s="369"/>
      <c r="G33" s="370"/>
      <c r="I33" s="368" t="s">
        <v>5</v>
      </c>
      <c r="J33" s="369"/>
      <c r="K33" s="369"/>
      <c r="L33" s="370"/>
      <c r="N33" s="368" t="s">
        <v>6</v>
      </c>
      <c r="O33" s="369"/>
      <c r="P33" s="369"/>
      <c r="Q33" s="370"/>
    </row>
    <row r="34" spans="1:17" x14ac:dyDescent="0.2">
      <c r="A34" s="1" t="s">
        <v>1</v>
      </c>
      <c r="B34" s="2" t="s">
        <v>2</v>
      </c>
      <c r="D34" s="1" t="s">
        <v>7</v>
      </c>
      <c r="E34" s="8" t="s">
        <v>8</v>
      </c>
      <c r="F34" s="8" t="s">
        <v>3</v>
      </c>
      <c r="G34" s="2" t="s">
        <v>2</v>
      </c>
      <c r="I34" s="1" t="s">
        <v>7</v>
      </c>
      <c r="J34" s="8" t="s">
        <v>8</v>
      </c>
      <c r="K34" s="8" t="s">
        <v>3</v>
      </c>
      <c r="L34" s="2" t="s">
        <v>2</v>
      </c>
      <c r="N34" s="1" t="s">
        <v>7</v>
      </c>
      <c r="O34" s="8" t="s">
        <v>8</v>
      </c>
      <c r="P34" s="8" t="s">
        <v>3</v>
      </c>
      <c r="Q34" s="2" t="s">
        <v>2</v>
      </c>
    </row>
    <row r="35" spans="1:17" x14ac:dyDescent="0.2">
      <c r="A35" s="3">
        <v>0</v>
      </c>
      <c r="B35" s="4">
        <v>0</v>
      </c>
      <c r="D35" s="9">
        <v>0.2</v>
      </c>
      <c r="E35" s="10">
        <v>0</v>
      </c>
      <c r="F35" s="7">
        <f t="shared" ref="F35:F42" si="6">0.5774*D35+1.1547*E35</f>
        <v>0.11548000000000001</v>
      </c>
      <c r="G35" s="11">
        <f t="shared" ref="G35:G42" si="7">D35</f>
        <v>0.2</v>
      </c>
      <c r="I35" s="9">
        <v>0</v>
      </c>
      <c r="J35" s="10">
        <v>0.2</v>
      </c>
      <c r="K35" s="7">
        <f t="shared" ref="K35:K42" si="8">0.5774*I35+1.1547*(J35)</f>
        <v>0.23094000000000003</v>
      </c>
      <c r="L35" s="16">
        <f t="shared" ref="L35:L42" si="9">I35</f>
        <v>0</v>
      </c>
      <c r="N35" s="9">
        <v>0</v>
      </c>
      <c r="O35" s="10">
        <v>0.2</v>
      </c>
      <c r="P35" s="7">
        <f>0.5774*N35+1.1547*(O35)</f>
        <v>0.23094000000000003</v>
      </c>
      <c r="Q35" s="16">
        <f t="shared" ref="Q35:Q42" si="10">N35</f>
        <v>0</v>
      </c>
    </row>
    <row r="36" spans="1:17" x14ac:dyDescent="0.2">
      <c r="A36" s="3">
        <v>0.57740000000000002</v>
      </c>
      <c r="B36" s="4">
        <v>1</v>
      </c>
      <c r="D36" s="9">
        <v>0.2</v>
      </c>
      <c r="E36" s="10">
        <v>0.8</v>
      </c>
      <c r="F36" s="7">
        <f t="shared" si="6"/>
        <v>1.0392400000000002</v>
      </c>
      <c r="G36" s="11">
        <f t="shared" si="7"/>
        <v>0.2</v>
      </c>
      <c r="I36" s="9">
        <v>0.2</v>
      </c>
      <c r="J36" s="10">
        <v>0</v>
      </c>
      <c r="K36" s="7">
        <f t="shared" si="8"/>
        <v>0.11548000000000001</v>
      </c>
      <c r="L36" s="16">
        <f t="shared" si="9"/>
        <v>0.2</v>
      </c>
      <c r="N36" s="9">
        <v>0.8</v>
      </c>
      <c r="O36" s="10">
        <v>0.2</v>
      </c>
      <c r="P36" s="7">
        <f t="shared" ref="P36:P42" si="11">0.5774*N36+1.1547*(O36)</f>
        <v>0.69286000000000003</v>
      </c>
      <c r="Q36" s="16">
        <f t="shared" si="10"/>
        <v>0.8</v>
      </c>
    </row>
    <row r="37" spans="1:17" x14ac:dyDescent="0.2">
      <c r="A37" s="3">
        <v>1.1547000000000001</v>
      </c>
      <c r="B37" s="4">
        <v>0</v>
      </c>
      <c r="D37" s="9">
        <v>0.4</v>
      </c>
      <c r="E37" s="10">
        <v>0.6</v>
      </c>
      <c r="F37" s="7">
        <f t="shared" si="6"/>
        <v>0.92378000000000005</v>
      </c>
      <c r="G37" s="11">
        <f t="shared" si="7"/>
        <v>0.4</v>
      </c>
      <c r="I37" s="9">
        <v>0.4</v>
      </c>
      <c r="J37" s="10">
        <v>0</v>
      </c>
      <c r="K37" s="7">
        <f t="shared" si="8"/>
        <v>0.23096000000000003</v>
      </c>
      <c r="L37" s="16">
        <f t="shared" si="9"/>
        <v>0.4</v>
      </c>
      <c r="N37" s="9">
        <v>0.6</v>
      </c>
      <c r="O37" s="10">
        <v>0.4</v>
      </c>
      <c r="P37" s="7">
        <f t="shared" si="11"/>
        <v>0.80832000000000015</v>
      </c>
      <c r="Q37" s="16">
        <f t="shared" si="10"/>
        <v>0.6</v>
      </c>
    </row>
    <row r="38" spans="1:17" x14ac:dyDescent="0.2">
      <c r="A38" s="5">
        <v>0</v>
      </c>
      <c r="B38" s="6">
        <v>0</v>
      </c>
      <c r="D38" s="9">
        <v>0.4</v>
      </c>
      <c r="E38" s="10">
        <v>0</v>
      </c>
      <c r="F38" s="7">
        <f t="shared" si="6"/>
        <v>0.23096000000000003</v>
      </c>
      <c r="G38" s="11">
        <f t="shared" si="7"/>
        <v>0.4</v>
      </c>
      <c r="I38" s="9">
        <v>0</v>
      </c>
      <c r="J38" s="10">
        <v>0.4</v>
      </c>
      <c r="K38" s="7">
        <f t="shared" si="8"/>
        <v>0.46188000000000007</v>
      </c>
      <c r="L38" s="16">
        <f t="shared" si="9"/>
        <v>0</v>
      </c>
      <c r="N38" s="9">
        <v>0</v>
      </c>
      <c r="O38" s="10">
        <v>0.4</v>
      </c>
      <c r="P38" s="7">
        <f t="shared" si="11"/>
        <v>0.46188000000000007</v>
      </c>
      <c r="Q38" s="16">
        <f t="shared" si="10"/>
        <v>0</v>
      </c>
    </row>
    <row r="39" spans="1:17" x14ac:dyDescent="0.2">
      <c r="D39" s="9">
        <v>0.6</v>
      </c>
      <c r="E39" s="10">
        <v>0</v>
      </c>
      <c r="F39" s="7">
        <f t="shared" si="6"/>
        <v>0.34644000000000003</v>
      </c>
      <c r="G39" s="11">
        <f t="shared" si="7"/>
        <v>0.6</v>
      </c>
      <c r="I39" s="9">
        <v>0</v>
      </c>
      <c r="J39" s="10">
        <v>0.6</v>
      </c>
      <c r="K39" s="7">
        <f t="shared" si="8"/>
        <v>0.69281999999999999</v>
      </c>
      <c r="L39" s="16">
        <f t="shared" si="9"/>
        <v>0</v>
      </c>
      <c r="N39" s="9">
        <v>0</v>
      </c>
      <c r="O39" s="10">
        <v>0.6</v>
      </c>
      <c r="P39" s="7">
        <f t="shared" si="11"/>
        <v>0.69281999999999999</v>
      </c>
      <c r="Q39" s="16">
        <f t="shared" si="10"/>
        <v>0</v>
      </c>
    </row>
    <row r="40" spans="1:17" x14ac:dyDescent="0.2">
      <c r="A40" s="55" t="s">
        <v>223</v>
      </c>
      <c r="D40" s="9">
        <v>0.6</v>
      </c>
      <c r="E40" s="10">
        <v>0.4</v>
      </c>
      <c r="F40" s="7">
        <f t="shared" si="6"/>
        <v>0.80832000000000015</v>
      </c>
      <c r="G40" s="11">
        <f t="shared" si="7"/>
        <v>0.6</v>
      </c>
      <c r="I40" s="9">
        <v>0.6</v>
      </c>
      <c r="J40" s="10">
        <v>0</v>
      </c>
      <c r="K40" s="7">
        <f t="shared" si="8"/>
        <v>0.34644000000000003</v>
      </c>
      <c r="L40" s="16">
        <f t="shared" si="9"/>
        <v>0.6</v>
      </c>
      <c r="N40" s="9">
        <v>0.4</v>
      </c>
      <c r="O40" s="10">
        <v>0.6</v>
      </c>
      <c r="P40" s="7">
        <f t="shared" si="11"/>
        <v>0.92378000000000005</v>
      </c>
      <c r="Q40" s="16">
        <f t="shared" si="10"/>
        <v>0.4</v>
      </c>
    </row>
    <row r="41" spans="1:17" x14ac:dyDescent="0.2">
      <c r="A41" s="55" t="s">
        <v>235</v>
      </c>
      <c r="D41" s="9">
        <v>0.8</v>
      </c>
      <c r="E41" s="10">
        <v>0.2</v>
      </c>
      <c r="F41" s="7">
        <f t="shared" si="6"/>
        <v>0.69286000000000003</v>
      </c>
      <c r="G41" s="11">
        <f t="shared" si="7"/>
        <v>0.8</v>
      </c>
      <c r="I41" s="9">
        <v>0.8</v>
      </c>
      <c r="J41" s="10">
        <v>0</v>
      </c>
      <c r="K41" s="7">
        <f t="shared" si="8"/>
        <v>0.46192000000000005</v>
      </c>
      <c r="L41" s="16">
        <f t="shared" si="9"/>
        <v>0.8</v>
      </c>
      <c r="N41" s="9">
        <v>0.2</v>
      </c>
      <c r="O41" s="10">
        <v>0.8</v>
      </c>
      <c r="P41" s="7">
        <f t="shared" si="11"/>
        <v>1.0392400000000002</v>
      </c>
      <c r="Q41" s="16">
        <f t="shared" si="10"/>
        <v>0.2</v>
      </c>
    </row>
    <row r="42" spans="1:17" ht="14.25" x14ac:dyDescent="0.2">
      <c r="A42" s="326" t="s">
        <v>216</v>
      </c>
      <c r="B42" s="355">
        <f>Input!BN3</f>
        <v>0.2</v>
      </c>
      <c r="D42" s="12">
        <v>0.8</v>
      </c>
      <c r="E42" s="13">
        <v>0</v>
      </c>
      <c r="F42" s="14">
        <f t="shared" si="6"/>
        <v>0.46192000000000005</v>
      </c>
      <c r="G42" s="15">
        <f t="shared" si="7"/>
        <v>0.8</v>
      </c>
      <c r="I42" s="12">
        <v>0</v>
      </c>
      <c r="J42" s="13">
        <v>0.8</v>
      </c>
      <c r="K42" s="14">
        <f t="shared" si="8"/>
        <v>0.92376000000000014</v>
      </c>
      <c r="L42" s="17">
        <f t="shared" si="9"/>
        <v>0</v>
      </c>
      <c r="N42" s="12">
        <v>0</v>
      </c>
      <c r="O42" s="13">
        <v>0.8</v>
      </c>
      <c r="P42" s="14">
        <f t="shared" si="11"/>
        <v>0.92376000000000014</v>
      </c>
      <c r="Q42" s="17">
        <f t="shared" si="10"/>
        <v>0</v>
      </c>
    </row>
    <row r="43" spans="1:17" x14ac:dyDescent="0.2">
      <c r="D43" s="10"/>
      <c r="E43" s="10"/>
      <c r="F43" s="7"/>
      <c r="G43" s="327"/>
      <c r="H43" s="7"/>
      <c r="I43" s="10"/>
      <c r="J43" s="10"/>
      <c r="K43" s="7"/>
      <c r="L43" s="328"/>
      <c r="M43" s="7"/>
      <c r="N43" s="10"/>
      <c r="O43" s="10"/>
      <c r="P43" s="7"/>
      <c r="Q43" s="328"/>
    </row>
    <row r="44" spans="1:17" x14ac:dyDescent="0.2">
      <c r="A44" s="371" t="s">
        <v>225</v>
      </c>
      <c r="B44" s="370"/>
      <c r="D44" s="368" t="s">
        <v>4</v>
      </c>
      <c r="E44" s="369"/>
      <c r="F44" s="369"/>
      <c r="G44" s="370"/>
      <c r="I44" s="368" t="s">
        <v>5</v>
      </c>
      <c r="J44" s="369"/>
      <c r="K44" s="369"/>
      <c r="L44" s="370"/>
      <c r="N44" s="368" t="s">
        <v>6</v>
      </c>
      <c r="O44" s="369"/>
      <c r="P44" s="369"/>
      <c r="Q44" s="370"/>
    </row>
    <row r="45" spans="1:17" x14ac:dyDescent="0.2">
      <c r="A45" s="1" t="s">
        <v>1</v>
      </c>
      <c r="B45" s="2" t="s">
        <v>2</v>
      </c>
      <c r="D45" s="1" t="s">
        <v>7</v>
      </c>
      <c r="E45" s="8" t="s">
        <v>8</v>
      </c>
      <c r="F45" s="8" t="s">
        <v>3</v>
      </c>
      <c r="G45" s="2" t="s">
        <v>2</v>
      </c>
      <c r="I45" s="1" t="s">
        <v>7</v>
      </c>
      <c r="J45" s="8" t="s">
        <v>8</v>
      </c>
      <c r="K45" s="8" t="s">
        <v>3</v>
      </c>
      <c r="L45" s="2" t="s">
        <v>2</v>
      </c>
      <c r="N45" s="1" t="s">
        <v>7</v>
      </c>
      <c r="O45" s="8" t="s">
        <v>8</v>
      </c>
      <c r="P45" s="8" t="s">
        <v>3</v>
      </c>
      <c r="Q45" s="2" t="s">
        <v>2</v>
      </c>
    </row>
    <row r="46" spans="1:17" x14ac:dyDescent="0.2">
      <c r="A46" s="3">
        <f>1.1547+B42</f>
        <v>1.3547</v>
      </c>
      <c r="B46" s="4">
        <v>0</v>
      </c>
      <c r="D46" s="9">
        <v>0.2</v>
      </c>
      <c r="E46" s="10">
        <v>0</v>
      </c>
      <c r="F46" s="7">
        <f>A46+0.5774*D46+1.1547*E46</f>
        <v>1.47018</v>
      </c>
      <c r="G46" s="11">
        <f t="shared" ref="G46:G53" si="12">D46</f>
        <v>0.2</v>
      </c>
      <c r="I46" s="9">
        <v>0</v>
      </c>
      <c r="J46" s="10">
        <v>0.2</v>
      </c>
      <c r="K46" s="7">
        <f>0.5774*I46+1.1547*(J46)+A46</f>
        <v>1.5856400000000002</v>
      </c>
      <c r="L46" s="16">
        <f t="shared" ref="L46:L53" si="13">I46</f>
        <v>0</v>
      </c>
      <c r="N46" s="9">
        <v>0</v>
      </c>
      <c r="O46" s="10">
        <v>0.2</v>
      </c>
      <c r="P46" s="7">
        <f>0.5774*N46+1.1547*(O46)+A46</f>
        <v>1.5856400000000002</v>
      </c>
      <c r="Q46" s="16">
        <f t="shared" ref="Q46:Q53" si="14">N46</f>
        <v>0</v>
      </c>
    </row>
    <row r="47" spans="1:17" x14ac:dyDescent="0.2">
      <c r="A47" s="3">
        <f>1.732+B42</f>
        <v>1.9319999999999999</v>
      </c>
      <c r="B47" s="4">
        <v>1</v>
      </c>
      <c r="D47" s="9">
        <v>0.2</v>
      </c>
      <c r="E47" s="10">
        <v>0.8</v>
      </c>
      <c r="F47" s="7">
        <f>A46+0.5774*D47+1.1547*E47</f>
        <v>2.3939400000000002</v>
      </c>
      <c r="G47" s="11">
        <f t="shared" si="12"/>
        <v>0.2</v>
      </c>
      <c r="I47" s="9">
        <v>0.2</v>
      </c>
      <c r="J47" s="10">
        <v>0</v>
      </c>
      <c r="K47" s="7">
        <f>0.5774*I47+1.1547*(J47)+A46</f>
        <v>1.47018</v>
      </c>
      <c r="L47" s="16">
        <f t="shared" si="13"/>
        <v>0.2</v>
      </c>
      <c r="N47" s="9">
        <v>0.8</v>
      </c>
      <c r="O47" s="10">
        <v>0.2</v>
      </c>
      <c r="P47" s="7">
        <f>0.5774*N47+1.1547*(O47)+A46</f>
        <v>2.0475599999999998</v>
      </c>
      <c r="Q47" s="16">
        <f t="shared" si="14"/>
        <v>0.8</v>
      </c>
    </row>
    <row r="48" spans="1:17" x14ac:dyDescent="0.2">
      <c r="A48" s="3">
        <f>2.309+B42</f>
        <v>2.5090000000000003</v>
      </c>
      <c r="B48" s="4">
        <v>0</v>
      </c>
      <c r="D48" s="9">
        <v>0.4</v>
      </c>
      <c r="E48" s="10">
        <v>0.6</v>
      </c>
      <c r="F48" s="7">
        <f>A46+0.5774*D48+1.1547*E48</f>
        <v>2.2784800000000001</v>
      </c>
      <c r="G48" s="11">
        <f t="shared" si="12"/>
        <v>0.4</v>
      </c>
      <c r="I48" s="9">
        <v>0.4</v>
      </c>
      <c r="J48" s="10">
        <v>0</v>
      </c>
      <c r="K48" s="7">
        <f>0.5774*I48+1.1547*(J48)+A46</f>
        <v>1.5856600000000001</v>
      </c>
      <c r="L48" s="16">
        <f t="shared" si="13"/>
        <v>0.4</v>
      </c>
      <c r="N48" s="9">
        <v>0.6</v>
      </c>
      <c r="O48" s="10">
        <v>0.4</v>
      </c>
      <c r="P48" s="7">
        <f>0.5774*N48+1.1547*(O48)+A46</f>
        <v>2.1630200000000004</v>
      </c>
      <c r="Q48" s="16">
        <f t="shared" si="14"/>
        <v>0.6</v>
      </c>
    </row>
    <row r="49" spans="1:17" x14ac:dyDescent="0.2">
      <c r="A49" s="5">
        <f>1.1547+B42</f>
        <v>1.3547</v>
      </c>
      <c r="B49" s="6">
        <v>0</v>
      </c>
      <c r="D49" s="9">
        <v>0.4</v>
      </c>
      <c r="E49" s="10">
        <v>0</v>
      </c>
      <c r="F49" s="7">
        <f>A46+0.5774*D49+1.1547*E49</f>
        <v>1.5856600000000001</v>
      </c>
      <c r="G49" s="11">
        <f t="shared" si="12"/>
        <v>0.4</v>
      </c>
      <c r="I49" s="9">
        <v>0</v>
      </c>
      <c r="J49" s="10">
        <v>0.4</v>
      </c>
      <c r="K49" s="7">
        <f>0.5774*I49+1.1547*(J49)+A46</f>
        <v>1.8165800000000001</v>
      </c>
      <c r="L49" s="16">
        <f t="shared" si="13"/>
        <v>0</v>
      </c>
      <c r="N49" s="9">
        <v>0</v>
      </c>
      <c r="O49" s="10">
        <v>0.4</v>
      </c>
      <c r="P49" s="7">
        <f>0.5774*N49+1.1547*(O49)+A46</f>
        <v>1.8165800000000001</v>
      </c>
      <c r="Q49" s="16">
        <f t="shared" si="14"/>
        <v>0</v>
      </c>
    </row>
    <row r="50" spans="1:17" x14ac:dyDescent="0.2">
      <c r="D50" s="9">
        <v>0.6</v>
      </c>
      <c r="E50" s="10">
        <v>0</v>
      </c>
      <c r="F50" s="7">
        <f>A46+0.5774*D50+1.1547*E50</f>
        <v>1.7011400000000001</v>
      </c>
      <c r="G50" s="11">
        <f t="shared" si="12"/>
        <v>0.6</v>
      </c>
      <c r="I50" s="9">
        <v>0</v>
      </c>
      <c r="J50" s="10">
        <v>0.6</v>
      </c>
      <c r="K50" s="7">
        <f>0.5774*I50+1.1547*(J50)+A46</f>
        <v>2.04752</v>
      </c>
      <c r="L50" s="16">
        <f t="shared" si="13"/>
        <v>0</v>
      </c>
      <c r="N50" s="9">
        <v>0</v>
      </c>
      <c r="O50" s="10">
        <v>0.6</v>
      </c>
      <c r="P50" s="7">
        <f>0.5774*N50+1.1547*(O50)+A46</f>
        <v>2.04752</v>
      </c>
      <c r="Q50" s="16">
        <f t="shared" si="14"/>
        <v>0</v>
      </c>
    </row>
    <row r="51" spans="1:17" x14ac:dyDescent="0.2">
      <c r="D51" s="9">
        <v>0.6</v>
      </c>
      <c r="E51" s="10">
        <v>0.4</v>
      </c>
      <c r="F51" s="7">
        <f>A46+0.5774*D51+1.1547*E51</f>
        <v>2.1630200000000004</v>
      </c>
      <c r="G51" s="11">
        <f t="shared" si="12"/>
        <v>0.6</v>
      </c>
      <c r="I51" s="9">
        <v>0.6</v>
      </c>
      <c r="J51" s="10">
        <v>0</v>
      </c>
      <c r="K51" s="7">
        <f>0.5774*I51+1.1547*(J51)+A46</f>
        <v>1.7011400000000001</v>
      </c>
      <c r="L51" s="16">
        <f t="shared" si="13"/>
        <v>0.6</v>
      </c>
      <c r="N51" s="9">
        <v>0.4</v>
      </c>
      <c r="O51" s="10">
        <v>0.6</v>
      </c>
      <c r="P51" s="7">
        <f>0.5774*N51+1.1547*(O51)+A46</f>
        <v>2.2784800000000001</v>
      </c>
      <c r="Q51" s="16">
        <f t="shared" si="14"/>
        <v>0.4</v>
      </c>
    </row>
    <row r="52" spans="1:17" x14ac:dyDescent="0.2">
      <c r="D52" s="9">
        <v>0.8</v>
      </c>
      <c r="E52" s="10">
        <v>0.2</v>
      </c>
      <c r="F52" s="7">
        <f>A46+0.5774*D52+1.1547*E52</f>
        <v>2.0475600000000003</v>
      </c>
      <c r="G52" s="11">
        <f t="shared" si="12"/>
        <v>0.8</v>
      </c>
      <c r="I52" s="9">
        <v>0.8</v>
      </c>
      <c r="J52" s="10">
        <v>0</v>
      </c>
      <c r="K52" s="7">
        <f>0.5774*I52+1.1547*(J52)+A46</f>
        <v>1.8166200000000001</v>
      </c>
      <c r="L52" s="16">
        <f t="shared" si="13"/>
        <v>0.8</v>
      </c>
      <c r="N52" s="9">
        <v>0.2</v>
      </c>
      <c r="O52" s="10">
        <v>0.8</v>
      </c>
      <c r="P52" s="7">
        <f>0.5774*N52+1.1547*(O52)+A46</f>
        <v>2.3939400000000002</v>
      </c>
      <c r="Q52" s="16">
        <f t="shared" si="14"/>
        <v>0.2</v>
      </c>
    </row>
    <row r="53" spans="1:17" x14ac:dyDescent="0.2">
      <c r="A53" s="8" t="s">
        <v>217</v>
      </c>
      <c r="B53" s="7">
        <f>1.1547+0.5*B42</f>
        <v>1.2547000000000001</v>
      </c>
      <c r="D53" s="12">
        <v>0.8</v>
      </c>
      <c r="E53" s="13">
        <v>0</v>
      </c>
      <c r="F53" s="14">
        <f>A46+0.5774*D53+1.1547*E53</f>
        <v>1.8166200000000001</v>
      </c>
      <c r="G53" s="15">
        <f t="shared" si="12"/>
        <v>0.8</v>
      </c>
      <c r="I53" s="12">
        <v>0</v>
      </c>
      <c r="J53" s="13">
        <v>0.8</v>
      </c>
      <c r="K53" s="14">
        <f>0.5774*I53+1.1547*(J53)+A46</f>
        <v>2.2784599999999999</v>
      </c>
      <c r="L53" s="17">
        <f t="shared" si="13"/>
        <v>0</v>
      </c>
      <c r="N53" s="12">
        <v>0</v>
      </c>
      <c r="O53" s="13">
        <v>0.8</v>
      </c>
      <c r="P53" s="14">
        <f>0.5774*N53+1.1547*(O53)+A46</f>
        <v>2.2784599999999999</v>
      </c>
      <c r="Q53" s="17">
        <f t="shared" si="14"/>
        <v>0</v>
      </c>
    </row>
    <row r="54" spans="1:17" x14ac:dyDescent="0.2">
      <c r="A54" s="8" t="s">
        <v>218</v>
      </c>
      <c r="B54" s="7">
        <f>0.866*(B42)</f>
        <v>0.17320000000000002</v>
      </c>
      <c r="C54" s="7"/>
      <c r="D54" s="10"/>
      <c r="E54" s="10"/>
      <c r="F54" s="7"/>
      <c r="G54" s="327"/>
      <c r="H54" s="7"/>
      <c r="I54" s="10"/>
      <c r="J54" s="10"/>
      <c r="K54" s="7"/>
      <c r="L54" s="328"/>
      <c r="M54" s="7"/>
      <c r="N54" s="10"/>
      <c r="O54" s="10"/>
      <c r="P54" s="7"/>
      <c r="Q54" s="328"/>
    </row>
    <row r="55" spans="1:17" x14ac:dyDescent="0.2">
      <c r="A55" s="7"/>
      <c r="B55" s="7"/>
      <c r="C55" s="7"/>
      <c r="D55" s="10"/>
      <c r="E55" s="10"/>
      <c r="F55" s="7"/>
      <c r="G55" s="327"/>
      <c r="H55" s="7"/>
      <c r="I55" s="10"/>
      <c r="J55" s="10"/>
      <c r="K55" s="7"/>
      <c r="L55" s="328"/>
      <c r="M55" s="7"/>
      <c r="N55" s="10"/>
      <c r="O55" s="10"/>
      <c r="P55" s="7"/>
      <c r="Q55" s="328"/>
    </row>
    <row r="56" spans="1:17" x14ac:dyDescent="0.2">
      <c r="A56" s="371" t="s">
        <v>226</v>
      </c>
      <c r="B56" s="370"/>
      <c r="D56" s="368" t="s">
        <v>219</v>
      </c>
      <c r="E56" s="369"/>
      <c r="F56" s="369"/>
      <c r="G56" s="370"/>
      <c r="I56" s="368" t="s">
        <v>220</v>
      </c>
      <c r="J56" s="369"/>
      <c r="K56" s="369"/>
      <c r="L56" s="370"/>
      <c r="M56" s="7"/>
      <c r="N56" s="372"/>
      <c r="O56" s="372"/>
      <c r="P56" s="372"/>
      <c r="Q56" s="372"/>
    </row>
    <row r="57" spans="1:17" x14ac:dyDescent="0.2">
      <c r="A57" s="1" t="s">
        <v>1</v>
      </c>
      <c r="B57" s="2" t="s">
        <v>2</v>
      </c>
      <c r="D57" s="1" t="s">
        <v>118</v>
      </c>
      <c r="E57" s="8" t="s">
        <v>92</v>
      </c>
      <c r="F57" s="8" t="s">
        <v>3</v>
      </c>
      <c r="G57" s="2" t="s">
        <v>2</v>
      </c>
      <c r="I57" s="1" t="s">
        <v>118</v>
      </c>
      <c r="J57" s="8" t="s">
        <v>92</v>
      </c>
      <c r="K57" s="8" t="s">
        <v>3</v>
      </c>
      <c r="L57" s="2" t="s">
        <v>2</v>
      </c>
      <c r="M57" s="7"/>
      <c r="N57" s="8"/>
      <c r="O57" s="8"/>
      <c r="P57" s="8"/>
      <c r="Q57" s="8"/>
    </row>
    <row r="58" spans="1:17" x14ac:dyDescent="0.2">
      <c r="A58" s="3">
        <f>0+B53</f>
        <v>1.2547000000000001</v>
      </c>
      <c r="B58" s="4">
        <f>0+B54</f>
        <v>0.17320000000000002</v>
      </c>
      <c r="D58" s="9">
        <v>0.2</v>
      </c>
      <c r="E58" s="10">
        <v>1</v>
      </c>
      <c r="F58" s="327">
        <f>0.5*$B$42+0.5774*(2+D58-E58)</f>
        <v>0.79288000000000014</v>
      </c>
      <c r="G58" s="11">
        <f>2+$B$54-D58-E58</f>
        <v>0.97320000000000007</v>
      </c>
      <c r="I58" s="9">
        <v>0</v>
      </c>
      <c r="J58" s="10">
        <v>0.2</v>
      </c>
      <c r="K58" s="327">
        <f>0.5*$B$42+0.5774*(2+I58-J58)</f>
        <v>1.1393200000000001</v>
      </c>
      <c r="L58" s="11">
        <f>2+$B$54-I58-J58</f>
        <v>1.9732000000000001</v>
      </c>
      <c r="M58" s="7"/>
      <c r="N58" s="10"/>
      <c r="O58" s="10"/>
      <c r="P58" s="7"/>
      <c r="Q58" s="328"/>
    </row>
    <row r="59" spans="1:17" x14ac:dyDescent="0.2">
      <c r="A59" s="3">
        <f>0.5774+B53</f>
        <v>1.8321000000000001</v>
      </c>
      <c r="B59" s="4">
        <f>1+B54</f>
        <v>1.1732</v>
      </c>
      <c r="D59" s="9">
        <v>0.2</v>
      </c>
      <c r="E59" s="10">
        <v>0</v>
      </c>
      <c r="F59" s="327">
        <f t="shared" ref="F59:F65" si="15">0.5*$B$42+0.5774*(2+D59-E59)</f>
        <v>1.3702800000000002</v>
      </c>
      <c r="G59" s="11">
        <f t="shared" ref="G59:G65" si="16">2+$B$54-D59-E59</f>
        <v>1.9732000000000001</v>
      </c>
      <c r="I59" s="9">
        <v>1</v>
      </c>
      <c r="J59" s="10">
        <v>0.2</v>
      </c>
      <c r="K59" s="327">
        <f t="shared" ref="K59:K65" si="17">0.5*$B$42+0.5774*(2+I59-J59)</f>
        <v>1.71672</v>
      </c>
      <c r="L59" s="11">
        <f t="shared" ref="L59:L65" si="18">2+$B$54-I59-J59</f>
        <v>0.97320000000000007</v>
      </c>
      <c r="M59" s="7"/>
      <c r="N59" s="10"/>
      <c r="O59" s="10"/>
      <c r="P59" s="7"/>
      <c r="Q59" s="328"/>
    </row>
    <row r="60" spans="1:17" x14ac:dyDescent="0.2">
      <c r="A60" s="3">
        <f>0+B53</f>
        <v>1.2547000000000001</v>
      </c>
      <c r="B60" s="4">
        <f>2+B54</f>
        <v>2.1732</v>
      </c>
      <c r="D60" s="9">
        <v>0.4</v>
      </c>
      <c r="E60" s="10">
        <v>0</v>
      </c>
      <c r="F60" s="327">
        <f t="shared" si="15"/>
        <v>1.4857600000000002</v>
      </c>
      <c r="G60" s="11">
        <f t="shared" si="16"/>
        <v>1.7732000000000001</v>
      </c>
      <c r="I60" s="9">
        <v>1</v>
      </c>
      <c r="J60" s="10">
        <v>0.4</v>
      </c>
      <c r="K60" s="327">
        <f t="shared" si="17"/>
        <v>1.6012400000000002</v>
      </c>
      <c r="L60" s="11">
        <f t="shared" si="18"/>
        <v>0.7732</v>
      </c>
      <c r="M60" s="7"/>
      <c r="N60" s="10"/>
      <c r="O60" s="10"/>
      <c r="P60" s="7"/>
      <c r="Q60" s="328"/>
    </row>
    <row r="61" spans="1:17" x14ac:dyDescent="0.2">
      <c r="A61" s="7">
        <f>B53-0.5774</f>
        <v>0.67730000000000012</v>
      </c>
      <c r="B61" s="4">
        <f>1+B54</f>
        <v>1.1732</v>
      </c>
      <c r="D61" s="9">
        <v>0.4</v>
      </c>
      <c r="E61" s="10">
        <v>1</v>
      </c>
      <c r="F61" s="327">
        <f t="shared" si="15"/>
        <v>0.90835999999999995</v>
      </c>
      <c r="G61" s="11">
        <f t="shared" si="16"/>
        <v>0.77320000000000011</v>
      </c>
      <c r="I61" s="9">
        <v>0</v>
      </c>
      <c r="J61" s="10">
        <v>0.4</v>
      </c>
      <c r="K61" s="327">
        <f t="shared" si="17"/>
        <v>1.0238400000000001</v>
      </c>
      <c r="L61" s="11">
        <f t="shared" si="18"/>
        <v>1.7732000000000001</v>
      </c>
      <c r="M61" s="7"/>
      <c r="N61" s="10"/>
      <c r="O61" s="10"/>
      <c r="P61" s="7"/>
      <c r="Q61" s="328"/>
    </row>
    <row r="62" spans="1:17" x14ac:dyDescent="0.2">
      <c r="A62" s="14">
        <f>B53</f>
        <v>1.2547000000000001</v>
      </c>
      <c r="B62" s="6">
        <f>0+B54</f>
        <v>0.17320000000000002</v>
      </c>
      <c r="D62" s="9">
        <v>0.6</v>
      </c>
      <c r="E62" s="10">
        <v>1</v>
      </c>
      <c r="F62" s="327">
        <f t="shared" si="15"/>
        <v>1.0238400000000001</v>
      </c>
      <c r="G62" s="11">
        <f t="shared" si="16"/>
        <v>0.57319999999999993</v>
      </c>
      <c r="I62" s="9">
        <v>0</v>
      </c>
      <c r="J62" s="10">
        <v>0.6</v>
      </c>
      <c r="K62" s="327">
        <f t="shared" si="17"/>
        <v>0.90835999999999995</v>
      </c>
      <c r="L62" s="11">
        <f t="shared" si="18"/>
        <v>1.5731999999999999</v>
      </c>
      <c r="M62" s="7"/>
      <c r="N62" s="10"/>
      <c r="O62" s="10"/>
      <c r="P62" s="7"/>
      <c r="Q62" s="328"/>
    </row>
    <row r="63" spans="1:17" x14ac:dyDescent="0.2">
      <c r="D63" s="9">
        <v>0.6</v>
      </c>
      <c r="E63" s="10">
        <v>0</v>
      </c>
      <c r="F63" s="327">
        <f t="shared" si="15"/>
        <v>1.6012400000000002</v>
      </c>
      <c r="G63" s="11">
        <f t="shared" si="16"/>
        <v>1.5731999999999999</v>
      </c>
      <c r="I63" s="9">
        <v>1</v>
      </c>
      <c r="J63" s="10">
        <v>0.6</v>
      </c>
      <c r="K63" s="327">
        <f t="shared" si="17"/>
        <v>1.4857600000000002</v>
      </c>
      <c r="L63" s="11">
        <f t="shared" si="18"/>
        <v>0.57320000000000004</v>
      </c>
      <c r="M63" s="7"/>
      <c r="N63" s="10"/>
      <c r="O63" s="10"/>
      <c r="P63" s="7"/>
      <c r="Q63" s="328"/>
    </row>
    <row r="64" spans="1:17" x14ac:dyDescent="0.2">
      <c r="D64" s="9">
        <v>0.8</v>
      </c>
      <c r="E64" s="10">
        <v>0</v>
      </c>
      <c r="F64" s="327">
        <f t="shared" si="15"/>
        <v>1.71672</v>
      </c>
      <c r="G64" s="11">
        <f t="shared" si="16"/>
        <v>1.3732</v>
      </c>
      <c r="I64" s="9">
        <v>1</v>
      </c>
      <c r="J64" s="10">
        <v>0.8</v>
      </c>
      <c r="K64" s="327">
        <f t="shared" si="17"/>
        <v>1.3702800000000002</v>
      </c>
      <c r="L64" s="11">
        <f t="shared" si="18"/>
        <v>0.37319999999999998</v>
      </c>
      <c r="M64" s="7"/>
      <c r="N64" s="10"/>
      <c r="O64" s="10"/>
      <c r="P64" s="7"/>
      <c r="Q64" s="328"/>
    </row>
    <row r="65" spans="4:17" x14ac:dyDescent="0.2">
      <c r="D65" s="12">
        <v>0.8</v>
      </c>
      <c r="E65" s="13">
        <v>1</v>
      </c>
      <c r="F65" s="338">
        <f t="shared" si="15"/>
        <v>1.1393200000000001</v>
      </c>
      <c r="G65" s="15">
        <f t="shared" si="16"/>
        <v>0.37319999999999998</v>
      </c>
      <c r="I65" s="12">
        <v>0</v>
      </c>
      <c r="J65" s="13">
        <v>0.8</v>
      </c>
      <c r="K65" s="338">
        <f t="shared" si="17"/>
        <v>0.79288000000000003</v>
      </c>
      <c r="L65" s="15">
        <f t="shared" si="18"/>
        <v>1.3732</v>
      </c>
      <c r="M65" s="7"/>
      <c r="N65" s="10"/>
      <c r="O65" s="10"/>
      <c r="P65" s="7"/>
      <c r="Q65" s="328"/>
    </row>
  </sheetData>
  <mergeCells count="16">
    <mergeCell ref="A44:B44"/>
    <mergeCell ref="D44:G44"/>
    <mergeCell ref="I44:L44"/>
    <mergeCell ref="N44:Q44"/>
    <mergeCell ref="A56:B56"/>
    <mergeCell ref="D56:G56"/>
    <mergeCell ref="I56:L56"/>
    <mergeCell ref="N56:Q56"/>
    <mergeCell ref="N3:Q3"/>
    <mergeCell ref="A3:B3"/>
    <mergeCell ref="D3:G3"/>
    <mergeCell ref="I3:L3"/>
    <mergeCell ref="A33:B33"/>
    <mergeCell ref="D33:G33"/>
    <mergeCell ref="I33:L33"/>
    <mergeCell ref="N33:Q33"/>
  </mergeCells>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77"/>
  <sheetViews>
    <sheetView topLeftCell="AI19" zoomScale="75" workbookViewId="0">
      <selection activeCell="U49" sqref="U49"/>
    </sheetView>
  </sheetViews>
  <sheetFormatPr defaultRowHeight="12.75" x14ac:dyDescent="0.2"/>
  <cols>
    <col min="1" max="1" width="11" style="24" customWidth="1"/>
    <col min="2" max="2" width="10.5703125" style="24" customWidth="1"/>
    <col min="3" max="4" width="9.28515625" style="24" customWidth="1"/>
    <col min="5" max="5" width="9.140625" style="24"/>
    <col min="6" max="6" width="9.28515625" style="24" customWidth="1"/>
    <col min="7" max="7" width="11.5703125" style="24" customWidth="1"/>
    <col min="8" max="8" width="9.140625" style="24"/>
    <col min="9" max="9" width="10.85546875" style="24" customWidth="1"/>
    <col min="10" max="11" width="9.140625" style="24"/>
    <col min="12" max="12" width="10.28515625" style="24" customWidth="1"/>
    <col min="13" max="13" width="9.140625" style="24"/>
    <col min="14" max="16" width="9.28515625" style="24" bestFit="1" customWidth="1"/>
    <col min="17" max="17" width="10.42578125" style="24" customWidth="1"/>
    <col min="18" max="18" width="9.28515625" style="24" bestFit="1" customWidth="1"/>
    <col min="19" max="19" width="10.42578125" style="24" customWidth="1"/>
    <col min="20" max="26" width="9.28515625" style="24" bestFit="1" customWidth="1"/>
    <col min="27" max="31" width="9.140625" style="24"/>
    <col min="32" max="44" width="9.28515625" style="24" bestFit="1" customWidth="1"/>
    <col min="45" max="46" width="9.140625" style="24"/>
    <col min="47" max="47" width="10.28515625" style="24" customWidth="1"/>
    <col min="48" max="16384" width="9.140625" style="24"/>
  </cols>
  <sheetData>
    <row r="1" spans="1:49" ht="15.75" x14ac:dyDescent="0.25">
      <c r="A1" s="23" t="s">
        <v>13</v>
      </c>
      <c r="B1" s="23"/>
      <c r="C1" s="23"/>
      <c r="D1" s="23"/>
      <c r="E1" s="23"/>
      <c r="F1" s="23"/>
      <c r="G1" s="23"/>
      <c r="H1" s="23"/>
      <c r="I1" s="23"/>
      <c r="J1" s="23"/>
      <c r="K1" s="23"/>
      <c r="L1" s="23"/>
      <c r="M1" s="23"/>
      <c r="N1" s="23"/>
      <c r="O1" s="23"/>
      <c r="P1" s="23"/>
      <c r="Q1" s="379" t="s">
        <v>89</v>
      </c>
      <c r="R1" s="380"/>
      <c r="S1" s="380"/>
      <c r="T1" s="380"/>
      <c r="U1" s="381"/>
      <c r="V1" s="382" t="s">
        <v>24</v>
      </c>
      <c r="W1" s="383"/>
      <c r="X1" s="383"/>
      <c r="Y1" s="383"/>
      <c r="Z1" s="384"/>
      <c r="AA1" s="376" t="s">
        <v>23</v>
      </c>
      <c r="AB1" s="377"/>
      <c r="AC1" s="377"/>
      <c r="AD1" s="377"/>
      <c r="AE1" s="378"/>
      <c r="AF1" s="376" t="s">
        <v>41</v>
      </c>
      <c r="AG1" s="377"/>
      <c r="AH1" s="377"/>
      <c r="AI1" s="377"/>
      <c r="AJ1" s="378"/>
      <c r="AK1" s="376" t="s">
        <v>53</v>
      </c>
      <c r="AL1" s="377"/>
      <c r="AM1" s="377"/>
      <c r="AN1" s="377"/>
      <c r="AO1" s="378"/>
      <c r="AP1" s="32" t="s">
        <v>61</v>
      </c>
    </row>
    <row r="2" spans="1:49" x14ac:dyDescent="0.2">
      <c r="D2" s="25"/>
      <c r="E2" s="26"/>
      <c r="F2" s="26"/>
      <c r="G2" s="26"/>
      <c r="H2" s="26"/>
      <c r="I2" s="26"/>
      <c r="J2" s="27" t="s">
        <v>25</v>
      </c>
      <c r="K2" s="26"/>
      <c r="L2" s="26"/>
      <c r="M2" s="26"/>
      <c r="N2" s="26"/>
      <c r="O2" s="28"/>
      <c r="Q2" s="29" t="s">
        <v>17</v>
      </c>
      <c r="R2" s="30" t="s">
        <v>46</v>
      </c>
      <c r="S2" s="30" t="s">
        <v>16</v>
      </c>
      <c r="T2" s="26"/>
      <c r="U2" s="28"/>
      <c r="V2" s="29" t="s">
        <v>17</v>
      </c>
      <c r="W2" s="30" t="s">
        <v>15</v>
      </c>
      <c r="X2" s="30" t="s">
        <v>16</v>
      </c>
      <c r="Y2" s="30" t="s">
        <v>3</v>
      </c>
      <c r="Z2" s="31" t="s">
        <v>2</v>
      </c>
      <c r="AA2" s="29" t="s">
        <v>15</v>
      </c>
      <c r="AB2" s="30" t="s">
        <v>22</v>
      </c>
      <c r="AC2" s="30" t="s">
        <v>21</v>
      </c>
      <c r="AD2" s="30" t="s">
        <v>3</v>
      </c>
      <c r="AE2" s="31" t="s">
        <v>2</v>
      </c>
      <c r="AF2" s="29" t="s">
        <v>17</v>
      </c>
      <c r="AG2" s="30" t="s">
        <v>18</v>
      </c>
      <c r="AH2" s="30" t="s">
        <v>37</v>
      </c>
      <c r="AI2" s="30" t="s">
        <v>3</v>
      </c>
      <c r="AJ2" s="31" t="s">
        <v>2</v>
      </c>
      <c r="AK2" s="29" t="s">
        <v>42</v>
      </c>
      <c r="AL2" s="30" t="s">
        <v>43</v>
      </c>
      <c r="AM2" s="30" t="s">
        <v>54</v>
      </c>
      <c r="AN2" s="30" t="s">
        <v>3</v>
      </c>
      <c r="AO2" s="31" t="s">
        <v>2</v>
      </c>
      <c r="AV2" s="36"/>
      <c r="AW2" s="36"/>
    </row>
    <row r="3" spans="1:49" x14ac:dyDescent="0.2">
      <c r="A3" s="32" t="s">
        <v>153</v>
      </c>
      <c r="B3" s="32" t="s">
        <v>10</v>
      </c>
      <c r="C3" s="32" t="s">
        <v>9</v>
      </c>
      <c r="D3" s="120" t="s">
        <v>42</v>
      </c>
      <c r="E3" s="34" t="s">
        <v>43</v>
      </c>
      <c r="F3" s="33" t="s">
        <v>14</v>
      </c>
      <c r="G3" s="33" t="s">
        <v>44</v>
      </c>
      <c r="H3" s="33" t="s">
        <v>19</v>
      </c>
      <c r="I3" s="33" t="s">
        <v>20</v>
      </c>
      <c r="J3" s="33" t="s">
        <v>17</v>
      </c>
      <c r="K3" s="33" t="s">
        <v>16</v>
      </c>
      <c r="L3" s="33" t="s">
        <v>15</v>
      </c>
      <c r="M3" s="34" t="s">
        <v>21</v>
      </c>
      <c r="N3" s="34" t="s">
        <v>22</v>
      </c>
      <c r="O3" s="35" t="s">
        <v>46</v>
      </c>
      <c r="P3" s="36" t="s">
        <v>11</v>
      </c>
      <c r="Q3" s="209">
        <f>Input!BQ6</f>
        <v>1</v>
      </c>
      <c r="R3" s="209">
        <f>Input!BR6</f>
        <v>25</v>
      </c>
      <c r="S3" s="209">
        <f>Input!BS6</f>
        <v>25</v>
      </c>
      <c r="T3" s="37" t="s">
        <v>156</v>
      </c>
      <c r="U3" s="38"/>
      <c r="V3" s="209">
        <f>Input!BV6</f>
        <v>1</v>
      </c>
      <c r="W3" s="209">
        <f>Input!BW6</f>
        <v>100</v>
      </c>
      <c r="X3" s="209">
        <f>Input!BX6</f>
        <v>25</v>
      </c>
      <c r="Y3" s="37" t="s">
        <v>156</v>
      </c>
      <c r="Z3" s="38"/>
      <c r="AA3" s="209">
        <f>Input!CA6</f>
        <v>1</v>
      </c>
      <c r="AB3" s="209">
        <f>Input!CB6</f>
        <v>4</v>
      </c>
      <c r="AC3" s="209">
        <f>Input!CC6</f>
        <v>10</v>
      </c>
      <c r="AD3" s="37" t="s">
        <v>156</v>
      </c>
      <c r="AE3" s="38"/>
      <c r="AF3" s="209">
        <f>Input!CF6</f>
        <v>1</v>
      </c>
      <c r="AG3" s="209">
        <f>Input!CG6</f>
        <v>1</v>
      </c>
      <c r="AH3" s="209">
        <f>Input!CH6</f>
        <v>1</v>
      </c>
      <c r="AI3" s="37" t="s">
        <v>156</v>
      </c>
      <c r="AJ3" s="38"/>
      <c r="AK3" s="209">
        <f>Input!CS6</f>
        <v>1</v>
      </c>
      <c r="AL3" s="209">
        <f>Input!CT6</f>
        <v>10</v>
      </c>
      <c r="AM3" s="209">
        <f>Input!CU6</f>
        <v>1000</v>
      </c>
      <c r="AN3" s="37" t="s">
        <v>156</v>
      </c>
      <c r="AO3" s="38"/>
      <c r="AP3" s="24" t="s">
        <v>62</v>
      </c>
      <c r="AQ3" s="24" t="s">
        <v>63</v>
      </c>
      <c r="AT3" s="55" t="s">
        <v>117</v>
      </c>
      <c r="AU3" s="73" t="s">
        <v>116</v>
      </c>
    </row>
    <row r="4" spans="1:49" x14ac:dyDescent="0.2">
      <c r="B4" s="164" t="s">
        <v>26</v>
      </c>
      <c r="C4" s="164"/>
      <c r="D4" s="164">
        <v>34000</v>
      </c>
      <c r="E4" s="164">
        <v>43000</v>
      </c>
      <c r="F4" s="164">
        <v>16000</v>
      </c>
      <c r="G4" s="164">
        <v>6000</v>
      </c>
      <c r="H4" s="164">
        <v>150</v>
      </c>
      <c r="I4" s="164">
        <v>430</v>
      </c>
      <c r="J4" s="164">
        <v>300</v>
      </c>
      <c r="K4" s="164">
        <v>15</v>
      </c>
      <c r="L4" s="164">
        <v>40</v>
      </c>
      <c r="M4" s="164">
        <v>5</v>
      </c>
      <c r="N4" s="164">
        <v>150</v>
      </c>
      <c r="O4" s="164"/>
      <c r="P4" s="164"/>
      <c r="Q4" s="165">
        <f>(J4*Q$3)/(J4*$Q$3+O4*$R$3+K4*$S$3)</f>
        <v>0.44444444444444442</v>
      </c>
      <c r="R4" s="166">
        <f>(O4*R$3)/(J4*$Q$3+O4*$R$3+K4*$S$3)</f>
        <v>0</v>
      </c>
      <c r="S4" s="166">
        <f>(K4*S$3)/(J4*$Q$3+O4*$R$3+K4*$S$3)</f>
        <v>0.55555555555555558</v>
      </c>
      <c r="T4" s="167">
        <f>0.5774*Q4+1.1547*S4</f>
        <v>0.89812222222222227</v>
      </c>
      <c r="U4" s="168">
        <f>Q4</f>
        <v>0.44444444444444442</v>
      </c>
      <c r="V4" s="165">
        <f>(J4*V$3)/($J4*$V$3+$L4*$W$3+$K4*$X$3)</f>
        <v>6.4171122994652413E-2</v>
      </c>
      <c r="W4" s="166">
        <f>(L4*W$3)/($J4*$V$3+$L4*$W$3+$K4*$X$3)</f>
        <v>0.85561497326203206</v>
      </c>
      <c r="X4" s="166">
        <f>(K4*X$3)/($J4*$V$3+$L4*$W$3+$K4*$X$3)</f>
        <v>8.0213903743315509E-2</v>
      </c>
      <c r="Y4" s="167">
        <f>0.5774*V4+1.1547*X4</f>
        <v>0.12967540106951872</v>
      </c>
      <c r="Z4" s="168">
        <f>V4</f>
        <v>6.4171122994652413E-2</v>
      </c>
      <c r="AA4" s="165">
        <f>(L4*AA$3)/($L4*AA$3+$N4*AB$3+$M4*AC$3)</f>
        <v>5.7971014492753624E-2</v>
      </c>
      <c r="AB4" s="166">
        <f>(N4*AB$3)/($L4*AA$3+$N4*AB$3+$M4*AC$3)</f>
        <v>0.86956521739130432</v>
      </c>
      <c r="AC4" s="166">
        <f>(M4*AC$3)/($L4*AA$3+$N4*AB$3+$M4*AC$3)</f>
        <v>7.2463768115942032E-2</v>
      </c>
      <c r="AD4" s="167">
        <f>0.5774*AA4+1.1547*AC4</f>
        <v>0.11714637681159421</v>
      </c>
      <c r="AE4" s="168">
        <f>AA4</f>
        <v>5.7971014492753624E-2</v>
      </c>
      <c r="AF4" s="165">
        <f>(Q4*AF$3)/($L4*AF$3+$N4*AG$3+$M4*AH$3)</f>
        <v>2.2792022792022791E-3</v>
      </c>
      <c r="AG4" s="166">
        <f>(S4*AG$3)/($L4*AF$3+$N4*AG$3+$M4*AH$3)</f>
        <v>2.8490028490028491E-3</v>
      </c>
      <c r="AH4" s="166">
        <f>(R4*AH$3)/($L4*AF$3+$N4*AG$3+$M4*AH$3)</f>
        <v>0</v>
      </c>
      <c r="AI4" s="167">
        <f>0.5774*AF4+1.1547*AH4</f>
        <v>1.3160113960113959E-3</v>
      </c>
      <c r="AJ4" s="168"/>
      <c r="AK4" s="165">
        <f>(D4*AK$3)/($D4*AK$3+$E4*AL$3+$G4^0.5*AM$3)</f>
        <v>6.2793227412750161E-2</v>
      </c>
      <c r="AL4" s="166">
        <f>(E4*AL$3)/($D4*AK$3+$E4*AL$3+$G4^0.5*AM$3)</f>
        <v>0.79414964080831074</v>
      </c>
      <c r="AM4" s="166">
        <f>(G4^0.5*AM$3)/($D4*AK$3+$E4*AL$3+$G4^0.5*AM$3)</f>
        <v>0.14305713177893906</v>
      </c>
      <c r="AN4" s="167">
        <f>0.5774*AK4+1.1547*AM4</f>
        <v>0.20144487957326287</v>
      </c>
      <c r="AO4" s="168">
        <f>AK4</f>
        <v>6.2793227412750161E-2</v>
      </c>
      <c r="AP4" s="169">
        <f>10*E4/(10*E4+D4)</f>
        <v>0.92672413793103448</v>
      </c>
      <c r="AQ4" s="169">
        <f>10*G4/(10*G4+F4)</f>
        <v>0.78947368421052633</v>
      </c>
      <c r="AR4" s="164"/>
      <c r="AS4" s="164"/>
      <c r="AT4" s="169">
        <f>2*LOG(E4)-LOG(G4)</f>
        <v>5.4887856607755285</v>
      </c>
      <c r="AU4" s="169">
        <f>2*LOG(E4)-LOG(F4)</f>
        <v>5.0628169285032474</v>
      </c>
    </row>
    <row r="5" spans="1:49" x14ac:dyDescent="0.2">
      <c r="B5" s="164" t="s">
        <v>27</v>
      </c>
      <c r="C5" s="164"/>
      <c r="D5" s="164">
        <v>35000</v>
      </c>
      <c r="E5" s="164">
        <v>21000</v>
      </c>
      <c r="F5" s="164">
        <v>63000</v>
      </c>
      <c r="G5" s="164">
        <v>35000</v>
      </c>
      <c r="H5" s="164">
        <v>350</v>
      </c>
      <c r="I5" s="164">
        <v>230</v>
      </c>
      <c r="J5" s="164">
        <v>540</v>
      </c>
      <c r="K5" s="164">
        <v>15</v>
      </c>
      <c r="L5" s="164">
        <v>22</v>
      </c>
      <c r="M5" s="164"/>
      <c r="N5" s="164"/>
      <c r="O5" s="164"/>
      <c r="P5" s="164"/>
      <c r="Q5" s="165">
        <f t="shared" ref="Q5:Q11" si="0">(J5*Q$3)/(J5*$Q$3+O5*$R$3+K5*$S$3)</f>
        <v>0.5901639344262295</v>
      </c>
      <c r="R5" s="166">
        <f t="shared" ref="R5:R11" si="1">(O5*R$3)/(J5*$Q$3+O5*$R$3+K5*$S$3)</f>
        <v>0</v>
      </c>
      <c r="S5" s="166">
        <f t="shared" ref="S5:S11" si="2">(K5*S$3)/(J5*$Q$3+O5*$R$3+K5*$S$3)</f>
        <v>0.4098360655737705</v>
      </c>
      <c r="T5" s="167">
        <f t="shared" ref="T5:T11" si="3">0.5774*Q5+1.1547*S5</f>
        <v>0.81399836065573772</v>
      </c>
      <c r="U5" s="168">
        <f t="shared" ref="U5:U11" si="4">Q5</f>
        <v>0.5901639344262295</v>
      </c>
      <c r="V5" s="165">
        <f t="shared" ref="V5:V11" si="5">(J5*V$3)/($J5*$V$3+$L5*$W$3+$K5*$X$3)</f>
        <v>0.17335473515248795</v>
      </c>
      <c r="W5" s="166">
        <f t="shared" ref="W5:W11" si="6">(L5*W$3)/($J5*$V$3+$L5*$W$3+$K5*$X$3)</f>
        <v>0.7062600321027287</v>
      </c>
      <c r="X5" s="166">
        <f t="shared" ref="X5:X11" si="7">(K5*X$3)/($J5*$V$3+$L5*$W$3+$K5*$X$3)</f>
        <v>0.12038523274478331</v>
      </c>
      <c r="Y5" s="167">
        <f t="shared" ref="Y5:Y11" si="8">0.5774*V5+1.1547*X5</f>
        <v>0.23910385232744785</v>
      </c>
      <c r="Z5" s="168">
        <f t="shared" ref="Z5:Z11" si="9">V5</f>
        <v>0.17335473515248795</v>
      </c>
      <c r="AA5" s="165"/>
      <c r="AB5" s="166"/>
      <c r="AC5" s="166"/>
      <c r="AD5" s="167"/>
      <c r="AE5" s="168"/>
      <c r="AF5" s="170"/>
      <c r="AG5" s="171"/>
      <c r="AH5" s="171"/>
      <c r="AI5" s="171"/>
      <c r="AJ5" s="172"/>
      <c r="AK5" s="165">
        <f t="shared" ref="AK5:AK11" si="10">(D5*AK$3)/($D5*AK$3+$E5*AL$3+$G5^0.5*AM$3)</f>
        <v>8.1002979945878226E-2</v>
      </c>
      <c r="AL5" s="166">
        <f t="shared" ref="AL5:AL11" si="11">(E5*AL$3)/($D5*AK$3+$E5*AL$3+$G5^0.5*AM$3)</f>
        <v>0.48601787967526938</v>
      </c>
      <c r="AM5" s="166">
        <f t="shared" ref="AM5:AM11" si="12">(G5^0.5*AM$3)/($D5*AK$3+$E5*AL$3+$G5^0.5*AM$3)</f>
        <v>0.43297914037885243</v>
      </c>
      <c r="AN5" s="167">
        <f t="shared" ref="AN5:AN11" si="13">0.5774*AK5+1.1547*AM5</f>
        <v>0.54673213401621101</v>
      </c>
      <c r="AO5" s="168">
        <f t="shared" ref="AO5:AO11" si="14">AK5</f>
        <v>8.1002979945878226E-2</v>
      </c>
      <c r="AP5" s="169">
        <f t="shared" ref="AP5:AP11" si="15">10*E5/(10*E5+D5)</f>
        <v>0.8571428571428571</v>
      </c>
      <c r="AQ5" s="169">
        <f t="shared" ref="AQ5:AQ11" si="16">10*G5/(10*G5+F5)</f>
        <v>0.84745762711864403</v>
      </c>
      <c r="AR5" s="164"/>
      <c r="AS5" s="164"/>
      <c r="AT5" s="169">
        <f t="shared" ref="AT5:AT11" si="17">2*LOG(E5)-LOG(G5)</f>
        <v>4.1003705451175634</v>
      </c>
      <c r="AU5" s="169">
        <f t="shared" ref="AU5:AU11" si="18">2*LOG(E5)-LOG(F5)</f>
        <v>3.8450980400142569</v>
      </c>
    </row>
    <row r="6" spans="1:49" x14ac:dyDescent="0.2">
      <c r="B6" s="164" t="s">
        <v>28</v>
      </c>
      <c r="C6" s="164"/>
      <c r="D6" s="164">
        <v>37000</v>
      </c>
      <c r="E6" s="164">
        <v>19000</v>
      </c>
      <c r="F6" s="164">
        <v>89000</v>
      </c>
      <c r="G6" s="164">
        <v>51000</v>
      </c>
      <c r="H6" s="164">
        <v>450</v>
      </c>
      <c r="I6" s="164">
        <v>170</v>
      </c>
      <c r="J6" s="164">
        <v>230</v>
      </c>
      <c r="K6" s="164">
        <v>13</v>
      </c>
      <c r="L6" s="164">
        <v>16</v>
      </c>
      <c r="M6" s="164">
        <v>0.5</v>
      </c>
      <c r="N6" s="164">
        <v>30</v>
      </c>
      <c r="O6" s="164"/>
      <c r="P6" s="164"/>
      <c r="Q6" s="165">
        <f t="shared" si="0"/>
        <v>0.4144144144144144</v>
      </c>
      <c r="R6" s="166">
        <f t="shared" si="1"/>
        <v>0</v>
      </c>
      <c r="S6" s="166">
        <f t="shared" si="2"/>
        <v>0.5855855855855856</v>
      </c>
      <c r="T6" s="167">
        <f t="shared" si="3"/>
        <v>0.91545855855855862</v>
      </c>
      <c r="U6" s="168">
        <f t="shared" si="4"/>
        <v>0.4144144144144144</v>
      </c>
      <c r="V6" s="165">
        <f t="shared" si="5"/>
        <v>0.10672853828306264</v>
      </c>
      <c r="W6" s="166">
        <f t="shared" si="6"/>
        <v>0.74245939675174011</v>
      </c>
      <c r="X6" s="166">
        <f t="shared" si="7"/>
        <v>0.15081206496519722</v>
      </c>
      <c r="Y6" s="167">
        <f t="shared" si="8"/>
        <v>0.2357677494199536</v>
      </c>
      <c r="Z6" s="168">
        <f t="shared" si="9"/>
        <v>0.10672853828306264</v>
      </c>
      <c r="AA6" s="165">
        <f t="shared" ref="AA6:AA11" si="19">(L6*AA$3)/($L6*$AA$3+$N6*$AB$3+$M6*$AC$3)</f>
        <v>0.11347517730496454</v>
      </c>
      <c r="AB6" s="166">
        <f t="shared" ref="AB6:AB11" si="20">(N6*AB$3)/($L6*$AA$3+$N6*$AB$3+$M6*$AC$3)</f>
        <v>0.85106382978723405</v>
      </c>
      <c r="AC6" s="166">
        <f t="shared" ref="AC6:AC11" si="21">(M6*AC$3)/($L6*$AA$3+$N6*$AB$3+$M6*$AC$3)</f>
        <v>3.5460992907801421E-2</v>
      </c>
      <c r="AD6" s="167">
        <f t="shared" ref="AD6:AD11" si="22">0.5774*AA6+1.1547*AC6</f>
        <v>0.10646737588652483</v>
      </c>
      <c r="AE6" s="168">
        <f t="shared" ref="AE6:AE11" si="23">AA6</f>
        <v>0.11347517730496454</v>
      </c>
      <c r="AF6" s="170"/>
      <c r="AG6" s="171"/>
      <c r="AH6" s="171"/>
      <c r="AI6" s="171"/>
      <c r="AJ6" s="172"/>
      <c r="AK6" s="165">
        <f t="shared" si="10"/>
        <v>8.1708043344425246E-2</v>
      </c>
      <c r="AL6" s="166">
        <f t="shared" si="11"/>
        <v>0.41958184420110262</v>
      </c>
      <c r="AM6" s="166">
        <f t="shared" si="12"/>
        <v>0.49871011245447217</v>
      </c>
      <c r="AN6" s="167">
        <f t="shared" si="13"/>
        <v>0.62303879107825022</v>
      </c>
      <c r="AO6" s="168">
        <f t="shared" si="14"/>
        <v>8.1708043344425246E-2</v>
      </c>
      <c r="AP6" s="169">
        <f t="shared" si="15"/>
        <v>0.83700440528634357</v>
      </c>
      <c r="AQ6" s="169">
        <f t="shared" si="16"/>
        <v>0.85141903171953259</v>
      </c>
      <c r="AR6" s="164"/>
      <c r="AS6" s="164"/>
      <c r="AT6" s="169">
        <f t="shared" si="17"/>
        <v>3.849937025807721</v>
      </c>
      <c r="AU6" s="169">
        <f t="shared" si="18"/>
        <v>3.6081171952607454</v>
      </c>
    </row>
    <row r="7" spans="1:49" x14ac:dyDescent="0.2">
      <c r="B7" s="164" t="s">
        <v>29</v>
      </c>
      <c r="C7" s="164"/>
      <c r="D7" s="164">
        <v>5000</v>
      </c>
      <c r="E7" s="164">
        <v>10000</v>
      </c>
      <c r="F7" s="164">
        <v>44000</v>
      </c>
      <c r="G7" s="164">
        <v>322000</v>
      </c>
      <c r="H7" s="164">
        <v>25</v>
      </c>
      <c r="I7" s="164">
        <v>10</v>
      </c>
      <c r="J7" s="164"/>
      <c r="K7" s="164">
        <v>20</v>
      </c>
      <c r="L7" s="164">
        <v>0.5</v>
      </c>
      <c r="M7" s="164"/>
      <c r="N7" s="164"/>
      <c r="O7" s="164"/>
      <c r="P7" s="164"/>
      <c r="Q7" s="165">
        <f t="shared" si="0"/>
        <v>0</v>
      </c>
      <c r="R7" s="166">
        <f t="shared" si="1"/>
        <v>0</v>
      </c>
      <c r="S7" s="166">
        <f t="shared" si="2"/>
        <v>1</v>
      </c>
      <c r="T7" s="167">
        <f t="shared" si="3"/>
        <v>1.1547000000000001</v>
      </c>
      <c r="U7" s="168">
        <f t="shared" si="4"/>
        <v>0</v>
      </c>
      <c r="V7" s="165">
        <f t="shared" si="5"/>
        <v>0</v>
      </c>
      <c r="W7" s="166">
        <f t="shared" si="6"/>
        <v>9.0909090909090912E-2</v>
      </c>
      <c r="X7" s="166">
        <f t="shared" si="7"/>
        <v>0.90909090909090906</v>
      </c>
      <c r="Y7" s="167">
        <f t="shared" si="8"/>
        <v>1.0497272727272728</v>
      </c>
      <c r="Z7" s="168">
        <f t="shared" si="9"/>
        <v>0</v>
      </c>
      <c r="AA7" s="165"/>
      <c r="AB7" s="166"/>
      <c r="AC7" s="166"/>
      <c r="AD7" s="167"/>
      <c r="AE7" s="168"/>
      <c r="AF7" s="170"/>
      <c r="AG7" s="171"/>
      <c r="AH7" s="171"/>
      <c r="AI7" s="171"/>
      <c r="AJ7" s="172"/>
      <c r="AK7" s="165">
        <f t="shared" si="10"/>
        <v>7.4354922158444293E-3</v>
      </c>
      <c r="AL7" s="166">
        <f t="shared" si="11"/>
        <v>0.14870984431688858</v>
      </c>
      <c r="AM7" s="166">
        <f t="shared" si="12"/>
        <v>0.84385466346726701</v>
      </c>
      <c r="AN7" s="167">
        <f t="shared" si="13"/>
        <v>0.97869223311108189</v>
      </c>
      <c r="AO7" s="168">
        <f t="shared" si="14"/>
        <v>7.4354922158444293E-3</v>
      </c>
      <c r="AP7" s="169">
        <f t="shared" si="15"/>
        <v>0.95238095238095233</v>
      </c>
      <c r="AQ7" s="169">
        <f t="shared" si="16"/>
        <v>0.9865196078431373</v>
      </c>
      <c r="AR7" s="164"/>
      <c r="AS7" s="164"/>
      <c r="AT7" s="169">
        <f t="shared" si="17"/>
        <v>2.4921441283041688</v>
      </c>
      <c r="AU7" s="169">
        <f t="shared" si="18"/>
        <v>3.3565473235138121</v>
      </c>
    </row>
    <row r="8" spans="1:49" x14ac:dyDescent="0.2">
      <c r="B8" s="164" t="s">
        <v>30</v>
      </c>
      <c r="C8" s="164"/>
      <c r="D8" s="164">
        <v>1000</v>
      </c>
      <c r="E8" s="164">
        <v>3000</v>
      </c>
      <c r="F8" s="164">
        <v>426000</v>
      </c>
      <c r="G8" s="164">
        <v>79000</v>
      </c>
      <c r="H8" s="164">
        <v>600</v>
      </c>
      <c r="I8" s="164">
        <v>60</v>
      </c>
      <c r="J8" s="164">
        <v>200</v>
      </c>
      <c r="K8" s="164">
        <v>18</v>
      </c>
      <c r="L8" s="164">
        <v>10</v>
      </c>
      <c r="M8" s="164"/>
      <c r="N8" s="164"/>
      <c r="O8" s="164"/>
      <c r="P8" s="164"/>
      <c r="Q8" s="165">
        <f t="shared" si="0"/>
        <v>0.30769230769230771</v>
      </c>
      <c r="R8" s="166">
        <f t="shared" si="1"/>
        <v>0</v>
      </c>
      <c r="S8" s="166">
        <f t="shared" si="2"/>
        <v>0.69230769230769229</v>
      </c>
      <c r="T8" s="167">
        <f t="shared" si="3"/>
        <v>0.9770692307692308</v>
      </c>
      <c r="U8" s="168">
        <f t="shared" si="4"/>
        <v>0.30769230769230771</v>
      </c>
      <c r="V8" s="165">
        <f t="shared" si="5"/>
        <v>0.12121212121212122</v>
      </c>
      <c r="W8" s="166">
        <f t="shared" si="6"/>
        <v>0.60606060606060608</v>
      </c>
      <c r="X8" s="166">
        <f t="shared" si="7"/>
        <v>0.27272727272727271</v>
      </c>
      <c r="Y8" s="167">
        <f t="shared" si="8"/>
        <v>0.38490606060606058</v>
      </c>
      <c r="Z8" s="168">
        <f t="shared" si="9"/>
        <v>0.12121212121212122</v>
      </c>
      <c r="AA8" s="165"/>
      <c r="AB8" s="166"/>
      <c r="AC8" s="166"/>
      <c r="AD8" s="167"/>
      <c r="AE8" s="168"/>
      <c r="AF8" s="170"/>
      <c r="AG8" s="171"/>
      <c r="AH8" s="171"/>
      <c r="AI8" s="171"/>
      <c r="AJ8" s="172"/>
      <c r="AK8" s="165">
        <f t="shared" si="10"/>
        <v>3.2044155672305377E-3</v>
      </c>
      <c r="AL8" s="166">
        <f t="shared" si="11"/>
        <v>9.6132467016916134E-2</v>
      </c>
      <c r="AM8" s="166">
        <f t="shared" si="12"/>
        <v>0.90066311741585336</v>
      </c>
      <c r="AN8" s="167">
        <f t="shared" si="13"/>
        <v>1.041845931228605</v>
      </c>
      <c r="AO8" s="168">
        <f t="shared" si="14"/>
        <v>3.2044155672305377E-3</v>
      </c>
      <c r="AP8" s="169">
        <f t="shared" si="15"/>
        <v>0.967741935483871</v>
      </c>
      <c r="AQ8" s="169">
        <f t="shared" si="16"/>
        <v>0.64967105263157898</v>
      </c>
      <c r="AR8" s="164"/>
      <c r="AS8" s="164"/>
      <c r="AT8" s="169">
        <f t="shared" si="17"/>
        <v>2.0566154181488834</v>
      </c>
      <c r="AU8" s="169">
        <f t="shared" si="18"/>
        <v>1.3248329103366059</v>
      </c>
    </row>
    <row r="9" spans="1:49" x14ac:dyDescent="0.2">
      <c r="B9" s="164" t="s">
        <v>31</v>
      </c>
      <c r="C9" s="164"/>
      <c r="D9" s="164">
        <v>17000</v>
      </c>
      <c r="E9" s="164">
        <v>14000</v>
      </c>
      <c r="F9" s="164">
        <v>10000</v>
      </c>
      <c r="G9" s="164">
        <v>2000</v>
      </c>
      <c r="H9" s="164">
        <v>20</v>
      </c>
      <c r="I9" s="164">
        <v>250</v>
      </c>
      <c r="J9" s="164"/>
      <c r="K9" s="164">
        <v>90</v>
      </c>
      <c r="L9" s="164">
        <v>15</v>
      </c>
      <c r="M9" s="164"/>
      <c r="N9" s="164"/>
      <c r="O9" s="164"/>
      <c r="P9" s="164"/>
      <c r="Q9" s="165">
        <f t="shared" si="0"/>
        <v>0</v>
      </c>
      <c r="R9" s="166">
        <f t="shared" si="1"/>
        <v>0</v>
      </c>
      <c r="S9" s="166">
        <f t="shared" si="2"/>
        <v>1</v>
      </c>
      <c r="T9" s="167">
        <f t="shared" si="3"/>
        <v>1.1547000000000001</v>
      </c>
      <c r="U9" s="168">
        <f t="shared" si="4"/>
        <v>0</v>
      </c>
      <c r="V9" s="165">
        <f t="shared" si="5"/>
        <v>0</v>
      </c>
      <c r="W9" s="166">
        <f t="shared" si="6"/>
        <v>0.4</v>
      </c>
      <c r="X9" s="166">
        <f t="shared" si="7"/>
        <v>0.6</v>
      </c>
      <c r="Y9" s="167">
        <f t="shared" si="8"/>
        <v>0.69281999999999999</v>
      </c>
      <c r="Z9" s="168">
        <f t="shared" si="9"/>
        <v>0</v>
      </c>
      <c r="AA9" s="165"/>
      <c r="AB9" s="166"/>
      <c r="AC9" s="166"/>
      <c r="AD9" s="167"/>
      <c r="AE9" s="168"/>
      <c r="AF9" s="170"/>
      <c r="AG9" s="171"/>
      <c r="AH9" s="171"/>
      <c r="AI9" s="171"/>
      <c r="AJ9" s="172"/>
      <c r="AK9" s="165">
        <f t="shared" si="10"/>
        <v>8.4274665002873034E-2</v>
      </c>
      <c r="AL9" s="166">
        <f t="shared" si="11"/>
        <v>0.69402665296483679</v>
      </c>
      <c r="AM9" s="166">
        <f t="shared" si="12"/>
        <v>0.22169868203229015</v>
      </c>
      <c r="AN9" s="167">
        <f t="shared" si="13"/>
        <v>0.30465565971534431</v>
      </c>
      <c r="AO9" s="168">
        <f t="shared" si="14"/>
        <v>8.4274665002873034E-2</v>
      </c>
      <c r="AP9" s="169">
        <f t="shared" si="15"/>
        <v>0.89171974522292996</v>
      </c>
      <c r="AQ9" s="169">
        <f t="shared" si="16"/>
        <v>0.66666666666666663</v>
      </c>
      <c r="AR9" s="164"/>
      <c r="AS9" s="164"/>
      <c r="AT9" s="169">
        <f t="shared" si="17"/>
        <v>4.9912260756924951</v>
      </c>
      <c r="AU9" s="169">
        <f t="shared" si="18"/>
        <v>4.2922560713564764</v>
      </c>
    </row>
    <row r="10" spans="1:49" x14ac:dyDescent="0.2">
      <c r="B10" s="164" t="s">
        <v>32</v>
      </c>
      <c r="C10" s="164"/>
      <c r="D10" s="164">
        <v>12000</v>
      </c>
      <c r="E10" s="164">
        <v>38000</v>
      </c>
      <c r="F10" s="164">
        <v>22000</v>
      </c>
      <c r="G10" s="164">
        <v>33000</v>
      </c>
      <c r="H10" s="164">
        <v>250</v>
      </c>
      <c r="I10" s="164">
        <v>450</v>
      </c>
      <c r="J10" s="164"/>
      <c r="K10" s="164">
        <v>220</v>
      </c>
      <c r="L10" s="164">
        <v>50</v>
      </c>
      <c r="M10" s="164">
        <v>3</v>
      </c>
      <c r="N10" s="164">
        <v>140</v>
      </c>
      <c r="O10" s="164"/>
      <c r="P10" s="164"/>
      <c r="Q10" s="165">
        <f t="shared" si="0"/>
        <v>0</v>
      </c>
      <c r="R10" s="166">
        <f t="shared" si="1"/>
        <v>0</v>
      </c>
      <c r="S10" s="166">
        <f t="shared" si="2"/>
        <v>1</v>
      </c>
      <c r="T10" s="167">
        <f t="shared" si="3"/>
        <v>1.1547000000000001</v>
      </c>
      <c r="U10" s="168">
        <f t="shared" si="4"/>
        <v>0</v>
      </c>
      <c r="V10" s="165">
        <f t="shared" si="5"/>
        <v>0</v>
      </c>
      <c r="W10" s="166">
        <f t="shared" si="6"/>
        <v>0.47619047619047616</v>
      </c>
      <c r="X10" s="166">
        <f t="shared" si="7"/>
        <v>0.52380952380952384</v>
      </c>
      <c r="Y10" s="167">
        <f t="shared" si="8"/>
        <v>0.60484285714285724</v>
      </c>
      <c r="Z10" s="168">
        <f t="shared" si="9"/>
        <v>0</v>
      </c>
      <c r="AA10" s="165">
        <f t="shared" si="19"/>
        <v>7.8125E-2</v>
      </c>
      <c r="AB10" s="166">
        <f t="shared" si="20"/>
        <v>0.875</v>
      </c>
      <c r="AC10" s="166">
        <f t="shared" si="21"/>
        <v>4.6875E-2</v>
      </c>
      <c r="AD10" s="167">
        <f t="shared" si="22"/>
        <v>9.923593750000001E-2</v>
      </c>
      <c r="AE10" s="168">
        <f t="shared" si="23"/>
        <v>7.8125E-2</v>
      </c>
      <c r="AF10" s="170"/>
      <c r="AG10" s="171"/>
      <c r="AH10" s="171"/>
      <c r="AI10" s="171"/>
      <c r="AJ10" s="172"/>
      <c r="AK10" s="165">
        <f t="shared" si="10"/>
        <v>2.091834967388621E-2</v>
      </c>
      <c r="AL10" s="166">
        <f t="shared" si="11"/>
        <v>0.66241440633973003</v>
      </c>
      <c r="AM10" s="166">
        <f t="shared" si="12"/>
        <v>0.31666724398638368</v>
      </c>
      <c r="AN10" s="167">
        <f t="shared" si="13"/>
        <v>0.37773392173277914</v>
      </c>
      <c r="AO10" s="168">
        <f t="shared" si="14"/>
        <v>2.091834967388621E-2</v>
      </c>
      <c r="AP10" s="169">
        <f t="shared" si="15"/>
        <v>0.96938775510204078</v>
      </c>
      <c r="AQ10" s="169">
        <f t="shared" si="16"/>
        <v>0.9375</v>
      </c>
      <c r="AR10" s="164"/>
      <c r="AS10" s="164"/>
      <c r="AT10" s="169">
        <f t="shared" si="17"/>
        <v>4.6410532533557332</v>
      </c>
      <c r="AU10" s="169">
        <f t="shared" si="18"/>
        <v>4.8171445124114136</v>
      </c>
    </row>
    <row r="11" spans="1:49" x14ac:dyDescent="0.2">
      <c r="B11" s="164" t="s">
        <v>33</v>
      </c>
      <c r="C11" s="164"/>
      <c r="D11" s="164">
        <v>10561</v>
      </c>
      <c r="E11" s="164">
        <v>380</v>
      </c>
      <c r="F11" s="164">
        <v>400</v>
      </c>
      <c r="G11" s="164">
        <v>1272</v>
      </c>
      <c r="H11" s="164">
        <v>8</v>
      </c>
      <c r="I11" s="164">
        <v>0.03</v>
      </c>
      <c r="J11" s="164">
        <v>18980</v>
      </c>
      <c r="K11" s="164">
        <v>4.5999999999999996</v>
      </c>
      <c r="L11" s="164">
        <v>0.17</v>
      </c>
      <c r="M11" s="164">
        <v>5.0000000000000001E-4</v>
      </c>
      <c r="N11" s="164">
        <v>0.12</v>
      </c>
      <c r="O11" s="164">
        <v>1.4</v>
      </c>
      <c r="P11" s="164"/>
      <c r="Q11" s="173">
        <f t="shared" si="0"/>
        <v>0.9921589127025614</v>
      </c>
      <c r="R11" s="174">
        <f t="shared" si="1"/>
        <v>1.8295870360690017E-3</v>
      </c>
      <c r="S11" s="174">
        <f t="shared" si="2"/>
        <v>6.0115002613695756E-3</v>
      </c>
      <c r="T11" s="175">
        <f t="shared" si="3"/>
        <v>0.57981403554626243</v>
      </c>
      <c r="U11" s="176">
        <f t="shared" si="4"/>
        <v>0.9921589127025614</v>
      </c>
      <c r="V11" s="165">
        <f t="shared" si="5"/>
        <v>0.99309334449560482</v>
      </c>
      <c r="W11" s="166">
        <f t="shared" si="6"/>
        <v>8.8949351192967767E-4</v>
      </c>
      <c r="X11" s="166">
        <f t="shared" si="7"/>
        <v>6.0171619924654658E-3</v>
      </c>
      <c r="Y11" s="167">
        <f t="shared" si="8"/>
        <v>0.58036011406446208</v>
      </c>
      <c r="Z11" s="168">
        <f t="shared" si="9"/>
        <v>0.99309334449560482</v>
      </c>
      <c r="AA11" s="165">
        <f t="shared" si="19"/>
        <v>0.25954198473282442</v>
      </c>
      <c r="AB11" s="166">
        <f t="shared" si="20"/>
        <v>0.73282442748091592</v>
      </c>
      <c r="AC11" s="166">
        <f t="shared" si="21"/>
        <v>7.6335877862595417E-3</v>
      </c>
      <c r="AD11" s="167">
        <f t="shared" si="22"/>
        <v>0.15867404580152672</v>
      </c>
      <c r="AE11" s="168">
        <f t="shared" si="23"/>
        <v>0.25954198473282442</v>
      </c>
      <c r="AF11" s="170"/>
      <c r="AG11" s="171"/>
      <c r="AH11" s="171"/>
      <c r="AI11" s="171"/>
      <c r="AJ11" s="172"/>
      <c r="AK11" s="165">
        <f t="shared" si="10"/>
        <v>0.21110976270303922</v>
      </c>
      <c r="AL11" s="166">
        <f t="shared" si="11"/>
        <v>7.5960335031867152E-2</v>
      </c>
      <c r="AM11" s="166">
        <f t="shared" si="12"/>
        <v>0.71292990226509356</v>
      </c>
      <c r="AN11" s="167">
        <f t="shared" si="13"/>
        <v>0.94511493513023836</v>
      </c>
      <c r="AO11" s="168">
        <f t="shared" si="14"/>
        <v>0.21110976270303922</v>
      </c>
      <c r="AP11" s="169">
        <f t="shared" si="15"/>
        <v>0.26460552886289257</v>
      </c>
      <c r="AQ11" s="169">
        <f t="shared" si="16"/>
        <v>0.96951219512195119</v>
      </c>
      <c r="AR11" s="164"/>
      <c r="AS11" s="164"/>
      <c r="AT11" s="169">
        <f t="shared" si="17"/>
        <v>2.0550800819212252</v>
      </c>
      <c r="AU11" s="169">
        <f t="shared" si="18"/>
        <v>2.5575072019056577</v>
      </c>
    </row>
    <row r="12" spans="1:49" x14ac:dyDescent="0.2">
      <c r="Q12" s="39"/>
      <c r="R12" s="39"/>
      <c r="S12" s="39"/>
      <c r="T12" s="40"/>
      <c r="U12" s="40"/>
      <c r="V12" s="121"/>
      <c r="W12" s="39"/>
      <c r="X12" s="39"/>
      <c r="Y12" s="40"/>
      <c r="Z12" s="41"/>
      <c r="AA12" s="121"/>
      <c r="AB12" s="39"/>
      <c r="AC12" s="39"/>
      <c r="AD12" s="40"/>
      <c r="AE12" s="41"/>
      <c r="AF12" s="122"/>
      <c r="AG12" s="43"/>
      <c r="AH12" s="43"/>
      <c r="AI12" s="43"/>
      <c r="AJ12" s="123"/>
      <c r="AK12" s="122"/>
      <c r="AL12" s="43"/>
      <c r="AM12" s="43"/>
      <c r="AN12" s="43"/>
      <c r="AO12" s="123"/>
      <c r="AP12" s="19"/>
      <c r="AQ12" s="19"/>
    </row>
    <row r="13" spans="1:49" x14ac:dyDescent="0.2">
      <c r="A13" s="32" t="s">
        <v>154</v>
      </c>
      <c r="B13" s="98"/>
      <c r="C13" s="98"/>
      <c r="D13" s="98"/>
      <c r="E13" s="98"/>
      <c r="F13" s="98"/>
      <c r="G13" s="98"/>
      <c r="H13" s="98"/>
      <c r="I13" s="98"/>
      <c r="J13" s="98"/>
      <c r="K13" s="98"/>
      <c r="L13" s="98">
        <v>0</v>
      </c>
      <c r="M13" s="98">
        <v>0</v>
      </c>
      <c r="N13" s="98">
        <v>1</v>
      </c>
      <c r="O13" s="98"/>
      <c r="P13" s="98"/>
      <c r="Q13" s="132"/>
      <c r="R13" s="132"/>
      <c r="S13" s="132"/>
      <c r="T13" s="100"/>
      <c r="U13" s="100"/>
      <c r="V13" s="133"/>
      <c r="W13" s="132"/>
      <c r="X13" s="132"/>
      <c r="Y13" s="100"/>
      <c r="Z13" s="101"/>
      <c r="AA13" s="133">
        <f>(L13*AA$3)/($L13*$AA$3+$N13*$AB$3+$M13*$AC$3)</f>
        <v>0</v>
      </c>
      <c r="AB13" s="132">
        <f>(N13*AB$3)/($L13*$AA$3+$N13*$AB$3+$M13*$AC$3)</f>
        <v>1</v>
      </c>
      <c r="AC13" s="132">
        <f>(M13*AC$3)/($L13*$AA$3+$N13*$AB$3+$M13*$AC$3)</f>
        <v>0</v>
      </c>
      <c r="AD13" s="100">
        <f>0.5774*AA13+1.1547*AC13</f>
        <v>0</v>
      </c>
      <c r="AE13" s="101">
        <f>AA13</f>
        <v>0</v>
      </c>
      <c r="AF13" s="122"/>
      <c r="AG13" s="43"/>
      <c r="AH13" s="43"/>
      <c r="AI13" s="43"/>
      <c r="AJ13" s="123"/>
      <c r="AK13" s="122"/>
      <c r="AL13" s="43"/>
      <c r="AM13" s="43"/>
      <c r="AN13" s="43"/>
      <c r="AO13" s="123"/>
      <c r="AP13" s="19"/>
      <c r="AQ13" s="19"/>
    </row>
    <row r="14" spans="1:49" x14ac:dyDescent="0.2">
      <c r="B14" s="98" t="s">
        <v>34</v>
      </c>
      <c r="C14" s="98"/>
      <c r="D14" s="98"/>
      <c r="E14" s="98"/>
      <c r="F14" s="98"/>
      <c r="G14" s="98"/>
      <c r="H14" s="98"/>
      <c r="I14" s="98"/>
      <c r="J14" s="98"/>
      <c r="K14" s="98"/>
      <c r="L14" s="98">
        <v>40</v>
      </c>
      <c r="M14" s="98">
        <v>5</v>
      </c>
      <c r="N14" s="98">
        <v>0</v>
      </c>
      <c r="O14" s="98"/>
      <c r="P14" s="98"/>
      <c r="Q14" s="98"/>
      <c r="R14" s="98"/>
      <c r="S14" s="98"/>
      <c r="T14" s="98"/>
      <c r="U14" s="98"/>
      <c r="V14" s="134"/>
      <c r="W14" s="99"/>
      <c r="X14" s="99"/>
      <c r="Y14" s="99"/>
      <c r="Z14" s="135"/>
      <c r="AA14" s="133">
        <f>(L14*AA$3)/($L14*$AA$3+$N14*$AB$3+$M14*$AC$3)</f>
        <v>0.44444444444444442</v>
      </c>
      <c r="AB14" s="132">
        <f>(N14*AB$3)/($L14*$AA$3+$N14*$AB$3+$M14*$AC$3)</f>
        <v>0</v>
      </c>
      <c r="AC14" s="132">
        <f>(M14*AC$3)/($L14*$AA$3+$N14*$AB$3+$M14*$AC$3)</f>
        <v>0.55555555555555558</v>
      </c>
      <c r="AD14" s="100">
        <f>0.5774*AA14+1.1547*AC14</f>
        <v>0.89812222222222227</v>
      </c>
      <c r="AE14" s="101">
        <f>AA14</f>
        <v>0.44444444444444442</v>
      </c>
      <c r="AF14" s="122"/>
      <c r="AG14" s="43"/>
      <c r="AH14" s="43"/>
      <c r="AI14" s="43"/>
      <c r="AJ14" s="123"/>
      <c r="AK14" s="122"/>
      <c r="AL14" s="43"/>
      <c r="AM14" s="43"/>
      <c r="AN14" s="43"/>
      <c r="AO14" s="123"/>
      <c r="AP14" s="19"/>
      <c r="AQ14" s="19"/>
    </row>
    <row r="15" spans="1:49" x14ac:dyDescent="0.2">
      <c r="B15" s="98"/>
      <c r="C15" s="98"/>
      <c r="D15" s="98"/>
      <c r="E15" s="98"/>
      <c r="F15" s="98"/>
      <c r="G15" s="98"/>
      <c r="H15" s="98"/>
      <c r="I15" s="98"/>
      <c r="J15" s="98"/>
      <c r="K15" s="98"/>
      <c r="L15" s="98">
        <v>0</v>
      </c>
      <c r="M15" s="98">
        <v>0</v>
      </c>
      <c r="N15" s="98">
        <v>1</v>
      </c>
      <c r="O15" s="98"/>
      <c r="P15" s="98"/>
      <c r="Q15" s="98"/>
      <c r="R15" s="98"/>
      <c r="S15" s="98"/>
      <c r="T15" s="98"/>
      <c r="U15" s="98"/>
      <c r="V15" s="134"/>
      <c r="W15" s="99"/>
      <c r="X15" s="99"/>
      <c r="Y15" s="99"/>
      <c r="Z15" s="135"/>
      <c r="AA15" s="133">
        <f>(L15*AA$3)/($L15*$AA$3+$N15*$AB$3+$M15*$AC$3)</f>
        <v>0</v>
      </c>
      <c r="AB15" s="132">
        <f>(N15*AB$3)/($L15*$AA$3+$N15*$AB$3+$M15*$AC$3)</f>
        <v>1</v>
      </c>
      <c r="AC15" s="132">
        <f>(M15*AC$3)/($L15*$AA$3+$N15*$AB$3+$M15*$AC$3)</f>
        <v>0</v>
      </c>
      <c r="AD15" s="100">
        <f>0.5774*AA15+1.1547*AC15</f>
        <v>0</v>
      </c>
      <c r="AE15" s="101">
        <f>AA15</f>
        <v>0</v>
      </c>
      <c r="AF15" s="122"/>
      <c r="AG15" s="43"/>
      <c r="AH15" s="43"/>
      <c r="AI15" s="43"/>
      <c r="AJ15" s="123"/>
      <c r="AK15" s="122"/>
      <c r="AL15" s="43"/>
      <c r="AM15" s="43"/>
      <c r="AN15" s="43"/>
      <c r="AO15" s="123"/>
      <c r="AP15" s="19"/>
      <c r="AQ15" s="19"/>
    </row>
    <row r="16" spans="1:49" x14ac:dyDescent="0.2">
      <c r="B16" s="98" t="s">
        <v>35</v>
      </c>
      <c r="C16" s="98"/>
      <c r="D16" s="98"/>
      <c r="E16" s="98"/>
      <c r="F16" s="98"/>
      <c r="G16" s="98"/>
      <c r="H16" s="98"/>
      <c r="I16" s="98"/>
      <c r="J16" s="98"/>
      <c r="K16" s="98"/>
      <c r="L16" s="98">
        <v>16</v>
      </c>
      <c r="M16" s="98">
        <v>0.5</v>
      </c>
      <c r="N16" s="98">
        <v>0</v>
      </c>
      <c r="O16" s="98"/>
      <c r="P16" s="98"/>
      <c r="Q16" s="98"/>
      <c r="R16" s="98"/>
      <c r="S16" s="98"/>
      <c r="T16" s="98"/>
      <c r="U16" s="98"/>
      <c r="V16" s="134"/>
      <c r="W16" s="99"/>
      <c r="X16" s="99"/>
      <c r="Y16" s="99"/>
      <c r="Z16" s="135"/>
      <c r="AA16" s="136">
        <f>(L16*AA$3)/($L16*$AA$3+$N16*$AB$3+$M16*$AC$3)</f>
        <v>0.76190476190476186</v>
      </c>
      <c r="AB16" s="137">
        <f>(N16*AB$3)/($L16*$AA$3+$N16*$AB$3+$M16*$AC$3)</f>
        <v>0</v>
      </c>
      <c r="AC16" s="137">
        <f>(M16*AC$3)/($L16*$AA$3+$N16*$AB$3+$M16*$AC$3)</f>
        <v>0.23809523809523808</v>
      </c>
      <c r="AD16" s="129">
        <f>0.5774*AA16+1.1547*AC16</f>
        <v>0.71485238095238091</v>
      </c>
      <c r="AE16" s="130">
        <f>AA16</f>
        <v>0.76190476190476186</v>
      </c>
      <c r="AF16" s="122"/>
      <c r="AG16" s="43"/>
      <c r="AH16" s="43"/>
      <c r="AI16" s="43"/>
      <c r="AJ16" s="123"/>
      <c r="AK16" s="122"/>
      <c r="AL16" s="43"/>
      <c r="AM16" s="43"/>
      <c r="AN16" s="43"/>
      <c r="AO16" s="123"/>
      <c r="AP16" s="19"/>
      <c r="AQ16" s="19"/>
    </row>
    <row r="17" spans="1:46" x14ac:dyDescent="0.2">
      <c r="B17" s="143"/>
      <c r="C17" s="143"/>
      <c r="D17" s="143"/>
      <c r="E17" s="143"/>
      <c r="F17" s="143"/>
      <c r="G17" s="143"/>
      <c r="H17" s="143"/>
      <c r="I17" s="143"/>
      <c r="J17" s="143">
        <v>0</v>
      </c>
      <c r="K17" s="143">
        <v>0</v>
      </c>
      <c r="L17" s="143">
        <v>1</v>
      </c>
      <c r="M17" s="143"/>
      <c r="N17" s="143"/>
      <c r="O17" s="143"/>
      <c r="P17" s="143"/>
      <c r="Q17" s="143"/>
      <c r="R17" s="143"/>
      <c r="S17" s="143"/>
      <c r="T17" s="143"/>
      <c r="U17" s="143"/>
      <c r="V17" s="144">
        <f>(J17*V$3)/($J17*$V$3+$L17*$W$3+$K17*$X$3)</f>
        <v>0</v>
      </c>
      <c r="W17" s="145">
        <f>(L17*W$3)/($J17*$V$3+$L17*$W$3+$K17*$X$3)</f>
        <v>1</v>
      </c>
      <c r="X17" s="145">
        <f>(K17*X$3)/($J17*$V$3+$L17*$W$3+$K17*$X$3)</f>
        <v>0</v>
      </c>
      <c r="Y17" s="146">
        <f>0.5774*V17+1.1547*X17</f>
        <v>0</v>
      </c>
      <c r="Z17" s="147">
        <f>V17</f>
        <v>0</v>
      </c>
      <c r="AF17" s="122"/>
      <c r="AG17" s="43"/>
      <c r="AH17" s="43"/>
      <c r="AI17" s="43"/>
      <c r="AJ17" s="123"/>
      <c r="AK17" s="122"/>
      <c r="AL17" s="43"/>
      <c r="AM17" s="43"/>
      <c r="AN17" s="43"/>
      <c r="AO17" s="123"/>
      <c r="AP17" s="19"/>
      <c r="AQ17" s="19"/>
    </row>
    <row r="18" spans="1:46" x14ac:dyDescent="0.2">
      <c r="B18" s="143" t="s">
        <v>36</v>
      </c>
      <c r="C18" s="143"/>
      <c r="D18" s="143"/>
      <c r="E18" s="143"/>
      <c r="F18" s="143"/>
      <c r="G18" s="143"/>
      <c r="H18" s="143"/>
      <c r="I18" s="143"/>
      <c r="J18" s="143">
        <v>540</v>
      </c>
      <c r="K18" s="143">
        <v>15</v>
      </c>
      <c r="L18" s="143">
        <v>0</v>
      </c>
      <c r="M18" s="143"/>
      <c r="N18" s="143"/>
      <c r="O18" s="143"/>
      <c r="P18" s="143"/>
      <c r="Q18" s="143"/>
      <c r="R18" s="143"/>
      <c r="S18" s="143"/>
      <c r="T18" s="143"/>
      <c r="U18" s="143"/>
      <c r="V18" s="144">
        <f>(J18*V$3)/($J18*$V$3+$L18*$W$3+$K18*$X$3)</f>
        <v>0.5901639344262295</v>
      </c>
      <c r="W18" s="145">
        <f>(L18*W$3)/($J18*$V$3+$L18*$W$3+$K18*$X$3)</f>
        <v>0</v>
      </c>
      <c r="X18" s="145">
        <f>(K18*X$3)/($J18*$V$3+$L18*$W$3+$K18*$X$3)</f>
        <v>0.4098360655737705</v>
      </c>
      <c r="Y18" s="146">
        <f>0.5774*V18+1.1547*X18</f>
        <v>0.81399836065573772</v>
      </c>
      <c r="Z18" s="147">
        <f>V18</f>
        <v>0.5901639344262295</v>
      </c>
      <c r="AF18" s="122"/>
      <c r="AG18" s="43"/>
      <c r="AH18" s="43"/>
      <c r="AI18" s="43"/>
      <c r="AJ18" s="123"/>
      <c r="AK18" s="122"/>
      <c r="AL18" s="43"/>
      <c r="AM18" s="43"/>
      <c r="AN18" s="43"/>
      <c r="AO18" s="123"/>
      <c r="AP18" s="19"/>
      <c r="AQ18" s="19"/>
    </row>
    <row r="19" spans="1:46" x14ac:dyDescent="0.2">
      <c r="B19" s="143"/>
      <c r="C19" s="143"/>
      <c r="D19" s="143"/>
      <c r="E19" s="143"/>
      <c r="F19" s="143"/>
      <c r="G19" s="143"/>
      <c r="H19" s="143"/>
      <c r="I19" s="143"/>
      <c r="J19" s="143">
        <v>0</v>
      </c>
      <c r="K19" s="143">
        <v>0</v>
      </c>
      <c r="L19" s="143">
        <v>1</v>
      </c>
      <c r="M19" s="143"/>
      <c r="N19" s="143"/>
      <c r="O19" s="143"/>
      <c r="P19" s="143"/>
      <c r="Q19" s="143"/>
      <c r="R19" s="143"/>
      <c r="S19" s="143"/>
      <c r="T19" s="143"/>
      <c r="U19" s="143"/>
      <c r="V19" s="144">
        <f>(J19*V$3)/($J19*$V$3+$L19*$W$3+$K19*$X$3)</f>
        <v>0</v>
      </c>
      <c r="W19" s="145">
        <f>(L19*W$3)/($J19*$V$3+$L19*$W$3+$K19*$X$3)</f>
        <v>1</v>
      </c>
      <c r="X19" s="145">
        <f>(K19*X$3)/($J19*$V$3+$L19*$W$3+$K19*$X$3)</f>
        <v>0</v>
      </c>
      <c r="Y19" s="146">
        <f>0.5774*V19+1.1547*X19</f>
        <v>0</v>
      </c>
      <c r="Z19" s="147">
        <f>V19</f>
        <v>0</v>
      </c>
      <c r="AF19" s="122"/>
      <c r="AG19" s="43"/>
      <c r="AH19" s="43"/>
      <c r="AI19" s="43"/>
      <c r="AJ19" s="123"/>
      <c r="AK19" s="122"/>
      <c r="AL19" s="43"/>
      <c r="AM19" s="43"/>
      <c r="AN19" s="43"/>
      <c r="AO19" s="123"/>
      <c r="AP19" s="19"/>
      <c r="AQ19" s="19"/>
    </row>
    <row r="20" spans="1:46" x14ac:dyDescent="0.2">
      <c r="A20" s="131"/>
      <c r="B20" s="148" t="s">
        <v>35</v>
      </c>
      <c r="C20" s="148"/>
      <c r="D20" s="148"/>
      <c r="E20" s="148"/>
      <c r="F20" s="148"/>
      <c r="G20" s="148"/>
      <c r="H20" s="148"/>
      <c r="I20" s="148"/>
      <c r="J20" s="148">
        <v>230</v>
      </c>
      <c r="K20" s="148">
        <v>13</v>
      </c>
      <c r="L20" s="148">
        <v>0</v>
      </c>
      <c r="M20" s="148"/>
      <c r="N20" s="148"/>
      <c r="O20" s="148"/>
      <c r="P20" s="148"/>
      <c r="Q20" s="148"/>
      <c r="R20" s="148"/>
      <c r="S20" s="148"/>
      <c r="T20" s="148"/>
      <c r="U20" s="148"/>
      <c r="V20" s="149">
        <f>(J20*V$3)/($J20*$V$3+$L20*$W$3+$K20*$X$3)</f>
        <v>0.4144144144144144</v>
      </c>
      <c r="W20" s="150">
        <f>(L20*W$3)/($J20*$V$3+$L20*$W$3+$K20*$X$3)</f>
        <v>0</v>
      </c>
      <c r="X20" s="150">
        <f>(K20*X$3)/($J20*$V$3+$L20*$W$3+$K20*$X$3)</f>
        <v>0.5855855855855856</v>
      </c>
      <c r="Y20" s="151">
        <f>0.5774*V20+1.1547*X20</f>
        <v>0.91545855855855862</v>
      </c>
      <c r="Z20" s="152">
        <f>V20</f>
        <v>0.4144144144144144</v>
      </c>
      <c r="AF20" s="122"/>
      <c r="AG20" s="43"/>
      <c r="AH20" s="43"/>
      <c r="AI20" s="43"/>
      <c r="AJ20" s="123"/>
      <c r="AK20" s="122"/>
      <c r="AL20" s="43"/>
      <c r="AM20" s="43"/>
      <c r="AN20" s="43"/>
      <c r="AO20" s="123"/>
      <c r="AP20" s="19"/>
      <c r="AQ20" s="19"/>
    </row>
    <row r="21" spans="1:46" x14ac:dyDescent="0.2">
      <c r="B21" s="42"/>
      <c r="C21" s="42"/>
      <c r="D21" s="42"/>
      <c r="F21" s="42"/>
      <c r="G21" s="42"/>
      <c r="L21" s="43"/>
      <c r="M21" s="43"/>
      <c r="N21" s="43"/>
      <c r="O21" s="43"/>
      <c r="P21" s="43"/>
      <c r="Q21" s="40"/>
      <c r="R21" s="40"/>
      <c r="S21" s="43"/>
      <c r="V21" s="43"/>
      <c r="W21" s="40"/>
      <c r="X21" s="40"/>
      <c r="AE21" s="24" t="s">
        <v>148</v>
      </c>
      <c r="AF21" s="122"/>
      <c r="AG21" s="43"/>
      <c r="AH21" s="43"/>
      <c r="AI21" s="43"/>
      <c r="AJ21" s="123"/>
      <c r="AK21" s="122"/>
      <c r="AL21" s="43"/>
      <c r="AM21" s="43"/>
      <c r="AN21" s="43"/>
      <c r="AO21" s="123"/>
    </row>
    <row r="22" spans="1:46" s="102" customFormat="1" x14ac:dyDescent="0.2">
      <c r="C22" s="104"/>
      <c r="D22" s="104"/>
      <c r="F22" s="104"/>
      <c r="G22" s="104"/>
      <c r="L22" s="106"/>
      <c r="M22" s="106"/>
      <c r="N22" s="106"/>
      <c r="O22" s="106"/>
      <c r="P22" s="106"/>
      <c r="Q22" s="105"/>
      <c r="R22" s="105"/>
      <c r="S22" s="106"/>
      <c r="V22" s="106"/>
      <c r="W22" s="105"/>
      <c r="X22" s="105"/>
      <c r="Y22" s="106"/>
      <c r="AE22" s="153" t="s">
        <v>17</v>
      </c>
      <c r="AF22" s="154">
        <v>0.5</v>
      </c>
      <c r="AG22" s="155">
        <v>0.5</v>
      </c>
      <c r="AH22" s="155">
        <v>0</v>
      </c>
      <c r="AI22" s="156">
        <f t="shared" ref="AI22:AI30" si="24">0.5774*AF22+1.1547*AH22</f>
        <v>0.28870000000000001</v>
      </c>
      <c r="AJ22" s="157">
        <f t="shared" ref="AJ22:AJ30" si="25">AF22</f>
        <v>0.5</v>
      </c>
      <c r="AK22" s="124"/>
      <c r="AL22" s="106"/>
      <c r="AM22" s="106"/>
      <c r="AN22" s="106"/>
      <c r="AO22" s="125"/>
    </row>
    <row r="23" spans="1:46" s="102" customFormat="1" x14ac:dyDescent="0.2">
      <c r="L23" s="106"/>
      <c r="M23" s="106"/>
      <c r="N23" s="106"/>
      <c r="O23" s="106"/>
      <c r="P23" s="106"/>
      <c r="Q23" s="106"/>
      <c r="R23" s="106"/>
      <c r="S23" s="106"/>
      <c r="V23" s="106"/>
      <c r="W23" s="106"/>
      <c r="X23" s="106"/>
      <c r="Y23" s="106"/>
      <c r="AE23" s="158"/>
      <c r="AF23" s="154">
        <v>0.33</v>
      </c>
      <c r="AG23" s="155">
        <v>0.33</v>
      </c>
      <c r="AH23" s="155">
        <v>0.33</v>
      </c>
      <c r="AI23" s="156">
        <f t="shared" si="24"/>
        <v>0.57159300000000002</v>
      </c>
      <c r="AJ23" s="157">
        <f t="shared" si="25"/>
        <v>0.33</v>
      </c>
      <c r="AK23" s="124"/>
      <c r="AL23" s="106"/>
      <c r="AM23" s="106"/>
      <c r="AN23" s="106"/>
      <c r="AO23" s="125"/>
    </row>
    <row r="24" spans="1:46" s="102" customFormat="1" x14ac:dyDescent="0.2">
      <c r="A24" s="164" t="s">
        <v>151</v>
      </c>
      <c r="B24" s="164"/>
      <c r="C24" s="203"/>
      <c r="D24" s="107"/>
      <c r="L24" s="106"/>
      <c r="M24" s="106"/>
      <c r="N24" s="106"/>
      <c r="O24" s="106"/>
      <c r="P24" s="106"/>
      <c r="Q24" s="106"/>
      <c r="R24" s="106"/>
      <c r="S24" s="106"/>
      <c r="T24" s="108"/>
      <c r="U24" s="108"/>
      <c r="V24" s="108"/>
      <c r="W24" s="108"/>
      <c r="X24" s="108"/>
      <c r="Y24" s="106"/>
      <c r="AE24" s="158" t="s">
        <v>18</v>
      </c>
      <c r="AF24" s="154">
        <v>0</v>
      </c>
      <c r="AG24" s="155">
        <v>0.5</v>
      </c>
      <c r="AH24" s="155">
        <v>0.5</v>
      </c>
      <c r="AI24" s="156">
        <f t="shared" si="24"/>
        <v>0.57735000000000003</v>
      </c>
      <c r="AJ24" s="157">
        <f t="shared" si="25"/>
        <v>0</v>
      </c>
      <c r="AK24" s="124"/>
      <c r="AL24" s="106"/>
      <c r="AM24" s="106"/>
      <c r="AN24" s="106"/>
      <c r="AO24" s="125"/>
    </row>
    <row r="25" spans="1:46" s="102" customFormat="1" x14ac:dyDescent="0.2">
      <c r="A25" s="208" t="s">
        <v>17</v>
      </c>
      <c r="B25" s="208" t="s">
        <v>77</v>
      </c>
      <c r="C25" s="204"/>
      <c r="D25" s="103"/>
      <c r="E25" s="103"/>
      <c r="F25" s="103"/>
      <c r="G25" s="103"/>
      <c r="L25" s="109"/>
      <c r="M25" s="106"/>
      <c r="N25" s="106"/>
      <c r="O25" s="106"/>
      <c r="P25" s="106"/>
      <c r="Q25" s="106"/>
      <c r="R25" s="106"/>
      <c r="S25" s="106"/>
      <c r="T25" s="105"/>
      <c r="U25" s="105"/>
      <c r="V25" s="105"/>
      <c r="W25" s="105"/>
      <c r="X25" s="105"/>
      <c r="Y25" s="106"/>
      <c r="AE25" s="158"/>
      <c r="AF25" s="154">
        <v>0.33</v>
      </c>
      <c r="AG25" s="155">
        <v>0.33</v>
      </c>
      <c r="AH25" s="155">
        <v>0.33</v>
      </c>
      <c r="AI25" s="156">
        <f t="shared" si="24"/>
        <v>0.57159300000000002</v>
      </c>
      <c r="AJ25" s="157">
        <f t="shared" si="25"/>
        <v>0.33</v>
      </c>
      <c r="AK25" s="124"/>
      <c r="AL25" s="106"/>
      <c r="AM25" s="106"/>
      <c r="AN25" s="106"/>
      <c r="AO25" s="125"/>
    </row>
    <row r="26" spans="1:46" s="102" customFormat="1" x14ac:dyDescent="0.2">
      <c r="A26" s="164">
        <v>0</v>
      </c>
      <c r="B26" s="164">
        <v>2800</v>
      </c>
      <c r="C26" s="204"/>
      <c r="D26" s="103"/>
      <c r="E26" s="103"/>
      <c r="F26" s="103"/>
      <c r="G26" s="103"/>
      <c r="L26" s="109"/>
      <c r="M26" s="106"/>
      <c r="N26" s="106"/>
      <c r="O26" s="106"/>
      <c r="P26" s="106"/>
      <c r="Q26" s="106"/>
      <c r="R26" s="106"/>
      <c r="S26" s="106"/>
      <c r="T26" s="105"/>
      <c r="U26" s="105"/>
      <c r="V26" s="105"/>
      <c r="W26" s="105"/>
      <c r="X26" s="105"/>
      <c r="Y26" s="106"/>
      <c r="AE26" s="158" t="s">
        <v>37</v>
      </c>
      <c r="AF26" s="154">
        <v>0.5</v>
      </c>
      <c r="AG26" s="155">
        <v>0</v>
      </c>
      <c r="AH26" s="155">
        <v>0.5</v>
      </c>
      <c r="AI26" s="156">
        <f t="shared" si="24"/>
        <v>0.86604999999999999</v>
      </c>
      <c r="AJ26" s="157">
        <f t="shared" si="25"/>
        <v>0.5</v>
      </c>
      <c r="AK26" s="124"/>
      <c r="AL26" s="106"/>
      <c r="AM26" s="106"/>
      <c r="AN26" s="106"/>
      <c r="AO26" s="125"/>
    </row>
    <row r="27" spans="1:46" s="102" customFormat="1" x14ac:dyDescent="0.2">
      <c r="C27" s="103"/>
      <c r="D27" s="103"/>
      <c r="E27" s="103"/>
      <c r="F27" s="103"/>
      <c r="G27" s="103"/>
      <c r="L27" s="109"/>
      <c r="M27" s="106"/>
      <c r="N27" s="106"/>
      <c r="O27" s="106"/>
      <c r="P27" s="106"/>
      <c r="Q27" s="106"/>
      <c r="R27" s="106"/>
      <c r="S27" s="106"/>
      <c r="T27" s="105"/>
      <c r="U27" s="105"/>
      <c r="V27" s="105"/>
      <c r="W27" s="105"/>
      <c r="X27" s="105"/>
      <c r="Y27" s="106"/>
      <c r="AE27" s="159"/>
      <c r="AF27" s="154">
        <v>0.33</v>
      </c>
      <c r="AG27" s="155">
        <v>0.33</v>
      </c>
      <c r="AH27" s="155">
        <v>0.33</v>
      </c>
      <c r="AI27" s="156">
        <f t="shared" si="24"/>
        <v>0.57159300000000002</v>
      </c>
      <c r="AJ27" s="157">
        <f t="shared" si="25"/>
        <v>0.33</v>
      </c>
      <c r="AK27" s="124"/>
      <c r="AL27" s="106"/>
      <c r="AM27" s="106"/>
      <c r="AN27" s="106"/>
      <c r="AO27" s="125"/>
    </row>
    <row r="28" spans="1:46" s="102" customFormat="1" x14ac:dyDescent="0.2">
      <c r="C28" s="103"/>
      <c r="D28" s="103"/>
      <c r="E28" s="103"/>
      <c r="F28" s="103"/>
      <c r="G28" s="103"/>
      <c r="L28" s="104"/>
      <c r="T28" s="105"/>
      <c r="U28" s="105"/>
      <c r="V28" s="105"/>
      <c r="W28" s="105"/>
      <c r="X28" s="105"/>
      <c r="Y28" s="106"/>
      <c r="AE28" s="159" t="s">
        <v>52</v>
      </c>
      <c r="AF28" s="154">
        <v>0.92</v>
      </c>
      <c r="AG28" s="155">
        <v>0.08</v>
      </c>
      <c r="AH28" s="155">
        <v>0</v>
      </c>
      <c r="AI28" s="156">
        <f t="shared" si="24"/>
        <v>0.53120800000000001</v>
      </c>
      <c r="AJ28" s="157">
        <f t="shared" si="25"/>
        <v>0.92</v>
      </c>
      <c r="AK28" s="124"/>
      <c r="AL28" s="106"/>
      <c r="AM28" s="106"/>
      <c r="AN28" s="106"/>
      <c r="AO28" s="125"/>
    </row>
    <row r="29" spans="1:46" x14ac:dyDescent="0.2">
      <c r="A29" s="32" t="s">
        <v>155</v>
      </c>
      <c r="B29" s="44"/>
      <c r="C29" s="44"/>
      <c r="D29" s="44"/>
      <c r="E29" s="44"/>
      <c r="F29" s="44"/>
      <c r="G29" s="44"/>
      <c r="H29" s="373" t="s">
        <v>124</v>
      </c>
      <c r="I29" s="375"/>
      <c r="J29" s="373" t="s">
        <v>125</v>
      </c>
      <c r="K29" s="374"/>
      <c r="L29" s="374"/>
      <c r="M29" s="374"/>
      <c r="N29" s="375"/>
      <c r="O29" s="373" t="s">
        <v>123</v>
      </c>
      <c r="P29" s="374"/>
      <c r="Q29" s="374"/>
      <c r="R29" s="375"/>
      <c r="T29" s="324" t="s">
        <v>214</v>
      </c>
      <c r="U29" s="24" t="s">
        <v>58</v>
      </c>
      <c r="V29" s="36" t="s">
        <v>59</v>
      </c>
      <c r="W29" s="24" t="s">
        <v>60</v>
      </c>
      <c r="X29" s="324" t="s">
        <v>232</v>
      </c>
      <c r="AB29" s="24" t="s">
        <v>157</v>
      </c>
      <c r="AE29" s="158"/>
      <c r="AF29" s="154">
        <v>0.6</v>
      </c>
      <c r="AG29" s="155">
        <v>0.08</v>
      </c>
      <c r="AH29" s="155">
        <v>0.32</v>
      </c>
      <c r="AI29" s="156">
        <f t="shared" si="24"/>
        <v>0.71594400000000002</v>
      </c>
      <c r="AJ29" s="157">
        <f t="shared" si="25"/>
        <v>0.6</v>
      </c>
      <c r="AK29" s="122"/>
      <c r="AL29" s="43"/>
      <c r="AM29" s="43"/>
      <c r="AN29" s="43"/>
      <c r="AO29" s="123"/>
    </row>
    <row r="30" spans="1:46" ht="14.25" x14ac:dyDescent="0.2">
      <c r="B30" s="44"/>
      <c r="C30" s="44"/>
      <c r="D30" s="46" t="s">
        <v>42</v>
      </c>
      <c r="E30" s="46" t="s">
        <v>43</v>
      </c>
      <c r="F30" s="46" t="s">
        <v>14</v>
      </c>
      <c r="G30" s="46" t="s">
        <v>44</v>
      </c>
      <c r="H30" s="36" t="s">
        <v>122</v>
      </c>
      <c r="I30" s="36" t="s">
        <v>85</v>
      </c>
      <c r="J30" s="82">
        <v>1.0000000000000001E-5</v>
      </c>
      <c r="K30" s="83">
        <v>1E-4</v>
      </c>
      <c r="L30" s="82">
        <v>1E-3</v>
      </c>
      <c r="M30" s="24">
        <v>0.01</v>
      </c>
      <c r="N30" s="24">
        <v>0.1</v>
      </c>
      <c r="O30" s="82">
        <v>1.0000000000000001E-5</v>
      </c>
      <c r="P30" s="83">
        <v>1E-4</v>
      </c>
      <c r="Q30" s="82">
        <v>1E-3</v>
      </c>
      <c r="R30" s="24">
        <v>0.01</v>
      </c>
      <c r="T30" s="324" t="s">
        <v>45</v>
      </c>
      <c r="U30" s="36" t="s">
        <v>45</v>
      </c>
      <c r="V30" s="36" t="s">
        <v>45</v>
      </c>
      <c r="W30" s="36" t="s">
        <v>45</v>
      </c>
      <c r="X30" s="324" t="s">
        <v>233</v>
      </c>
      <c r="Y30" s="24" t="s">
        <v>83</v>
      </c>
      <c r="Z30" s="24" t="s">
        <v>84</v>
      </c>
      <c r="AB30" s="36" t="s">
        <v>122</v>
      </c>
      <c r="AC30" s="36" t="s">
        <v>85</v>
      </c>
      <c r="AE30" s="158"/>
      <c r="AF30" s="160">
        <v>0.6</v>
      </c>
      <c r="AG30" s="161">
        <v>0</v>
      </c>
      <c r="AH30" s="161">
        <v>0.4</v>
      </c>
      <c r="AI30" s="162">
        <f t="shared" si="24"/>
        <v>0.80832000000000015</v>
      </c>
      <c r="AJ30" s="163">
        <f t="shared" si="25"/>
        <v>0.6</v>
      </c>
      <c r="AK30" s="126" t="s">
        <v>42</v>
      </c>
      <c r="AL30" s="127" t="s">
        <v>43</v>
      </c>
      <c r="AM30" s="127" t="s">
        <v>54</v>
      </c>
      <c r="AN30" s="127" t="s">
        <v>3</v>
      </c>
      <c r="AO30" s="128" t="s">
        <v>2</v>
      </c>
      <c r="AP30" s="24" t="s">
        <v>64</v>
      </c>
      <c r="AQ30" s="24">
        <v>0.08</v>
      </c>
      <c r="AS30" s="36" t="s">
        <v>3</v>
      </c>
      <c r="AT30" s="36" t="s">
        <v>2</v>
      </c>
    </row>
    <row r="31" spans="1:46" x14ac:dyDescent="0.2">
      <c r="A31" s="179"/>
      <c r="B31" s="180">
        <v>40</v>
      </c>
      <c r="C31" s="181"/>
      <c r="D31" s="181">
        <f>10^((1390/(B31+273))-1.75)</f>
        <v>490.78871558137882</v>
      </c>
      <c r="E31" s="179">
        <v>1</v>
      </c>
      <c r="F31" s="182">
        <f>10^(0.78-0.0168*B31)</f>
        <v>1.2823305826560218</v>
      </c>
      <c r="G31" s="183">
        <f t="shared" ref="G31:G45" si="26">10^(4410/(B31+273)-14)</f>
        <v>1.2287311518176762</v>
      </c>
      <c r="H31" s="184">
        <f t="shared" ref="H31:H49" si="27">-LOG(G31)</f>
        <v>-8.9456869009584522E-2</v>
      </c>
      <c r="I31" s="181">
        <f t="shared" ref="I31:I49" si="28">-LOG(F31)</f>
        <v>-0.10800000000000011</v>
      </c>
      <c r="J31" s="181">
        <f t="shared" ref="J31:J49" si="29">LOG(J$30)+8.51-2048/($B31+273)-3</f>
        <v>-6.0331309904153354</v>
      </c>
      <c r="K31" s="181">
        <f>LOG(K$30)+8.51-2048/($B31+273)</f>
        <v>-2.0331309904153354</v>
      </c>
      <c r="L31" s="181">
        <f>LOG(L$30)+8.51-2048/($B31+273)</f>
        <v>-1.0331309904153354</v>
      </c>
      <c r="M31" s="181">
        <f>LOG(M$30)+8.51-2048/($B31+273)</f>
        <v>-3.3130990415335404E-2</v>
      </c>
      <c r="N31" s="181">
        <f>LOG(N$30)+8.51-2048/($B31+273)</f>
        <v>0.9668690095846646</v>
      </c>
      <c r="O31" s="181">
        <f>LOG(O$30)+13.27-2048/($B31+273)-0.01092*$B31</f>
        <v>1.2900690095846645</v>
      </c>
      <c r="P31" s="181">
        <f>LOG(P$30)+13.27-2048/($B31+273)-0.01092*$B31</f>
        <v>2.2900690095846645</v>
      </c>
      <c r="Q31" s="181">
        <f>LOG(Q$30)+13.27-2048/($B31+273)-0.01092*$B31</f>
        <v>3.2900690095846645</v>
      </c>
      <c r="R31" s="181">
        <f>LOG(R$30)+13.27-2048/($B31+273)-0.01092*$B31</f>
        <v>4.2900690095846645</v>
      </c>
      <c r="S31" s="179"/>
      <c r="T31" s="180">
        <f>10^(4.52-731/($B31+273))</f>
        <v>152.94551325008536</v>
      </c>
      <c r="U31" s="180">
        <f>10^(4.69-1032/($B31+273))</f>
        <v>24.710151002438657</v>
      </c>
      <c r="V31" s="180">
        <f>10^(5.19-1309/($B31+273))</f>
        <v>10.183366487510948</v>
      </c>
      <c r="W31" s="180">
        <f>10^(4.78-1000/($B31+273))</f>
        <v>38.469081855070932</v>
      </c>
      <c r="X31" s="180">
        <f>10^(4.51-781/($B31+273))</f>
        <v>103.46473083574539</v>
      </c>
      <c r="Y31" s="185">
        <f>10*G31/(10*G31+F31)</f>
        <v>0.90550004391218819</v>
      </c>
      <c r="Z31" s="179">
        <f>10*E31/(10*E31+D31)</f>
        <v>1.9968501064147853E-2</v>
      </c>
      <c r="AA31" s="179"/>
      <c r="AB31" s="179">
        <v>0</v>
      </c>
      <c r="AC31" s="179">
        <v>0.3</v>
      </c>
      <c r="AD31" s="179"/>
      <c r="AE31" s="179"/>
      <c r="AF31" s="179"/>
      <c r="AG31" s="179"/>
      <c r="AH31" s="179"/>
      <c r="AI31" s="179"/>
      <c r="AJ31" s="179"/>
      <c r="AK31" s="186">
        <f>($D31*$AK$3)/($D31*$AK$3+$E31*$AL$3+$G31^0.5*$AM$3)</f>
        <v>0.30497595890873547</v>
      </c>
      <c r="AL31" s="187">
        <f>($E31*$AL$3)/($D31*$AK$3+$E31*$AL$3+$G31^0.5*$AM$3)</f>
        <v>6.2139969650171533E-3</v>
      </c>
      <c r="AM31" s="187">
        <f>($G31^0.5*$AM$3)/($D31*$AK$3+$E31*$AL$3+$G31^0.5*$AM$3)</f>
        <v>0.68881004412624747</v>
      </c>
      <c r="AN31" s="188">
        <f>0.5774*AK31+1.1547*AM31</f>
        <v>0.97146207662648187</v>
      </c>
      <c r="AO31" s="189">
        <f>AK31</f>
        <v>0.30497595890873547</v>
      </c>
      <c r="AP31" s="187">
        <f>($D31*AQ$30*$AK$3)/($D31*AQ$30*$AK$3+$E31*AQ$30*$AL$3+$G31^0.5*$AM$3)</f>
        <v>3.4185088359894172E-2</v>
      </c>
      <c r="AQ31" s="187">
        <f>($E31*AQ$30*$AL$3)/($D31*AQ$30*$AK$3+$E31*AQ$30*$AL$3+$G31^0.5*$AM$3)</f>
        <v>6.9653370736935509E-4</v>
      </c>
      <c r="AR31" s="187">
        <f>($G31^0.5*$AM$3)/($D31*AQ$30*$AK$3+$E31*AQ$30*$AL$3+$G31^0.5*$AM$3)</f>
        <v>0.96511837793273647</v>
      </c>
      <c r="AS31" s="188">
        <f>0.5774*AP31+1.1547*AR31</f>
        <v>1.1341606610179338</v>
      </c>
      <c r="AT31" s="189">
        <f>AP31</f>
        <v>3.4185088359894172E-2</v>
      </c>
    </row>
    <row r="32" spans="1:46" x14ac:dyDescent="0.2">
      <c r="A32" s="179" t="s">
        <v>55</v>
      </c>
      <c r="B32" s="179">
        <v>60</v>
      </c>
      <c r="C32" s="179"/>
      <c r="D32" s="181">
        <f>10^((1390/(B32+273))-1.75)</f>
        <v>265.56704073255673</v>
      </c>
      <c r="E32" s="179">
        <v>1</v>
      </c>
      <c r="F32" s="182">
        <f>10^(0.78-0.0168*B32)</f>
        <v>0.59156163417547403</v>
      </c>
      <c r="G32" s="183">
        <f t="shared" si="26"/>
        <v>0.17508270317357269</v>
      </c>
      <c r="H32" s="184">
        <f t="shared" si="27"/>
        <v>0.75675675675675613</v>
      </c>
      <c r="I32" s="181">
        <f t="shared" si="28"/>
        <v>0.22799999999999995</v>
      </c>
      <c r="J32" s="181">
        <f t="shared" si="29"/>
        <v>-5.6401501501501503</v>
      </c>
      <c r="K32" s="181">
        <f t="shared" ref="K32:M49" si="30">LOG(K$30)+8.51-2048/($B32+273)</f>
        <v>-1.6401501501501503</v>
      </c>
      <c r="L32" s="181">
        <f t="shared" si="30"/>
        <v>-0.64015015015015031</v>
      </c>
      <c r="M32" s="181">
        <f t="shared" si="30"/>
        <v>0.35984984984984969</v>
      </c>
      <c r="N32" s="181">
        <f t="shared" ref="N32:N49" si="31">LOG(N$30)+8.51-2048/($B32+273)</f>
        <v>1.3598498498498497</v>
      </c>
      <c r="O32" s="181">
        <f t="shared" ref="O32:R49" si="32">LOG(O$30)+13.27-2048/($B32+273)-0.01092*$B32</f>
        <v>1.4646498498498495</v>
      </c>
      <c r="P32" s="181">
        <f t="shared" si="32"/>
        <v>2.4646498498498497</v>
      </c>
      <c r="Q32" s="181">
        <f t="shared" si="32"/>
        <v>3.4646498498498497</v>
      </c>
      <c r="R32" s="181">
        <f t="shared" si="32"/>
        <v>4.4646498498498497</v>
      </c>
      <c r="S32" s="179"/>
      <c r="T32" s="180">
        <f t="shared" ref="T32:T46" si="33">10^(4.52-731/($B32+273))</f>
        <v>211.25393381312085</v>
      </c>
      <c r="U32" s="180">
        <f t="shared" ref="U32:U46" si="34">10^(4.69-1032/(B32+273))</f>
        <v>38.985301826299484</v>
      </c>
      <c r="V32" s="180">
        <f t="shared" ref="V32:V46" si="35">10^(5.19-1309/(B32+273))</f>
        <v>18.158044206408697</v>
      </c>
      <c r="W32" s="180">
        <f t="shared" ref="W32:W46" si="36">10^(4.78-1000/($B32+273))</f>
        <v>59.840745725595298</v>
      </c>
      <c r="X32" s="180">
        <f t="shared" ref="X32:X46" si="37">10^(4.51-781/($B32+273))</f>
        <v>146.10149322725778</v>
      </c>
      <c r="Y32" s="185">
        <f t="shared" ref="Y32:Y46" si="38">10*G32/(10*G32+F32)</f>
        <v>0.74745368145582547</v>
      </c>
      <c r="Z32" s="179">
        <f t="shared" ref="Z32:Z46" si="39">10*E32/(10*E32+D32)</f>
        <v>3.6288810060217606E-2</v>
      </c>
      <c r="AA32" s="179"/>
      <c r="AB32" s="179">
        <v>1</v>
      </c>
      <c r="AC32" s="179">
        <v>0.82</v>
      </c>
      <c r="AD32" s="179"/>
      <c r="AE32" s="179"/>
      <c r="AF32" s="179"/>
      <c r="AG32" s="179"/>
      <c r="AH32" s="179"/>
      <c r="AI32" s="179"/>
      <c r="AJ32" s="179"/>
      <c r="AK32" s="186">
        <f>($D32*$AK$3)/($D32*$AK$3+$E32*$AL$3+$G32^0.5*$AM$3)</f>
        <v>0.38266370734539784</v>
      </c>
      <c r="AL32" s="187">
        <f>($E32*$AL$3)/($D32*$AK$3+$E32*$AL$3+$G32^0.5*$AM$3)</f>
        <v>1.4409307205059571E-2</v>
      </c>
      <c r="AM32" s="187">
        <f>($G32^0.5*$AM$3)/($D32*$AK$3+$E32*$AL$3+$G32^0.5*$AM$3)</f>
        <v>0.6029269854495426</v>
      </c>
      <c r="AN32" s="188">
        <f>0.5774*AK32+1.1547*AM32</f>
        <v>0.9171498147198196</v>
      </c>
      <c r="AO32" s="189">
        <f>AK32</f>
        <v>0.38266370734539784</v>
      </c>
      <c r="AP32" s="187">
        <f t="shared" ref="AP32:AP48" si="40">($D32*AQ$30*$AK$3)/($D32*AQ$30*$AK$3+$E32*AQ$30*$AL$3+$G32^0.5*$AM$3)</f>
        <v>4.8232933009450939E-2</v>
      </c>
      <c r="AQ32" s="187">
        <f t="shared" ref="AQ32:AQ49" si="41">($E32*AQ$30*$AL$3)/($D32*AQ$30*$AK$3+$E32*AQ$30*$AL$3+$G32^0.5*$AM$3)</f>
        <v>1.8162243656593155E-3</v>
      </c>
      <c r="AR32" s="187">
        <f t="shared" ref="AR32:AR49" si="42">($G32^0.5*$AM$3)/($D32*AQ$30*$AK$3+$E32*AQ$30*$AL$3+$G32^0.5*$AM$3)</f>
        <v>0.94995084262488971</v>
      </c>
      <c r="AS32" s="188">
        <f>0.5774*AP32+1.1547*AR32</f>
        <v>1.1247579334986173</v>
      </c>
      <c r="AT32" s="189">
        <f>AP32</f>
        <v>4.8232933009450939E-2</v>
      </c>
    </row>
    <row r="33" spans="1:46" x14ac:dyDescent="0.2">
      <c r="A33" s="179" t="s">
        <v>57</v>
      </c>
      <c r="B33" s="179">
        <v>80</v>
      </c>
      <c r="C33" s="179"/>
      <c r="D33" s="181">
        <f t="shared" ref="D33:D48" si="43">10^((1390/(B33+273))-1.75)</f>
        <v>154.05544535988673</v>
      </c>
      <c r="E33" s="179">
        <v>1</v>
      </c>
      <c r="F33" s="182">
        <f t="shared" ref="F33:F45" si="44">10^(0.78-0.0168*B33)</f>
        <v>0.27289777828080414</v>
      </c>
      <c r="G33" s="183">
        <f t="shared" si="26"/>
        <v>3.1111277673994676E-2</v>
      </c>
      <c r="H33" s="184">
        <f t="shared" si="27"/>
        <v>1.5070821529745049</v>
      </c>
      <c r="I33" s="181">
        <f t="shared" si="28"/>
        <v>0.56399999999999995</v>
      </c>
      <c r="J33" s="181">
        <f t="shared" si="29"/>
        <v>-5.2916997167138815</v>
      </c>
      <c r="K33" s="181">
        <f t="shared" si="30"/>
        <v>-1.2916997167138815</v>
      </c>
      <c r="L33" s="181">
        <f t="shared" si="30"/>
        <v>-0.29169971671388151</v>
      </c>
      <c r="M33" s="181">
        <f t="shared" si="30"/>
        <v>0.70830028328611849</v>
      </c>
      <c r="N33" s="181">
        <f t="shared" si="31"/>
        <v>1.7083002832861185</v>
      </c>
      <c r="O33" s="181">
        <f t="shared" si="32"/>
        <v>1.5947002832861183</v>
      </c>
      <c r="P33" s="181">
        <f t="shared" si="32"/>
        <v>2.5947002832861186</v>
      </c>
      <c r="Q33" s="181">
        <f t="shared" si="32"/>
        <v>3.5947002832861186</v>
      </c>
      <c r="R33" s="181">
        <f t="shared" si="32"/>
        <v>4.5947002832861186</v>
      </c>
      <c r="S33" s="179"/>
      <c r="T33" s="180">
        <f t="shared" si="33"/>
        <v>281.3056598678524</v>
      </c>
      <c r="U33" s="180">
        <f t="shared" si="34"/>
        <v>58.410006171250878</v>
      </c>
      <c r="V33" s="180">
        <f t="shared" si="35"/>
        <v>30.323875335963724</v>
      </c>
      <c r="W33" s="180">
        <f t="shared" si="36"/>
        <v>88.539855772776036</v>
      </c>
      <c r="X33" s="180">
        <f t="shared" si="37"/>
        <v>198.39714159290222</v>
      </c>
      <c r="Y33" s="185">
        <f t="shared" si="38"/>
        <v>0.53271772926928074</v>
      </c>
      <c r="Z33" s="179">
        <f t="shared" si="39"/>
        <v>6.0955001999861105E-2</v>
      </c>
      <c r="AA33" s="179"/>
      <c r="AB33" s="179">
        <v>2</v>
      </c>
      <c r="AC33" s="179">
        <v>1.39</v>
      </c>
      <c r="AD33" s="179"/>
      <c r="AE33" s="179"/>
      <c r="AF33" s="179"/>
      <c r="AG33" s="179"/>
      <c r="AH33" s="179"/>
      <c r="AI33" s="179"/>
      <c r="AJ33" s="179"/>
      <c r="AK33" s="186">
        <f t="shared" ref="AK33:AK45" si="45">(D33*AK$3)/(D33*AK$3+E33*AL$3+G33^0.5*AM$3)</f>
        <v>0.45251951830257164</v>
      </c>
      <c r="AL33" s="187">
        <f t="shared" ref="AL33:AL45" si="46">(E33*AL$3)/(D33*AK$3+E33*AL$3+G33^0.5*AM$3)</f>
        <v>2.9373808711885985E-2</v>
      </c>
      <c r="AM33" s="187">
        <f t="shared" ref="AM33:AM45" si="47">(G33^0.5*AM$3)/(D33*AK$3+E33*AL$3+G33^0.5*AM$3)</f>
        <v>0.51810667298554225</v>
      </c>
      <c r="AN33" s="188">
        <f t="shared" ref="AN33:AN45" si="48">0.5774*AK33+1.1547*AM33</f>
        <v>0.85954254516431061</v>
      </c>
      <c r="AO33" s="189">
        <f t="shared" ref="AO33:AO45" si="49">AK33</f>
        <v>0.45251951830257164</v>
      </c>
      <c r="AP33" s="187">
        <f t="shared" si="40"/>
        <v>6.5033741390540162E-2</v>
      </c>
      <c r="AQ33" s="187">
        <f t="shared" si="41"/>
        <v>4.2214503511132477E-3</v>
      </c>
      <c r="AR33" s="187">
        <f t="shared" si="42"/>
        <v>0.9307448082583466</v>
      </c>
      <c r="AS33" s="188">
        <f t="shared" ref="AS33:AS45" si="50">0.5774*AP33+1.1547*AR33</f>
        <v>1.1122815123748109</v>
      </c>
      <c r="AT33" s="189">
        <f t="shared" ref="AT33:AT45" si="51">AP33</f>
        <v>6.5033741390540162E-2</v>
      </c>
    </row>
    <row r="34" spans="1:46" x14ac:dyDescent="0.2">
      <c r="A34" s="179" t="s">
        <v>56</v>
      </c>
      <c r="B34" s="179">
        <v>100</v>
      </c>
      <c r="C34" s="179"/>
      <c r="D34" s="181">
        <f t="shared" si="43"/>
        <v>94.74178327351342</v>
      </c>
      <c r="E34" s="179">
        <v>1</v>
      </c>
      <c r="F34" s="182">
        <f t="shared" si="44"/>
        <v>0.12589254117941673</v>
      </c>
      <c r="G34" s="183">
        <f t="shared" si="26"/>
        <v>6.653594052481413E-3</v>
      </c>
      <c r="H34" s="184">
        <f t="shared" si="27"/>
        <v>2.176943699731904</v>
      </c>
      <c r="I34" s="181">
        <f t="shared" si="28"/>
        <v>0.9</v>
      </c>
      <c r="J34" s="181">
        <f t="shared" si="29"/>
        <v>-4.9806166219839145</v>
      </c>
      <c r="K34" s="181">
        <f t="shared" si="30"/>
        <v>-0.98061662198391453</v>
      </c>
      <c r="L34" s="181">
        <f t="shared" si="30"/>
        <v>1.9383378016085473E-2</v>
      </c>
      <c r="M34" s="181">
        <f t="shared" si="30"/>
        <v>1.0193833780160855</v>
      </c>
      <c r="N34" s="181">
        <f t="shared" si="31"/>
        <v>2.0193833780160855</v>
      </c>
      <c r="O34" s="181">
        <f t="shared" si="32"/>
        <v>1.6873833780160854</v>
      </c>
      <c r="P34" s="181">
        <f t="shared" si="32"/>
        <v>2.6873833780160856</v>
      </c>
      <c r="Q34" s="181">
        <f t="shared" si="32"/>
        <v>3.6873833780160856</v>
      </c>
      <c r="R34" s="181">
        <f t="shared" si="32"/>
        <v>4.6873833780160856</v>
      </c>
      <c r="S34" s="179"/>
      <c r="T34" s="180">
        <f t="shared" si="33"/>
        <v>363.2574058875523</v>
      </c>
      <c r="U34" s="180">
        <f t="shared" si="34"/>
        <v>83.799990197445268</v>
      </c>
      <c r="V34" s="180">
        <f t="shared" si="35"/>
        <v>47.931014576041115</v>
      </c>
      <c r="W34" s="180">
        <f t="shared" si="36"/>
        <v>125.61307653436113</v>
      </c>
      <c r="X34" s="180">
        <f t="shared" si="37"/>
        <v>260.71512079289329</v>
      </c>
      <c r="Y34" s="185">
        <f t="shared" si="38"/>
        <v>0.34576971109236387</v>
      </c>
      <c r="Z34" s="179">
        <f t="shared" si="39"/>
        <v>9.5472882812075915E-2</v>
      </c>
      <c r="AA34" s="179"/>
      <c r="AB34" s="179">
        <v>3</v>
      </c>
      <c r="AC34" s="179">
        <v>1.98</v>
      </c>
      <c r="AD34" s="179"/>
      <c r="AE34" s="179"/>
      <c r="AF34" s="179"/>
      <c r="AG34" s="179"/>
      <c r="AH34" s="179"/>
      <c r="AI34" s="179"/>
      <c r="AJ34" s="179"/>
      <c r="AK34" s="186">
        <f t="shared" si="45"/>
        <v>0.50851321609254307</v>
      </c>
      <c r="AL34" s="187">
        <f t="shared" si="46"/>
        <v>5.3673595590289676E-2</v>
      </c>
      <c r="AM34" s="187">
        <f t="shared" si="47"/>
        <v>0.4378131883171672</v>
      </c>
      <c r="AN34" s="188">
        <f t="shared" si="48"/>
        <v>0.79915841952166744</v>
      </c>
      <c r="AO34" s="189">
        <f t="shared" si="49"/>
        <v>0.50851321609254307</v>
      </c>
      <c r="AP34" s="187">
        <f t="shared" si="40"/>
        <v>8.4262753132307425E-2</v>
      </c>
      <c r="AQ34" s="187">
        <f t="shared" si="41"/>
        <v>8.8939378403978617E-3</v>
      </c>
      <c r="AR34" s="187">
        <f t="shared" si="42"/>
        <v>0.90684330902729482</v>
      </c>
      <c r="AS34" s="188">
        <f t="shared" si="50"/>
        <v>1.0957852825924117</v>
      </c>
      <c r="AT34" s="189">
        <f t="shared" si="51"/>
        <v>8.4262753132307425E-2</v>
      </c>
    </row>
    <row r="35" spans="1:46" x14ac:dyDescent="0.2">
      <c r="A35" s="179"/>
      <c r="B35" s="179">
        <v>120</v>
      </c>
      <c r="C35" s="190"/>
      <c r="D35" s="181">
        <f t="shared" si="43"/>
        <v>61.22033113142983</v>
      </c>
      <c r="E35" s="179">
        <v>1</v>
      </c>
      <c r="F35" s="182">
        <f t="shared" si="44"/>
        <v>5.8076441752131176E-2</v>
      </c>
      <c r="G35" s="183">
        <f t="shared" si="26"/>
        <v>1.6648459187158201E-3</v>
      </c>
      <c r="H35" s="184">
        <f t="shared" si="27"/>
        <v>2.7786259541984735</v>
      </c>
      <c r="I35" s="181">
        <f t="shared" si="28"/>
        <v>1.2360000000000002</v>
      </c>
      <c r="J35" s="181">
        <f t="shared" si="29"/>
        <v>-4.7011959287531813</v>
      </c>
      <c r="K35" s="181">
        <f t="shared" si="30"/>
        <v>-0.70119592875318126</v>
      </c>
      <c r="L35" s="181">
        <f t="shared" si="30"/>
        <v>0.29880407124681874</v>
      </c>
      <c r="M35" s="181">
        <f t="shared" si="30"/>
        <v>1.2988040712468187</v>
      </c>
      <c r="N35" s="181">
        <f t="shared" si="31"/>
        <v>2.2988040712468187</v>
      </c>
      <c r="O35" s="181">
        <f t="shared" si="32"/>
        <v>1.7484040712468185</v>
      </c>
      <c r="P35" s="181">
        <f t="shared" si="32"/>
        <v>2.7484040712468185</v>
      </c>
      <c r="Q35" s="181">
        <f t="shared" si="32"/>
        <v>3.7484040712468185</v>
      </c>
      <c r="R35" s="181">
        <f t="shared" si="32"/>
        <v>4.748404071246819</v>
      </c>
      <c r="S35" s="179"/>
      <c r="T35" s="180">
        <f t="shared" si="33"/>
        <v>457.03463120322141</v>
      </c>
      <c r="U35" s="180">
        <f t="shared" si="34"/>
        <v>115.88995694757628</v>
      </c>
      <c r="V35" s="180">
        <f t="shared" si="35"/>
        <v>72.312136957399574</v>
      </c>
      <c r="W35" s="180">
        <f t="shared" si="36"/>
        <v>171.97714618089276</v>
      </c>
      <c r="X35" s="180">
        <f t="shared" si="37"/>
        <v>333.21354447550226</v>
      </c>
      <c r="Y35" s="185">
        <f t="shared" si="38"/>
        <v>0.22279667122856842</v>
      </c>
      <c r="Z35" s="179">
        <f t="shared" si="39"/>
        <v>0.14040934437030381</v>
      </c>
      <c r="AA35" s="179"/>
      <c r="AB35" s="179">
        <v>4</v>
      </c>
      <c r="AC35" s="179">
        <v>2.68</v>
      </c>
      <c r="AD35" s="179"/>
      <c r="AE35" s="179"/>
      <c r="AF35" s="179"/>
      <c r="AG35" s="179"/>
      <c r="AH35" s="179"/>
      <c r="AI35" s="179"/>
      <c r="AJ35" s="179"/>
      <c r="AK35" s="186">
        <f t="shared" si="45"/>
        <v>0.54649858163342147</v>
      </c>
      <c r="AL35" s="187">
        <f t="shared" si="46"/>
        <v>8.9267498481865479E-2</v>
      </c>
      <c r="AM35" s="187">
        <f t="shared" si="47"/>
        <v>0.3642339198847131</v>
      </c>
      <c r="AN35" s="188">
        <f t="shared" si="48"/>
        <v>0.7361291883260157</v>
      </c>
      <c r="AO35" s="189">
        <f t="shared" si="49"/>
        <v>0.54649858163342147</v>
      </c>
      <c r="AP35" s="187">
        <f t="shared" si="40"/>
        <v>0.10532496128060537</v>
      </c>
      <c r="AQ35" s="187">
        <f t="shared" si="41"/>
        <v>1.7204245605024624E-2</v>
      </c>
      <c r="AR35" s="187">
        <f t="shared" si="42"/>
        <v>0.87747079311436993</v>
      </c>
      <c r="AS35" s="188">
        <f t="shared" si="50"/>
        <v>1.0740301574525846</v>
      </c>
      <c r="AT35" s="189">
        <f t="shared" si="51"/>
        <v>0.10532496128060537</v>
      </c>
    </row>
    <row r="36" spans="1:46" x14ac:dyDescent="0.2">
      <c r="A36" s="191"/>
      <c r="B36" s="179">
        <v>140</v>
      </c>
      <c r="C36" s="180"/>
      <c r="D36" s="181">
        <f t="shared" si="43"/>
        <v>41.268381191071967</v>
      </c>
      <c r="E36" s="179">
        <v>1</v>
      </c>
      <c r="F36" s="182">
        <f t="shared" si="44"/>
        <v>2.6791683248190316E-2</v>
      </c>
      <c r="G36" s="183">
        <f t="shared" si="26"/>
        <v>4.7639380104013372E-4</v>
      </c>
      <c r="H36" s="184">
        <f t="shared" si="27"/>
        <v>3.3220338983050852</v>
      </c>
      <c r="I36" s="181">
        <f t="shared" si="28"/>
        <v>1.5720000000000001</v>
      </c>
      <c r="J36" s="181">
        <f t="shared" si="29"/>
        <v>-4.4488377723970949</v>
      </c>
      <c r="K36" s="181">
        <f t="shared" si="30"/>
        <v>-0.44883777239709488</v>
      </c>
      <c r="L36" s="181">
        <f t="shared" si="30"/>
        <v>0.55116222760290512</v>
      </c>
      <c r="M36" s="181">
        <f t="shared" si="30"/>
        <v>1.5511622276029051</v>
      </c>
      <c r="N36" s="181">
        <f t="shared" si="31"/>
        <v>2.5511622276029051</v>
      </c>
      <c r="O36" s="181">
        <f t="shared" si="32"/>
        <v>1.782362227602905</v>
      </c>
      <c r="P36" s="181">
        <f t="shared" si="32"/>
        <v>2.782362227602905</v>
      </c>
      <c r="Q36" s="181">
        <f t="shared" si="32"/>
        <v>3.782362227602905</v>
      </c>
      <c r="R36" s="181">
        <f t="shared" si="32"/>
        <v>4.7823622276029045</v>
      </c>
      <c r="S36" s="179"/>
      <c r="T36" s="180">
        <f t="shared" si="33"/>
        <v>562.37267809225182</v>
      </c>
      <c r="U36" s="180">
        <f t="shared" si="34"/>
        <v>155.31401751157085</v>
      </c>
      <c r="V36" s="180">
        <f t="shared" si="35"/>
        <v>104.83552503913405</v>
      </c>
      <c r="W36" s="180">
        <f t="shared" si="36"/>
        <v>228.39810377096529</v>
      </c>
      <c r="X36" s="180">
        <f t="shared" si="37"/>
        <v>415.87119254917843</v>
      </c>
      <c r="Y36" s="185">
        <f t="shared" si="38"/>
        <v>0.15096955218729086</v>
      </c>
      <c r="Z36" s="179">
        <f t="shared" si="39"/>
        <v>0.19505199438092324</v>
      </c>
      <c r="AA36" s="179"/>
      <c r="AB36" s="179">
        <v>5</v>
      </c>
      <c r="AC36" s="179">
        <v>3.51</v>
      </c>
      <c r="AD36" s="179"/>
      <c r="AE36" s="179"/>
      <c r="AF36" s="179"/>
      <c r="AG36" s="179"/>
      <c r="AH36" s="179"/>
      <c r="AI36" s="179"/>
      <c r="AJ36" s="179"/>
      <c r="AK36" s="186">
        <f t="shared" si="45"/>
        <v>0.5645868805227473</v>
      </c>
      <c r="AL36" s="187">
        <f t="shared" si="46"/>
        <v>0.13680858425454556</v>
      </c>
      <c r="AM36" s="187">
        <f t="shared" si="47"/>
        <v>0.29860453522270725</v>
      </c>
      <c r="AN36" s="188">
        <f t="shared" si="48"/>
        <v>0.67079112163549437</v>
      </c>
      <c r="AO36" s="189">
        <f t="shared" si="49"/>
        <v>0.5645868805227473</v>
      </c>
      <c r="AP36" s="187">
        <f t="shared" si="40"/>
        <v>0.12733265059666909</v>
      </c>
      <c r="AQ36" s="187">
        <f t="shared" si="41"/>
        <v>3.0854772327298448E-2</v>
      </c>
      <c r="AR36" s="187">
        <f t="shared" si="42"/>
        <v>0.84181257707603252</v>
      </c>
      <c r="AS36" s="188">
        <f t="shared" si="50"/>
        <v>1.0455628552042115</v>
      </c>
      <c r="AT36" s="189">
        <f t="shared" si="51"/>
        <v>0.12733265059666909</v>
      </c>
    </row>
    <row r="37" spans="1:46" x14ac:dyDescent="0.2">
      <c r="A37" s="191"/>
      <c r="B37" s="179">
        <v>160</v>
      </c>
      <c r="C37" s="192"/>
      <c r="D37" s="181">
        <f t="shared" si="43"/>
        <v>28.851052617539267</v>
      </c>
      <c r="E37" s="179">
        <v>1</v>
      </c>
      <c r="F37" s="182">
        <f t="shared" si="44"/>
        <v>1.2359474334445106E-2</v>
      </c>
      <c r="G37" s="183">
        <f t="shared" si="26"/>
        <v>1.5302327968183535E-4</v>
      </c>
      <c r="H37" s="184">
        <f t="shared" si="27"/>
        <v>3.8152424942263288</v>
      </c>
      <c r="I37" s="181">
        <f t="shared" si="28"/>
        <v>1.9079999999999999</v>
      </c>
      <c r="J37" s="181">
        <f t="shared" si="29"/>
        <v>-4.2197921478060048</v>
      </c>
      <c r="K37" s="181">
        <f t="shared" si="30"/>
        <v>-0.21979214780600476</v>
      </c>
      <c r="L37" s="181">
        <f t="shared" si="30"/>
        <v>0.78020785219399524</v>
      </c>
      <c r="M37" s="181">
        <f t="shared" si="30"/>
        <v>1.7802078521939952</v>
      </c>
      <c r="N37" s="181">
        <f t="shared" si="31"/>
        <v>2.7802078521939952</v>
      </c>
      <c r="O37" s="181">
        <f t="shared" si="32"/>
        <v>1.7930078521939952</v>
      </c>
      <c r="P37" s="181">
        <f t="shared" si="32"/>
        <v>2.7930078521939952</v>
      </c>
      <c r="Q37" s="181">
        <f t="shared" si="32"/>
        <v>3.7930078521939952</v>
      </c>
      <c r="R37" s="181">
        <f t="shared" si="32"/>
        <v>4.7930078521939947</v>
      </c>
      <c r="S37" s="179"/>
      <c r="T37" s="180">
        <f t="shared" si="33"/>
        <v>678.85698503484628</v>
      </c>
      <c r="U37" s="180">
        <f t="shared" si="34"/>
        <v>202.59474466812</v>
      </c>
      <c r="V37" s="180">
        <f t="shared" si="35"/>
        <v>146.86060459549768</v>
      </c>
      <c r="W37" s="180">
        <f t="shared" si="36"/>
        <v>295.48210062967837</v>
      </c>
      <c r="X37" s="180">
        <f t="shared" si="37"/>
        <v>508.51626664276796</v>
      </c>
      <c r="Y37" s="185">
        <f t="shared" si="38"/>
        <v>0.11017027086007089</v>
      </c>
      <c r="Z37" s="179">
        <f t="shared" si="39"/>
        <v>0.25739328348301971</v>
      </c>
      <c r="AA37" s="179"/>
      <c r="AB37" s="179">
        <v>6</v>
      </c>
      <c r="AC37" s="179">
        <v>4.5</v>
      </c>
      <c r="AD37" s="179"/>
      <c r="AE37" s="179"/>
      <c r="AF37" s="179"/>
      <c r="AG37" s="179"/>
      <c r="AH37" s="179"/>
      <c r="AI37" s="179"/>
      <c r="AJ37" s="179"/>
      <c r="AK37" s="186">
        <f t="shared" si="45"/>
        <v>0.56326268002400914</v>
      </c>
      <c r="AL37" s="187">
        <f t="shared" si="46"/>
        <v>0.19523124077684012</v>
      </c>
      <c r="AM37" s="187">
        <f t="shared" si="47"/>
        <v>0.24150607919915071</v>
      </c>
      <c r="AN37" s="188">
        <f t="shared" si="48"/>
        <v>0.60409494109712225</v>
      </c>
      <c r="AO37" s="189">
        <f t="shared" si="49"/>
        <v>0.56326268002400914</v>
      </c>
      <c r="AP37" s="187">
        <f t="shared" si="40"/>
        <v>0.14911701770744962</v>
      </c>
      <c r="AQ37" s="187">
        <f t="shared" si="41"/>
        <v>5.1685122093880792E-2</v>
      </c>
      <c r="AR37" s="187">
        <f t="shared" si="42"/>
        <v>0.79919786019866956</v>
      </c>
      <c r="AS37" s="188">
        <f t="shared" si="50"/>
        <v>1.0089339351956852</v>
      </c>
      <c r="AT37" s="189">
        <f t="shared" si="51"/>
        <v>0.14911701770744962</v>
      </c>
    </row>
    <row r="38" spans="1:46" x14ac:dyDescent="0.2">
      <c r="A38" s="191"/>
      <c r="B38" s="179">
        <v>180</v>
      </c>
      <c r="C38" s="181"/>
      <c r="D38" s="181">
        <f t="shared" si="43"/>
        <v>20.817696422806581</v>
      </c>
      <c r="E38" s="179">
        <v>1</v>
      </c>
      <c r="F38" s="182">
        <f t="shared" si="44"/>
        <v>5.7016427228074743E-3</v>
      </c>
      <c r="G38" s="183">
        <f t="shared" si="26"/>
        <v>5.4337460531877124E-5</v>
      </c>
      <c r="H38" s="184">
        <f t="shared" si="27"/>
        <v>4.2649006622516552</v>
      </c>
      <c r="I38" s="181">
        <f t="shared" si="28"/>
        <v>2.2440000000000002</v>
      </c>
      <c r="J38" s="181">
        <f t="shared" si="29"/>
        <v>-4.0109713024282563</v>
      </c>
      <c r="K38" s="181">
        <f t="shared" si="30"/>
        <v>-1.097130242825628E-2</v>
      </c>
      <c r="L38" s="181">
        <f t="shared" si="30"/>
        <v>0.98902869757174372</v>
      </c>
      <c r="M38" s="181">
        <f t="shared" si="30"/>
        <v>1.9890286975717437</v>
      </c>
      <c r="N38" s="181">
        <f t="shared" si="31"/>
        <v>2.9890286975717437</v>
      </c>
      <c r="O38" s="181">
        <f t="shared" si="32"/>
        <v>1.7834286975717437</v>
      </c>
      <c r="P38" s="181">
        <f t="shared" si="32"/>
        <v>2.7834286975717437</v>
      </c>
      <c r="Q38" s="181">
        <f t="shared" si="32"/>
        <v>3.7834286975717437</v>
      </c>
      <c r="R38" s="181">
        <f t="shared" si="32"/>
        <v>4.7834286975717433</v>
      </c>
      <c r="S38" s="179"/>
      <c r="T38" s="180">
        <f t="shared" si="33"/>
        <v>805.95995841065974</v>
      </c>
      <c r="U38" s="180">
        <f t="shared" si="34"/>
        <v>258.13940496753702</v>
      </c>
      <c r="V38" s="180">
        <f t="shared" si="35"/>
        <v>199.69871757975861</v>
      </c>
      <c r="W38" s="180">
        <f t="shared" si="36"/>
        <v>373.67537690077319</v>
      </c>
      <c r="X38" s="180">
        <f t="shared" si="37"/>
        <v>610.85507990527071</v>
      </c>
      <c r="Y38" s="185">
        <f t="shared" si="38"/>
        <v>8.7009303060141444E-2</v>
      </c>
      <c r="Z38" s="179">
        <f t="shared" si="39"/>
        <v>0.3244888866060579</v>
      </c>
      <c r="AA38" s="179"/>
      <c r="AB38" s="179">
        <v>7</v>
      </c>
      <c r="AC38" s="179">
        <v>5.62</v>
      </c>
      <c r="AD38" s="179"/>
      <c r="AE38" s="179"/>
      <c r="AF38" s="179"/>
      <c r="AG38" s="179"/>
      <c r="AH38" s="179"/>
      <c r="AI38" s="179"/>
      <c r="AJ38" s="179"/>
      <c r="AK38" s="186">
        <f t="shared" si="45"/>
        <v>0.54512154608911634</v>
      </c>
      <c r="AL38" s="187">
        <f t="shared" si="46"/>
        <v>0.26185488298883774</v>
      </c>
      <c r="AM38" s="187">
        <f t="shared" si="47"/>
        <v>0.19302357092204589</v>
      </c>
      <c r="AN38" s="188">
        <f t="shared" si="48"/>
        <v>0.53763749805554217</v>
      </c>
      <c r="AO38" s="189">
        <f t="shared" si="49"/>
        <v>0.54512154608911634</v>
      </c>
      <c r="AP38" s="187">
        <f t="shared" si="40"/>
        <v>0.1693044427638325</v>
      </c>
      <c r="AQ38" s="187">
        <f t="shared" si="41"/>
        <v>8.1327174402616914E-2</v>
      </c>
      <c r="AR38" s="187">
        <f t="shared" si="42"/>
        <v>0.74936838283355067</v>
      </c>
      <c r="AS38" s="188">
        <f t="shared" si="50"/>
        <v>0.96305205690973783</v>
      </c>
      <c r="AT38" s="189">
        <f t="shared" si="51"/>
        <v>0.1693044427638325</v>
      </c>
    </row>
    <row r="39" spans="1:46" x14ac:dyDescent="0.2">
      <c r="A39" s="193"/>
      <c r="B39" s="179">
        <v>200</v>
      </c>
      <c r="C39" s="181"/>
      <c r="D39" s="181">
        <f t="shared" si="43"/>
        <v>15.441490470708569</v>
      </c>
      <c r="E39" s="179">
        <v>1</v>
      </c>
      <c r="F39" s="182">
        <f t="shared" si="44"/>
        <v>2.6302679918953791E-3</v>
      </c>
      <c r="G39" s="183">
        <f t="shared" si="26"/>
        <v>2.1060429821729141E-5</v>
      </c>
      <c r="H39" s="184">
        <f t="shared" si="27"/>
        <v>4.6765327695560268</v>
      </c>
      <c r="I39" s="181">
        <f t="shared" si="28"/>
        <v>2.5800000000000005</v>
      </c>
      <c r="J39" s="181">
        <f t="shared" si="29"/>
        <v>-3.8198097251585628</v>
      </c>
      <c r="K39" s="181">
        <f t="shared" si="30"/>
        <v>0.18019027484143724</v>
      </c>
      <c r="L39" s="181">
        <f t="shared" si="30"/>
        <v>1.1801902748414372</v>
      </c>
      <c r="M39" s="181">
        <f t="shared" si="30"/>
        <v>2.1801902748414372</v>
      </c>
      <c r="N39" s="181">
        <f t="shared" si="31"/>
        <v>3.1801902748414372</v>
      </c>
      <c r="O39" s="181">
        <f t="shared" si="32"/>
        <v>1.7561902748414373</v>
      </c>
      <c r="P39" s="181">
        <f t="shared" si="32"/>
        <v>2.7561902748414373</v>
      </c>
      <c r="Q39" s="181">
        <f t="shared" si="32"/>
        <v>3.7561902748414373</v>
      </c>
      <c r="R39" s="181">
        <f t="shared" si="32"/>
        <v>4.7561902748414369</v>
      </c>
      <c r="S39" s="179"/>
      <c r="T39" s="180">
        <f t="shared" si="33"/>
        <v>943.07331113779207</v>
      </c>
      <c r="U39" s="180">
        <f t="shared" si="34"/>
        <v>322.24175799605899</v>
      </c>
      <c r="V39" s="180">
        <f t="shared" si="35"/>
        <v>264.58068684268164</v>
      </c>
      <c r="W39" s="180">
        <f t="shared" si="36"/>
        <v>463.27097888019568</v>
      </c>
      <c r="X39" s="180">
        <f t="shared" si="37"/>
        <v>722.49893174815907</v>
      </c>
      <c r="Y39" s="185">
        <f t="shared" si="38"/>
        <v>7.413367329121956E-2</v>
      </c>
      <c r="Z39" s="179">
        <f t="shared" si="39"/>
        <v>0.39305873260504343</v>
      </c>
      <c r="AA39" s="179"/>
      <c r="AB39" s="179"/>
      <c r="AC39" s="179"/>
      <c r="AD39" s="179"/>
      <c r="AE39" s="179"/>
      <c r="AF39" s="179"/>
      <c r="AG39" s="179"/>
      <c r="AH39" s="179"/>
      <c r="AI39" s="179"/>
      <c r="AJ39" s="179"/>
      <c r="AK39" s="186">
        <f t="shared" si="45"/>
        <v>0.51419093393156023</v>
      </c>
      <c r="AL39" s="187">
        <f t="shared" si="46"/>
        <v>0.332993071431119</v>
      </c>
      <c r="AM39" s="187">
        <f t="shared" si="47"/>
        <v>0.15281599463732085</v>
      </c>
      <c r="AN39" s="188">
        <f t="shared" si="48"/>
        <v>0.47335047425979726</v>
      </c>
      <c r="AO39" s="189">
        <f t="shared" si="49"/>
        <v>0.51419093393156023</v>
      </c>
      <c r="AP39" s="187">
        <f t="shared" si="40"/>
        <v>0.1864778157238158</v>
      </c>
      <c r="AQ39" s="187">
        <f t="shared" si="41"/>
        <v>0.1207641296528669</v>
      </c>
      <c r="AR39" s="187">
        <f t="shared" si="42"/>
        <v>0.6927580546233173</v>
      </c>
      <c r="AS39" s="188">
        <f t="shared" si="50"/>
        <v>0.90760001647247579</v>
      </c>
      <c r="AT39" s="189">
        <f t="shared" si="51"/>
        <v>0.1864778157238158</v>
      </c>
    </row>
    <row r="40" spans="1:46" x14ac:dyDescent="0.2">
      <c r="A40" s="191"/>
      <c r="B40" s="179">
        <v>220</v>
      </c>
      <c r="C40" s="179"/>
      <c r="D40" s="181">
        <f t="shared" si="43"/>
        <v>11.73471689796188</v>
      </c>
      <c r="E40" s="179">
        <v>1</v>
      </c>
      <c r="F40" s="182">
        <f t="shared" si="44"/>
        <v>1.2133888504649779E-3</v>
      </c>
      <c r="G40" s="183">
        <f t="shared" si="26"/>
        <v>8.8152222395233061E-6</v>
      </c>
      <c r="H40" s="184">
        <f t="shared" si="27"/>
        <v>5.0547667342799194</v>
      </c>
      <c r="I40" s="181">
        <f t="shared" si="28"/>
        <v>2.9159999999999999</v>
      </c>
      <c r="J40" s="181">
        <f t="shared" si="29"/>
        <v>-3.6441582150101421</v>
      </c>
      <c r="K40" s="181">
        <f t="shared" si="30"/>
        <v>0.35584178498985786</v>
      </c>
      <c r="L40" s="181">
        <f t="shared" si="30"/>
        <v>1.3558417849898579</v>
      </c>
      <c r="M40" s="181">
        <f t="shared" si="30"/>
        <v>2.3558417849898579</v>
      </c>
      <c r="N40" s="181">
        <f t="shared" si="31"/>
        <v>3.3558417849898579</v>
      </c>
      <c r="O40" s="181">
        <f t="shared" si="32"/>
        <v>1.713441784989858</v>
      </c>
      <c r="P40" s="181">
        <f t="shared" si="32"/>
        <v>2.713441784989858</v>
      </c>
      <c r="Q40" s="181">
        <f t="shared" si="32"/>
        <v>3.713441784989858</v>
      </c>
      <c r="R40" s="181">
        <f t="shared" si="32"/>
        <v>4.7134417849898576</v>
      </c>
      <c r="S40" s="179"/>
      <c r="T40" s="180">
        <f t="shared" si="33"/>
        <v>1089.5354849827384</v>
      </c>
      <c r="U40" s="180">
        <f t="shared" si="34"/>
        <v>395.08788437729567</v>
      </c>
      <c r="V40" s="180">
        <f t="shared" si="35"/>
        <v>342.63173562388459</v>
      </c>
      <c r="W40" s="180">
        <f t="shared" si="36"/>
        <v>564.42005155418121</v>
      </c>
      <c r="X40" s="180">
        <f t="shared" si="37"/>
        <v>842.9882107231391</v>
      </c>
      <c r="Y40" s="185">
        <f t="shared" si="38"/>
        <v>6.7729112997958266E-2</v>
      </c>
      <c r="Z40" s="179">
        <f t="shared" si="39"/>
        <v>0.4600934094033553</v>
      </c>
      <c r="AA40" s="179"/>
      <c r="AB40" s="179"/>
      <c r="AC40" s="179"/>
      <c r="AD40" s="179"/>
      <c r="AE40" s="179"/>
      <c r="AF40" s="179"/>
      <c r="AG40" s="179"/>
      <c r="AH40" s="179"/>
      <c r="AI40" s="179"/>
      <c r="AJ40" s="179"/>
      <c r="AK40" s="186">
        <f t="shared" si="45"/>
        <v>0.4750174254513152</v>
      </c>
      <c r="AL40" s="187">
        <f t="shared" si="46"/>
        <v>0.40479666410513715</v>
      </c>
      <c r="AM40" s="187">
        <f t="shared" si="47"/>
        <v>0.12018591044354755</v>
      </c>
      <c r="AN40" s="188">
        <f t="shared" si="48"/>
        <v>0.41305373224475372</v>
      </c>
      <c r="AO40" s="189">
        <f t="shared" si="49"/>
        <v>0.4750174254513152</v>
      </c>
      <c r="AP40" s="187">
        <f t="shared" si="40"/>
        <v>0.19940802397403351</v>
      </c>
      <c r="AQ40" s="187">
        <f t="shared" si="41"/>
        <v>0.16992998272388427</v>
      </c>
      <c r="AR40" s="187">
        <f t="shared" si="42"/>
        <v>0.63066199330208217</v>
      </c>
      <c r="AS40" s="188">
        <f t="shared" si="50"/>
        <v>0.84336359670852135</v>
      </c>
      <c r="AT40" s="189">
        <f t="shared" si="51"/>
        <v>0.19940802397403351</v>
      </c>
    </row>
    <row r="41" spans="1:46" x14ac:dyDescent="0.2">
      <c r="A41" s="179"/>
      <c r="B41" s="179">
        <v>240</v>
      </c>
      <c r="C41" s="180"/>
      <c r="D41" s="181">
        <f t="shared" si="43"/>
        <v>9.1106981252287795</v>
      </c>
      <c r="E41" s="179">
        <v>1</v>
      </c>
      <c r="F41" s="182">
        <f t="shared" si="44"/>
        <v>5.5975760149510982E-4</v>
      </c>
      <c r="G41" s="183">
        <f t="shared" si="26"/>
        <v>3.949037229576688E-6</v>
      </c>
      <c r="H41" s="184">
        <f t="shared" si="27"/>
        <v>5.4035087719298263</v>
      </c>
      <c r="I41" s="181">
        <f t="shared" si="28"/>
        <v>3.2520000000000002</v>
      </c>
      <c r="J41" s="181">
        <f t="shared" si="29"/>
        <v>-3.4822027290448343</v>
      </c>
      <c r="K41" s="181">
        <f t="shared" si="30"/>
        <v>0.5177972709551657</v>
      </c>
      <c r="L41" s="181">
        <f t="shared" si="30"/>
        <v>1.5177972709551657</v>
      </c>
      <c r="M41" s="181">
        <f t="shared" si="30"/>
        <v>2.5177972709551657</v>
      </c>
      <c r="N41" s="181">
        <f t="shared" si="31"/>
        <v>3.5177972709551657</v>
      </c>
      <c r="O41" s="181">
        <f t="shared" si="32"/>
        <v>1.6569972709551655</v>
      </c>
      <c r="P41" s="181">
        <f t="shared" si="32"/>
        <v>2.6569972709551655</v>
      </c>
      <c r="Q41" s="181">
        <f t="shared" si="32"/>
        <v>3.6569972709551655</v>
      </c>
      <c r="R41" s="181">
        <f t="shared" si="32"/>
        <v>4.6569972709551655</v>
      </c>
      <c r="S41" s="179"/>
      <c r="T41" s="180">
        <f t="shared" si="33"/>
        <v>1244.6542687682715</v>
      </c>
      <c r="U41" s="180">
        <f t="shared" si="34"/>
        <v>476.76470122880727</v>
      </c>
      <c r="V41" s="180">
        <f t="shared" si="35"/>
        <v>434.85361013824428</v>
      </c>
      <c r="W41" s="180">
        <f t="shared" si="36"/>
        <v>677.14591243710493</v>
      </c>
      <c r="X41" s="180">
        <f t="shared" si="37"/>
        <v>971.81331697907808</v>
      </c>
      <c r="Y41" s="185">
        <f t="shared" si="38"/>
        <v>6.5899884560223942E-2</v>
      </c>
      <c r="Z41" s="179">
        <f t="shared" si="39"/>
        <v>0.52326712161282107</v>
      </c>
      <c r="AA41" s="179"/>
      <c r="AB41" s="179"/>
      <c r="AC41" s="179"/>
      <c r="AD41" s="179"/>
      <c r="AE41" s="179"/>
      <c r="AF41" s="179"/>
      <c r="AG41" s="179"/>
      <c r="AH41" s="179"/>
      <c r="AI41" s="179"/>
      <c r="AJ41" s="179"/>
      <c r="AK41" s="186">
        <f t="shared" si="45"/>
        <v>0.43182927973265017</v>
      </c>
      <c r="AL41" s="187">
        <f t="shared" si="46"/>
        <v>0.47398045001277711</v>
      </c>
      <c r="AM41" s="187">
        <f t="shared" si="47"/>
        <v>9.4190270254572731E-2</v>
      </c>
      <c r="AN41" s="188">
        <f t="shared" si="48"/>
        <v>0.35809973118058736</v>
      </c>
      <c r="AO41" s="189">
        <f t="shared" si="49"/>
        <v>0.43182927973265017</v>
      </c>
      <c r="AP41" s="187">
        <f t="shared" si="40"/>
        <v>0.20729250425793086</v>
      </c>
      <c r="AQ41" s="187">
        <f t="shared" si="41"/>
        <v>0.22752647646606725</v>
      </c>
      <c r="AR41" s="187">
        <f t="shared" si="42"/>
        <v>0.56518101927600184</v>
      </c>
      <c r="AS41" s="188">
        <f t="shared" si="50"/>
        <v>0.7723052149165287</v>
      </c>
      <c r="AT41" s="189">
        <f t="shared" si="51"/>
        <v>0.20729250425793086</v>
      </c>
    </row>
    <row r="42" spans="1:46" x14ac:dyDescent="0.2">
      <c r="A42" s="179"/>
      <c r="B42" s="179">
        <v>260</v>
      </c>
      <c r="C42" s="180"/>
      <c r="D42" s="181">
        <f t="shared" si="43"/>
        <v>7.2090813277354533</v>
      </c>
      <c r="E42" s="179">
        <v>1</v>
      </c>
      <c r="F42" s="182">
        <f t="shared" si="44"/>
        <v>2.5822601906346014E-4</v>
      </c>
      <c r="G42" s="183">
        <f t="shared" si="26"/>
        <v>1.8789758607768347E-6</v>
      </c>
      <c r="H42" s="184">
        <f t="shared" si="27"/>
        <v>5.7260787992495326</v>
      </c>
      <c r="I42" s="181">
        <f t="shared" si="28"/>
        <v>3.5879999999999992</v>
      </c>
      <c r="J42" s="181">
        <f t="shared" si="29"/>
        <v>-3.3324015009380865</v>
      </c>
      <c r="K42" s="181">
        <f t="shared" si="30"/>
        <v>0.66759849906191349</v>
      </c>
      <c r="L42" s="181">
        <f t="shared" si="30"/>
        <v>1.6675984990619135</v>
      </c>
      <c r="M42" s="181">
        <f t="shared" si="30"/>
        <v>2.6675984990619135</v>
      </c>
      <c r="N42" s="181">
        <f t="shared" si="31"/>
        <v>3.6675984990619135</v>
      </c>
      <c r="O42" s="181">
        <f t="shared" si="32"/>
        <v>1.5883984990619133</v>
      </c>
      <c r="P42" s="181">
        <f t="shared" si="32"/>
        <v>2.5883984990619133</v>
      </c>
      <c r="Q42" s="181">
        <f t="shared" si="32"/>
        <v>3.5883984990619133</v>
      </c>
      <c r="R42" s="181">
        <f t="shared" si="32"/>
        <v>4.5883984990619133</v>
      </c>
      <c r="S42" s="179"/>
      <c r="T42" s="180">
        <f t="shared" si="33"/>
        <v>1407.725000840388</v>
      </c>
      <c r="U42" s="180">
        <f t="shared" si="34"/>
        <v>567.27006805626013</v>
      </c>
      <c r="V42" s="180">
        <f t="shared" si="35"/>
        <v>542.11329258464423</v>
      </c>
      <c r="W42" s="180">
        <f t="shared" si="36"/>
        <v>801.35950429484615</v>
      </c>
      <c r="X42" s="180">
        <f t="shared" si="37"/>
        <v>1108.432352319262</v>
      </c>
      <c r="Y42" s="185">
        <f t="shared" si="38"/>
        <v>6.7829200075631271E-2</v>
      </c>
      <c r="Z42" s="179">
        <f t="shared" si="39"/>
        <v>0.58108854328459969</v>
      </c>
      <c r="AA42" s="179"/>
      <c r="AB42" s="179"/>
      <c r="AC42" s="179"/>
      <c r="AD42" s="179"/>
      <c r="AE42" s="179"/>
      <c r="AF42" s="179"/>
      <c r="AG42" s="179"/>
      <c r="AH42" s="179"/>
      <c r="AI42" s="179"/>
      <c r="AJ42" s="179"/>
      <c r="AK42" s="186">
        <f t="shared" si="45"/>
        <v>0.38800559207221957</v>
      </c>
      <c r="AL42" s="187">
        <f t="shared" si="46"/>
        <v>0.53821780395159102</v>
      </c>
      <c r="AM42" s="187">
        <f t="shared" si="47"/>
        <v>7.3776603976189306E-2</v>
      </c>
      <c r="AN42" s="188">
        <f t="shared" si="48"/>
        <v>0.30922427347380538</v>
      </c>
      <c r="AO42" s="189">
        <f t="shared" si="49"/>
        <v>0.38800559207221957</v>
      </c>
      <c r="AP42" s="187">
        <f t="shared" si="40"/>
        <v>0.20991078566897028</v>
      </c>
      <c r="AQ42" s="187">
        <f t="shared" si="41"/>
        <v>0.2911754995208361</v>
      </c>
      <c r="AR42" s="187">
        <f t="shared" si="42"/>
        <v>0.49891371481019364</v>
      </c>
      <c r="AS42" s="188">
        <f t="shared" si="50"/>
        <v>0.69729815413659402</v>
      </c>
      <c r="AT42" s="189">
        <f t="shared" si="51"/>
        <v>0.20991078566897028</v>
      </c>
    </row>
    <row r="43" spans="1:46" x14ac:dyDescent="0.2">
      <c r="A43" s="179"/>
      <c r="B43" s="179">
        <v>280</v>
      </c>
      <c r="C43" s="179"/>
      <c r="D43" s="181">
        <f t="shared" si="43"/>
        <v>5.8017951009527744</v>
      </c>
      <c r="E43" s="179">
        <v>1</v>
      </c>
      <c r="F43" s="182">
        <f t="shared" si="44"/>
        <v>1.191242008027376E-4</v>
      </c>
      <c r="G43" s="183">
        <f t="shared" si="26"/>
        <v>9.4337322162997651E-7</v>
      </c>
      <c r="H43" s="184">
        <f t="shared" si="27"/>
        <v>6.0253164556962027</v>
      </c>
      <c r="I43" s="181">
        <f t="shared" si="28"/>
        <v>3.9239999999999995</v>
      </c>
      <c r="J43" s="181">
        <f t="shared" si="29"/>
        <v>-3.1934358047016276</v>
      </c>
      <c r="K43" s="181">
        <f t="shared" si="30"/>
        <v>0.80656419529837242</v>
      </c>
      <c r="L43" s="181">
        <f t="shared" si="30"/>
        <v>1.8065641952983724</v>
      </c>
      <c r="M43" s="181">
        <f t="shared" si="30"/>
        <v>2.8065641952983724</v>
      </c>
      <c r="N43" s="181">
        <f t="shared" si="31"/>
        <v>3.8065641952983724</v>
      </c>
      <c r="O43" s="181">
        <f t="shared" si="32"/>
        <v>1.5089641952983728</v>
      </c>
      <c r="P43" s="181">
        <f t="shared" si="32"/>
        <v>2.5089641952983728</v>
      </c>
      <c r="Q43" s="181">
        <f t="shared" si="32"/>
        <v>3.5089641952983728</v>
      </c>
      <c r="R43" s="181">
        <f t="shared" si="32"/>
        <v>4.5089641952983728</v>
      </c>
      <c r="S43" s="179"/>
      <c r="T43" s="180">
        <f t="shared" si="33"/>
        <v>1578.0448745868243</v>
      </c>
      <c r="U43" s="180">
        <f t="shared" si="34"/>
        <v>666.52363098663034</v>
      </c>
      <c r="V43" s="180">
        <f t="shared" si="35"/>
        <v>665.13743667568758</v>
      </c>
      <c r="W43" s="180">
        <f t="shared" si="36"/>
        <v>936.87518507601681</v>
      </c>
      <c r="X43" s="180">
        <f t="shared" si="37"/>
        <v>1252.285741681847</v>
      </c>
      <c r="Y43" s="185">
        <f t="shared" si="38"/>
        <v>7.3381175278407595E-2</v>
      </c>
      <c r="Z43" s="179">
        <f t="shared" si="39"/>
        <v>0.63283949298880904</v>
      </c>
      <c r="AA43" s="179"/>
      <c r="AB43" s="179"/>
      <c r="AC43" s="179"/>
      <c r="AD43" s="179"/>
      <c r="AE43" s="179"/>
      <c r="AF43" s="179"/>
      <c r="AG43" s="179"/>
      <c r="AH43" s="179"/>
      <c r="AI43" s="179"/>
      <c r="AJ43" s="179"/>
      <c r="AK43" s="186">
        <f t="shared" si="45"/>
        <v>0.34589943314298421</v>
      </c>
      <c r="AL43" s="187">
        <f t="shared" si="46"/>
        <v>0.59619381092272705</v>
      </c>
      <c r="AM43" s="187">
        <f t="shared" si="47"/>
        <v>5.7906755934288866E-2</v>
      </c>
      <c r="AN43" s="188">
        <f t="shared" si="48"/>
        <v>0.26658726377408248</v>
      </c>
      <c r="AO43" s="189">
        <f t="shared" si="49"/>
        <v>0.34589943314298421</v>
      </c>
      <c r="AP43" s="187">
        <f t="shared" si="40"/>
        <v>0.20763172047963263</v>
      </c>
      <c r="AQ43" s="187">
        <f t="shared" si="41"/>
        <v>0.35787496260516893</v>
      </c>
      <c r="AR43" s="187">
        <f t="shared" si="42"/>
        <v>0.43449331691519849</v>
      </c>
      <c r="AS43" s="188">
        <f t="shared" si="50"/>
        <v>0.62159598844691955</v>
      </c>
      <c r="AT43" s="189">
        <f t="shared" si="51"/>
        <v>0.20763172047963263</v>
      </c>
    </row>
    <row r="44" spans="1:46" x14ac:dyDescent="0.2">
      <c r="A44" s="179"/>
      <c r="B44" s="179">
        <v>300</v>
      </c>
      <c r="C44" s="184"/>
      <c r="D44" s="181">
        <f t="shared" si="43"/>
        <v>4.7405526062041954</v>
      </c>
      <c r="E44" s="179">
        <v>1</v>
      </c>
      <c r="F44" s="182">
        <f t="shared" si="44"/>
        <v>5.4954087385762447E-5</v>
      </c>
      <c r="G44" s="183">
        <f t="shared" si="26"/>
        <v>4.9697561353033115E-7</v>
      </c>
      <c r="H44" s="184">
        <f t="shared" si="27"/>
        <v>6.3036649214659688</v>
      </c>
      <c r="I44" s="181">
        <f t="shared" si="28"/>
        <v>4.26</v>
      </c>
      <c r="J44" s="181">
        <f t="shared" si="29"/>
        <v>-3.0641710296684121</v>
      </c>
      <c r="K44" s="181">
        <f t="shared" si="30"/>
        <v>0.93582897033158785</v>
      </c>
      <c r="L44" s="181">
        <f t="shared" si="30"/>
        <v>1.9358289703315879</v>
      </c>
      <c r="M44" s="181">
        <f t="shared" si="30"/>
        <v>2.9358289703315879</v>
      </c>
      <c r="N44" s="181">
        <f t="shared" si="31"/>
        <v>3.9358289703315879</v>
      </c>
      <c r="O44" s="181">
        <f t="shared" si="32"/>
        <v>1.4198289703315883</v>
      </c>
      <c r="P44" s="181">
        <f t="shared" si="32"/>
        <v>2.4198289703315883</v>
      </c>
      <c r="Q44" s="181">
        <f t="shared" si="32"/>
        <v>3.4198289703315883</v>
      </c>
      <c r="R44" s="181">
        <f t="shared" si="32"/>
        <v>4.4198289703315883</v>
      </c>
      <c r="S44" s="179"/>
      <c r="T44" s="180">
        <f t="shared" si="33"/>
        <v>1754.9239044869184</v>
      </c>
      <c r="U44" s="180">
        <f t="shared" si="34"/>
        <v>774.37777420524822</v>
      </c>
      <c r="V44" s="180">
        <f t="shared" si="35"/>
        <v>804.51155512801085</v>
      </c>
      <c r="W44" s="180">
        <f t="shared" si="36"/>
        <v>1083.4261206612468</v>
      </c>
      <c r="X44" s="180">
        <f t="shared" si="37"/>
        <v>1402.8080674041319</v>
      </c>
      <c r="Y44" s="185">
        <f t="shared" si="38"/>
        <v>8.2934535625309697E-2</v>
      </c>
      <c r="Z44" s="179">
        <f t="shared" si="39"/>
        <v>0.67840061815532415</v>
      </c>
      <c r="AA44" s="179"/>
      <c r="AB44" s="179"/>
      <c r="AC44" s="179"/>
      <c r="AD44" s="179"/>
      <c r="AE44" s="179"/>
      <c r="AF44" s="179"/>
      <c r="AG44" s="179"/>
      <c r="AH44" s="179"/>
      <c r="AI44" s="179"/>
      <c r="AJ44" s="179"/>
      <c r="AK44" s="186">
        <f t="shared" si="45"/>
        <v>0.30692092911833335</v>
      </c>
      <c r="AL44" s="187">
        <f t="shared" si="46"/>
        <v>0.6474370281571199</v>
      </c>
      <c r="AM44" s="187">
        <f t="shared" si="47"/>
        <v>4.5642042724546736E-2</v>
      </c>
      <c r="AN44" s="188">
        <f t="shared" si="48"/>
        <v>0.22991901120695982</v>
      </c>
      <c r="AO44" s="189">
        <f t="shared" si="49"/>
        <v>0.30692092911833335</v>
      </c>
      <c r="AP44" s="187">
        <f t="shared" si="40"/>
        <v>0.20127500288574654</v>
      </c>
      <c r="AQ44" s="187">
        <f t="shared" si="41"/>
        <v>0.42458130856374843</v>
      </c>
      <c r="AR44" s="187">
        <f t="shared" si="42"/>
        <v>0.37414368855050512</v>
      </c>
      <c r="AS44" s="188">
        <f t="shared" si="50"/>
        <v>0.54823990383549837</v>
      </c>
      <c r="AT44" s="189">
        <f t="shared" si="51"/>
        <v>0.20127500288574654</v>
      </c>
    </row>
    <row r="45" spans="1:46" x14ac:dyDescent="0.2">
      <c r="A45" s="179"/>
      <c r="B45" s="179">
        <v>320</v>
      </c>
      <c r="C45" s="180"/>
      <c r="D45" s="181">
        <f t="shared" si="43"/>
        <v>3.9265713253170782</v>
      </c>
      <c r="E45" s="179">
        <v>1</v>
      </c>
      <c r="F45" s="182">
        <f t="shared" si="44"/>
        <v>2.5351286304979089E-5</v>
      </c>
      <c r="G45" s="183">
        <f t="shared" si="26"/>
        <v>2.7337715904001087E-7</v>
      </c>
      <c r="H45" s="184">
        <f t="shared" si="27"/>
        <v>6.5632377740303554</v>
      </c>
      <c r="I45" s="181">
        <f t="shared" si="28"/>
        <v>4.5960000000000001</v>
      </c>
      <c r="J45" s="181">
        <f t="shared" si="29"/>
        <v>-2.9436256323777403</v>
      </c>
      <c r="K45" s="181">
        <f t="shared" si="30"/>
        <v>1.0563743676222597</v>
      </c>
      <c r="L45" s="181">
        <f t="shared" si="30"/>
        <v>2.0563743676222597</v>
      </c>
      <c r="M45" s="181">
        <f t="shared" si="30"/>
        <v>3.0563743676222597</v>
      </c>
      <c r="N45" s="181">
        <f t="shared" si="31"/>
        <v>4.0563743676222597</v>
      </c>
      <c r="O45" s="181">
        <f t="shared" si="32"/>
        <v>1.3219743676222597</v>
      </c>
      <c r="P45" s="181">
        <f t="shared" si="32"/>
        <v>2.3219743676222597</v>
      </c>
      <c r="Q45" s="181">
        <f t="shared" si="32"/>
        <v>3.3219743676222597</v>
      </c>
      <c r="R45" s="181">
        <f t="shared" si="32"/>
        <v>4.3219743676222597</v>
      </c>
      <c r="S45" s="179"/>
      <c r="T45" s="180">
        <f t="shared" si="33"/>
        <v>1937.6930946340706</v>
      </c>
      <c r="U45" s="180">
        <f t="shared" si="34"/>
        <v>890.62823401451431</v>
      </c>
      <c r="V45" s="180">
        <f t="shared" si="35"/>
        <v>960.68299021067844</v>
      </c>
      <c r="W45" s="180">
        <f t="shared" si="36"/>
        <v>1240.6787939195372</v>
      </c>
      <c r="X45" s="180">
        <f t="shared" si="37"/>
        <v>1559.4374496603741</v>
      </c>
      <c r="Y45" s="185">
        <f t="shared" si="38"/>
        <v>9.7339004982072444E-2</v>
      </c>
      <c r="Z45" s="179">
        <f t="shared" si="39"/>
        <v>0.71805182814961976</v>
      </c>
      <c r="AA45" s="179"/>
      <c r="AB45" s="179"/>
      <c r="AC45" s="179"/>
      <c r="AD45" s="179"/>
      <c r="AE45" s="179"/>
      <c r="AF45" s="179"/>
      <c r="AG45" s="179"/>
      <c r="AH45" s="179"/>
      <c r="AI45" s="179"/>
      <c r="AJ45" s="179"/>
      <c r="AK45" s="186">
        <f t="shared" si="45"/>
        <v>0.27174583175858663</v>
      </c>
      <c r="AL45" s="187">
        <f t="shared" si="46"/>
        <v>0.6920690068876888</v>
      </c>
      <c r="AM45" s="187">
        <f t="shared" si="47"/>
        <v>3.6185161353724606E-2</v>
      </c>
      <c r="AN45" s="188">
        <f t="shared" si="48"/>
        <v>0.19868904907255372</v>
      </c>
      <c r="AO45" s="189">
        <f t="shared" si="49"/>
        <v>0.27174583175858663</v>
      </c>
      <c r="AP45" s="187">
        <f t="shared" si="40"/>
        <v>0.19189336813770325</v>
      </c>
      <c r="AQ45" s="187">
        <f t="shared" si="41"/>
        <v>0.48870465410992503</v>
      </c>
      <c r="AR45" s="187">
        <f t="shared" si="42"/>
        <v>0.31940197775237178</v>
      </c>
      <c r="AS45" s="188">
        <f t="shared" si="50"/>
        <v>0.47961269447337357</v>
      </c>
      <c r="AT45" s="189">
        <f t="shared" si="51"/>
        <v>0.19189336813770325</v>
      </c>
    </row>
    <row r="46" spans="1:46" x14ac:dyDescent="0.2">
      <c r="A46" s="179"/>
      <c r="B46" s="179">
        <v>340</v>
      </c>
      <c r="C46" s="180"/>
      <c r="D46" s="181">
        <f t="shared" si="43"/>
        <v>3.2925827967324475</v>
      </c>
      <c r="E46" s="179">
        <v>1</v>
      </c>
      <c r="F46" s="182">
        <f>10^(0.78-0.0168*B46)</f>
        <v>1.1694993910198703E-5</v>
      </c>
      <c r="G46" s="183">
        <f>10^(4410/(B46+273)-14)</f>
        <v>1.5636056932236523E-7</v>
      </c>
      <c r="H46" s="184">
        <f t="shared" si="27"/>
        <v>6.805872756933117</v>
      </c>
      <c r="I46" s="181">
        <f t="shared" si="28"/>
        <v>4.9320000000000004</v>
      </c>
      <c r="J46" s="181">
        <f t="shared" si="29"/>
        <v>-2.8309461663947801</v>
      </c>
      <c r="K46" s="181">
        <f t="shared" si="30"/>
        <v>1.1690538336052199</v>
      </c>
      <c r="L46" s="181">
        <f t="shared" si="30"/>
        <v>2.1690538336052199</v>
      </c>
      <c r="M46" s="181">
        <f t="shared" si="30"/>
        <v>3.1690538336052199</v>
      </c>
      <c r="N46" s="181">
        <f t="shared" si="31"/>
        <v>4.1690538336052203</v>
      </c>
      <c r="O46" s="181">
        <f t="shared" si="32"/>
        <v>1.2162538336052204</v>
      </c>
      <c r="P46" s="181">
        <f t="shared" si="32"/>
        <v>2.2162538336052204</v>
      </c>
      <c r="Q46" s="181">
        <f t="shared" si="32"/>
        <v>3.2162538336052204</v>
      </c>
      <c r="R46" s="181">
        <f t="shared" si="32"/>
        <v>4.2162538336052204</v>
      </c>
      <c r="S46" s="179"/>
      <c r="T46" s="180">
        <f t="shared" si="33"/>
        <v>2125.7103069050459</v>
      </c>
      <c r="U46" s="180">
        <f t="shared" si="34"/>
        <v>1015.0240810538908</v>
      </c>
      <c r="V46" s="180">
        <f t="shared" si="35"/>
        <v>1133.9667652412993</v>
      </c>
      <c r="W46" s="180">
        <f t="shared" si="36"/>
        <v>1408.2463351445542</v>
      </c>
      <c r="X46" s="180">
        <f t="shared" si="37"/>
        <v>1721.6228168999812</v>
      </c>
      <c r="Y46" s="179">
        <f t="shared" si="38"/>
        <v>0.11793143619934408</v>
      </c>
      <c r="Z46" s="179">
        <f t="shared" si="39"/>
        <v>0.75229924484338573</v>
      </c>
      <c r="AA46" s="179"/>
      <c r="AB46" s="179"/>
      <c r="AC46" s="179"/>
      <c r="AD46" s="179"/>
      <c r="AE46" s="179"/>
      <c r="AF46" s="179"/>
      <c r="AG46" s="179"/>
      <c r="AH46" s="179"/>
      <c r="AI46" s="179"/>
      <c r="AJ46" s="179"/>
      <c r="AK46" s="186">
        <f>(D46*AK$3)/(D46*AK$3+E46*AL$3+G46^0.5*AM$3)</f>
        <v>0.24054507825546234</v>
      </c>
      <c r="AL46" s="187">
        <f>(E46*AL$3)/(D46*AK$3+E46*AL$3+G46^0.5*AM$3)</f>
        <v>0.73056652818018364</v>
      </c>
      <c r="AM46" s="187">
        <f>(G46^0.5*AM$3)/(D46*AK$3+E46*AL$3+G46^0.5*AM$3)</f>
        <v>2.8888393564354003E-2</v>
      </c>
      <c r="AN46" s="188">
        <f>0.5774*AK46+1.1547*AM46</f>
        <v>0.17224815623346354</v>
      </c>
      <c r="AO46" s="189">
        <f>AK46</f>
        <v>0.24054507825546234</v>
      </c>
      <c r="AP46" s="187">
        <f t="shared" si="40"/>
        <v>0.18056004678120552</v>
      </c>
      <c r="AQ46" s="187">
        <f t="shared" si="41"/>
        <v>0.5483842257828504</v>
      </c>
      <c r="AR46" s="187">
        <f t="shared" si="42"/>
        <v>0.27105572743594408</v>
      </c>
      <c r="AS46" s="188">
        <f>0.5774*AP46+1.1547*AR46</f>
        <v>0.41724341948175275</v>
      </c>
      <c r="AT46" s="189">
        <f>AP46</f>
        <v>0.18056004678120552</v>
      </c>
    </row>
    <row r="47" spans="1:46" x14ac:dyDescent="0.2">
      <c r="A47" s="177" t="s">
        <v>149</v>
      </c>
      <c r="B47" s="177">
        <v>380</v>
      </c>
      <c r="C47" s="195"/>
      <c r="D47" s="196">
        <f t="shared" si="43"/>
        <v>2.3913164958577435</v>
      </c>
      <c r="E47" s="138">
        <v>1</v>
      </c>
      <c r="F47" s="197">
        <f>10^(0.78-0.0168*B47)</f>
        <v>2.4888573182823936E-6</v>
      </c>
      <c r="G47" s="198">
        <f>10^(4410/(B47+273)-14)</f>
        <v>5.6682061314536792E-8</v>
      </c>
      <c r="H47" s="195">
        <f t="shared" si="27"/>
        <v>7.2465543644716703</v>
      </c>
      <c r="I47" s="196">
        <f t="shared" si="28"/>
        <v>5.6039999999999992</v>
      </c>
      <c r="J47" s="196">
        <f t="shared" si="29"/>
        <v>-2.6262940275650846</v>
      </c>
      <c r="K47" s="196">
        <f t="shared" si="30"/>
        <v>1.3737059724349154</v>
      </c>
      <c r="L47" s="196">
        <f t="shared" si="30"/>
        <v>2.3737059724349154</v>
      </c>
      <c r="M47" s="196">
        <f t="shared" si="30"/>
        <v>3.3737059724349154</v>
      </c>
      <c r="N47" s="196">
        <f t="shared" si="31"/>
        <v>4.3737059724349159</v>
      </c>
      <c r="O47" s="196">
        <f t="shared" si="32"/>
        <v>0.98410597243491615</v>
      </c>
      <c r="P47" s="196">
        <f t="shared" si="32"/>
        <v>1.9841059724349162</v>
      </c>
      <c r="Q47" s="196">
        <f t="shared" si="32"/>
        <v>2.9841059724349162</v>
      </c>
      <c r="R47" s="196">
        <f t="shared" si="32"/>
        <v>3.9841059724349162</v>
      </c>
      <c r="S47" s="138"/>
      <c r="T47" s="194"/>
      <c r="U47" s="194"/>
      <c r="V47" s="194"/>
      <c r="W47" s="194"/>
      <c r="X47" s="138"/>
      <c r="Y47" s="138"/>
      <c r="Z47" s="138"/>
      <c r="AA47" s="138"/>
      <c r="AB47" s="138"/>
      <c r="AC47" s="138"/>
      <c r="AD47" s="138"/>
      <c r="AE47" s="138"/>
      <c r="AF47" s="138"/>
      <c r="AG47" s="138"/>
      <c r="AH47" s="138"/>
      <c r="AI47" s="138"/>
      <c r="AJ47" s="138"/>
      <c r="AK47" s="139">
        <f>(D47*AK$3)/(D47*AK$3+E47*AL$3+G47^0.5*AM$3)</f>
        <v>0.18934527129758802</v>
      </c>
      <c r="AL47" s="140">
        <f>(E47*AL$3)/(D47*AK$3+E47*AL$3+G47^0.5*AM$3)</f>
        <v>0.79180347572382548</v>
      </c>
      <c r="AM47" s="140">
        <f>(G47^0.5*AM$3)/(D47*AK$3+E47*AL$3+G47^0.5*AM$3)</f>
        <v>1.8851252978586443E-2</v>
      </c>
      <c r="AN47" s="141">
        <f>0.5774*AK47+1.1547*AM47</f>
        <v>0.13109550146160109</v>
      </c>
      <c r="AO47" s="142">
        <f>AK47</f>
        <v>0.18934527129758802</v>
      </c>
      <c r="AP47" s="140">
        <f t="shared" si="40"/>
        <v>0.15561055171717295</v>
      </c>
      <c r="AQ47" s="140">
        <f t="shared" si="41"/>
        <v>0.6507317286805101</v>
      </c>
      <c r="AR47" s="140">
        <f t="shared" si="42"/>
        <v>0.19365771960231701</v>
      </c>
      <c r="AS47" s="141">
        <f>0.5774*AP47+1.1547*AR47</f>
        <v>0.31346610138629116</v>
      </c>
      <c r="AT47" s="142">
        <f>AP47</f>
        <v>0.15561055171717295</v>
      </c>
    </row>
    <row r="48" spans="1:46" x14ac:dyDescent="0.2">
      <c r="A48" s="177" t="s">
        <v>148</v>
      </c>
      <c r="B48" s="178">
        <v>420</v>
      </c>
      <c r="C48" s="194"/>
      <c r="D48" s="196">
        <f t="shared" si="43"/>
        <v>1.8020714480308049</v>
      </c>
      <c r="E48" s="138">
        <v>1</v>
      </c>
      <c r="F48" s="197">
        <f>10^(0.78-0.0168*B48)</f>
        <v>5.2966344389165818E-7</v>
      </c>
      <c r="G48" s="198">
        <f>10^(4410/(B48+273)-14)</f>
        <v>2.310129700083151E-8</v>
      </c>
      <c r="H48" s="195">
        <f t="shared" si="27"/>
        <v>7.6363636363636376</v>
      </c>
      <c r="I48" s="196">
        <f t="shared" si="28"/>
        <v>6.2759999999999998</v>
      </c>
      <c r="J48" s="196">
        <f t="shared" si="29"/>
        <v>-2.4452669552669555</v>
      </c>
      <c r="K48" s="196">
        <f t="shared" si="30"/>
        <v>1.5547330447330445</v>
      </c>
      <c r="L48" s="196">
        <f t="shared" si="30"/>
        <v>2.5547330447330445</v>
      </c>
      <c r="M48" s="196">
        <f t="shared" si="30"/>
        <v>3.5547330447330445</v>
      </c>
      <c r="N48" s="196">
        <f t="shared" si="31"/>
        <v>4.5547330447330445</v>
      </c>
      <c r="O48" s="196">
        <f t="shared" si="32"/>
        <v>0.72833304473304494</v>
      </c>
      <c r="P48" s="196">
        <f t="shared" si="32"/>
        <v>1.7283330447330449</v>
      </c>
      <c r="Q48" s="196">
        <f t="shared" si="32"/>
        <v>2.7283330447330449</v>
      </c>
      <c r="R48" s="196">
        <f t="shared" si="32"/>
        <v>3.7283330447330449</v>
      </c>
      <c r="S48" s="138"/>
      <c r="T48" s="194"/>
      <c r="U48" s="194"/>
      <c r="V48" s="194"/>
      <c r="W48" s="194"/>
      <c r="X48" s="138"/>
      <c r="Y48" s="138"/>
      <c r="Z48" s="138"/>
      <c r="AA48" s="138"/>
      <c r="AB48" s="138"/>
      <c r="AC48" s="138"/>
      <c r="AD48" s="138"/>
      <c r="AE48" s="138"/>
      <c r="AF48" s="138"/>
      <c r="AG48" s="138"/>
      <c r="AH48" s="138"/>
      <c r="AI48" s="138"/>
      <c r="AJ48" s="138"/>
      <c r="AK48" s="139">
        <f>(D48*AK$3)/(D48*AK$3+E48*AL$3+G48^0.5*AM$3)</f>
        <v>0.15074970869021823</v>
      </c>
      <c r="AL48" s="140">
        <f>(E48*AL$3)/(D48*AK$3+E48*AL$3+G48^0.5*AM$3)</f>
        <v>0.83653569260502092</v>
      </c>
      <c r="AM48" s="140">
        <f>(G48^0.5*AM$3)/(D48*AK$3+E48*AL$3+G48^0.5*AM$3)</f>
        <v>1.2714598704760775E-2</v>
      </c>
      <c r="AN48" s="141">
        <f>0.5774*AK48+1.1547*AM48</f>
        <v>0.10172442892211928</v>
      </c>
      <c r="AO48" s="142">
        <f>AK48</f>
        <v>0.15074970869021823</v>
      </c>
      <c r="AP48" s="140">
        <f t="shared" si="40"/>
        <v>0.13151924311182928</v>
      </c>
      <c r="AQ48" s="140">
        <f t="shared" si="41"/>
        <v>0.72982257865272526</v>
      </c>
      <c r="AR48" s="140">
        <f t="shared" si="42"/>
        <v>0.13865817823544552</v>
      </c>
      <c r="AS48" s="141">
        <f>0.5774*AP48+1.1547*AR48</f>
        <v>0.23604780938123918</v>
      </c>
      <c r="AT48" s="142">
        <f>AP48</f>
        <v>0.13151924311182928</v>
      </c>
    </row>
    <row r="49" spans="1:46" x14ac:dyDescent="0.2">
      <c r="A49" s="177"/>
      <c r="B49" s="177">
        <v>550</v>
      </c>
      <c r="C49" s="138"/>
      <c r="D49" s="196">
        <f>10^((1390/(B49+273))-1.75)</f>
        <v>0.86884617167044476</v>
      </c>
      <c r="E49" s="138">
        <v>1</v>
      </c>
      <c r="F49" s="199">
        <f>10^(0.78-0.0168*B49)</f>
        <v>3.467368504525301E-9</v>
      </c>
      <c r="G49" s="199">
        <f>10^(4410/(B49+273)-14)</f>
        <v>2.2826783220041749E-9</v>
      </c>
      <c r="H49" s="195">
        <f t="shared" si="27"/>
        <v>8.6415552855407043</v>
      </c>
      <c r="I49" s="196">
        <f t="shared" si="28"/>
        <v>8.4600000000000026</v>
      </c>
      <c r="J49" s="196">
        <f t="shared" si="29"/>
        <v>-1.978456865127582</v>
      </c>
      <c r="K49" s="196">
        <f t="shared" si="30"/>
        <v>2.021543134872418</v>
      </c>
      <c r="L49" s="196">
        <f t="shared" si="30"/>
        <v>3.021543134872418</v>
      </c>
      <c r="M49" s="196">
        <f t="shared" si="30"/>
        <v>4.0215431348724184</v>
      </c>
      <c r="N49" s="196">
        <f t="shared" si="31"/>
        <v>5.0215431348724184</v>
      </c>
      <c r="O49" s="196">
        <f t="shared" si="32"/>
        <v>-0.22445686512758112</v>
      </c>
      <c r="P49" s="196">
        <f t="shared" si="32"/>
        <v>0.77554313487241888</v>
      </c>
      <c r="Q49" s="196">
        <f t="shared" si="32"/>
        <v>1.7755431348724189</v>
      </c>
      <c r="R49" s="196">
        <f t="shared" si="32"/>
        <v>2.7755431348724189</v>
      </c>
      <c r="S49" s="138"/>
      <c r="T49" s="194"/>
      <c r="U49" s="194"/>
      <c r="V49" s="194"/>
      <c r="W49" s="194"/>
      <c r="X49" s="138"/>
      <c r="Y49" s="138"/>
      <c r="Z49" s="138"/>
      <c r="AA49" s="138"/>
      <c r="AB49" s="138"/>
      <c r="AC49" s="138"/>
      <c r="AD49" s="138"/>
      <c r="AE49" s="138"/>
      <c r="AF49" s="138"/>
      <c r="AG49" s="138"/>
      <c r="AH49" s="138"/>
      <c r="AI49" s="138"/>
      <c r="AJ49" s="138"/>
      <c r="AK49" s="139">
        <f>(D49*AK$3)/(D49*AK$3+E49*AL$3+G49^0.5*AM$3)</f>
        <v>7.9589276603966932E-2</v>
      </c>
      <c r="AL49" s="140">
        <f>(E49*AL$3)/(D49*AK$3+E49*AL$3+G49^0.5*AM$3)</f>
        <v>0.91603415194830728</v>
      </c>
      <c r="AM49" s="140">
        <f>(G49^0.5*AM$3)/(D49*AK$3+E49*AL$3+G49^0.5*AM$3)</f>
        <v>4.3765714477257594E-3</v>
      </c>
      <c r="AN49" s="141">
        <f>0.5774*AK49+1.1547*AM49</f>
        <v>5.1008475361819447E-2</v>
      </c>
      <c r="AO49" s="142">
        <f>AK49</f>
        <v>7.9589276603966932E-2</v>
      </c>
      <c r="AP49" s="140">
        <f>($D49*AQ$30*$AK$3)/($D49*AQ$30*$AK$3+$E49*AQ$30*$AL$3+$G49^0.5*$AM$3)</f>
        <v>7.5775454654266466E-2</v>
      </c>
      <c r="AQ49" s="140">
        <f t="shared" si="41"/>
        <v>0.87213890243172143</v>
      </c>
      <c r="AR49" s="140">
        <f t="shared" si="42"/>
        <v>5.2085642914012083E-2</v>
      </c>
      <c r="AS49" s="141">
        <f>0.5774*AP49+1.1547*AR49</f>
        <v>0.10389603939018321</v>
      </c>
      <c r="AT49" s="142">
        <f>AP49</f>
        <v>7.5775454654266466E-2</v>
      </c>
    </row>
    <row r="50" spans="1:46" x14ac:dyDescent="0.2">
      <c r="A50" s="138"/>
      <c r="B50" s="194"/>
      <c r="C50" s="195"/>
      <c r="D50" s="195"/>
      <c r="E50" s="195"/>
      <c r="F50" s="195"/>
      <c r="G50" s="195"/>
      <c r="H50" s="195"/>
      <c r="I50" s="196"/>
      <c r="J50" s="138"/>
      <c r="K50" s="138"/>
      <c r="L50" s="138"/>
      <c r="M50" s="138"/>
      <c r="N50" s="138"/>
      <c r="O50" s="138"/>
      <c r="P50" s="138"/>
      <c r="Q50" s="138"/>
      <c r="R50" s="138"/>
      <c r="S50" s="138"/>
      <c r="T50" s="138"/>
      <c r="U50" s="138"/>
      <c r="V50" s="138"/>
      <c r="W50" s="138"/>
      <c r="X50" s="138"/>
      <c r="Y50" s="138"/>
      <c r="Z50" s="138"/>
      <c r="AA50" s="138"/>
      <c r="AB50" s="138"/>
      <c r="AC50" s="138"/>
      <c r="AD50" s="138"/>
      <c r="AE50" s="138"/>
      <c r="AF50" s="138"/>
      <c r="AG50" s="138"/>
      <c r="AH50" s="138"/>
      <c r="AI50" s="138"/>
      <c r="AJ50" s="138"/>
      <c r="AK50" s="139">
        <v>0</v>
      </c>
      <c r="AL50" s="140">
        <v>1</v>
      </c>
      <c r="AM50" s="140">
        <v>0</v>
      </c>
      <c r="AN50" s="141">
        <f>0.5774*AK50+1.1547*AM50</f>
        <v>0</v>
      </c>
      <c r="AO50" s="142">
        <f>AK50</f>
        <v>0</v>
      </c>
      <c r="AP50" s="139">
        <v>0</v>
      </c>
      <c r="AQ50" s="140">
        <v>1</v>
      </c>
      <c r="AR50" s="140">
        <v>0</v>
      </c>
      <c r="AS50" s="141">
        <f>0.5774*AP50+1.1547*AR50</f>
        <v>0</v>
      </c>
      <c r="AT50" s="142">
        <f>AP50</f>
        <v>0</v>
      </c>
    </row>
    <row r="51" spans="1:46" x14ac:dyDescent="0.2">
      <c r="B51" s="42"/>
      <c r="C51" s="42"/>
      <c r="D51" s="42"/>
      <c r="E51" s="45"/>
      <c r="F51" s="45"/>
      <c r="G51" s="45"/>
      <c r="H51" s="45"/>
      <c r="I51" s="42"/>
    </row>
    <row r="52" spans="1:46" x14ac:dyDescent="0.2">
      <c r="A52" s="32" t="s">
        <v>69</v>
      </c>
      <c r="D52" s="42"/>
      <c r="E52" s="45"/>
      <c r="F52" s="45"/>
      <c r="G52" s="45"/>
      <c r="H52" s="45"/>
      <c r="I52" s="42"/>
    </row>
    <row r="53" spans="1:46" x14ac:dyDescent="0.2">
      <c r="A53" s="164" t="s">
        <v>150</v>
      </c>
      <c r="B53" s="164"/>
      <c r="C53" s="164"/>
      <c r="D53" s="110"/>
      <c r="E53" s="110"/>
      <c r="F53" s="110"/>
      <c r="G53" s="110"/>
      <c r="H53" s="110"/>
      <c r="I53" s="110"/>
      <c r="J53" s="202"/>
      <c r="K53" s="202"/>
      <c r="L53" s="202"/>
      <c r="M53" s="202"/>
      <c r="N53" s="202"/>
      <c r="O53" s="202"/>
      <c r="P53" s="55"/>
      <c r="Q53" s="55"/>
      <c r="R53" s="55"/>
      <c r="T53" s="56"/>
      <c r="U53" s="55"/>
      <c r="V53" s="55"/>
    </row>
    <row r="54" spans="1:46" x14ac:dyDescent="0.2">
      <c r="A54" s="164"/>
      <c r="B54" s="208" t="s">
        <v>70</v>
      </c>
      <c r="C54" s="208" t="s">
        <v>71</v>
      </c>
      <c r="D54" s="200"/>
      <c r="E54" s="200"/>
      <c r="F54" s="200"/>
      <c r="G54" s="200"/>
      <c r="H54" s="200"/>
      <c r="I54" s="201"/>
      <c r="J54" s="200"/>
      <c r="K54" s="200"/>
      <c r="L54" s="200"/>
      <c r="M54" s="200"/>
      <c r="N54" s="200"/>
      <c r="O54" s="201"/>
      <c r="P54" s="55"/>
      <c r="Q54" s="55"/>
      <c r="R54" s="55"/>
      <c r="T54" s="57"/>
      <c r="U54" s="57"/>
      <c r="V54" s="58"/>
    </row>
    <row r="55" spans="1:46" x14ac:dyDescent="0.2">
      <c r="A55" s="164" t="s">
        <v>72</v>
      </c>
      <c r="B55" s="210">
        <f>Input!AF3</f>
        <v>-10</v>
      </c>
      <c r="C55" s="210">
        <f>Input!AG3</f>
        <v>-20</v>
      </c>
      <c r="D55" s="55" t="s">
        <v>152</v>
      </c>
      <c r="E55" s="55"/>
      <c r="F55" s="55"/>
      <c r="G55" s="55"/>
      <c r="H55" s="55"/>
      <c r="I55" s="56"/>
      <c r="J55"/>
      <c r="K55"/>
      <c r="L55" s="55"/>
      <c r="M55"/>
      <c r="N55"/>
      <c r="O55"/>
      <c r="P55" s="55"/>
      <c r="Q55" s="55"/>
      <c r="R55" s="55"/>
      <c r="S55" s="59"/>
      <c r="T55" s="55"/>
      <c r="U55" s="55"/>
      <c r="V55" s="55"/>
    </row>
    <row r="56" spans="1:46" x14ac:dyDescent="0.2">
      <c r="A56" s="164">
        <v>100</v>
      </c>
      <c r="B56" s="164">
        <f>B55-5.24</f>
        <v>-15.24</v>
      </c>
      <c r="C56" s="164">
        <f>C55-27.8</f>
        <v>-47.8</v>
      </c>
      <c r="D56" s="55"/>
      <c r="E56" s="55"/>
      <c r="F56" s="55"/>
      <c r="G56" s="55"/>
      <c r="H56" s="55"/>
      <c r="I56" s="56"/>
      <c r="J56" s="55"/>
      <c r="K56" s="55"/>
      <c r="L56" s="55"/>
      <c r="M56" s="55"/>
      <c r="N56" s="55"/>
      <c r="O56" s="55"/>
      <c r="P56" s="55"/>
      <c r="Q56" s="55"/>
      <c r="R56" s="55"/>
      <c r="S56" s="56"/>
      <c r="T56" s="55"/>
      <c r="U56" s="55"/>
      <c r="V56" s="55"/>
    </row>
    <row r="57" spans="1:46" x14ac:dyDescent="0.2">
      <c r="A57" s="164">
        <v>120</v>
      </c>
      <c r="B57" s="164">
        <f>B55-4.53</f>
        <v>-14.530000000000001</v>
      </c>
      <c r="C57" s="164">
        <f>C55-21.5</f>
        <v>-41.5</v>
      </c>
      <c r="D57" s="55"/>
      <c r="E57" s="55"/>
      <c r="F57" s="55"/>
      <c r="G57" s="55"/>
      <c r="H57" s="55"/>
      <c r="I57" s="56"/>
      <c r="J57"/>
      <c r="K57"/>
      <c r="L57" s="55"/>
      <c r="M57" s="19"/>
      <c r="N57" s="19"/>
      <c r="O57" s="18"/>
      <c r="P57" s="55"/>
      <c r="Q57" s="55"/>
      <c r="R57" s="55"/>
      <c r="S57" s="56"/>
      <c r="T57" s="55"/>
      <c r="U57" s="56"/>
      <c r="V57" s="55"/>
    </row>
    <row r="58" spans="1:46" x14ac:dyDescent="0.2">
      <c r="A58" s="164">
        <v>140</v>
      </c>
      <c r="B58" s="164">
        <f>B55-3.91</f>
        <v>-13.91</v>
      </c>
      <c r="C58" s="164">
        <f>C55-16.3</f>
        <v>-36.299999999999997</v>
      </c>
      <c r="D58" s="55"/>
      <c r="E58" s="55"/>
      <c r="F58" s="55"/>
      <c r="G58" s="55"/>
      <c r="H58" s="55"/>
      <c r="I58" s="61"/>
      <c r="J58" s="62"/>
      <c r="K58" s="62"/>
      <c r="L58" s="60"/>
      <c r="M58" s="63"/>
      <c r="N58" s="62"/>
      <c r="O58" s="62"/>
      <c r="P58" s="64"/>
      <c r="Q58" s="64"/>
      <c r="R58" s="55"/>
      <c r="S58" s="55"/>
      <c r="T58" s="65"/>
      <c r="U58" s="66"/>
      <c r="V58" s="67"/>
    </row>
    <row r="59" spans="1:46" x14ac:dyDescent="0.2">
      <c r="A59" s="164">
        <v>160</v>
      </c>
      <c r="B59" s="164">
        <f>B55-3.37</f>
        <v>-13.370000000000001</v>
      </c>
      <c r="C59" s="164">
        <f>C55-11.7</f>
        <v>-31.7</v>
      </c>
      <c r="D59" s="52"/>
      <c r="E59" s="68"/>
      <c r="F59" s="48"/>
      <c r="G59" s="52"/>
      <c r="H59" s="52"/>
      <c r="I59" s="52"/>
      <c r="J59" s="69"/>
      <c r="K59" s="69"/>
      <c r="L59" s="69"/>
      <c r="M59" s="69"/>
      <c r="N59" s="69"/>
      <c r="O59" s="69"/>
      <c r="P59" s="64"/>
      <c r="Q59" s="64"/>
      <c r="R59" s="55"/>
      <c r="S59" s="64"/>
      <c r="T59" s="68"/>
      <c r="U59" s="19"/>
      <c r="V59" s="70"/>
    </row>
    <row r="60" spans="1:46" x14ac:dyDescent="0.2">
      <c r="A60" s="164">
        <v>180</v>
      </c>
      <c r="B60" s="164">
        <f>B55-2.9</f>
        <v>-12.9</v>
      </c>
      <c r="C60" s="164">
        <f>C55-7.4</f>
        <v>-27.4</v>
      </c>
      <c r="D60" s="52"/>
      <c r="E60" s="68"/>
      <c r="F60" s="48"/>
      <c r="G60" s="52"/>
      <c r="H60" s="52"/>
      <c r="I60" s="52"/>
      <c r="J60" s="69"/>
      <c r="K60" s="69"/>
      <c r="L60" s="69"/>
      <c r="M60" s="69"/>
      <c r="N60" s="69"/>
      <c r="O60" s="69"/>
      <c r="P60" s="64"/>
      <c r="Q60" s="64"/>
      <c r="R60" s="55"/>
      <c r="S60" s="64"/>
      <c r="T60" s="68"/>
      <c r="U60" s="19"/>
      <c r="V60" s="70"/>
    </row>
    <row r="61" spans="1:46" x14ac:dyDescent="0.2">
      <c r="A61" s="164">
        <v>200</v>
      </c>
      <c r="B61" s="164">
        <f>B55-2.48</f>
        <v>-12.48</v>
      </c>
      <c r="C61" s="164">
        <f>C55-3.5</f>
        <v>-23.5</v>
      </c>
      <c r="D61" s="52"/>
      <c r="E61" s="68"/>
      <c r="F61" s="48"/>
      <c r="G61" s="52"/>
      <c r="H61" s="52"/>
      <c r="I61" s="52"/>
      <c r="J61" s="69"/>
      <c r="K61" s="69"/>
      <c r="L61" s="69"/>
      <c r="M61" s="69"/>
      <c r="N61" s="69"/>
      <c r="O61" s="69"/>
      <c r="P61" s="64"/>
      <c r="Q61" s="64"/>
      <c r="R61" s="55"/>
      <c r="S61" s="64"/>
      <c r="T61" s="68"/>
      <c r="U61" s="19"/>
      <c r="V61" s="70"/>
      <c r="W61" s="40"/>
    </row>
    <row r="62" spans="1:46" x14ac:dyDescent="0.2">
      <c r="A62" s="164">
        <v>220</v>
      </c>
      <c r="B62" s="164">
        <f>B55-2.1</f>
        <v>-12.1</v>
      </c>
      <c r="C62" s="164">
        <f>C55-0.1</f>
        <v>-20.100000000000001</v>
      </c>
      <c r="D62" s="52"/>
      <c r="E62" s="68"/>
      <c r="F62" s="48"/>
      <c r="G62" s="52"/>
      <c r="H62" s="52"/>
      <c r="I62" s="52"/>
      <c r="J62" s="69"/>
      <c r="K62" s="69"/>
      <c r="L62" s="69"/>
      <c r="M62" s="69"/>
      <c r="N62" s="69"/>
      <c r="O62" s="69"/>
      <c r="P62" s="64"/>
      <c r="Q62" s="64"/>
      <c r="R62" s="55"/>
      <c r="S62" s="64"/>
      <c r="T62" s="68"/>
      <c r="U62" s="19"/>
      <c r="V62" s="70"/>
      <c r="W62" s="40"/>
    </row>
    <row r="63" spans="1:46" x14ac:dyDescent="0.2">
      <c r="A63" s="164">
        <v>240</v>
      </c>
      <c r="B63" s="164">
        <f>B55-1.77</f>
        <v>-11.77</v>
      </c>
      <c r="C63" s="164">
        <f>C55--2.2</f>
        <v>-17.8</v>
      </c>
      <c r="D63" s="52"/>
      <c r="E63" s="68"/>
      <c r="F63" s="48"/>
      <c r="G63" s="52"/>
      <c r="H63" s="52"/>
      <c r="I63" s="52"/>
      <c r="J63" s="69"/>
      <c r="K63" s="69"/>
      <c r="L63" s="69"/>
      <c r="M63" s="69"/>
      <c r="N63" s="69"/>
      <c r="O63" s="69"/>
      <c r="P63" s="64"/>
      <c r="Q63" s="64"/>
      <c r="R63" s="55"/>
      <c r="S63" s="64"/>
      <c r="T63" s="68"/>
      <c r="U63" s="19"/>
      <c r="V63" s="70"/>
      <c r="W63" s="40"/>
    </row>
    <row r="64" spans="1:46" x14ac:dyDescent="0.2">
      <c r="A64" s="164">
        <v>260</v>
      </c>
      <c r="B64" s="164">
        <f>B55-1.46</f>
        <v>-11.46</v>
      </c>
      <c r="C64" s="164">
        <f>C55--3.6</f>
        <v>-16.399999999999999</v>
      </c>
      <c r="D64" s="52"/>
      <c r="E64" s="68"/>
      <c r="F64" s="48"/>
      <c r="G64" s="52"/>
      <c r="H64" s="52"/>
      <c r="I64" s="52"/>
      <c r="J64" s="69"/>
      <c r="K64" s="69"/>
      <c r="L64" s="69"/>
      <c r="M64" s="69"/>
      <c r="N64" s="69"/>
      <c r="O64" s="69"/>
      <c r="P64" s="64"/>
      <c r="Q64" s="64"/>
      <c r="R64" s="55"/>
      <c r="S64" s="64"/>
      <c r="T64" s="68"/>
      <c r="U64" s="19"/>
      <c r="V64" s="70"/>
      <c r="W64" s="40"/>
    </row>
    <row r="65" spans="1:23" x14ac:dyDescent="0.2">
      <c r="A65" s="164">
        <v>280</v>
      </c>
      <c r="B65" s="164">
        <f>B55-1.19</f>
        <v>-11.19</v>
      </c>
      <c r="C65" s="164">
        <f>C55--4</f>
        <v>-16</v>
      </c>
      <c r="D65" s="52"/>
      <c r="E65" s="68"/>
      <c r="F65" s="48"/>
      <c r="G65" s="52"/>
      <c r="H65" s="52"/>
      <c r="I65" s="52"/>
      <c r="J65" s="69"/>
      <c r="K65" s="69"/>
      <c r="L65" s="69"/>
      <c r="M65" s="69"/>
      <c r="N65" s="69"/>
      <c r="O65" s="69"/>
      <c r="P65" s="64"/>
      <c r="Q65" s="64"/>
      <c r="R65" s="55"/>
      <c r="S65" s="64"/>
      <c r="T65" s="68"/>
      <c r="U65" s="19"/>
      <c r="V65" s="70"/>
      <c r="W65" s="40"/>
    </row>
    <row r="66" spans="1:23" x14ac:dyDescent="0.2">
      <c r="A66" s="164">
        <v>300</v>
      </c>
      <c r="B66" s="164">
        <f>B55-0.94</f>
        <v>-10.94</v>
      </c>
      <c r="C66" s="164">
        <f>C55+3.4</f>
        <v>-16.600000000000001</v>
      </c>
      <c r="D66" s="52"/>
      <c r="E66" s="68"/>
      <c r="F66" s="48"/>
      <c r="G66" s="52"/>
      <c r="H66" s="52"/>
      <c r="I66" s="52"/>
      <c r="J66" s="69"/>
      <c r="K66" s="69"/>
      <c r="L66" s="69"/>
      <c r="M66" s="69"/>
      <c r="N66" s="69"/>
      <c r="O66" s="69"/>
      <c r="P66" s="64"/>
      <c r="Q66" s="64"/>
      <c r="R66" s="55"/>
      <c r="S66" s="64"/>
      <c r="T66" s="68"/>
      <c r="U66" s="19"/>
      <c r="V66" s="70"/>
      <c r="W66" s="40"/>
    </row>
    <row r="67" spans="1:23" x14ac:dyDescent="0.2">
      <c r="A67" s="205" t="s">
        <v>73</v>
      </c>
      <c r="B67" s="158"/>
      <c r="C67" s="158"/>
      <c r="D67" s="52"/>
      <c r="E67" s="68"/>
      <c r="F67" s="48"/>
      <c r="G67" s="52"/>
      <c r="H67" s="52"/>
      <c r="I67" s="52"/>
      <c r="J67" s="69"/>
      <c r="K67" s="69"/>
      <c r="L67" s="69"/>
      <c r="M67" s="69"/>
      <c r="N67" s="69"/>
      <c r="O67" s="69"/>
      <c r="P67" s="64"/>
      <c r="Q67" s="64"/>
      <c r="R67" s="55"/>
      <c r="S67" s="64"/>
      <c r="T67" s="68"/>
      <c r="U67" s="19"/>
      <c r="V67" s="70"/>
    </row>
    <row r="68" spans="1:23" x14ac:dyDescent="0.2">
      <c r="A68" s="158"/>
      <c r="B68" s="207" t="s">
        <v>75</v>
      </c>
      <c r="C68" s="207" t="s">
        <v>71</v>
      </c>
      <c r="D68" s="52"/>
      <c r="E68" s="68"/>
      <c r="F68" s="48"/>
      <c r="G68" s="52"/>
      <c r="H68" s="52"/>
      <c r="I68" s="52"/>
      <c r="J68" s="69"/>
      <c r="K68" s="69"/>
      <c r="L68" s="69"/>
      <c r="M68" s="69"/>
      <c r="N68" s="69"/>
      <c r="O68" s="69"/>
      <c r="P68" s="64"/>
      <c r="Q68" s="64"/>
      <c r="R68" s="55"/>
      <c r="S68" s="64"/>
      <c r="T68" s="68"/>
      <c r="U68" s="19"/>
      <c r="V68" s="70"/>
    </row>
    <row r="69" spans="1:23" x14ac:dyDescent="0.2">
      <c r="A69" s="158"/>
      <c r="B69" s="205">
        <v>-1</v>
      </c>
      <c r="C69" s="205">
        <f>8*B69+10</f>
        <v>2</v>
      </c>
      <c r="D69" s="52"/>
      <c r="E69" s="68"/>
      <c r="F69" s="48"/>
      <c r="G69" s="52"/>
      <c r="H69" s="52"/>
      <c r="I69" s="52"/>
      <c r="J69" s="69"/>
      <c r="K69" s="69"/>
      <c r="L69" s="69"/>
      <c r="M69" s="69"/>
      <c r="N69" s="69"/>
      <c r="O69" s="69"/>
      <c r="P69" s="64"/>
      <c r="Q69" s="64"/>
      <c r="R69" s="55"/>
      <c r="S69" s="64"/>
      <c r="T69" s="68"/>
      <c r="U69" s="19"/>
      <c r="V69" s="70"/>
    </row>
    <row r="70" spans="1:23" x14ac:dyDescent="0.2">
      <c r="A70" s="158"/>
      <c r="B70" s="211">
        <f>Input!AF4</f>
        <v>-16</v>
      </c>
      <c r="C70" s="205">
        <f>8*B70+10</f>
        <v>-118</v>
      </c>
      <c r="D70" s="52"/>
      <c r="E70" s="68"/>
      <c r="F70" s="48"/>
      <c r="G70" s="52"/>
      <c r="H70" s="52"/>
      <c r="I70" s="52"/>
      <c r="J70" s="69"/>
      <c r="K70" s="69"/>
      <c r="L70" s="69"/>
      <c r="M70" s="69"/>
      <c r="N70" s="69"/>
      <c r="O70" s="69"/>
      <c r="P70" s="64"/>
      <c r="Q70" s="64"/>
      <c r="R70" s="71"/>
      <c r="S70" s="64"/>
      <c r="T70" s="68"/>
      <c r="U70" s="19"/>
      <c r="V70" s="70"/>
    </row>
    <row r="71" spans="1:23" x14ac:dyDescent="0.2">
      <c r="A71" s="158"/>
      <c r="B71" s="205">
        <v>-22</v>
      </c>
      <c r="C71" s="205">
        <f>8*B71+10</f>
        <v>-166</v>
      </c>
      <c r="D71" s="52"/>
      <c r="E71" s="68"/>
      <c r="F71" s="48"/>
      <c r="G71" s="52"/>
      <c r="H71" s="52"/>
      <c r="I71" s="52"/>
      <c r="J71" s="69"/>
      <c r="K71" s="69"/>
      <c r="L71" s="69"/>
      <c r="M71" s="69"/>
      <c r="N71" s="69"/>
      <c r="O71" s="69"/>
      <c r="P71" s="64"/>
      <c r="Q71" s="64"/>
      <c r="R71" s="71"/>
      <c r="S71" s="64"/>
      <c r="T71" s="68"/>
      <c r="U71" s="19"/>
      <c r="V71" s="70"/>
    </row>
    <row r="72" spans="1:23" x14ac:dyDescent="0.2">
      <c r="A72" s="206" t="s">
        <v>74</v>
      </c>
      <c r="B72" s="143"/>
      <c r="C72" s="143"/>
      <c r="D72" s="52"/>
      <c r="E72" s="68"/>
      <c r="F72" s="48"/>
      <c r="G72" s="52"/>
      <c r="H72" s="52"/>
      <c r="I72" s="52"/>
      <c r="J72" s="69"/>
      <c r="K72" s="69"/>
      <c r="L72" s="69"/>
      <c r="M72" s="69"/>
      <c r="N72" s="69"/>
      <c r="O72" s="69"/>
      <c r="P72" s="64"/>
      <c r="Q72" s="64"/>
      <c r="R72" s="71"/>
      <c r="S72" s="64"/>
      <c r="T72" s="68"/>
      <c r="U72" s="19"/>
      <c r="V72" s="70"/>
    </row>
    <row r="73" spans="1:23" x14ac:dyDescent="0.2">
      <c r="A73" s="143"/>
      <c r="B73" s="206">
        <v>8</v>
      </c>
      <c r="C73" s="206">
        <v>-10</v>
      </c>
    </row>
    <row r="74" spans="1:23" x14ac:dyDescent="0.2">
      <c r="A74" s="143"/>
      <c r="B74" s="206">
        <v>8</v>
      </c>
      <c r="C74" s="206">
        <v>-30</v>
      </c>
    </row>
    <row r="75" spans="1:23" x14ac:dyDescent="0.2">
      <c r="A75" s="143"/>
      <c r="B75" s="143">
        <v>10</v>
      </c>
      <c r="C75" s="143">
        <v>-30</v>
      </c>
    </row>
    <row r="76" spans="1:23" x14ac:dyDescent="0.2">
      <c r="A76" s="143"/>
      <c r="B76" s="143">
        <v>10</v>
      </c>
      <c r="C76" s="143">
        <v>-10</v>
      </c>
    </row>
    <row r="77" spans="1:23" x14ac:dyDescent="0.2">
      <c r="A77" s="143"/>
      <c r="B77" s="143">
        <v>8</v>
      </c>
      <c r="C77" s="143">
        <v>-10</v>
      </c>
    </row>
  </sheetData>
  <mergeCells count="8">
    <mergeCell ref="J29:N29"/>
    <mergeCell ref="H29:I29"/>
    <mergeCell ref="O29:R29"/>
    <mergeCell ref="AK1:AO1"/>
    <mergeCell ref="Q1:U1"/>
    <mergeCell ref="V1:Z1"/>
    <mergeCell ref="AA1:AE1"/>
    <mergeCell ref="AF1:AJ1"/>
  </mergeCells>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W38"/>
  <sheetViews>
    <sheetView showZeros="0" zoomScale="75" workbookViewId="0">
      <selection activeCell="S21" sqref="S21"/>
    </sheetView>
  </sheetViews>
  <sheetFormatPr defaultRowHeight="12.75" x14ac:dyDescent="0.2"/>
  <cols>
    <col min="1" max="1" width="23.140625" customWidth="1"/>
    <col min="2" max="2" width="12.85546875" customWidth="1"/>
    <col min="3" max="3" width="13.5703125" customWidth="1"/>
    <col min="4" max="5" width="14" customWidth="1"/>
    <col min="6" max="6" width="13" customWidth="1"/>
    <col min="7" max="7" width="12.5703125" customWidth="1"/>
    <col min="8" max="8" width="16.7109375" hidden="1" customWidth="1"/>
    <col min="9" max="10" width="9" hidden="1" customWidth="1"/>
    <col min="11" max="11" width="11" customWidth="1"/>
    <col min="12" max="12" width="9.7109375" hidden="1" customWidth="1"/>
    <col min="13" max="14" width="8.42578125" hidden="1" customWidth="1"/>
    <col min="15" max="15" width="10.7109375" customWidth="1"/>
    <col min="16" max="16" width="12.85546875" customWidth="1"/>
    <col min="17" max="17" width="12" customWidth="1"/>
    <col min="18" max="18" width="15" customWidth="1"/>
    <col min="19" max="19" width="13" customWidth="1"/>
    <col min="20" max="20" width="16.42578125" customWidth="1"/>
    <col min="21" max="21" width="13.7109375" customWidth="1"/>
    <col min="22" max="22" width="15.7109375" customWidth="1"/>
    <col min="23" max="23" width="10.85546875" style="74" customWidth="1"/>
    <col min="24" max="24" width="9.28515625" bestFit="1" customWidth="1"/>
  </cols>
  <sheetData>
    <row r="4" spans="1:23" ht="24" customHeight="1" x14ac:dyDescent="0.3">
      <c r="A4" s="81" t="s">
        <v>121</v>
      </c>
    </row>
    <row r="5" spans="1:23" x14ac:dyDescent="0.2">
      <c r="A5" t="s">
        <v>174</v>
      </c>
    </row>
    <row r="6" spans="1:23" ht="14.25" customHeight="1" thickBot="1" x14ac:dyDescent="0.25"/>
    <row r="7" spans="1:23" ht="43.5" customHeight="1" x14ac:dyDescent="0.25">
      <c r="A7" s="75" t="str">
        <f>Input!A7</f>
        <v>Sample Name</v>
      </c>
      <c r="B7" s="79" t="s">
        <v>119</v>
      </c>
      <c r="C7" s="79" t="s">
        <v>203</v>
      </c>
      <c r="D7" s="79" t="s">
        <v>204</v>
      </c>
      <c r="E7" s="79" t="s">
        <v>205</v>
      </c>
      <c r="F7" s="79" t="s">
        <v>206</v>
      </c>
      <c r="G7" s="79" t="s">
        <v>167</v>
      </c>
      <c r="H7" s="79" t="s">
        <v>163</v>
      </c>
      <c r="I7" s="79" t="s">
        <v>164</v>
      </c>
      <c r="J7" s="79" t="s">
        <v>165</v>
      </c>
      <c r="K7" s="79" t="s">
        <v>120</v>
      </c>
      <c r="L7" s="79" t="s">
        <v>143</v>
      </c>
      <c r="M7" s="79" t="s">
        <v>142</v>
      </c>
      <c r="N7" s="79" t="s">
        <v>141</v>
      </c>
      <c r="O7" s="79" t="s">
        <v>140</v>
      </c>
      <c r="P7" s="79" t="s">
        <v>207</v>
      </c>
      <c r="Q7" s="79" t="s">
        <v>208</v>
      </c>
      <c r="R7" s="79" t="s">
        <v>209</v>
      </c>
      <c r="S7" s="79" t="s">
        <v>210</v>
      </c>
      <c r="T7" s="79" t="s">
        <v>211</v>
      </c>
      <c r="U7" s="79" t="s">
        <v>212</v>
      </c>
      <c r="V7" s="80" t="s">
        <v>213</v>
      </c>
      <c r="W7" s="228"/>
    </row>
    <row r="8" spans="1:23" x14ac:dyDescent="0.2">
      <c r="A8" s="76" t="str">
        <f ca="1">INDIRECT("Input!R"&amp;CELL("row",A9)&amp;"C"&amp;CELL("col",A9),FALSE)</f>
        <v>San Diego County Warner Hot Springs</v>
      </c>
      <c r="B8" s="77">
        <f ca="1">IF(Input!AT8=0, 0, 731/(4.52-LOG(Input!AT8))-273.15)</f>
        <v>0</v>
      </c>
      <c r="C8" s="77">
        <f ca="1">IF(Input!AT8=0,0,1000/(4.78-LOG(Input!$AT8))-273.15)</f>
        <v>0</v>
      </c>
      <c r="D8" s="77">
        <f ca="1">IF(Input!AT8=0,0,781/(4.51-LOG(Input!$AT8))-273.15)</f>
        <v>0</v>
      </c>
      <c r="E8" s="77">
        <f ca="1">IF(Input!AT8=0,0,1032/(4.69-LOG(Input!$AT8))-273.15)</f>
        <v>0</v>
      </c>
      <c r="F8" s="77">
        <f ca="1">IF(Input!AT8=0,0, 0.00000031665*Input!AT8^3 - 0.00036686* Input!AT8^2 + 0.28831* Input!AT8 + 77.034 *LOG(Input!AT8) - 42.198)</f>
        <v>0</v>
      </c>
      <c r="G8" s="77">
        <f ca="1">IF(Input!AT8=0,0,1522/(5.75-LOG(Input!AT8))-273.15)</f>
        <v>0</v>
      </c>
      <c r="H8" s="220" t="e">
        <f ca="1">LOG(Input!$AR8^0.5/Input!$AP8)+2.06</f>
        <v>#DIV/0!</v>
      </c>
      <c r="I8" s="77">
        <f ca="1">IF(Input!AO8=0,0,1647/(LOG(Input!$AP8/Input!$AQ8)+1.333*(LOG(Input!$AR8^0.5/Input!$AP8)+2.06)+2.47)-273.15)</f>
        <v>0</v>
      </c>
      <c r="J8" s="221" t="e">
        <f ca="1">IF(AND(H8&gt;0, I8&lt;100), 1.333, 0.333)</f>
        <v>#DIV/0!</v>
      </c>
      <c r="K8" s="77">
        <f ca="1">IF(Input!AP8=0,0,1647/(LOG(Input!$AP8/Input!$AQ8)+J8*(LOG(Input!$AR8^0.5/Input!$AP8)+2.06)+2.47)-273.15)</f>
        <v>0</v>
      </c>
      <c r="L8" s="220">
        <f ca="1">IF(Input!AP8=0,0,100*(0.08226*Input!AS8/(0.08226*Input!AS8+0.0499*Input!AR8+0.02557*Input!AQ8)))</f>
        <v>0</v>
      </c>
      <c r="M8" s="220">
        <f ca="1">IF(L8=0,0,IF(L8&lt;1.5,0.01,(-1.03+59.971*LOG(L8)+145.05*((LOG(L8))^2)-36711*((LOG(L8))^2)/(K8+273)-16700000*LOG(L8)/((K8+273)^2))))</f>
        <v>0</v>
      </c>
      <c r="N8" s="220">
        <f ca="1">IF(L8=0,0,IF(L8&lt;1.5,0.01,(10.66-4.7415*(L8)+325.87*(LOG(L8))^2-103200*((LOG(L8))^2)/(K8+273)-19680000*((LOG(L8))^2)/((K8+273)^2)+16050000*((LOG(L8))^3)/((K8+273)^2))))</f>
        <v>0</v>
      </c>
      <c r="O8" s="77">
        <f ca="1">IF(K8=0,0,IF(L8&lt;5,IF(M8&lt;0,K8,K8-M8),IF(N8&lt;0,K8,K8-N8)))</f>
        <v>0</v>
      </c>
      <c r="P8" s="77">
        <f ca="1">IF(Input!$AP8=0,0,1217/(LOG(Input!$AP8/Input!$AQ8)+1.483)-273.15)</f>
        <v>0</v>
      </c>
      <c r="Q8" s="77">
        <f ca="1">IF(Input!$AP8=0,0,855.6/(LOG(Input!$AP8/Input!$AQ8)+0.8573)-273.15)</f>
        <v>0</v>
      </c>
      <c r="R8" s="77">
        <f ca="1">IF(Input!$AP8=0,0,1390/(1.75-LOG(Input!$AQ8/Input!$AP8))-273.15)</f>
        <v>0</v>
      </c>
      <c r="S8" s="77">
        <f ca="1">IF(Input!$AP8=0,0,883/(0.78-LOG(Input!$AQ8/Input!$AP8))-273.15)</f>
        <v>0</v>
      </c>
      <c r="T8" s="77">
        <f ca="1">IF(Input!$AP8=0,0,1178/(1.47-LOG(Input!$AQ8/Input!$AP8))-273.15)</f>
        <v>0</v>
      </c>
      <c r="U8" s="77">
        <f ca="1">IF(Input!$AP8=0,0,933/(0.993-LOG(Input!$AQ8/Input!$AP8))-273.15)</f>
        <v>0</v>
      </c>
      <c r="V8" s="231">
        <f ca="1">IF(Input!AQ8=0,0,4410/(13.95-LOG(Input!AQ8^2/Input!AS8))-273.15)</f>
        <v>0</v>
      </c>
      <c r="W8" s="229"/>
    </row>
    <row r="9" spans="1:23" x14ac:dyDescent="0.2">
      <c r="A9" s="76" t="str">
        <f t="shared" ref="A9:A37" ca="1" si="0">INDIRECT("Input!R"&amp;CELL("row",A10)&amp;"C"&amp;CELL("col",A10),FALSE)</f>
        <v>San Bernardino County Waterman Hot Spring</v>
      </c>
      <c r="B9" s="77">
        <f ca="1">IF(Input!AT9=0, 0, 731/(4.52-LOG(Input!AT9))-273.15)</f>
        <v>0</v>
      </c>
      <c r="C9" s="77">
        <f ca="1">IF(Input!AT9=0,0,1000/(4.78-LOG(Input!$AT9))-273.15)</f>
        <v>0</v>
      </c>
      <c r="D9" s="77">
        <f ca="1">IF(Input!AT9=0,0,781/(4.51-LOG(Input!$AT9))-273.15)</f>
        <v>0</v>
      </c>
      <c r="E9" s="77">
        <f ca="1">IF(Input!AT9=0,0,1032/(4.69-LOG(Input!AT9))-273.15)</f>
        <v>0</v>
      </c>
      <c r="F9" s="77">
        <f ca="1">IF(Input!AT9=0,0, 0.00000031665*Input!AT9^3 - 0.00036686* Input!AT9^2 + 0.28831* Input!AT9 + 77.034 *LOG(Input!AT9) - 42.198)</f>
        <v>0</v>
      </c>
      <c r="G9" s="77">
        <f ca="1">IF(Input!AT9=0,0,1522/(5.75-LOG(Input!AT9))-273.15)</f>
        <v>0</v>
      </c>
      <c r="H9" s="220" t="e">
        <f ca="1">LOG(Input!$AR9^0.5/Input!$AP9)+2.06</f>
        <v>#DIV/0!</v>
      </c>
      <c r="I9" s="77">
        <f ca="1">IF(Input!AO9=0,0,1647/(LOG(Input!$AP9/Input!$AQ9)+1.333*(LOG(Input!$AR9^0.5/Input!$AP9)+2.06)+2.47)-273.15)</f>
        <v>0</v>
      </c>
      <c r="J9" s="221" t="e">
        <f t="shared" ref="J9:J37" ca="1" si="1">IF(AND(H9&gt;0, I9&lt;100), 1.333, 0.333)</f>
        <v>#DIV/0!</v>
      </c>
      <c r="K9" s="77">
        <f ca="1">IF(Input!AP9=0,0,1647/(LOG(Input!$AP9/Input!$AQ9)+J9*(LOG(Input!$AR9^0.5/Input!$AP9)+2.06)+2.47)-273.15)</f>
        <v>0</v>
      </c>
      <c r="L9" s="220">
        <f ca="1">IF(Input!AP9=0,0,100*(0.08226*Input!AS9/(0.08226*Input!AS9+0.0499*Input!AR9+0.02557*Input!AQ9)))</f>
        <v>0</v>
      </c>
      <c r="M9" s="220">
        <f t="shared" ref="M9:M37" ca="1" si="2">IF(L9=0,0,IF(L9&lt;1.5,0.01,(-1.03+59.971*LOG(L9)+145.05*((LOG(L9))^2)-36711*((LOG(L9))^2)/(K9+273)-16700000*LOG(L9)/((K9+273)^2))))</f>
        <v>0</v>
      </c>
      <c r="N9" s="220">
        <f t="shared" ref="N9:N37" ca="1" si="3">IF(L9=0,0,IF(L9&lt;1.5,0.01,(10.66-4.7415*(L9)+325.87*(LOG(L9))^2-103200*((LOG(L9))^2)/(K9+273)-19680000*((LOG(L9))^2)/((K9+273)^2)+16050000*((LOG(L9))^3)/((K9+273)^2))))</f>
        <v>0</v>
      </c>
      <c r="O9" s="77">
        <f t="shared" ref="O9:O37" ca="1" si="4">IF(K9=0,0,IF(L9&lt;5,IF(M9&lt;0,K9,K9-M9),IF(N9&lt;0,K9,K9-N9)))</f>
        <v>0</v>
      </c>
      <c r="P9" s="77">
        <f ca="1">IF(Input!$AP9=0,0,1217/(LOG(Input!$AP9/Input!$AQ9)+1.483)-273.15)</f>
        <v>0</v>
      </c>
      <c r="Q9" s="77">
        <f ca="1">IF(Input!$AP9=0,0,855.6/(LOG(Input!$AP9/Input!$AQ9)+0.8573)-273.15)</f>
        <v>0</v>
      </c>
      <c r="R9" s="77">
        <f ca="1">IF(Input!AP9=0,0,1390/(1.75-LOG(Input!AQ9/Input!AP9))-273.15)</f>
        <v>0</v>
      </c>
      <c r="S9" s="77">
        <f ca="1">IF(Input!$AP9=0,0,883/(0.78-LOG(Input!$AQ9/Input!$AP9))-273.15)</f>
        <v>0</v>
      </c>
      <c r="T9" s="77">
        <f ca="1">IF(Input!$AP9=0,0,1178/(1.47-LOG(Input!$AQ9/Input!$AP9))-273.15)</f>
        <v>0</v>
      </c>
      <c r="U9" s="77">
        <f ca="1">IF(Input!$AP9=0,0,933/(0.993-LOG(Input!$AQ9/Input!$AP9))-273.15)</f>
        <v>0</v>
      </c>
      <c r="V9" s="231">
        <f ca="1">IF(Input!AQ9=0,0,4410/(13.95-LOG(Input!AQ9^2/Input!AS9))-273.15)</f>
        <v>0</v>
      </c>
      <c r="W9" s="229"/>
    </row>
    <row r="10" spans="1:23" x14ac:dyDescent="0.2">
      <c r="A10" s="76" t="str">
        <f t="shared" ca="1" si="0"/>
        <v>Lassen County Wendel Hot Springs</v>
      </c>
      <c r="B10" s="77">
        <f ca="1">IF(Input!AT10=0, 0, 731/(4.52-LOG(Input!AT10))-273.15)</f>
        <v>0</v>
      </c>
      <c r="C10" s="77">
        <f ca="1">IF(Input!AT10=0,0,1000/(4.78-LOG(Input!$AT10))-273.15)</f>
        <v>0</v>
      </c>
      <c r="D10" s="77">
        <f ca="1">IF(Input!AT10=0,0,781/(4.51-LOG(Input!$AT10))-273.15)</f>
        <v>0</v>
      </c>
      <c r="E10" s="77">
        <f ca="1">IF(Input!AT10=0,0,1032/(4.69-LOG(Input!AT10))-273.15)</f>
        <v>0</v>
      </c>
      <c r="F10" s="77">
        <f ca="1">IF(Input!AT10=0,0, 0.00000031665*Input!AT10^3 - 0.00036686* Input!AT10^2 + 0.28831* Input!AT10 + 77.034 *LOG(Input!AT10) - 42.198)</f>
        <v>0</v>
      </c>
      <c r="G10" s="77">
        <f ca="1">IF(Input!AT10=0,0,1522/(5.75-LOG(Input!AT10))-273.15)</f>
        <v>0</v>
      </c>
      <c r="H10" s="220" t="e">
        <f ca="1">LOG(Input!$AR10^0.5/Input!$AP10)+2.06</f>
        <v>#DIV/0!</v>
      </c>
      <c r="I10" s="77">
        <f ca="1">IF(Input!AO10=0,0,1647/(LOG(Input!$AP10/Input!$AQ10)+1.333*(LOG(Input!$AR10^0.5/Input!$AP10)+2.06)+2.47)-273.15)</f>
        <v>0</v>
      </c>
      <c r="J10" s="221" t="e">
        <f t="shared" ca="1" si="1"/>
        <v>#DIV/0!</v>
      </c>
      <c r="K10" s="77">
        <f ca="1">IF(Input!AP10=0,0,1647/(LOG(Input!$AP10/Input!$AQ10)+J10*(LOG(Input!$AR10^0.5/Input!$AP10)+2.06)+2.47)-273.15)</f>
        <v>0</v>
      </c>
      <c r="L10" s="220">
        <f ca="1">IF(Input!AP10=0,0,100*(0.08226*Input!AS10/(0.08226*Input!AS10+0.0499*Input!AR10+0.02557*Input!AQ10)))</f>
        <v>0</v>
      </c>
      <c r="M10" s="220">
        <f t="shared" ca="1" si="2"/>
        <v>0</v>
      </c>
      <c r="N10" s="220">
        <f t="shared" ca="1" si="3"/>
        <v>0</v>
      </c>
      <c r="O10" s="77">
        <f t="shared" ca="1" si="4"/>
        <v>0</v>
      </c>
      <c r="P10" s="77">
        <f ca="1">IF(Input!$AP10=0,0,1217/(LOG(Input!$AP10/Input!$AQ10)+1.483)-273.15)</f>
        <v>0</v>
      </c>
      <c r="Q10" s="77">
        <f ca="1">IF(Input!$AP10=0,0,855.6/(LOG(Input!$AP10/Input!$AQ10)+0.8573)-273.15)</f>
        <v>0</v>
      </c>
      <c r="R10" s="77">
        <f ca="1">IF(Input!AP10=0,0,1390/(1.75-LOG(Input!AQ10/Input!AP10))-273.15)</f>
        <v>0</v>
      </c>
      <c r="S10" s="77">
        <f ca="1">IF(Input!$AP10=0,0,883/(0.78-LOG(Input!$AQ10/Input!$AP10))-273.15)</f>
        <v>0</v>
      </c>
      <c r="T10" s="77">
        <f ca="1">IF(Input!$AP10=0,0,1178/(1.47-LOG(Input!$AQ10/Input!$AP10))-273.15)</f>
        <v>0</v>
      </c>
      <c r="U10" s="77">
        <f ca="1">IF(Input!$AP10=0,0,933/(0.993-LOG(Input!$AQ10/Input!$AP10))-273.15)</f>
        <v>0</v>
      </c>
      <c r="V10" s="231">
        <f ca="1">IF(Input!AQ10=0,0,4410/(13.95-LOG(Input!AQ10^2/Input!AS10))-273.15)</f>
        <v>0</v>
      </c>
      <c r="W10" s="229"/>
    </row>
    <row r="11" spans="1:23" x14ac:dyDescent="0.2">
      <c r="A11" s="76" t="str">
        <f t="shared" ca="1" si="0"/>
        <v>Ventura County Wheelers Hot Springs</v>
      </c>
      <c r="B11" s="77">
        <f ca="1">IF(Input!AT11=0, 0, 731/(4.52-LOG(Input!AT11))-273.15)</f>
        <v>0</v>
      </c>
      <c r="C11" s="77">
        <f ca="1">IF(Input!AT11=0,0,1000/(4.78-LOG(Input!$AT11))-273.15)</f>
        <v>0</v>
      </c>
      <c r="D11" s="77">
        <f ca="1">IF(Input!AT11=0,0,781/(4.51-LOG(Input!$AT11))-273.15)</f>
        <v>0</v>
      </c>
      <c r="E11" s="77">
        <f ca="1">IF(Input!AT11=0,0,1032/(4.69-LOG(Input!AT11))-273.15)</f>
        <v>0</v>
      </c>
      <c r="F11" s="77">
        <f ca="1">IF(Input!AT11=0,0, 0.00000031665*Input!AT11^3 - 0.00036686* Input!AT11^2 + 0.28831* Input!AT11 + 77.034 *LOG(Input!AT11) - 42.198)</f>
        <v>0</v>
      </c>
      <c r="G11" s="77">
        <f ca="1">IF(Input!AT11=0,0,1522/(5.75-LOG(Input!AT11))-273.15)</f>
        <v>0</v>
      </c>
      <c r="H11" s="220" t="e">
        <f ca="1">LOG(Input!$AR11^0.5/Input!$AP11)+2.06</f>
        <v>#DIV/0!</v>
      </c>
      <c r="I11" s="77">
        <f ca="1">IF(Input!AO11=0,0,1647/(LOG(Input!$AP11/Input!$AQ11)+1.333*(LOG(Input!$AR11^0.5/Input!$AP11)+2.06)+2.47)-273.15)</f>
        <v>0</v>
      </c>
      <c r="J11" s="221" t="e">
        <f t="shared" ca="1" si="1"/>
        <v>#DIV/0!</v>
      </c>
      <c r="K11" s="77">
        <f ca="1">IF(Input!AP11=0,0,1647/(LOG(Input!$AP11/Input!$AQ11)+J11*(LOG(Input!$AR11^0.5/Input!$AP11)+2.06)+2.47)-273.15)</f>
        <v>0</v>
      </c>
      <c r="L11" s="220">
        <f ca="1">IF(Input!AP11=0,0,100*(0.08226*Input!AS11/(0.08226*Input!AS11+0.0499*Input!AR11+0.02557*Input!AQ11)))</f>
        <v>0</v>
      </c>
      <c r="M11" s="220">
        <f t="shared" ca="1" si="2"/>
        <v>0</v>
      </c>
      <c r="N11" s="220">
        <f t="shared" ca="1" si="3"/>
        <v>0</v>
      </c>
      <c r="O11" s="77">
        <f t="shared" ca="1" si="4"/>
        <v>0</v>
      </c>
      <c r="P11" s="77">
        <f ca="1">IF(Input!$AP11=0,0,1217/(LOG(Input!$AP11/Input!$AQ11)+1.483)-273.15)</f>
        <v>0</v>
      </c>
      <c r="Q11" s="77">
        <f ca="1">IF(Input!$AP11=0,0,855.6/(LOG(Input!$AP11/Input!$AQ11)+0.8573)-273.15)</f>
        <v>0</v>
      </c>
      <c r="R11" s="77">
        <f ca="1">IF(Input!AP11=0,0,1390/(1.75-LOG(Input!AQ11/Input!AP11))-273.15)</f>
        <v>0</v>
      </c>
      <c r="S11" s="77">
        <f ca="1">IF(Input!$AP11=0,0,883/(0.78-LOG(Input!$AQ11/Input!$AP11))-273.15)</f>
        <v>0</v>
      </c>
      <c r="T11" s="77">
        <f ca="1">IF(Input!$AP11=0,0,1178/(1.47-LOG(Input!$AQ11/Input!$AP11))-273.15)</f>
        <v>0</v>
      </c>
      <c r="U11" s="77">
        <f ca="1">IF(Input!$AP11=0,0,933/(0.993-LOG(Input!$AQ11/Input!$AP11))-273.15)</f>
        <v>0</v>
      </c>
      <c r="V11" s="231">
        <f ca="1">IF(Input!AQ11=0,0,4410/(13.95-LOG(Input!AQ11^2/Input!AS11))-273.15)</f>
        <v>0</v>
      </c>
      <c r="W11" s="229"/>
    </row>
    <row r="12" spans="1:23" x14ac:dyDescent="0.2">
      <c r="A12" s="76" t="str">
        <f t="shared" ca="1" si="0"/>
        <v>Napa County White Sulfur Springs</v>
      </c>
      <c r="B12" s="77">
        <f ca="1">IF(Input!AT12=0, 0, 731/(4.52-LOG(Input!AT12))-273.15)</f>
        <v>0</v>
      </c>
      <c r="C12" s="77">
        <f ca="1">IF(Input!AT12=0,0,1000/(4.78-LOG(Input!$AT12))-273.15)</f>
        <v>0</v>
      </c>
      <c r="D12" s="77">
        <f ca="1">IF(Input!AT12=0,0,781/(4.51-LOG(Input!$AT12))-273.15)</f>
        <v>0</v>
      </c>
      <c r="E12" s="77">
        <f ca="1">IF(Input!AT12=0,0,1032/(4.69-LOG(Input!AT12))-273.15)</f>
        <v>0</v>
      </c>
      <c r="F12" s="77">
        <f ca="1">IF(Input!AT12=0,0, 0.00000031665*Input!AT12^3 - 0.00036686* Input!AT12^2 + 0.28831* Input!AT12 + 77.034 *LOG(Input!AT12) - 42.198)</f>
        <v>0</v>
      </c>
      <c r="G12" s="77">
        <f ca="1">IF(Input!AT12=0,0,1522/(5.75-LOG(Input!AT12))-273.15)</f>
        <v>0</v>
      </c>
      <c r="H12" s="220" t="e">
        <f ca="1">LOG(Input!$AR12^0.5/Input!$AP12)+2.06</f>
        <v>#DIV/0!</v>
      </c>
      <c r="I12" s="77">
        <f ca="1">IF(Input!AO12=0,0,1647/(LOG(Input!$AP12/Input!$AQ12)+1.333*(LOG(Input!$AR12^0.5/Input!$AP12)+2.06)+2.47)-273.15)</f>
        <v>0</v>
      </c>
      <c r="J12" s="221" t="e">
        <f t="shared" ca="1" si="1"/>
        <v>#DIV/0!</v>
      </c>
      <c r="K12" s="77">
        <f ca="1">IF(Input!AP12=0,0,1647/(LOG(Input!$AP12/Input!$AQ12)+J12*(LOG(Input!$AR12^0.5/Input!$AP12)+2.06)+2.47)-273.15)</f>
        <v>0</v>
      </c>
      <c r="L12" s="220">
        <f ca="1">IF(Input!AP12=0,0,100*(0.08226*Input!AS12/(0.08226*Input!AS12+0.0499*Input!AR12+0.02557*Input!AQ12)))</f>
        <v>0</v>
      </c>
      <c r="M12" s="220">
        <f t="shared" ca="1" si="2"/>
        <v>0</v>
      </c>
      <c r="N12" s="220">
        <f t="shared" ca="1" si="3"/>
        <v>0</v>
      </c>
      <c r="O12" s="77">
        <f t="shared" ca="1" si="4"/>
        <v>0</v>
      </c>
      <c r="P12" s="77">
        <f ca="1">IF(Input!$AP12=0,0,1217/(LOG(Input!$AP12/Input!$AQ12)+1.483)-273.15)</f>
        <v>0</v>
      </c>
      <c r="Q12" s="77">
        <f ca="1">IF(Input!$AP12=0,0,855.6/(LOG(Input!$AP12/Input!$AQ12)+0.8573)-273.15)</f>
        <v>0</v>
      </c>
      <c r="R12" s="77">
        <f ca="1">IF(Input!AP12=0,0,1390/(1.75-LOG(Input!AQ12/Input!AP12))-273.15)</f>
        <v>0</v>
      </c>
      <c r="S12" s="77">
        <f ca="1">IF(Input!$AP12=0,0,883/(0.78-LOG(Input!$AQ12/Input!$AP12))-273.15)</f>
        <v>0</v>
      </c>
      <c r="T12" s="77">
        <f ca="1">IF(Input!$AP12=0,0,1178/(1.47-LOG(Input!$AQ12/Input!$AP12))-273.15)</f>
        <v>0</v>
      </c>
      <c r="U12" s="77">
        <f ca="1">IF(Input!$AP12=0,0,933/(0.993-LOG(Input!$AQ12/Input!$AP12))-273.15)</f>
        <v>0</v>
      </c>
      <c r="V12" s="231">
        <f ca="1">IF(Input!AQ12=0,0,4410/(13.95-LOG(Input!AQ12^2/Input!AS12))-273.15)</f>
        <v>0</v>
      </c>
      <c r="W12" s="229"/>
    </row>
    <row r="13" spans="1:23" x14ac:dyDescent="0.2">
      <c r="A13" s="76" t="str">
        <f t="shared" ca="1" si="0"/>
        <v>Mono County Buckeye Hot Springs</v>
      </c>
      <c r="B13" s="77">
        <f ca="1">IF(Input!AT13=0, 0, 731/(4.52-LOG(Input!AT13))-273.15)</f>
        <v>0</v>
      </c>
      <c r="C13" s="77">
        <f ca="1">IF(Input!AT13=0,0,1000/(4.78-LOG(Input!$AT13))-273.15)</f>
        <v>0</v>
      </c>
      <c r="D13" s="77">
        <f ca="1">IF(Input!AT13=0,0,781/(4.51-LOG(Input!$AT13))-273.15)</f>
        <v>0</v>
      </c>
      <c r="E13" s="77">
        <f ca="1">IF(Input!AT13=0,0,1032/(4.69-LOG(Input!AT13))-273.15)</f>
        <v>0</v>
      </c>
      <c r="F13" s="77">
        <f ca="1">IF(Input!AT13=0,0, 0.00000031665*Input!AT13^3 - 0.00036686* Input!AT13^2 + 0.28831* Input!AT13 + 77.034 *LOG(Input!AT13) - 42.198)</f>
        <v>0</v>
      </c>
      <c r="G13" s="77">
        <f ca="1">IF(Input!AT13=0,0,1522/(5.75-LOG(Input!AT13))-273.15)</f>
        <v>0</v>
      </c>
      <c r="H13" s="220" t="e">
        <f ca="1">LOG(Input!$AR13^0.5/Input!$AP13)+2.06</f>
        <v>#DIV/0!</v>
      </c>
      <c r="I13" s="77">
        <f ca="1">IF(Input!AO13=0,0,1647/(LOG(Input!$AP13/Input!$AQ13)+1.333*(LOG(Input!$AR13^0.5/Input!$AP13)+2.06)+2.47)-273.15)</f>
        <v>0</v>
      </c>
      <c r="J13" s="221" t="e">
        <f t="shared" ca="1" si="1"/>
        <v>#DIV/0!</v>
      </c>
      <c r="K13" s="77">
        <f ca="1">IF(Input!AP13=0,0,1647/(LOG(Input!$AP13/Input!$AQ13)+J13*(LOG(Input!$AR13^0.5/Input!$AP13)+2.06)+2.47)-273.15)</f>
        <v>0</v>
      </c>
      <c r="L13" s="220">
        <f ca="1">IF(Input!AP13=0,0,100*(0.08226*Input!AS13/(0.08226*Input!AS13+0.0499*Input!AR13+0.02557*Input!AQ13)))</f>
        <v>0</v>
      </c>
      <c r="M13" s="220">
        <f t="shared" ca="1" si="2"/>
        <v>0</v>
      </c>
      <c r="N13" s="220">
        <f t="shared" ca="1" si="3"/>
        <v>0</v>
      </c>
      <c r="O13" s="77">
        <f t="shared" ca="1" si="4"/>
        <v>0</v>
      </c>
      <c r="P13" s="77">
        <f ca="1">IF(Input!$AP13=0,0,1217/(LOG(Input!$AP13/Input!$AQ13)+1.483)-273.15)</f>
        <v>0</v>
      </c>
      <c r="Q13" s="77">
        <f ca="1">IF(Input!$AP13=0,0,855.6/(LOG(Input!$AP13/Input!$AQ13)+0.8573)-273.15)</f>
        <v>0</v>
      </c>
      <c r="R13" s="77">
        <f ca="1">IF(Input!AP13=0,0,1390/(1.75-LOG(Input!AQ13/Input!AP13))-273.15)</f>
        <v>0</v>
      </c>
      <c r="S13" s="77">
        <f ca="1">IF(Input!$AP13=0,0,883/(0.78-LOG(Input!$AQ13/Input!$AP13))-273.15)</f>
        <v>0</v>
      </c>
      <c r="T13" s="77">
        <f ca="1">IF(Input!$AP13=0,0,1178/(1.47-LOG(Input!$AQ13/Input!$AP13))-273.15)</f>
        <v>0</v>
      </c>
      <c r="U13" s="77">
        <f ca="1">IF(Input!$AP13=0,0,933/(0.993-LOG(Input!$AQ13/Input!$AP13))-273.15)</f>
        <v>0</v>
      </c>
      <c r="V13" s="231">
        <f ca="1">IF(Input!AQ13=0,0,4410/(13.95-LOG(Input!AQ13^2/Input!AS13))-273.15)</f>
        <v>0</v>
      </c>
      <c r="W13" s="229"/>
    </row>
    <row r="14" spans="1:23" x14ac:dyDescent="0.2">
      <c r="A14" s="76" t="str">
        <f t="shared" ca="1" si="0"/>
        <v>Shasta County Bumpass Hell</v>
      </c>
      <c r="B14" s="77">
        <f ca="1">IF(Input!AT14=0, 0, 731/(4.52-LOG(Input!AT14))-273.15)</f>
        <v>0</v>
      </c>
      <c r="C14" s="77">
        <f ca="1">IF(Input!AT14=0,0,1000/(4.78-LOG(Input!$AT14))-273.15)</f>
        <v>0</v>
      </c>
      <c r="D14" s="77">
        <f ca="1">IF(Input!AT14=0,0,781/(4.51-LOG(Input!$AT14))-273.15)</f>
        <v>0</v>
      </c>
      <c r="E14" s="77">
        <f ca="1">IF(Input!AT14=0,0,1032/(4.69-LOG(Input!AT14))-273.15)</f>
        <v>0</v>
      </c>
      <c r="F14" s="77">
        <f ca="1">IF(Input!AT14=0,0, 0.00000031665*Input!AT14^3 - 0.00036686* Input!AT14^2 + 0.28831* Input!AT14 + 77.034 *LOG(Input!AT14) - 42.198)</f>
        <v>0</v>
      </c>
      <c r="G14" s="77">
        <f ca="1">IF(Input!AT14=0,0,1522/(5.75-LOG(Input!AT14))-273.15)</f>
        <v>0</v>
      </c>
      <c r="H14" s="220" t="e">
        <f ca="1">LOG(Input!$AR14^0.5/Input!$AP14)+2.06</f>
        <v>#DIV/0!</v>
      </c>
      <c r="I14" s="77">
        <f ca="1">IF(Input!AO14=0,0,1647/(LOG(Input!$AP14/Input!$AQ14)+1.333*(LOG(Input!$AR14^0.5/Input!$AP14)+2.06)+2.47)-273.15)</f>
        <v>0</v>
      </c>
      <c r="J14" s="221" t="e">
        <f t="shared" ca="1" si="1"/>
        <v>#DIV/0!</v>
      </c>
      <c r="K14" s="77">
        <f ca="1">IF(Input!AP14=0,0,1647/(LOG(Input!$AP14/Input!$AQ14)+J14*(LOG(Input!$AR14^0.5/Input!$AP14)+2.06)+2.47)-273.15)</f>
        <v>0</v>
      </c>
      <c r="L14" s="220">
        <f ca="1">IF(Input!AP14=0,0,100*(0.08226*Input!AS14/(0.08226*Input!AS14+0.0499*Input!AR14+0.02557*Input!AQ14)))</f>
        <v>0</v>
      </c>
      <c r="M14" s="220">
        <f t="shared" ca="1" si="2"/>
        <v>0</v>
      </c>
      <c r="N14" s="220">
        <f t="shared" ca="1" si="3"/>
        <v>0</v>
      </c>
      <c r="O14" s="77">
        <f t="shared" ca="1" si="4"/>
        <v>0</v>
      </c>
      <c r="P14" s="77">
        <f ca="1">IF(Input!$AP14=0,0,1217/(LOG(Input!$AP14/Input!$AQ14)+1.483)-273.15)</f>
        <v>0</v>
      </c>
      <c r="Q14" s="77">
        <f ca="1">IF(Input!$AP14=0,0,855.6/(LOG(Input!$AP14/Input!$AQ14)+0.8573)-273.15)</f>
        <v>0</v>
      </c>
      <c r="R14" s="77">
        <f ca="1">IF(Input!AP14=0,0,1390/(1.75-LOG(Input!AQ14/Input!AP14))-273.15)</f>
        <v>0</v>
      </c>
      <c r="S14" s="77">
        <f ca="1">IF(Input!$AP14=0,0,883/(0.78-LOG(Input!$AQ14/Input!$AP14))-273.15)</f>
        <v>0</v>
      </c>
      <c r="T14" s="77">
        <f ca="1">IF(Input!$AP14=0,0,1178/(1.47-LOG(Input!$AQ14/Input!$AP14))-273.15)</f>
        <v>0</v>
      </c>
      <c r="U14" s="77">
        <f ca="1">IF(Input!$AP14=0,0,933/(0.993-LOG(Input!$AQ14/Input!$AP14))-273.15)</f>
        <v>0</v>
      </c>
      <c r="V14" s="231">
        <f ca="1">IF(Input!AQ14=0,0,4410/(13.95-LOG(Input!AQ14^2/Input!AS14))-273.15)</f>
        <v>0</v>
      </c>
      <c r="W14" s="229"/>
    </row>
    <row r="15" spans="1:23" x14ac:dyDescent="0.2">
      <c r="A15" s="76" t="str">
        <f t="shared" ca="1" si="0"/>
        <v>Tulare County California Hot Springs</v>
      </c>
      <c r="B15" s="77">
        <f ca="1">IF(Input!AT15=0, 0, 731/(4.52-LOG(Input!AT15))-273.15)</f>
        <v>0</v>
      </c>
      <c r="C15" s="77">
        <f ca="1">IF(Input!AT15=0,0,1000/(4.78-LOG(Input!$AT15))-273.15)</f>
        <v>0</v>
      </c>
      <c r="D15" s="77">
        <f ca="1">IF(Input!AT15=0,0,781/(4.51-LOG(Input!$AT15))-273.15)</f>
        <v>0</v>
      </c>
      <c r="E15" s="77">
        <f ca="1">IF(Input!AT15=0,0,1032/(4.69-LOG(Input!AT15))-273.15)</f>
        <v>0</v>
      </c>
      <c r="F15" s="77">
        <f ca="1">IF(Input!AT15=0,0, 0.00000031665*Input!AT15^3 - 0.00036686* Input!AT15^2 + 0.28831* Input!AT15 + 77.034 *LOG(Input!AT15) - 42.198)</f>
        <v>0</v>
      </c>
      <c r="G15" s="77">
        <f ca="1">IF(Input!AT15=0,0,1522/(5.75-LOG(Input!AT15))-273.15)</f>
        <v>0</v>
      </c>
      <c r="H15" s="220" t="e">
        <f ca="1">LOG(Input!$AR15^0.5/Input!$AP15)+2.06</f>
        <v>#DIV/0!</v>
      </c>
      <c r="I15" s="77">
        <f ca="1">IF(Input!AO15=0,0,1647/(LOG(Input!$AP15/Input!$AQ15)+1.333*(LOG(Input!$AR15^0.5/Input!$AP15)+2.06)+2.47)-273.15)</f>
        <v>0</v>
      </c>
      <c r="J15" s="221" t="e">
        <f t="shared" ca="1" si="1"/>
        <v>#DIV/0!</v>
      </c>
      <c r="K15" s="77">
        <f ca="1">IF(Input!AP15=0,0,1647/(LOG(Input!$AP15/Input!$AQ15)+J15*(LOG(Input!$AR15^0.5/Input!$AP15)+2.06)+2.47)-273.15)</f>
        <v>0</v>
      </c>
      <c r="L15" s="220">
        <f ca="1">IF(Input!AP15=0,0,100*(0.08226*Input!AS15/(0.08226*Input!AS15+0.0499*Input!AR15+0.02557*Input!AQ15)))</f>
        <v>0</v>
      </c>
      <c r="M15" s="220">
        <f t="shared" ca="1" si="2"/>
        <v>0</v>
      </c>
      <c r="N15" s="220">
        <f t="shared" ca="1" si="3"/>
        <v>0</v>
      </c>
      <c r="O15" s="77">
        <f t="shared" ca="1" si="4"/>
        <v>0</v>
      </c>
      <c r="P15" s="77">
        <f ca="1">IF(Input!$AP15=0,0,1217/(LOG(Input!$AP15/Input!$AQ15)+1.483)-273.15)</f>
        <v>0</v>
      </c>
      <c r="Q15" s="77">
        <f ca="1">IF(Input!$AP15=0,0,855.6/(LOG(Input!$AP15/Input!$AQ15)+0.8573)-273.15)</f>
        <v>0</v>
      </c>
      <c r="R15" s="77">
        <f ca="1">IF(Input!AP15=0,0,1390/(1.75-LOG(Input!AQ15/Input!AP15))-273.15)</f>
        <v>0</v>
      </c>
      <c r="S15" s="77">
        <f ca="1">IF(Input!$AP15=0,0,883/(0.78-LOG(Input!$AQ15/Input!$AP15))-273.15)</f>
        <v>0</v>
      </c>
      <c r="T15" s="77">
        <f ca="1">IF(Input!$AP15=0,0,1178/(1.47-LOG(Input!$AQ15/Input!$AP15))-273.15)</f>
        <v>0</v>
      </c>
      <c r="U15" s="77">
        <f ca="1">IF(Input!$AP15=0,0,933/(0.993-LOG(Input!$AQ15/Input!$AP15))-273.15)</f>
        <v>0</v>
      </c>
      <c r="V15" s="231">
        <f ca="1">IF(Input!AQ15=0,0,4410/(13.95-LOG(Input!AQ15^2/Input!AS15))-273.15)</f>
        <v>0</v>
      </c>
      <c r="W15" s="229"/>
    </row>
    <row r="16" spans="1:23" x14ac:dyDescent="0.2">
      <c r="A16" s="76" t="str">
        <f t="shared" ca="1" si="0"/>
        <v>Mono County Fales Hot Springs</v>
      </c>
      <c r="B16" s="77">
        <f ca="1">IF(Input!AT16=0, 0, 731/(4.52-LOG(Input!AT16))-273.15)</f>
        <v>0</v>
      </c>
      <c r="C16" s="77">
        <f ca="1">IF(Input!AT16=0,0,1000/(4.78-LOG(Input!$AT16))-273.15)</f>
        <v>0</v>
      </c>
      <c r="D16" s="77">
        <f ca="1">IF(Input!AT16=0,0,781/(4.51-LOG(Input!$AT16))-273.15)</f>
        <v>0</v>
      </c>
      <c r="E16" s="77">
        <f ca="1">IF(Input!AT16=0,0,1032/(4.69-LOG(Input!AT16))-273.15)</f>
        <v>0</v>
      </c>
      <c r="F16" s="77">
        <f ca="1">IF(Input!AT16=0,0, 0.00000031665*Input!AT16^3 - 0.00036686* Input!AT16^2 + 0.28831* Input!AT16 + 77.034 *LOG(Input!AT16) - 42.198)</f>
        <v>0</v>
      </c>
      <c r="G16" s="77">
        <f ca="1">IF(Input!AT16=0,0,1522/(5.75-LOG(Input!AT16))-273.15)</f>
        <v>0</v>
      </c>
      <c r="H16" s="220" t="e">
        <f ca="1">LOG(Input!$AR16^0.5/Input!$AP16)+2.06</f>
        <v>#DIV/0!</v>
      </c>
      <c r="I16" s="77">
        <f ca="1">IF(Input!AO16=0,0,1647/(LOG(Input!$AP16/Input!$AQ16)+1.333*(LOG(Input!$AR16^0.5/Input!$AP16)+2.06)+2.47)-273.15)</f>
        <v>0</v>
      </c>
      <c r="J16" s="221" t="e">
        <f t="shared" ca="1" si="1"/>
        <v>#DIV/0!</v>
      </c>
      <c r="K16" s="77">
        <f ca="1">IF(Input!AP16=0,0,1647/(LOG(Input!$AP16/Input!$AQ16)+J16*(LOG(Input!$AR16^0.5/Input!$AP16)+2.06)+2.47)-273.15)</f>
        <v>0</v>
      </c>
      <c r="L16" s="220">
        <f ca="1">IF(Input!AP16=0,0,100*(0.08226*Input!AS16/(0.08226*Input!AS16+0.0499*Input!AR16+0.02557*Input!AQ16)))</f>
        <v>0</v>
      </c>
      <c r="M16" s="220">
        <f t="shared" ca="1" si="2"/>
        <v>0</v>
      </c>
      <c r="N16" s="220">
        <f t="shared" ca="1" si="3"/>
        <v>0</v>
      </c>
      <c r="O16" s="77">
        <f t="shared" ca="1" si="4"/>
        <v>0</v>
      </c>
      <c r="P16" s="77">
        <f ca="1">IF(Input!$AP16=0,0,1217/(LOG(Input!$AP16/Input!$AQ16)+1.483)-273.15)</f>
        <v>0</v>
      </c>
      <c r="Q16" s="77">
        <f ca="1">IF(Input!$AP16=0,0,855.6/(LOG(Input!$AP16/Input!$AQ16)+0.8573)-273.15)</f>
        <v>0</v>
      </c>
      <c r="R16" s="77">
        <f ca="1">IF(Input!AP16=0,0,1390/(1.75-LOG(Input!AQ16/Input!AP16))-273.15)</f>
        <v>0</v>
      </c>
      <c r="S16" s="77">
        <f ca="1">IF(Input!$AP16=0,0,883/(0.78-LOG(Input!$AQ16/Input!$AP16))-273.15)</f>
        <v>0</v>
      </c>
      <c r="T16" s="77">
        <f ca="1">IF(Input!$AP16=0,0,1178/(1.47-LOG(Input!$AQ16/Input!$AP16))-273.15)</f>
        <v>0</v>
      </c>
      <c r="U16" s="77">
        <f ca="1">IF(Input!$AP16=0,0,933/(0.993-LOG(Input!$AQ16/Input!$AP16))-273.15)</f>
        <v>0</v>
      </c>
      <c r="V16" s="231">
        <f ca="1">IF(Input!AQ16=0,0,4410/(13.95-LOG(Input!AQ16^2/Input!AS16))-273.15)</f>
        <v>0</v>
      </c>
      <c r="W16" s="229"/>
    </row>
    <row r="17" spans="1:23" x14ac:dyDescent="0.2">
      <c r="A17" s="76" t="str">
        <f t="shared" ca="1" si="0"/>
        <v>Imperial County Fish Springs</v>
      </c>
      <c r="B17" s="77">
        <f ca="1">IF(Input!AT17=0, 0, 731/(4.52-LOG(Input!AT17))-273.15)</f>
        <v>0</v>
      </c>
      <c r="C17" s="77">
        <f ca="1">IF(Input!AT17=0,0,1000/(4.78-LOG(Input!$AT17))-273.15)</f>
        <v>0</v>
      </c>
      <c r="D17" s="77">
        <f ca="1">IF(Input!AT17=0,0,781/(4.51-LOG(Input!$AT17))-273.15)</f>
        <v>0</v>
      </c>
      <c r="E17" s="77">
        <f ca="1">IF(Input!AT17=0,0,1032/(4.69-LOG(Input!AT17))-273.15)</f>
        <v>0</v>
      </c>
      <c r="F17" s="77">
        <f ca="1">IF(Input!AT17=0,0, 0.00000031665*Input!AT17^3 - 0.00036686* Input!AT17^2 + 0.28831* Input!AT17 + 77.034 *LOG(Input!AT17) - 42.198)</f>
        <v>0</v>
      </c>
      <c r="G17" s="77">
        <f ca="1">IF(Input!AT17=0,0,1522/(5.75-LOG(Input!AT17))-273.15)</f>
        <v>0</v>
      </c>
      <c r="H17" s="220" t="e">
        <f ca="1">LOG(Input!$AR17^0.5/Input!$AP17)+2.06</f>
        <v>#DIV/0!</v>
      </c>
      <c r="I17" s="77">
        <f ca="1">IF(Input!AO17=0,0,1647/(LOG(Input!$AP17/Input!$AQ17)+1.333*(LOG(Input!$AR17^0.5/Input!$AP17)+2.06)+2.47)-273.15)</f>
        <v>0</v>
      </c>
      <c r="J17" s="221" t="e">
        <f t="shared" ca="1" si="1"/>
        <v>#DIV/0!</v>
      </c>
      <c r="K17" s="77">
        <f ca="1">IF(Input!AP17=0,0,1647/(LOG(Input!$AP17/Input!$AQ17)+J17*(LOG(Input!$AR17^0.5/Input!$AP17)+2.06)+2.47)-273.15)</f>
        <v>0</v>
      </c>
      <c r="L17" s="220">
        <f ca="1">IF(Input!AP17=0,0,100*(0.08226*Input!AS17/(0.08226*Input!AS17+0.0499*Input!AR17+0.02557*Input!AQ17)))</f>
        <v>0</v>
      </c>
      <c r="M17" s="220">
        <f t="shared" ca="1" si="2"/>
        <v>0</v>
      </c>
      <c r="N17" s="220">
        <f t="shared" ca="1" si="3"/>
        <v>0</v>
      </c>
      <c r="O17" s="77">
        <f t="shared" ca="1" si="4"/>
        <v>0</v>
      </c>
      <c r="P17" s="77">
        <f ca="1">IF(Input!$AP17=0,0,1217/(LOG(Input!$AP17/Input!$AQ17)+1.483)-273.15)</f>
        <v>0</v>
      </c>
      <c r="Q17" s="77">
        <f ca="1">IF(Input!$AP17=0,0,855.6/(LOG(Input!$AP17/Input!$AQ17)+0.8573)-273.15)</f>
        <v>0</v>
      </c>
      <c r="R17" s="77">
        <f ca="1">IF(Input!AP17=0,0,1390/(1.75-LOG(Input!AQ17/Input!AP17))-273.15)</f>
        <v>0</v>
      </c>
      <c r="S17" s="77">
        <f ca="1">IF(Input!$AP17=0,0,883/(0.78-LOG(Input!$AQ17/Input!$AP17))-273.15)</f>
        <v>0</v>
      </c>
      <c r="T17" s="77">
        <f ca="1">IF(Input!$AP17=0,0,1178/(1.47-LOG(Input!$AQ17/Input!$AP17))-273.15)</f>
        <v>0</v>
      </c>
      <c r="U17" s="77">
        <f ca="1">IF(Input!$AP17=0,0,933/(0.993-LOG(Input!$AQ17/Input!$AP17))-273.15)</f>
        <v>0</v>
      </c>
      <c r="V17" s="231">
        <f ca="1">IF(Input!AQ17=0,0,4410/(13.95-LOG(Input!AQ17^2/Input!AS17))-273.15)</f>
        <v>0</v>
      </c>
      <c r="W17" s="229"/>
    </row>
    <row r="18" spans="1:23" x14ac:dyDescent="0.2">
      <c r="A18" s="76" t="str">
        <f t="shared" ca="1" si="0"/>
        <v>Santa Clara County Gilroy Hot Spring</v>
      </c>
      <c r="B18" s="77">
        <f ca="1">IF(Input!AT18=0, 0, 731/(4.52-LOG(Input!AT18))-273.15)</f>
        <v>0</v>
      </c>
      <c r="C18" s="77">
        <f ca="1">IF(Input!AT18=0,0,1000/(4.78-LOG(Input!$AT18))-273.15)</f>
        <v>0</v>
      </c>
      <c r="D18" s="77">
        <f ca="1">IF(Input!AT18=0,0,781/(4.51-LOG(Input!$AT18))-273.15)</f>
        <v>0</v>
      </c>
      <c r="E18" s="77">
        <f ca="1">IF(Input!AT18=0,0,1032/(4.69-LOG(Input!AT18))-273.15)</f>
        <v>0</v>
      </c>
      <c r="F18" s="77">
        <f ca="1">IF(Input!AT18=0,0, 0.00000031665*Input!AT18^3 - 0.00036686* Input!AT18^2 + 0.28831* Input!AT18 + 77.034 *LOG(Input!AT18) - 42.198)</f>
        <v>0</v>
      </c>
      <c r="G18" s="77">
        <f ca="1">IF(Input!AT18=0,0,1522/(5.75-LOG(Input!AT18))-273.15)</f>
        <v>0</v>
      </c>
      <c r="H18" s="220" t="e">
        <f ca="1">LOG(Input!$AR18^0.5/Input!$AP18)+2.06</f>
        <v>#DIV/0!</v>
      </c>
      <c r="I18" s="77">
        <f ca="1">IF(Input!AO18=0,0,1647/(LOG(Input!$AP18/Input!$AQ18)+1.333*(LOG(Input!$AR18^0.5/Input!$AP18)+2.06)+2.47)-273.15)</f>
        <v>0</v>
      </c>
      <c r="J18" s="221" t="e">
        <f t="shared" ca="1" si="1"/>
        <v>#DIV/0!</v>
      </c>
      <c r="K18" s="77">
        <f ca="1">IF(Input!AP18=0,0,1647/(LOG(Input!$AP18/Input!$AQ18)+J18*(LOG(Input!$AR18^0.5/Input!$AP18)+2.06)+2.47)-273.15)</f>
        <v>0</v>
      </c>
      <c r="L18" s="220">
        <f ca="1">IF(Input!AP18=0,0,100*(0.08226*Input!AS18/(0.08226*Input!AS18+0.0499*Input!AR18+0.02557*Input!AQ18)))</f>
        <v>0</v>
      </c>
      <c r="M18" s="220">
        <f t="shared" ca="1" si="2"/>
        <v>0</v>
      </c>
      <c r="N18" s="220">
        <f t="shared" ca="1" si="3"/>
        <v>0</v>
      </c>
      <c r="O18" s="77">
        <f t="shared" ca="1" si="4"/>
        <v>0</v>
      </c>
      <c r="P18" s="77">
        <f ca="1">IF(Input!$AP18=0,0,1217/(LOG(Input!$AP18/Input!$AQ18)+1.483)-273.15)</f>
        <v>0</v>
      </c>
      <c r="Q18" s="77">
        <f ca="1">IF(Input!$AP18=0,0,855.6/(LOG(Input!$AP18/Input!$AQ18)+0.8573)-273.15)</f>
        <v>0</v>
      </c>
      <c r="R18" s="77">
        <f ca="1">IF(Input!AP18=0,0,1390/(1.75-LOG(Input!AQ18/Input!AP18))-273.15)</f>
        <v>0</v>
      </c>
      <c r="S18" s="77">
        <f ca="1">IF(Input!$AP18=0,0,883/(0.78-LOG(Input!$AQ18/Input!$AP18))-273.15)</f>
        <v>0</v>
      </c>
      <c r="T18" s="77">
        <f ca="1">IF(Input!$AP18=0,0,1178/(1.47-LOG(Input!$AQ18/Input!$AP18))-273.15)</f>
        <v>0</v>
      </c>
      <c r="U18" s="77">
        <f ca="1">IF(Input!$AP18=0,0,933/(0.993-LOG(Input!$AQ18/Input!$AP18))-273.15)</f>
        <v>0</v>
      </c>
      <c r="V18" s="231">
        <f ca="1">IF(Input!AQ18=0,0,4410/(13.95-LOG(Input!AQ18^2/Input!AS18))-273.15)</f>
        <v>0</v>
      </c>
      <c r="W18" s="229"/>
    </row>
    <row r="19" spans="1:23" x14ac:dyDescent="0.2">
      <c r="A19" s="76" t="str">
        <f t="shared" ca="1" si="0"/>
        <v>Lake County Gordon Hot Spring</v>
      </c>
      <c r="B19" s="77">
        <f ca="1">IF(Input!AT19=0, 0, 731/(4.52-LOG(Input!AT19))-273.15)</f>
        <v>0</v>
      </c>
      <c r="C19" s="77">
        <f ca="1">IF(Input!AT19=0,0,1000/(4.78-LOG(Input!$AT19))-273.15)</f>
        <v>0</v>
      </c>
      <c r="D19" s="77">
        <f ca="1">IF(Input!AT19=0,0,781/(4.51-LOG(Input!$AT19))-273.15)</f>
        <v>0</v>
      </c>
      <c r="E19" s="77">
        <f ca="1">IF(Input!AT19=0,0,1032/(4.69-LOG(Input!AT19))-273.15)</f>
        <v>0</v>
      </c>
      <c r="F19" s="77">
        <f ca="1">IF(Input!AT19=0,0, 0.00000031665*Input!AT19^3 - 0.00036686* Input!AT19^2 + 0.28831* Input!AT19 + 77.034 *LOG(Input!AT19) - 42.198)</f>
        <v>0</v>
      </c>
      <c r="G19" s="77">
        <f ca="1">IF(Input!AT19=0,0,1522/(5.75-LOG(Input!AT19))-273.15)</f>
        <v>0</v>
      </c>
      <c r="H19" s="220" t="e">
        <f ca="1">LOG(Input!$AR19^0.5/Input!$AP19)+2.06</f>
        <v>#DIV/0!</v>
      </c>
      <c r="I19" s="77">
        <f ca="1">IF(Input!AO19=0,0,1647/(LOG(Input!$AP19/Input!$AQ19)+1.333*(LOG(Input!$AR19^0.5/Input!$AP19)+2.06)+2.47)-273.15)</f>
        <v>0</v>
      </c>
      <c r="J19" s="221" t="e">
        <f t="shared" ca="1" si="1"/>
        <v>#DIV/0!</v>
      </c>
      <c r="K19" s="77">
        <f ca="1">IF(Input!AP19=0,0,1647/(LOG(Input!$AP19/Input!$AQ19)+J19*(LOG(Input!$AR19^0.5/Input!$AP19)+2.06)+2.47)-273.15)</f>
        <v>0</v>
      </c>
      <c r="L19" s="220">
        <f ca="1">IF(Input!AP19=0,0,100*(0.08226*Input!AS19/(0.08226*Input!AS19+0.0499*Input!AR19+0.02557*Input!AQ19)))</f>
        <v>0</v>
      </c>
      <c r="M19" s="220">
        <f t="shared" ca="1" si="2"/>
        <v>0</v>
      </c>
      <c r="N19" s="220">
        <f t="shared" ca="1" si="3"/>
        <v>0</v>
      </c>
      <c r="O19" s="77">
        <f t="shared" ca="1" si="4"/>
        <v>0</v>
      </c>
      <c r="P19" s="77">
        <f ca="1">IF(Input!$AP19=0,0,1217/(LOG(Input!$AP19/Input!$AQ19)+1.483)-273.15)</f>
        <v>0</v>
      </c>
      <c r="Q19" s="77">
        <f ca="1">IF(Input!$AP19=0,0,855.6/(LOG(Input!$AP19/Input!$AQ19)+0.8573)-273.15)</f>
        <v>0</v>
      </c>
      <c r="R19" s="77">
        <f ca="1">IF(Input!AP19=0,0,1390/(1.75-LOG(Input!AQ19/Input!AP19))-273.15)</f>
        <v>0</v>
      </c>
      <c r="S19" s="77">
        <f ca="1">IF(Input!$AP19=0,0,883/(0.78-LOG(Input!$AQ19/Input!$AP19))-273.15)</f>
        <v>0</v>
      </c>
      <c r="T19" s="77">
        <f ca="1">IF(Input!$AP19=0,0,1178/(1.47-LOG(Input!$AQ19/Input!$AP19))-273.15)</f>
        <v>0</v>
      </c>
      <c r="U19" s="77">
        <f ca="1">IF(Input!$AP19=0,0,933/(0.993-LOG(Input!$AQ19/Input!$AP19))-273.15)</f>
        <v>0</v>
      </c>
      <c r="V19" s="231">
        <f ca="1">IF(Input!AQ19=0,0,4410/(13.95-LOG(Input!AQ19^2/Input!AS19))-273.15)</f>
        <v>0</v>
      </c>
      <c r="W19" s="229"/>
    </row>
    <row r="20" spans="1:23" x14ac:dyDescent="0.2">
      <c r="A20" s="76" t="str">
        <f t="shared" ca="1" si="0"/>
        <v>Inyo County Grapevine Spring</v>
      </c>
      <c r="B20" s="77">
        <f ca="1">IF(Input!AT20=0, 0, 731/(4.52-LOG(Input!AT20))-273.15)</f>
        <v>0</v>
      </c>
      <c r="C20" s="77">
        <f ca="1">IF(Input!AT20=0,0,1000/(4.78-LOG(Input!$AT20))-273.15)</f>
        <v>0</v>
      </c>
      <c r="D20" s="77">
        <f ca="1">IF(Input!AT20=0,0,781/(4.51-LOG(Input!$AT20))-273.15)</f>
        <v>0</v>
      </c>
      <c r="E20" s="77">
        <f ca="1">IF(Input!AT20=0,0,1032/(4.69-LOG(Input!AT20))-273.15)</f>
        <v>0</v>
      </c>
      <c r="F20" s="77">
        <f ca="1">IF(Input!AT20=0,0, 0.00000031665*Input!AT20^3 - 0.00036686* Input!AT20^2 + 0.28831* Input!AT20 + 77.034 *LOG(Input!AT20) - 42.198)</f>
        <v>0</v>
      </c>
      <c r="G20" s="77">
        <f ca="1">IF(Input!AT20=0,0,1522/(5.75-LOG(Input!AT20))-273.15)</f>
        <v>0</v>
      </c>
      <c r="H20" s="220" t="e">
        <f ca="1">LOG(Input!$AR20^0.5/Input!$AP20)+2.06</f>
        <v>#DIV/0!</v>
      </c>
      <c r="I20" s="77">
        <f ca="1">IF(Input!AO20=0,0,1647/(LOG(Input!$AP20/Input!$AQ20)+1.333*(LOG(Input!$AR20^0.5/Input!$AP20)+2.06)+2.47)-273.15)</f>
        <v>0</v>
      </c>
      <c r="J20" s="221" t="e">
        <f t="shared" ca="1" si="1"/>
        <v>#DIV/0!</v>
      </c>
      <c r="K20" s="77">
        <f ca="1">IF(Input!AP20=0,0,1647/(LOG(Input!$AP20/Input!$AQ20)+J20*(LOG(Input!$AR20^0.5/Input!$AP20)+2.06)+2.47)-273.15)</f>
        <v>0</v>
      </c>
      <c r="L20" s="220">
        <f ca="1">IF(Input!AP20=0,0,100*(0.08226*Input!AS20/(0.08226*Input!AS20+0.0499*Input!AR20+0.02557*Input!AQ20)))</f>
        <v>0</v>
      </c>
      <c r="M20" s="220">
        <f t="shared" ca="1" si="2"/>
        <v>0</v>
      </c>
      <c r="N20" s="220">
        <f t="shared" ca="1" si="3"/>
        <v>0</v>
      </c>
      <c r="O20" s="77">
        <f t="shared" ca="1" si="4"/>
        <v>0</v>
      </c>
      <c r="P20" s="77">
        <f ca="1">IF(Input!$AP20=0,0,1217/(LOG(Input!$AP20/Input!$AQ20)+1.483)-273.15)</f>
        <v>0</v>
      </c>
      <c r="Q20" s="77">
        <f ca="1">IF(Input!$AP20=0,0,855.6/(LOG(Input!$AP20/Input!$AQ20)+0.8573)-273.15)</f>
        <v>0</v>
      </c>
      <c r="R20" s="77">
        <f ca="1">IF(Input!AP20=0,0,1390/(1.75-LOG(Input!AQ20/Input!AP20))-273.15)</f>
        <v>0</v>
      </c>
      <c r="S20" s="77">
        <f ca="1">IF(Input!$AP20=0,0,883/(0.78-LOG(Input!$AQ20/Input!$AP20))-273.15)</f>
        <v>0</v>
      </c>
      <c r="T20" s="77">
        <f ca="1">IF(Input!$AP20=0,0,1178/(1.47-LOG(Input!$AQ20/Input!$AP20))-273.15)</f>
        <v>0</v>
      </c>
      <c r="U20" s="77">
        <f ca="1">IF(Input!$AP20=0,0,933/(0.993-LOG(Input!$AQ20/Input!$AP20))-273.15)</f>
        <v>0</v>
      </c>
      <c r="V20" s="231">
        <f ca="1">IF(Input!AQ20=0,0,4410/(13.95-LOG(Input!AQ20^2/Input!AS20))-273.15)</f>
        <v>0</v>
      </c>
      <c r="W20" s="229"/>
    </row>
    <row r="21" spans="1:23" x14ac:dyDescent="0.2">
      <c r="A21" s="76" t="str">
        <f t="shared" ca="1" si="0"/>
        <v>Lake County Grizzly Spring</v>
      </c>
      <c r="B21" s="77">
        <f ca="1">IF(Input!AT21=0, 0, 731/(4.52-LOG(Input!AT21))-273.15)</f>
        <v>0</v>
      </c>
      <c r="C21" s="77">
        <f ca="1">IF(Input!AT21=0,0,1000/(4.78-LOG(Input!$AT21))-273.15)</f>
        <v>0</v>
      </c>
      <c r="D21" s="77">
        <f ca="1">IF(Input!AT21=0,0,781/(4.51-LOG(Input!$AT21))-273.15)</f>
        <v>0</v>
      </c>
      <c r="E21" s="77">
        <f ca="1">IF(Input!AT21=0,0,1032/(4.69-LOG(Input!AT21))-273.15)</f>
        <v>0</v>
      </c>
      <c r="F21" s="77">
        <f ca="1">IF(Input!AT21=0,0, 0.00000031665*Input!AT21^3 - 0.00036686* Input!AT21^2 + 0.28831* Input!AT21 + 77.034 *LOG(Input!AT21) - 42.198)</f>
        <v>0</v>
      </c>
      <c r="G21" s="77">
        <f ca="1">IF(Input!AT21=0,0,1522/(5.75-LOG(Input!AT21))-273.15)</f>
        <v>0</v>
      </c>
      <c r="H21" s="220" t="e">
        <f ca="1">LOG(Input!$AR21^0.5/Input!$AP21)+2.06</f>
        <v>#DIV/0!</v>
      </c>
      <c r="I21" s="77">
        <f ca="1">IF(Input!AO21=0,0,1647/(LOG(Input!$AP21/Input!$AQ21)+1.333*(LOG(Input!$AR21^0.5/Input!$AP21)+2.06)+2.47)-273.15)</f>
        <v>0</v>
      </c>
      <c r="J21" s="221" t="e">
        <f t="shared" ca="1" si="1"/>
        <v>#DIV/0!</v>
      </c>
      <c r="K21" s="77">
        <f ca="1">IF(Input!AP21=0,0,1647/(LOG(Input!$AP21/Input!$AQ21)+J21*(LOG(Input!$AR21^0.5/Input!$AP21)+2.06)+2.47)-273.15)</f>
        <v>0</v>
      </c>
      <c r="L21" s="220">
        <f ca="1">IF(Input!AP21=0,0,100*(0.08226*Input!AS21/(0.08226*Input!AS21+0.0499*Input!AR21+0.02557*Input!AQ21)))</f>
        <v>0</v>
      </c>
      <c r="M21" s="220">
        <f t="shared" ca="1" si="2"/>
        <v>0</v>
      </c>
      <c r="N21" s="220">
        <f t="shared" ca="1" si="3"/>
        <v>0</v>
      </c>
      <c r="O21" s="77">
        <f t="shared" ca="1" si="4"/>
        <v>0</v>
      </c>
      <c r="P21" s="77">
        <f ca="1">IF(Input!$AP21=0,0,1217/(LOG(Input!$AP21/Input!$AQ21)+1.483)-273.15)</f>
        <v>0</v>
      </c>
      <c r="Q21" s="77">
        <f ca="1">IF(Input!$AP21=0,0,855.6/(LOG(Input!$AP21/Input!$AQ21)+0.8573)-273.15)</f>
        <v>0</v>
      </c>
      <c r="R21" s="77">
        <f ca="1">IF(Input!AP21=0,0,1390/(1.75-LOG(Input!AQ21/Input!AP21))-273.15)</f>
        <v>0</v>
      </c>
      <c r="S21" s="77">
        <f ca="1">IF(Input!$AP21=0,0,883/(0.78-LOG(Input!$AQ21/Input!$AP21))-273.15)</f>
        <v>0</v>
      </c>
      <c r="T21" s="77">
        <f ca="1">IF(Input!$AP21=0,0,1178/(1.47-LOG(Input!$AQ21/Input!$AP21))-273.15)</f>
        <v>0</v>
      </c>
      <c r="U21" s="77">
        <f ca="1">IF(Input!$AP21=0,0,933/(0.993-LOG(Input!$AQ21/Input!$AP21))-273.15)</f>
        <v>0</v>
      </c>
      <c r="V21" s="231">
        <f ca="1">IF(Input!AQ21=0,0,4410/(13.95-LOG(Input!AQ21^2/Input!AS21))-273.15)</f>
        <v>0</v>
      </c>
      <c r="W21" s="229"/>
    </row>
    <row r="22" spans="1:23" x14ac:dyDescent="0.2">
      <c r="A22" s="76" t="str">
        <f t="shared" ca="1" si="0"/>
        <v>San Diego County De Luz Warm Springs</v>
      </c>
      <c r="B22" s="90">
        <f ca="1">IF(Input!AT22=0, 0, 731/(4.52-LOG(Input!AT22))-273.15)</f>
        <v>0</v>
      </c>
      <c r="C22" s="77">
        <f ca="1">IF(Input!AT22=0,0,1000/(4.78-LOG(Input!$AT22))-273.15)</f>
        <v>0</v>
      </c>
      <c r="D22" s="77">
        <f ca="1">IF(Input!AT22=0,0,781/(4.51-LOG(Input!$AT22))-273.15)</f>
        <v>0</v>
      </c>
      <c r="E22" s="90">
        <f ca="1">IF(Input!AT22=0,0,1032/(4.69-LOG(Input!AT22))-273.15)</f>
        <v>0</v>
      </c>
      <c r="F22" s="90">
        <f ca="1">IF(Input!AT22=0,0, 0.00000031665*Input!AT22^3 - 0.00036686* Input!AT22^2 + 0.28831* Input!AT22 + 77.034 *LOG(Input!AT22) - 42.198)</f>
        <v>0</v>
      </c>
      <c r="G22" s="90">
        <f ca="1">IF(Input!AT22=0,0,1522/(5.75-LOG(Input!AT22))-273.15)</f>
        <v>0</v>
      </c>
      <c r="H22" s="220" t="e">
        <f ca="1">LOG(Input!$AR22^0.5/Input!$AP22)+2.06</f>
        <v>#DIV/0!</v>
      </c>
      <c r="I22" s="77">
        <f ca="1">IF(Input!AO22=0,0,1647/(LOG(Input!$AP22/Input!$AQ22)+1.333*(LOG(Input!$AR22^0.5/Input!$AP22)+2.06)+2.47)-273.15)</f>
        <v>0</v>
      </c>
      <c r="J22" s="221" t="e">
        <f t="shared" ca="1" si="1"/>
        <v>#DIV/0!</v>
      </c>
      <c r="K22" s="77">
        <f ca="1">IF(Input!AP22=0,0,1647/(LOG(Input!$AP22/Input!$AQ22)+J22*(LOG(Input!$AR22^0.5/Input!$AP22)+2.06)+2.47)-273.15)</f>
        <v>0</v>
      </c>
      <c r="L22" s="224">
        <f ca="1">IF(Input!AP22=0,0,100*(0.08226*Input!AS22/(0.08226*Input!AS22+0.0499*Input!AR22+0.02557*Input!AQ22)))</f>
        <v>0</v>
      </c>
      <c r="M22" s="220">
        <f t="shared" ca="1" si="2"/>
        <v>0</v>
      </c>
      <c r="N22" s="220">
        <f t="shared" ca="1" si="3"/>
        <v>0</v>
      </c>
      <c r="O22" s="77">
        <f t="shared" ca="1" si="4"/>
        <v>0</v>
      </c>
      <c r="P22" s="77">
        <f ca="1">IF(Input!$AP22=0,0,1217/(LOG(Input!$AP22/Input!$AQ22)+1.483)-273.15)</f>
        <v>0</v>
      </c>
      <c r="Q22" s="77">
        <f ca="1">IF(Input!$AP22=0,0,855.6/(LOG(Input!$AP22/Input!$AQ22)+0.8573)-273.15)</f>
        <v>0</v>
      </c>
      <c r="R22" s="90">
        <f ca="1">IF(Input!AP22=0,0,1390/(1.75-LOG(Input!AQ22/Input!AP22))-273.15)</f>
        <v>0</v>
      </c>
      <c r="S22" s="77">
        <f ca="1">IF(Input!$AP22=0,0,883/(0.78-LOG(Input!$AQ22/Input!$AP22))-273.15)</f>
        <v>0</v>
      </c>
      <c r="T22" s="77">
        <f ca="1">IF(Input!$AP22=0,0,1178/(1.47-LOG(Input!$AQ22/Input!$AP22))-273.15)</f>
        <v>0</v>
      </c>
      <c r="U22" s="77">
        <f ca="1">IF(Input!$AP22=0,0,933/(0.993-LOG(Input!$AQ22/Input!$AP22))-273.15)</f>
        <v>0</v>
      </c>
      <c r="V22" s="232">
        <f ca="1">IF(Input!AQ22=0,0,4410/(13.95-LOG(Input!AQ22^2/Input!AS22))-273.15)</f>
        <v>0</v>
      </c>
      <c r="W22" s="230"/>
    </row>
    <row r="23" spans="1:23" x14ac:dyDescent="0.2">
      <c r="A23" s="76" t="str">
        <f t="shared" ca="1" si="0"/>
        <v>Ventura County Vickers Hot Springs</v>
      </c>
      <c r="B23" s="90">
        <f ca="1">IF(Input!AT23=0, 0, 731/(4.52-LOG(Input!AT23))-273.15)</f>
        <v>0</v>
      </c>
      <c r="C23" s="77">
        <f ca="1">IF(Input!AT23=0,0,1000/(4.78-LOG(Input!$AT23))-273.15)</f>
        <v>0</v>
      </c>
      <c r="D23" s="77">
        <f ca="1">IF(Input!AT23=0,0,781/(4.51-LOG(Input!$AT23))-273.15)</f>
        <v>0</v>
      </c>
      <c r="E23" s="90">
        <f ca="1">IF(Input!AT23=0,0,1032/(4.69-LOG(Input!AT23))-273.15)</f>
        <v>0</v>
      </c>
      <c r="F23" s="90">
        <f ca="1">IF(Input!AT23=0,0, 0.00000031665*Input!AT23^3 - 0.00036686* Input!AT23^2 + 0.28831* Input!AT23 + 77.034 *LOG(Input!AT23) - 42.198)</f>
        <v>0</v>
      </c>
      <c r="G23" s="90">
        <f ca="1">IF(Input!AT23=0,0,1522/(5.75-LOG(Input!AT23))-273.15)</f>
        <v>0</v>
      </c>
      <c r="H23" s="220" t="e">
        <f ca="1">LOG(Input!$AR23^0.5/Input!$AP23)+2.06</f>
        <v>#DIV/0!</v>
      </c>
      <c r="I23" s="77">
        <f ca="1">IF(Input!AO23=0,0,1647/(LOG(Input!$AP23/Input!$AQ23)+1.333*(LOG(Input!$AR23^0.5/Input!$AP23)+2.06)+2.47)-273.15)</f>
        <v>0</v>
      </c>
      <c r="J23" s="221" t="e">
        <f t="shared" ca="1" si="1"/>
        <v>#DIV/0!</v>
      </c>
      <c r="K23" s="77">
        <f ca="1">IF(Input!AP23=0,0,1647/(LOG(Input!$AP23/Input!$AQ23)+J23*(LOG(Input!$AR23^0.5/Input!$AP23)+2.06)+2.47)-273.15)</f>
        <v>0</v>
      </c>
      <c r="L23" s="224">
        <f ca="1">IF(Input!AP23=0,0,100*(0.08226*Input!AS23/(0.08226*Input!AS23+0.0499*Input!AR23+0.02557*Input!AQ23)))</f>
        <v>0</v>
      </c>
      <c r="M23" s="220">
        <f t="shared" ca="1" si="2"/>
        <v>0</v>
      </c>
      <c r="N23" s="220">
        <f t="shared" ca="1" si="3"/>
        <v>0</v>
      </c>
      <c r="O23" s="77">
        <f t="shared" ca="1" si="4"/>
        <v>0</v>
      </c>
      <c r="P23" s="77">
        <f ca="1">IF(Input!$AP23=0,0,1217/(LOG(Input!$AP23/Input!$AQ23)+1.483)-273.15)</f>
        <v>0</v>
      </c>
      <c r="Q23" s="77">
        <f ca="1">IF(Input!$AP23=0,0,855.6/(LOG(Input!$AP23/Input!$AQ23)+0.8573)-273.15)</f>
        <v>0</v>
      </c>
      <c r="R23" s="90">
        <f ca="1">IF(Input!AP23=0,0,1390/(1.75-LOG(Input!AQ23/Input!AP23))-273.15)</f>
        <v>0</v>
      </c>
      <c r="S23" s="77">
        <f ca="1">IF(Input!$AP23=0,0,883/(0.78-LOG(Input!$AQ23/Input!$AP23))-273.15)</f>
        <v>0</v>
      </c>
      <c r="T23" s="77">
        <f ca="1">IF(Input!$AP23=0,0,1178/(1.47-LOG(Input!$AQ23/Input!$AP23))-273.15)</f>
        <v>0</v>
      </c>
      <c r="U23" s="77">
        <f ca="1">IF(Input!$AP23=0,0,933/(0.993-LOG(Input!$AQ23/Input!$AP23))-273.15)</f>
        <v>0</v>
      </c>
      <c r="V23" s="232">
        <f ca="1">IF(Input!AQ23=0,0,4410/(13.95-LOG(Input!AQ23^2/Input!AS23))-273.15)</f>
        <v>0</v>
      </c>
      <c r="W23" s="230"/>
    </row>
    <row r="24" spans="1:23" x14ac:dyDescent="0.2">
      <c r="A24" s="76" t="str">
        <f t="shared" ca="1" si="0"/>
        <v>Inyo County Warm Spring</v>
      </c>
      <c r="B24" s="90">
        <f ca="1">IF(Input!AT24=0, 0, 731/(4.52-LOG(Input!AT24))-273.15)</f>
        <v>0</v>
      </c>
      <c r="C24" s="77">
        <f ca="1">IF(Input!AT24=0,0,1000/(4.78-LOG(Input!$AT24))-273.15)</f>
        <v>0</v>
      </c>
      <c r="D24" s="77">
        <f ca="1">IF(Input!AT24=0,0,781/(4.51-LOG(Input!$AT24))-273.15)</f>
        <v>0</v>
      </c>
      <c r="E24" s="90">
        <f ca="1">IF(Input!AT24=0,0,1032/(4.69-LOG(Input!AT24))-273.15)</f>
        <v>0</v>
      </c>
      <c r="F24" s="90">
        <f ca="1">IF(Input!AT24=0,0, 0.00000031665*Input!AT24^3 - 0.00036686* Input!AT24^2 + 0.28831* Input!AT24 + 77.034 *LOG(Input!AT24) - 42.198)</f>
        <v>0</v>
      </c>
      <c r="G24" s="90">
        <f ca="1">IF(Input!AT24=0,0,1522/(5.75-LOG(Input!AT24))-273.15)</f>
        <v>0</v>
      </c>
      <c r="H24" s="220" t="e">
        <f ca="1">LOG(Input!$AR24^0.5/Input!$AP24)+2.06</f>
        <v>#DIV/0!</v>
      </c>
      <c r="I24" s="77">
        <f ca="1">IF(Input!AO24=0,0,1647/(LOG(Input!$AP24/Input!$AQ24)+1.333*(LOG(Input!$AR24^0.5/Input!$AP24)+2.06)+2.47)-273.15)</f>
        <v>0</v>
      </c>
      <c r="J24" s="221" t="e">
        <f t="shared" ca="1" si="1"/>
        <v>#DIV/0!</v>
      </c>
      <c r="K24" s="77">
        <f ca="1">IF(Input!AP24=0,0,1647/(LOG(Input!$AP24/Input!$AQ24)+J24*(LOG(Input!$AR24^0.5/Input!$AP24)+2.06)+2.47)-273.15)</f>
        <v>0</v>
      </c>
      <c r="L24" s="224">
        <f ca="1">IF(Input!AP24=0,0,100*(0.08226*Input!AS24/(0.08226*Input!AS24+0.0499*Input!AR24+0.02557*Input!AQ24)))</f>
        <v>0</v>
      </c>
      <c r="M24" s="220">
        <f t="shared" ca="1" si="2"/>
        <v>0</v>
      </c>
      <c r="N24" s="220">
        <f t="shared" ca="1" si="3"/>
        <v>0</v>
      </c>
      <c r="O24" s="77">
        <f t="shared" ca="1" si="4"/>
        <v>0</v>
      </c>
      <c r="P24" s="77">
        <f ca="1">IF(Input!$AP24=0,0,1217/(LOG(Input!$AP24/Input!$AQ24)+1.483)-273.15)</f>
        <v>0</v>
      </c>
      <c r="Q24" s="77">
        <f ca="1">IF(Input!$AP24=0,0,855.6/(LOG(Input!$AP24/Input!$AQ24)+0.8573)-273.15)</f>
        <v>0</v>
      </c>
      <c r="R24" s="90">
        <f ca="1">IF(Input!AP24=0,0,1390/(1.75-LOG(Input!AQ24/Input!AP24))-273.15)</f>
        <v>0</v>
      </c>
      <c r="S24" s="77">
        <f ca="1">IF(Input!$AP24=0,0,883/(0.78-LOG(Input!$AQ24/Input!$AP24))-273.15)</f>
        <v>0</v>
      </c>
      <c r="T24" s="77">
        <f ca="1">IF(Input!$AP24=0,0,1178/(1.47-LOG(Input!$AQ24/Input!$AP24))-273.15)</f>
        <v>0</v>
      </c>
      <c r="U24" s="77">
        <f ca="1">IF(Input!$AP24=0,0,933/(0.993-LOG(Input!$AQ24/Input!$AP24))-273.15)</f>
        <v>0</v>
      </c>
      <c r="V24" s="232">
        <f ca="1">IF(Input!AQ24=0,0,4410/(13.95-LOG(Input!AQ24^2/Input!AS24))-273.15)</f>
        <v>0</v>
      </c>
      <c r="W24" s="230"/>
    </row>
    <row r="25" spans="1:23" x14ac:dyDescent="0.2">
      <c r="A25" s="76" t="str">
        <f t="shared" ca="1" si="0"/>
        <v>Kern County Delonegha Hot Springs</v>
      </c>
      <c r="B25" s="90">
        <f ca="1">IF(Input!AT25=0, 0, 731/(4.52-LOG(Input!AT25))-273.15)</f>
        <v>0</v>
      </c>
      <c r="C25" s="77">
        <f ca="1">IF(Input!AT25=0,0,1000/(4.78-LOG(Input!$AT25))-273.15)</f>
        <v>0</v>
      </c>
      <c r="D25" s="77">
        <f ca="1">IF(Input!AT25=0,0,781/(4.51-LOG(Input!$AT25))-273.15)</f>
        <v>0</v>
      </c>
      <c r="E25" s="90">
        <f ca="1">IF(Input!AT25=0,0,1032/(4.69-LOG(Input!AT25))-273.15)</f>
        <v>0</v>
      </c>
      <c r="F25" s="90">
        <f ca="1">IF(Input!AT25=0,0, 0.00000031665*Input!AT25^3 - 0.00036686* Input!AT25^2 + 0.28831* Input!AT25 + 77.034 *LOG(Input!AT25) - 42.198)</f>
        <v>0</v>
      </c>
      <c r="G25" s="90">
        <f ca="1">IF(Input!AT25=0,0,1522/(5.75-LOG(Input!AT25))-273.15)</f>
        <v>0</v>
      </c>
      <c r="H25" s="220" t="e">
        <f ca="1">LOG(Input!$AR25^0.5/Input!$AP25)+2.06</f>
        <v>#DIV/0!</v>
      </c>
      <c r="I25" s="77">
        <f ca="1">IF(Input!AO25=0,0,1647/(LOG(Input!$AP25/Input!$AQ25)+1.333*(LOG(Input!$AR25^0.5/Input!$AP25)+2.06)+2.47)-273.15)</f>
        <v>0</v>
      </c>
      <c r="J25" s="221" t="e">
        <f t="shared" ca="1" si="1"/>
        <v>#DIV/0!</v>
      </c>
      <c r="K25" s="77">
        <f ca="1">IF(Input!AP25=0,0,1647/(LOG(Input!$AP25/Input!$AQ25)+J25*(LOG(Input!$AR25^0.5/Input!$AP25)+2.06)+2.47)-273.15)</f>
        <v>0</v>
      </c>
      <c r="L25" s="224">
        <f ca="1">IF(Input!AP25=0,0,100*(0.08226*Input!AS25/(0.08226*Input!AS25+0.0499*Input!AR25+0.02557*Input!AQ25)))</f>
        <v>0</v>
      </c>
      <c r="M25" s="220">
        <f t="shared" ca="1" si="2"/>
        <v>0</v>
      </c>
      <c r="N25" s="220">
        <f t="shared" ca="1" si="3"/>
        <v>0</v>
      </c>
      <c r="O25" s="77">
        <f t="shared" ca="1" si="4"/>
        <v>0</v>
      </c>
      <c r="P25" s="77">
        <f ca="1">IF(Input!$AP25=0,0,1217/(LOG(Input!$AP25/Input!$AQ25)+1.483)-273.15)</f>
        <v>0</v>
      </c>
      <c r="Q25" s="77">
        <f ca="1">IF(Input!$AP25=0,0,855.6/(LOG(Input!$AP25/Input!$AQ25)+0.8573)-273.15)</f>
        <v>0</v>
      </c>
      <c r="R25" s="90">
        <f ca="1">IF(Input!AP25=0,0,1390/(1.75-LOG(Input!AQ25/Input!AP25))-273.15)</f>
        <v>0</v>
      </c>
      <c r="S25" s="77">
        <f ca="1">IF(Input!$AP25=0,0,883/(0.78-LOG(Input!$AQ25/Input!$AP25))-273.15)</f>
        <v>0</v>
      </c>
      <c r="T25" s="77">
        <f ca="1">IF(Input!$AP25=0,0,1178/(1.47-LOG(Input!$AQ25/Input!$AP25))-273.15)</f>
        <v>0</v>
      </c>
      <c r="U25" s="77">
        <f ca="1">IF(Input!$AP25=0,0,933/(0.993-LOG(Input!$AQ25/Input!$AP25))-273.15)</f>
        <v>0</v>
      </c>
      <c r="V25" s="232">
        <f ca="1">IF(Input!AQ25=0,0,4410/(13.95-LOG(Input!AQ25^2/Input!AS25))-273.15)</f>
        <v>0</v>
      </c>
      <c r="W25" s="230"/>
    </row>
    <row r="26" spans="1:23" x14ac:dyDescent="0.2">
      <c r="A26" s="76" t="str">
        <f t="shared" ca="1" si="0"/>
        <v>Kern County Democrat Hot Springs</v>
      </c>
      <c r="B26" s="90">
        <f ca="1">IF(Input!AT26=0, 0, 731/(4.52-LOG(Input!AT26))-273.15)</f>
        <v>0</v>
      </c>
      <c r="C26" s="77">
        <f ca="1">IF(Input!AT26=0,0,1000/(4.78-LOG(Input!$AT26))-273.15)</f>
        <v>0</v>
      </c>
      <c r="D26" s="77">
        <f ca="1">IF(Input!AT26=0,0,781/(4.51-LOG(Input!$AT26))-273.15)</f>
        <v>0</v>
      </c>
      <c r="E26" s="90">
        <f ca="1">IF(Input!AT26=0,0,1032/(4.69-LOG(Input!AT26))-273.15)</f>
        <v>0</v>
      </c>
      <c r="F26" s="90">
        <f ca="1">IF(Input!AT26=0,0, 0.00000031665*Input!AT26^3 - 0.00036686* Input!AT26^2 + 0.28831* Input!AT26 + 77.034 *LOG(Input!AT26) - 42.198)</f>
        <v>0</v>
      </c>
      <c r="G26" s="90">
        <f ca="1">IF(Input!AT26=0,0,1522/(5.75-LOG(Input!AT26))-273.15)</f>
        <v>0</v>
      </c>
      <c r="H26" s="220" t="e">
        <f ca="1">LOG(Input!$AR26^0.5/Input!$AP26)+2.06</f>
        <v>#DIV/0!</v>
      </c>
      <c r="I26" s="77">
        <f ca="1">IF(Input!AO26=0,0,1647/(LOG(Input!$AP26/Input!$AQ26)+1.333*(LOG(Input!$AR26^0.5/Input!$AP26)+2.06)+2.47)-273.15)</f>
        <v>0</v>
      </c>
      <c r="J26" s="221" t="e">
        <f t="shared" ca="1" si="1"/>
        <v>#DIV/0!</v>
      </c>
      <c r="K26" s="77">
        <f ca="1">IF(Input!AP26=0,0,1647/(LOG(Input!$AP26/Input!$AQ26)+J26*(LOG(Input!$AR26^0.5/Input!$AP26)+2.06)+2.47)-273.15)</f>
        <v>0</v>
      </c>
      <c r="L26" s="224">
        <f ca="1">IF(Input!AP26=0,0,100*(0.08226*Input!AS26/(0.08226*Input!AS26+0.0499*Input!AR26+0.02557*Input!AQ26)))</f>
        <v>0</v>
      </c>
      <c r="M26" s="220">
        <f t="shared" ca="1" si="2"/>
        <v>0</v>
      </c>
      <c r="N26" s="220">
        <f t="shared" ca="1" si="3"/>
        <v>0</v>
      </c>
      <c r="O26" s="77">
        <f t="shared" ca="1" si="4"/>
        <v>0</v>
      </c>
      <c r="P26" s="77">
        <f ca="1">IF(Input!$AP26=0,0,1217/(LOG(Input!$AP26/Input!$AQ26)+1.483)-273.15)</f>
        <v>0</v>
      </c>
      <c r="Q26" s="77">
        <f ca="1">IF(Input!$AP26=0,0,855.6/(LOG(Input!$AP26/Input!$AQ26)+0.8573)-273.15)</f>
        <v>0</v>
      </c>
      <c r="R26" s="90">
        <f ca="1">IF(Input!AP26=0,0,1390/(1.75-LOG(Input!AQ26/Input!AP26))-273.15)</f>
        <v>0</v>
      </c>
      <c r="S26" s="77">
        <f ca="1">IF(Input!$AP26=0,0,883/(0.78-LOG(Input!$AQ26/Input!$AP26))-273.15)</f>
        <v>0</v>
      </c>
      <c r="T26" s="77">
        <f ca="1">IF(Input!$AP26=0,0,1178/(1.47-LOG(Input!$AQ26/Input!$AP26))-273.15)</f>
        <v>0</v>
      </c>
      <c r="U26" s="77">
        <f ca="1">IF(Input!$AP26=0,0,933/(0.993-LOG(Input!$AQ26/Input!$AP26))-273.15)</f>
        <v>0</v>
      </c>
      <c r="V26" s="232">
        <f ca="1">IF(Input!AQ26=0,0,4410/(13.95-LOG(Input!AQ26^2/Input!AS26))-273.15)</f>
        <v>0</v>
      </c>
      <c r="W26" s="230"/>
    </row>
    <row r="27" spans="1:23" x14ac:dyDescent="0.2">
      <c r="A27" s="76" t="str">
        <f t="shared" ca="1" si="0"/>
        <v>Lake County Seigler Hot Springs</v>
      </c>
      <c r="B27" s="90">
        <f ca="1">IF(Input!AT27=0, 0, 731/(4.52-LOG(Input!AT27))-273.15)</f>
        <v>0</v>
      </c>
      <c r="C27" s="77">
        <f ca="1">IF(Input!AT27=0,0,1000/(4.78-LOG(Input!$AT27))-273.15)</f>
        <v>0</v>
      </c>
      <c r="D27" s="77">
        <f ca="1">IF(Input!AT27=0,0,781/(4.51-LOG(Input!$AT27))-273.15)</f>
        <v>0</v>
      </c>
      <c r="E27" s="90">
        <f ca="1">IF(Input!AT27=0,0,1032/(4.69-LOG(Input!AT27))-273.15)</f>
        <v>0</v>
      </c>
      <c r="F27" s="90">
        <f ca="1">IF(Input!AT27=0,0, 0.00000031665*Input!AT27^3 - 0.00036686* Input!AT27^2 + 0.28831* Input!AT27 + 77.034 *LOG(Input!AT27) - 42.198)</f>
        <v>0</v>
      </c>
      <c r="G27" s="90">
        <f ca="1">IF(Input!AT27=0,0,1522/(5.75-LOG(Input!AT27))-273.15)</f>
        <v>0</v>
      </c>
      <c r="H27" s="220" t="e">
        <f ca="1">LOG(Input!$AR27^0.5/Input!$AP27)+2.06</f>
        <v>#DIV/0!</v>
      </c>
      <c r="I27" s="77">
        <f ca="1">IF(Input!AO27=0,0,1647/(LOG(Input!$AP27/Input!$AQ27)+1.333*(LOG(Input!$AR27^0.5/Input!$AP27)+2.06)+2.47)-273.15)</f>
        <v>0</v>
      </c>
      <c r="J27" s="221" t="e">
        <f t="shared" ca="1" si="1"/>
        <v>#DIV/0!</v>
      </c>
      <c r="K27" s="77">
        <f ca="1">IF(Input!AP27=0,0,1647/(LOG(Input!$AP27/Input!$AQ27)+J27*(LOG(Input!$AR27^0.5/Input!$AP27)+2.06)+2.47)-273.15)</f>
        <v>0</v>
      </c>
      <c r="L27" s="224">
        <f ca="1">IF(Input!AP27=0,0,100*(0.08226*Input!AS27/(0.08226*Input!AS27+0.0499*Input!AR27+0.02557*Input!AQ27)))</f>
        <v>0</v>
      </c>
      <c r="M27" s="220">
        <f t="shared" ca="1" si="2"/>
        <v>0</v>
      </c>
      <c r="N27" s="220">
        <f t="shared" ca="1" si="3"/>
        <v>0</v>
      </c>
      <c r="O27" s="77">
        <f t="shared" ca="1" si="4"/>
        <v>0</v>
      </c>
      <c r="P27" s="77">
        <f ca="1">IF(Input!$AP27=0,0,1217/(LOG(Input!$AP27/Input!$AQ27)+1.483)-273.15)</f>
        <v>0</v>
      </c>
      <c r="Q27" s="77">
        <f ca="1">IF(Input!$AP27=0,0,855.6/(LOG(Input!$AP27/Input!$AQ27)+0.8573)-273.15)</f>
        <v>0</v>
      </c>
      <c r="R27" s="90">
        <f ca="1">IF(Input!AP27=0,0,1390/(1.75-LOG(Input!AQ27/Input!AP27))-273.15)</f>
        <v>0</v>
      </c>
      <c r="S27" s="77">
        <f ca="1">IF(Input!$AP27=0,0,883/(0.78-LOG(Input!$AQ27/Input!$AP27))-273.15)</f>
        <v>0</v>
      </c>
      <c r="T27" s="77">
        <f ca="1">IF(Input!$AP27=0,0,1178/(1.47-LOG(Input!$AQ27/Input!$AP27))-273.15)</f>
        <v>0</v>
      </c>
      <c r="U27" s="77">
        <f ca="1">IF(Input!$AP27=0,0,933/(0.993-LOG(Input!$AQ27/Input!$AP27))-273.15)</f>
        <v>0</v>
      </c>
      <c r="V27" s="232">
        <f ca="1">IF(Input!AQ27=0,0,4410/(13.95-LOG(Input!AQ27^2/Input!AS27))-273.15)</f>
        <v>0</v>
      </c>
      <c r="W27" s="230"/>
    </row>
    <row r="28" spans="1:23" x14ac:dyDescent="0.2">
      <c r="A28" s="76" t="str">
        <f t="shared" ca="1" si="0"/>
        <v>Ventura County Sespe Hot Springs</v>
      </c>
      <c r="B28" s="90">
        <f ca="1">IF(Input!AT28=0, 0, 731/(4.52-LOG(Input!AT28))-273.15)</f>
        <v>0</v>
      </c>
      <c r="C28" s="77">
        <f ca="1">IF(Input!AT28=0,0,1000/(4.78-LOG(Input!$AT28))-273.15)</f>
        <v>0</v>
      </c>
      <c r="D28" s="77">
        <f ca="1">IF(Input!AT28=0,0,781/(4.51-LOG(Input!$AT28))-273.15)</f>
        <v>0</v>
      </c>
      <c r="E28" s="90">
        <f ca="1">IF(Input!AT28=0,0,1032/(4.69-LOG(Input!AT28))-273.15)</f>
        <v>0</v>
      </c>
      <c r="F28" s="90">
        <f ca="1">IF(Input!AT28=0,0, 0.00000031665*Input!AT28^3 - 0.00036686* Input!AT28^2 + 0.28831* Input!AT28 + 77.034 *LOG(Input!AT28) - 42.198)</f>
        <v>0</v>
      </c>
      <c r="G28" s="90">
        <f ca="1">IF(Input!AT28=0,0,1522/(5.75-LOG(Input!AT28))-273.15)</f>
        <v>0</v>
      </c>
      <c r="H28" s="220" t="e">
        <f ca="1">LOG(Input!$AR28^0.5/Input!$AP28)+2.06</f>
        <v>#DIV/0!</v>
      </c>
      <c r="I28" s="77">
        <f ca="1">IF(Input!AO28=0,0,1647/(LOG(Input!$AP28/Input!$AQ28)+1.333*(LOG(Input!$AR28^0.5/Input!$AP28)+2.06)+2.47)-273.15)</f>
        <v>0</v>
      </c>
      <c r="J28" s="221" t="e">
        <f t="shared" ca="1" si="1"/>
        <v>#DIV/0!</v>
      </c>
      <c r="K28" s="77">
        <f ca="1">IF(Input!AP28=0,0,1647/(LOG(Input!$AP28/Input!$AQ28)+J28*(LOG(Input!$AR28^0.5/Input!$AP28)+2.06)+2.47)-273.15)</f>
        <v>0</v>
      </c>
      <c r="L28" s="224">
        <f ca="1">IF(Input!AP28=0,0,100*(0.08226*Input!AS28/(0.08226*Input!AS28+0.0499*Input!AR28+0.02557*Input!AQ28)))</f>
        <v>0</v>
      </c>
      <c r="M28" s="220">
        <f t="shared" ca="1" si="2"/>
        <v>0</v>
      </c>
      <c r="N28" s="220">
        <f t="shared" ca="1" si="3"/>
        <v>0</v>
      </c>
      <c r="O28" s="77">
        <f ca="1">IF(K28=0,0,IF(L28&lt;5,IF(M28&lt;0,K28,K28-M28),IF(N28&lt;0,K28,K28-N28)))</f>
        <v>0</v>
      </c>
      <c r="P28" s="77">
        <f ca="1">IF(Input!$AP28=0,0,1217/(LOG(Input!$AP28/Input!$AQ28)+1.483)-273.15)</f>
        <v>0</v>
      </c>
      <c r="Q28" s="77">
        <f ca="1">IF(Input!$AP28=0,0,855.6/(LOG(Input!$AP28/Input!$AQ28)+0.8573)-273.15)</f>
        <v>0</v>
      </c>
      <c r="R28" s="90">
        <f ca="1">IF(Input!AP28=0,0,1390/(1.75-LOG(Input!AQ28/Input!AP28))-273.15)</f>
        <v>0</v>
      </c>
      <c r="S28" s="77">
        <f ca="1">IF(Input!$AP28=0,0,883/(0.78-LOG(Input!$AQ28/Input!$AP28))-273.15)</f>
        <v>0</v>
      </c>
      <c r="T28" s="77">
        <f ca="1">IF(Input!$AP28=0,0,1178/(1.47-LOG(Input!$AQ28/Input!$AP28))-273.15)</f>
        <v>0</v>
      </c>
      <c r="U28" s="77">
        <f ca="1">IF(Input!$AP28=0,0,933/(0.993-LOG(Input!$AQ28/Input!$AP28))-273.15)</f>
        <v>0</v>
      </c>
      <c r="V28" s="232">
        <f ca="1">IF(Input!AQ28=0,0,4410/(13.95-LOG(Input!AQ28^2/Input!AS28))-273.15)</f>
        <v>0</v>
      </c>
      <c r="W28" s="230"/>
    </row>
    <row r="29" spans="1:23" x14ac:dyDescent="0.2">
      <c r="A29" s="76" t="str">
        <f t="shared" ca="1" si="0"/>
        <v>Modoc County Seyferth Hot Springs</v>
      </c>
      <c r="B29" s="90">
        <f ca="1">IF(Input!AT29=0, 0, 731/(4.52-LOG(Input!AT29))-273.15)</f>
        <v>0</v>
      </c>
      <c r="C29" s="77">
        <f ca="1">IF(Input!AT29=0,0,1000/(4.78-LOG(Input!$AT29))-273.15)</f>
        <v>0</v>
      </c>
      <c r="D29" s="77">
        <f ca="1">IF(Input!AT29=0,0,781/(4.51-LOG(Input!$AT29))-273.15)</f>
        <v>0</v>
      </c>
      <c r="E29" s="90">
        <f ca="1">IF(Input!AT29=0,0,1032/(4.69-LOG(Input!AT29))-273.15)</f>
        <v>0</v>
      </c>
      <c r="F29" s="90">
        <f ca="1">IF(Input!AT29=0,0, 0.00000031665*Input!AT29^3 - 0.00036686* Input!AT29^2 + 0.28831* Input!AT29 + 77.034 *LOG(Input!AT29) - 42.198)</f>
        <v>0</v>
      </c>
      <c r="G29" s="90">
        <f ca="1">IF(Input!AT29=0,0,1522/(5.75-LOG(Input!AT29))-273.15)</f>
        <v>0</v>
      </c>
      <c r="H29" s="220" t="e">
        <f ca="1">LOG(Input!$AR29^0.5/Input!$AP29)+2.06</f>
        <v>#DIV/0!</v>
      </c>
      <c r="I29" s="77">
        <f ca="1">IF(Input!AO29=0,0,1647/(LOG(Input!$AP29/Input!$AQ29)+1.333*(LOG(Input!$AR29^0.5/Input!$AP29)+2.06)+2.47)-273.15)</f>
        <v>0</v>
      </c>
      <c r="J29" s="221" t="e">
        <f t="shared" ca="1" si="1"/>
        <v>#DIV/0!</v>
      </c>
      <c r="K29" s="77">
        <f ca="1">IF(Input!AP29=0,0,1647/(LOG(Input!$AP29/Input!$AQ29)+J29*(LOG(Input!$AR29^0.5/Input!$AP29)+2.06)+2.47)-273.15)</f>
        <v>0</v>
      </c>
      <c r="L29" s="224">
        <f ca="1">IF(Input!AP29=0,0,100*(0.08226*Input!AS29/(0.08226*Input!AS29+0.0499*Input!AR29+0.02557*Input!AQ29)))</f>
        <v>0</v>
      </c>
      <c r="M29" s="220">
        <f t="shared" ca="1" si="2"/>
        <v>0</v>
      </c>
      <c r="N29" s="220">
        <f t="shared" ca="1" si="3"/>
        <v>0</v>
      </c>
      <c r="O29" s="77">
        <f t="shared" ca="1" si="4"/>
        <v>0</v>
      </c>
      <c r="P29" s="77">
        <f ca="1">IF(Input!$AP29=0,0,1217/(LOG(Input!$AP29/Input!$AQ29)+1.483)-273.15)</f>
        <v>0</v>
      </c>
      <c r="Q29" s="77">
        <f ca="1">IF(Input!$AP29=0,0,855.6/(LOG(Input!$AP29/Input!$AQ29)+0.8573)-273.15)</f>
        <v>0</v>
      </c>
      <c r="R29" s="90">
        <f ca="1">IF(Input!AP29=0,0,1390/(1.75-LOG(Input!AQ29/Input!AP29))-273.15)</f>
        <v>0</v>
      </c>
      <c r="S29" s="77">
        <f ca="1">IF(Input!$AP29=0,0,883/(0.78-LOG(Input!$AQ29/Input!$AP29))-273.15)</f>
        <v>0</v>
      </c>
      <c r="T29" s="77">
        <f ca="1">IF(Input!$AP29=0,0,1178/(1.47-LOG(Input!$AQ29/Input!$AP29))-273.15)</f>
        <v>0</v>
      </c>
      <c r="U29" s="77">
        <f ca="1">IF(Input!$AP29=0,0,933/(0.993-LOG(Input!$AQ29/Input!$AP29))-273.15)</f>
        <v>0</v>
      </c>
      <c r="V29" s="232">
        <f ca="1">IF(Input!AQ29=0,0,4410/(13.95-LOG(Input!AQ29^2/Input!AS29))-273.15)</f>
        <v>0</v>
      </c>
      <c r="W29" s="230"/>
    </row>
    <row r="30" spans="1:23" x14ac:dyDescent="0.2">
      <c r="A30" s="76" t="str">
        <f t="shared" ca="1" si="0"/>
        <v>San Bernardino County Sheep Creek Spring</v>
      </c>
      <c r="B30" s="90">
        <f ca="1">IF(Input!AT30=0, 0, 731/(4.52-LOG(Input!AT30))-273.15)</f>
        <v>0</v>
      </c>
      <c r="C30" s="77">
        <f ca="1">IF(Input!AT30=0,0,1000/(4.78-LOG(Input!$AT30))-273.15)</f>
        <v>0</v>
      </c>
      <c r="D30" s="77">
        <f ca="1">IF(Input!AT30=0,0,781/(4.51-LOG(Input!$AT30))-273.15)</f>
        <v>0</v>
      </c>
      <c r="E30" s="90">
        <f ca="1">IF(Input!AT30=0,0,1032/(4.69-LOG(Input!AT30))-273.15)</f>
        <v>0</v>
      </c>
      <c r="F30" s="90">
        <f ca="1">IF(Input!AT30=0,0, 0.00000031665*Input!AT30^3 - 0.00036686* Input!AT30^2 + 0.28831* Input!AT30 + 77.034 *LOG(Input!AT30) - 42.198)</f>
        <v>0</v>
      </c>
      <c r="G30" s="90">
        <f ca="1">IF(Input!AT30=0,0,1522/(5.75-LOG(Input!AT30))-273.15)</f>
        <v>0</v>
      </c>
      <c r="H30" s="220" t="e">
        <f ca="1">LOG(Input!$AR30^0.5/Input!$AP30)+2.06</f>
        <v>#DIV/0!</v>
      </c>
      <c r="I30" s="77">
        <f ca="1">IF(Input!AO30=0,0,1647/(LOG(Input!$AP30/Input!$AQ30)+1.333*(LOG(Input!$AR30^0.5/Input!$AP30)+2.06)+2.47)-273.15)</f>
        <v>0</v>
      </c>
      <c r="J30" s="221" t="e">
        <f t="shared" ca="1" si="1"/>
        <v>#DIV/0!</v>
      </c>
      <c r="K30" s="77">
        <f ca="1">IF(Input!AP30=0,0,1647/(LOG(Input!$AP30/Input!$AQ30)+J30*(LOG(Input!$AR30^0.5/Input!$AP30)+2.06)+2.47)-273.15)</f>
        <v>0</v>
      </c>
      <c r="L30" s="224">
        <f ca="1">IF(Input!AP30=0,0,100*(0.08226*Input!AS30/(0.08226*Input!AS30+0.0499*Input!AR30+0.02557*Input!AQ30)))</f>
        <v>0</v>
      </c>
      <c r="M30" s="220">
        <f t="shared" ca="1" si="2"/>
        <v>0</v>
      </c>
      <c r="N30" s="220">
        <f t="shared" ca="1" si="3"/>
        <v>0</v>
      </c>
      <c r="O30" s="77">
        <f t="shared" ca="1" si="4"/>
        <v>0</v>
      </c>
      <c r="P30" s="77">
        <f ca="1">IF(Input!$AP30=0,0,1217/(LOG(Input!$AP30/Input!$AQ30)+1.483)-273.15)</f>
        <v>0</v>
      </c>
      <c r="Q30" s="77">
        <f ca="1">IF(Input!$AP30=0,0,855.6/(LOG(Input!$AP30/Input!$AQ30)+0.8573)-273.15)</f>
        <v>0</v>
      </c>
      <c r="R30" s="90">
        <f ca="1">IF(Input!AP30=0,0,1390/(1.75-LOG(Input!AQ30/Input!AP30))-273.15)</f>
        <v>0</v>
      </c>
      <c r="S30" s="77">
        <f ca="1">IF(Input!$AP30=0,0,883/(0.78-LOG(Input!$AQ30/Input!$AP30))-273.15)</f>
        <v>0</v>
      </c>
      <c r="T30" s="77">
        <f ca="1">IF(Input!$AP30=0,0,1178/(1.47-LOG(Input!$AQ30/Input!$AP30))-273.15)</f>
        <v>0</v>
      </c>
      <c r="U30" s="77">
        <f ca="1">IF(Input!$AP30=0,0,933/(0.993-LOG(Input!$AQ30/Input!$AP30))-273.15)</f>
        <v>0</v>
      </c>
      <c r="V30" s="232">
        <f ca="1">IF(Input!AQ30=0,0,4410/(13.95-LOG(Input!AQ30^2/Input!AS30))-273.15)</f>
        <v>0</v>
      </c>
      <c r="W30" s="230"/>
    </row>
    <row r="31" spans="1:23" x14ac:dyDescent="0.2">
      <c r="A31" s="76" t="str">
        <f t="shared" ca="1" si="0"/>
        <v>Inyo County Shoshone Spring</v>
      </c>
      <c r="B31" s="90">
        <f ca="1">IF(Input!AT31=0, 0, 731/(4.52-LOG(Input!AT31))-273.15)</f>
        <v>0</v>
      </c>
      <c r="C31" s="77">
        <f ca="1">IF(Input!AT31=0,0,1000/(4.78-LOG(Input!$AT31))-273.15)</f>
        <v>0</v>
      </c>
      <c r="D31" s="77">
        <f ca="1">IF(Input!AT31=0,0,781/(4.51-LOG(Input!$AT31))-273.15)</f>
        <v>0</v>
      </c>
      <c r="E31" s="90">
        <f ca="1">IF(Input!AT31=0,0,1032/(4.69-LOG(Input!AT31))-273.15)</f>
        <v>0</v>
      </c>
      <c r="F31" s="90">
        <f ca="1">IF(Input!AT31=0,0, 0.00000031665*Input!AT31^3 - 0.00036686* Input!AT31^2 + 0.28831* Input!AT31 + 77.034 *LOG(Input!AT31) - 42.198)</f>
        <v>0</v>
      </c>
      <c r="G31" s="90">
        <f ca="1">IF(Input!AT31=0,0,1522/(5.75-LOG(Input!AT31))-273.15)</f>
        <v>0</v>
      </c>
      <c r="H31" s="220" t="e">
        <f ca="1">LOG(Input!$AR31^0.5/Input!$AP31)+2.06</f>
        <v>#DIV/0!</v>
      </c>
      <c r="I31" s="77">
        <f ca="1">IF(Input!AO31=0,0,1647/(LOG(Input!$AP31/Input!$AQ31)+1.333*(LOG(Input!$AR31^0.5/Input!$AP31)+2.06)+2.47)-273.15)</f>
        <v>0</v>
      </c>
      <c r="J31" s="221" t="e">
        <f t="shared" ca="1" si="1"/>
        <v>#DIV/0!</v>
      </c>
      <c r="K31" s="77">
        <f ca="1">IF(Input!AP31=0,0,1647/(LOG(Input!$AP31/Input!$AQ31)+J31*(LOG(Input!$AR31^0.5/Input!$AP31)+2.06)+2.47)-273.15)</f>
        <v>0</v>
      </c>
      <c r="L31" s="224">
        <f ca="1">IF(Input!AP31=0,0,100*(0.08226*Input!AS31/(0.08226*Input!AS31+0.0499*Input!AR31+0.02557*Input!AQ31)))</f>
        <v>0</v>
      </c>
      <c r="M31" s="220">
        <f t="shared" ca="1" si="2"/>
        <v>0</v>
      </c>
      <c r="N31" s="220">
        <f t="shared" ca="1" si="3"/>
        <v>0</v>
      </c>
      <c r="O31" s="77">
        <f t="shared" ca="1" si="4"/>
        <v>0</v>
      </c>
      <c r="P31" s="77">
        <f ca="1">IF(Input!$AP31=0,0,1217/(LOG(Input!$AP31/Input!$AQ31)+1.483)-273.15)</f>
        <v>0</v>
      </c>
      <c r="Q31" s="77">
        <f ca="1">IF(Input!$AP31=0,0,855.6/(LOG(Input!$AP31/Input!$AQ31)+0.8573)-273.15)</f>
        <v>0</v>
      </c>
      <c r="R31" s="90">
        <f ca="1">IF(Input!AP31=0,0,1390/(1.75-LOG(Input!AQ31/Input!AP31))-273.15)</f>
        <v>0</v>
      </c>
      <c r="S31" s="77">
        <f ca="1">IF(Input!$AP31=0,0,883/(0.78-LOG(Input!$AQ31/Input!$AP31))-273.15)</f>
        <v>0</v>
      </c>
      <c r="T31" s="77">
        <f ca="1">IF(Input!$AP31=0,0,1178/(1.47-LOG(Input!$AQ31/Input!$AP31))-273.15)</f>
        <v>0</v>
      </c>
      <c r="U31" s="77">
        <f ca="1">IF(Input!$AP31=0,0,933/(0.993-LOG(Input!$AQ31/Input!$AP31))-273.15)</f>
        <v>0</v>
      </c>
      <c r="V31" s="232">
        <f ca="1">IF(Input!AQ31=0,0,4410/(13.95-LOG(Input!AQ31^2/Input!AS31))-273.15)</f>
        <v>0</v>
      </c>
      <c r="W31" s="230"/>
    </row>
    <row r="32" spans="1:23" x14ac:dyDescent="0.2">
      <c r="A32" s="76" t="str">
        <f t="shared" ca="1" si="0"/>
        <v>Sonoma County Skaggs Springs</v>
      </c>
      <c r="B32" s="90">
        <f ca="1">IF(Input!AT32=0, 0, 731/(4.52-LOG(Input!AT32))-273.15)</f>
        <v>0</v>
      </c>
      <c r="C32" s="77">
        <f ca="1">IF(Input!AT32=0,0,1000/(4.78-LOG(Input!$AT32))-273.15)</f>
        <v>0</v>
      </c>
      <c r="D32" s="77">
        <f ca="1">IF(Input!AT32=0,0,781/(4.51-LOG(Input!$AT32))-273.15)</f>
        <v>0</v>
      </c>
      <c r="E32" s="90">
        <f ca="1">IF(Input!AT32=0,0,1032/(4.69-LOG(Input!AT32))-273.15)</f>
        <v>0</v>
      </c>
      <c r="F32" s="90">
        <f ca="1">IF(Input!AT32=0,0, 0.00000031665*Input!AT32^3 - 0.00036686* Input!AT32^2 + 0.28831* Input!AT32 + 77.034 *LOG(Input!AT32) - 42.198)</f>
        <v>0</v>
      </c>
      <c r="G32" s="90">
        <f ca="1">IF(Input!AT32=0,0,1522/(5.75-LOG(Input!AT32))-273.15)</f>
        <v>0</v>
      </c>
      <c r="H32" s="220" t="e">
        <f ca="1">LOG(Input!$AR32^0.5/Input!$AP32)+2.06</f>
        <v>#DIV/0!</v>
      </c>
      <c r="I32" s="77">
        <f ca="1">IF(Input!AO32=0,0,1647/(LOG(Input!$AP32/Input!$AQ32)+1.333*(LOG(Input!$AR32^0.5/Input!$AP32)+2.06)+2.47)-273.15)</f>
        <v>0</v>
      </c>
      <c r="J32" s="221" t="e">
        <f t="shared" ca="1" si="1"/>
        <v>#DIV/0!</v>
      </c>
      <c r="K32" s="77">
        <f ca="1">IF(Input!AP32=0,0,1647/(LOG(Input!$AP32/Input!$AQ32)+J32*(LOG(Input!$AR32^0.5/Input!$AP32)+2.06)+2.47)-273.15)</f>
        <v>0</v>
      </c>
      <c r="L32" s="224">
        <f ca="1">IF(Input!AP32=0,0,100*(0.08226*Input!AS32/(0.08226*Input!AS32+0.0499*Input!AR32+0.02557*Input!AQ32)))</f>
        <v>0</v>
      </c>
      <c r="M32" s="220">
        <f t="shared" ca="1" si="2"/>
        <v>0</v>
      </c>
      <c r="N32" s="220">
        <f t="shared" ca="1" si="3"/>
        <v>0</v>
      </c>
      <c r="O32" s="77">
        <f t="shared" ca="1" si="4"/>
        <v>0</v>
      </c>
      <c r="P32" s="77">
        <f ca="1">IF(Input!$AP32=0,0,1217/(LOG(Input!$AP32/Input!$AQ32)+1.483)-273.15)</f>
        <v>0</v>
      </c>
      <c r="Q32" s="77">
        <f ca="1">IF(Input!$AP32=0,0,855.6/(LOG(Input!$AP32/Input!$AQ32)+0.8573)-273.15)</f>
        <v>0</v>
      </c>
      <c r="R32" s="90">
        <f ca="1">IF(Input!AP32=0,0,1390/(1.75-LOG(Input!AQ32/Input!AP32))-273.15)</f>
        <v>0</v>
      </c>
      <c r="S32" s="77">
        <f ca="1">IF(Input!$AP32=0,0,883/(0.78-LOG(Input!$AQ32/Input!$AP32))-273.15)</f>
        <v>0</v>
      </c>
      <c r="T32" s="77">
        <f ca="1">IF(Input!$AP32=0,0,1178/(1.47-LOG(Input!$AQ32/Input!$AP32))-273.15)</f>
        <v>0</v>
      </c>
      <c r="U32" s="77">
        <f ca="1">IF(Input!$AP32=0,0,933/(0.993-LOG(Input!$AQ32/Input!$AP32))-273.15)</f>
        <v>0</v>
      </c>
      <c r="V32" s="232">
        <f ca="1">IF(Input!AQ32=0,0,4410/(13.95-LOG(Input!AQ32^2/Input!AS32))-273.15)</f>
        <v>0</v>
      </c>
      <c r="W32" s="230"/>
    </row>
    <row r="33" spans="1:23" x14ac:dyDescent="0.2">
      <c r="A33" s="76" t="str">
        <f t="shared" ca="1" si="0"/>
        <v>Alpine County Grovers Hot Springs</v>
      </c>
      <c r="B33" s="90">
        <f ca="1">IF(Input!AT33=0, 0, 731/(4.52-LOG(Input!AT33))-273.15)</f>
        <v>0</v>
      </c>
      <c r="C33" s="77">
        <f ca="1">IF(Input!AT33=0,0,1000/(4.78-LOG(Input!$AT33))-273.15)</f>
        <v>0</v>
      </c>
      <c r="D33" s="77">
        <f ca="1">IF(Input!AT33=0,0,781/(4.51-LOG(Input!$AT33))-273.15)</f>
        <v>0</v>
      </c>
      <c r="E33" s="90">
        <f ca="1">IF(Input!AT33=0,0,1032/(4.69-LOG(Input!AT33))-273.15)</f>
        <v>0</v>
      </c>
      <c r="F33" s="90">
        <f ca="1">IF(Input!AT33=0,0, 0.00000031665*Input!AT33^3 - 0.00036686* Input!AT33^2 + 0.28831* Input!AT33 + 77.034 *LOG(Input!AT33) - 42.198)</f>
        <v>0</v>
      </c>
      <c r="G33" s="90">
        <f ca="1">IF(Input!AT33=0,0,1522/(5.75-LOG(Input!AT33))-273.15)</f>
        <v>0</v>
      </c>
      <c r="H33" s="220" t="e">
        <f ca="1">LOG(Input!$AR33^0.5/Input!$AP33)+2.06</f>
        <v>#DIV/0!</v>
      </c>
      <c r="I33" s="77">
        <f ca="1">IF(Input!AO33=0,0,1647/(LOG(Input!$AP33/Input!$AQ33)+1.333*(LOG(Input!$AR33^0.5/Input!$AP33)+2.06)+2.47)-273.15)</f>
        <v>0</v>
      </c>
      <c r="J33" s="221" t="e">
        <f t="shared" ca="1" si="1"/>
        <v>#DIV/0!</v>
      </c>
      <c r="K33" s="77">
        <f ca="1">IF(Input!AP33=0,0,1647/(LOG(Input!$AP33/Input!$AQ33)+J33*(LOG(Input!$AR33^0.5/Input!$AP33)+2.06)+2.47)-273.15)</f>
        <v>0</v>
      </c>
      <c r="L33" s="224">
        <f ca="1">IF(Input!AP33=0,0,100*(0.08226*Input!AS33/(0.08226*Input!AS33+0.0499*Input!AR33+0.02557*Input!AQ33)))</f>
        <v>0</v>
      </c>
      <c r="M33" s="220">
        <f t="shared" ca="1" si="2"/>
        <v>0</v>
      </c>
      <c r="N33" s="220">
        <f t="shared" ca="1" si="3"/>
        <v>0</v>
      </c>
      <c r="O33" s="77">
        <f t="shared" ca="1" si="4"/>
        <v>0</v>
      </c>
      <c r="P33" s="77">
        <f ca="1">IF(Input!$AP33=0,0,1217/(LOG(Input!$AP33/Input!$AQ33)+1.483)-273.15)</f>
        <v>0</v>
      </c>
      <c r="Q33" s="77">
        <f ca="1">IF(Input!$AP33=0,0,855.6/(LOG(Input!$AP33/Input!$AQ33)+0.8573)-273.15)</f>
        <v>0</v>
      </c>
      <c r="R33" s="90">
        <f ca="1">IF(Input!AP33=0,0,1390/(1.75-LOG(Input!AQ33/Input!AP33))-273.15)</f>
        <v>0</v>
      </c>
      <c r="S33" s="77">
        <f ca="1">IF(Input!$AP33=0,0,883/(0.78-LOG(Input!$AQ33/Input!$AP33))-273.15)</f>
        <v>0</v>
      </c>
      <c r="T33" s="77">
        <f ca="1">IF(Input!$AP33=0,0,1178/(1.47-LOG(Input!$AQ33/Input!$AP33))-273.15)</f>
        <v>0</v>
      </c>
      <c r="U33" s="77">
        <f ca="1">IF(Input!$AP33=0,0,933/(0.993-LOG(Input!$AQ33/Input!$AP33))-273.15)</f>
        <v>0</v>
      </c>
      <c r="V33" s="232">
        <f ca="1">IF(Input!AQ33=0,0,4410/(13.95-LOG(Input!AQ33^2/Input!AS33))-273.15)</f>
        <v>0</v>
      </c>
      <c r="W33" s="230"/>
    </row>
    <row r="34" spans="1:23" x14ac:dyDescent="0.2">
      <c r="A34" s="76" t="str">
        <f t="shared" ca="1" si="0"/>
        <v>Alpine County Growler Hot Spring</v>
      </c>
      <c r="B34" s="77">
        <f ca="1">IF(Input!AT34=0, 0, 731/(4.52-LOG(Input!AT34))-273.15)</f>
        <v>0</v>
      </c>
      <c r="C34" s="77">
        <f ca="1">IF(Input!AT34=0,0,1000/(4.78-LOG(Input!$AT34))-273.15)</f>
        <v>0</v>
      </c>
      <c r="D34" s="77">
        <f ca="1">IF(Input!AT34=0,0,781/(4.51-LOG(Input!$AT34))-273.15)</f>
        <v>0</v>
      </c>
      <c r="E34" s="90">
        <f ca="1">IF(Input!AT34=0,0,1032/(4.69-LOG(Input!AT34))-273.15)</f>
        <v>0</v>
      </c>
      <c r="F34" s="77">
        <f ca="1">IF(Input!AT34=0,0, 0.00000031665*Input!AT34^3 - 0.00036686* Input!AT34^2 + 0.28831* Input!AT34 + 77.034 *LOG(Input!AT34) - 42.198)</f>
        <v>0</v>
      </c>
      <c r="G34" s="77">
        <f ca="1">IF(Input!AT34=0,0,1522/(5.75-LOG(Input!AT34))-273.15)</f>
        <v>0</v>
      </c>
      <c r="H34" s="220" t="e">
        <f ca="1">LOG(Input!$AR34^0.5/Input!$AP34)+2.06</f>
        <v>#DIV/0!</v>
      </c>
      <c r="I34" s="77">
        <f ca="1">IF(Input!AO34=0,0,1647/(LOG(Input!$AP34/Input!$AQ34)+1.333*(LOG(Input!$AR34^0.5/Input!$AP34)+2.06)+2.47)-273.15)</f>
        <v>0</v>
      </c>
      <c r="J34" s="221" t="e">
        <f t="shared" ca="1" si="1"/>
        <v>#DIV/0!</v>
      </c>
      <c r="K34" s="77">
        <f ca="1">IF(Input!AP34=0,0,1647/(LOG(Input!$AP34/Input!$AQ34)+J34*(LOG(Input!$AR34^0.5/Input!$AP34)+2.06)+2.47)-273.15)</f>
        <v>0</v>
      </c>
      <c r="L34" s="220">
        <f ca="1">IF(Input!AP34=0,0,100*(0.08226*Input!AS34/(0.08226*Input!AS34+0.0499*Input!AR34+0.02557*Input!AQ34)))</f>
        <v>0</v>
      </c>
      <c r="M34" s="220">
        <f t="shared" ca="1" si="2"/>
        <v>0</v>
      </c>
      <c r="N34" s="220">
        <f t="shared" ca="1" si="3"/>
        <v>0</v>
      </c>
      <c r="O34" s="77">
        <f t="shared" ca="1" si="4"/>
        <v>0</v>
      </c>
      <c r="P34" s="77">
        <f ca="1">IF(Input!$AP34=0,0,1217/(LOG(Input!$AP34/Input!$AQ34)+1.483)-273.15)</f>
        <v>0</v>
      </c>
      <c r="Q34" s="77">
        <f ca="1">IF(Input!$AP34=0,0,855.6/(LOG(Input!$AP34/Input!$AQ34)+0.8573)-273.15)</f>
        <v>0</v>
      </c>
      <c r="R34" s="90">
        <f ca="1">IF(Input!AP34=0,0,1390/(1.75-LOG(Input!AQ34/Input!AP34))-273.15)</f>
        <v>0</v>
      </c>
      <c r="S34" s="77">
        <f ca="1">IF(Input!$AP34=0,0,883/(0.78-LOG(Input!$AQ34/Input!$AP34))-273.15)</f>
        <v>0</v>
      </c>
      <c r="T34" s="77">
        <f ca="1">IF(Input!$AP34=0,0,1178/(1.47-LOG(Input!$AQ34/Input!$AP34))-273.15)</f>
        <v>0</v>
      </c>
      <c r="U34" s="77">
        <f ca="1">IF(Input!$AP34=0,0,933/(0.993-LOG(Input!$AQ34/Input!$AP34))-273.15)</f>
        <v>0</v>
      </c>
      <c r="V34" s="231">
        <f ca="1">IF(Input!AQ34=0,0,4410/(13.95-LOG(Input!AQ34^2/Input!AS34))-273.15)</f>
        <v>0</v>
      </c>
      <c r="W34" s="229"/>
    </row>
    <row r="35" spans="1:23" x14ac:dyDescent="0.2">
      <c r="A35" s="76" t="str">
        <f t="shared" ca="1" si="0"/>
        <v>Lake County Harbin Springs</v>
      </c>
      <c r="B35" s="77">
        <f ca="1">IF(Input!AT35=0, 0, 731/(4.52-LOG(Input!AT35))-273.15)</f>
        <v>0</v>
      </c>
      <c r="C35" s="77">
        <f ca="1">IF(Input!AT35=0,0,1000/(4.78-LOG(Input!$AT35))-273.15)</f>
        <v>0</v>
      </c>
      <c r="D35" s="77">
        <f ca="1">IF(Input!AT35=0,0,781/(4.51-LOG(Input!$AT35))-273.15)</f>
        <v>0</v>
      </c>
      <c r="E35" s="90">
        <f ca="1">IF(Input!AT35=0,0,1032/(4.69-LOG(Input!AT35))-273.15)</f>
        <v>0</v>
      </c>
      <c r="F35" s="77">
        <f ca="1">IF(Input!AT35=0,0, 0.00000031665*Input!AT35^3 - 0.00036686* Input!AT35^2 + 0.28831* Input!AT35 + 77.034 *LOG(Input!AT35) - 42.198)</f>
        <v>0</v>
      </c>
      <c r="G35" s="77">
        <f ca="1">IF(Input!AT35=0,0,1522/(5.75-LOG(Input!AT35))-273.15)</f>
        <v>0</v>
      </c>
      <c r="H35" s="220" t="e">
        <f ca="1">LOG(Input!$AR35^0.5/Input!$AP35)+2.06</f>
        <v>#DIV/0!</v>
      </c>
      <c r="I35" s="77">
        <f ca="1">IF(Input!AO35=0,0,1647/(LOG(Input!$AP35/Input!$AQ35)+1.333*(LOG(Input!$AR35^0.5/Input!$AP35)+2.06)+2.47)-273.15)</f>
        <v>0</v>
      </c>
      <c r="J35" s="221" t="e">
        <f t="shared" ca="1" si="1"/>
        <v>#DIV/0!</v>
      </c>
      <c r="K35" s="77">
        <f ca="1">IF(Input!AP35=0,0,1647/(LOG(Input!$AP35/Input!$AQ35)+J35*(LOG(Input!$AR35^0.5/Input!$AP35)+2.06)+2.47)-273.15)</f>
        <v>0</v>
      </c>
      <c r="L35" s="220">
        <f ca="1">IF(Input!AP35=0,0,100*(0.08226*Input!AS35/(0.08226*Input!AS35+0.0499*Input!AR35+0.02557*Input!AQ35)))</f>
        <v>0</v>
      </c>
      <c r="M35" s="220">
        <f t="shared" ca="1" si="2"/>
        <v>0</v>
      </c>
      <c r="N35" s="220">
        <f t="shared" ca="1" si="3"/>
        <v>0</v>
      </c>
      <c r="O35" s="77">
        <f t="shared" ca="1" si="4"/>
        <v>0</v>
      </c>
      <c r="P35" s="77">
        <f ca="1">IF(Input!$AP35=0,0,1217/(LOG(Input!$AP35/Input!$AQ35)+1.483)-273.15)</f>
        <v>0</v>
      </c>
      <c r="Q35" s="77">
        <f ca="1">IF(Input!$AP35=0,0,855.6/(LOG(Input!$AP35/Input!$AQ35)+0.8573)-273.15)</f>
        <v>0</v>
      </c>
      <c r="R35" s="90">
        <f ca="1">IF(Input!AP35=0,0,1390/(1.75-LOG(Input!AQ35/Input!AP35))-273.15)</f>
        <v>0</v>
      </c>
      <c r="S35" s="77">
        <f ca="1">IF(Input!$AP35=0,0,883/(0.78-LOG(Input!$AQ35/Input!$AP35))-273.15)</f>
        <v>0</v>
      </c>
      <c r="T35" s="77">
        <f ca="1">IF(Input!$AP35=0,0,1178/(1.47-LOG(Input!$AQ35/Input!$AP35))-273.15)</f>
        <v>0</v>
      </c>
      <c r="U35" s="77">
        <f ca="1">IF(Input!$AP35=0,0,933/(0.993-LOG(Input!$AQ35/Input!$AP35))-273.15)</f>
        <v>0</v>
      </c>
      <c r="V35" s="231">
        <f ca="1">IF(Input!AQ35=0,0,4410/(13.95-LOG(Input!AQ35^2/Input!AS35))-273.15)</f>
        <v>0</v>
      </c>
      <c r="W35" s="229"/>
    </row>
    <row r="36" spans="1:23" x14ac:dyDescent="0.2">
      <c r="A36" s="76" t="str">
        <f t="shared" ca="1" si="0"/>
        <v>Plumas County Warm Springs at Twain</v>
      </c>
      <c r="B36" s="77">
        <f ca="1">IF(Input!AT36=0, 0, 731/(4.52-LOG(Input!AT36))-273.15)</f>
        <v>0</v>
      </c>
      <c r="C36" s="77">
        <f ca="1">IF(Input!AT36=0,0,1000/(4.78-LOG(Input!$AT36))-273.15)</f>
        <v>0</v>
      </c>
      <c r="D36" s="77">
        <f ca="1">IF(Input!AT36=0,0,781/(4.51-LOG(Input!$AT36))-273.15)</f>
        <v>0</v>
      </c>
      <c r="E36" s="90">
        <f ca="1">IF(Input!AT36=0,0,1032/(4.69-LOG(Input!AT36))-273.15)</f>
        <v>0</v>
      </c>
      <c r="F36" s="77">
        <f ca="1">IF(Input!AT36=0,0, 0.00000031665*Input!AT36^3 - 0.00036686* Input!AT36^2 + 0.28831* Input!AT36 + 77.034 *LOG(Input!AT36) - 42.198)</f>
        <v>0</v>
      </c>
      <c r="G36" s="77">
        <f ca="1">IF(Input!AT36=0,0,1522/(5.75-LOG(Input!AT36))-273.15)</f>
        <v>0</v>
      </c>
      <c r="H36" s="220" t="e">
        <f ca="1">LOG(Input!$AR36^0.5/Input!$AP36)+2.06</f>
        <v>#DIV/0!</v>
      </c>
      <c r="I36" s="77">
        <f ca="1">IF(Input!AO36=0,0,1647/(LOG(Input!$AP36/Input!$AQ36)+1.333*(LOG(Input!$AR36^0.5/Input!$AP36)+2.06)+2.47)-273.15)</f>
        <v>0</v>
      </c>
      <c r="J36" s="221" t="e">
        <f t="shared" ca="1" si="1"/>
        <v>#DIV/0!</v>
      </c>
      <c r="K36" s="77">
        <f ca="1">IF(Input!AP36=0,0,1647/(LOG(Input!$AP36/Input!$AQ36)+J36*(LOG(Input!$AR36^0.5/Input!$AP36)+2.06)+2.47)-273.15)</f>
        <v>0</v>
      </c>
      <c r="L36" s="220">
        <f ca="1">IF(Input!AP36=0,0,100*(0.08226*Input!AS36/(0.08226*Input!AS36+0.0499*Input!AR36+0.02557*Input!AQ36)))</f>
        <v>0</v>
      </c>
      <c r="M36" s="220">
        <f t="shared" ca="1" si="2"/>
        <v>0</v>
      </c>
      <c r="N36" s="220">
        <f t="shared" ca="1" si="3"/>
        <v>0</v>
      </c>
      <c r="O36" s="77">
        <f t="shared" ca="1" si="4"/>
        <v>0</v>
      </c>
      <c r="P36" s="77">
        <f ca="1">IF(Input!$AP36=0,0,1217/(LOG(Input!$AP36/Input!$AQ36)+1.483)-273.15)</f>
        <v>0</v>
      </c>
      <c r="Q36" s="77">
        <f ca="1">IF(Input!$AP36=0,0,855.6/(LOG(Input!$AP36/Input!$AQ36)+0.8573)-273.15)</f>
        <v>0</v>
      </c>
      <c r="R36" s="90">
        <f ca="1">IF(Input!AP36=0,0,1390/(1.75-LOG(Input!AQ36/Input!AP36))-273.15)</f>
        <v>0</v>
      </c>
      <c r="S36" s="77">
        <f ca="1">IF(Input!$AP36=0,0,883/(0.78-LOG(Input!$AQ36/Input!$AP36))-273.15)</f>
        <v>0</v>
      </c>
      <c r="T36" s="77">
        <f ca="1">IF(Input!$AP36=0,0,1178/(1.47-LOG(Input!$AQ36/Input!$AP36))-273.15)</f>
        <v>0</v>
      </c>
      <c r="U36" s="77">
        <f ca="1">IF(Input!$AP36=0,0,933/(0.993-LOG(Input!$AQ36/Input!$AP36))-273.15)</f>
        <v>0</v>
      </c>
      <c r="V36" s="231">
        <f ca="1">IF(Input!AQ36=0,0,4410/(13.95-LOG(Input!AQ36^2/Input!AS36))-273.15)</f>
        <v>0</v>
      </c>
      <c r="W36" s="229"/>
    </row>
    <row r="37" spans="1:23" ht="13.5" thickBot="1" x14ac:dyDescent="0.25">
      <c r="A37" s="219" t="str">
        <f t="shared" ca="1" si="0"/>
        <v>San Diego County Warner Hot Springs</v>
      </c>
      <c r="B37" s="78">
        <f ca="1">IF(Input!AT37=0, 0, 731/(4.52-LOG(Input!AT37))-273.15)</f>
        <v>-43.100523127113632</v>
      </c>
      <c r="C37" s="78">
        <f ca="1">IF(Input!AT37=0,0,1000/(4.78-LOG(Input!$AT37))-273.15)</f>
        <v>17.752547681220392</v>
      </c>
      <c r="D37" s="78">
        <f ca="1">IF(Input!AT37=0,0,781/(4.51-LOG(Input!$AT37))-273.15)</f>
        <v>-26.589325609666929</v>
      </c>
      <c r="E37" s="112">
        <f ca="1">IF(Input!AT37=0,0,1032/(4.69-LOG(Input!AT37))-273.15)</f>
        <v>35.132647898173673</v>
      </c>
      <c r="F37" s="78">
        <f ca="1">IF(Input!AT37=0,0, 0.00000031665*Input!AT37^3 - 0.00036686* Input!AT37^2 + 0.28831* Input!AT37 + 77.034 *LOG(Input!AT37) - 42.198)</f>
        <v>67.382820243657847</v>
      </c>
      <c r="G37" s="78">
        <f ca="1">IF(Input!AT37=0,0,1522/(5.75-LOG(Input!AT37))-273.15)</f>
        <v>72.164418734671187</v>
      </c>
      <c r="H37" s="223">
        <f ca="1">LOG(Input!$AR37^0.5/Input!$AP37)+2.06</f>
        <v>0.30552216752655936</v>
      </c>
      <c r="I37" s="78">
        <f ca="1">IF(Input!AO37=0,0,1647/(LOG(Input!$AP37/Input!$AQ37)+1.333*(LOG(Input!$AR37^0.5/Input!$AP37)+2.06)+2.47)-273.15)</f>
        <v>0</v>
      </c>
      <c r="J37" s="222">
        <f t="shared" ca="1" si="1"/>
        <v>1.333</v>
      </c>
      <c r="K37" s="78">
        <f ca="1">IF(Input!AP37=0,0,1647/(LOG(Input!$AP37/Input!$AQ37)+J37*(LOG(Input!$AR37^0.5/Input!$AP37)+2.06)+2.47)-273.15)</f>
        <v>134.87833448416484</v>
      </c>
      <c r="L37" s="223">
        <f ca="1">IF(Input!AP37=0,0,100*(0.08226*Input!AS37/(0.08226*Input!AS37+0.0499*Input!AR37+0.02557*Input!AQ37)))</f>
        <v>0</v>
      </c>
      <c r="M37" s="223">
        <f t="shared" ca="1" si="2"/>
        <v>0</v>
      </c>
      <c r="N37" s="223">
        <f t="shared" ca="1" si="3"/>
        <v>0</v>
      </c>
      <c r="O37" s="78">
        <f t="shared" ca="1" si="4"/>
        <v>134.87833448416484</v>
      </c>
      <c r="P37" s="78">
        <f ca="1">IF(Input!$AP37=0,0,1217/(LOG(Input!$AP37/Input!$AQ37)+1.483)-273.15)</f>
        <v>187.44694668742972</v>
      </c>
      <c r="Q37" s="78">
        <f ca="1">IF(Input!$AP37=0,0,855.6/(LOG(Input!$AP37/Input!$AQ37)+0.8573)-273.15)</f>
        <v>151.14461919545175</v>
      </c>
      <c r="R37" s="112">
        <f ca="1">IF(Input!AP37=0,0,1390/(1.75-LOG(Input!AQ37/Input!AP37))-273.15)</f>
        <v>204.64075049542527</v>
      </c>
      <c r="S37" s="78">
        <f ca="1">IF(Input!$AP37=0,0,883/(0.78-LOG(Input!$AQ37/Input!$AP37))-273.15)</f>
        <v>182.186930318446</v>
      </c>
      <c r="T37" s="78">
        <f ca="1">IF(Input!$AP37=0,0,1178/(1.47-LOG(Input!$AQ37/Input!$AP37))-273.15)</f>
        <v>174.89105641022456</v>
      </c>
      <c r="U37" s="78">
        <f ca="1">IF(Input!$AP37=0,0,933/(0.993-LOG(Input!$AQ37/Input!$AP37))-273.15)</f>
        <v>160.35519686374056</v>
      </c>
      <c r="V37" s="233" t="e">
        <f ca="1">IF(Input!AQ37=0,0,4410/(13.95-LOG(Input!AQ37^2/Input!AS37))-273.15)</f>
        <v>#DIV/0!</v>
      </c>
      <c r="W37" s="229"/>
    </row>
    <row r="38" spans="1:23" x14ac:dyDescent="0.2">
      <c r="C38" s="77"/>
      <c r="D38" s="77"/>
      <c r="I38" s="77"/>
      <c r="J38" s="77"/>
    </row>
  </sheetData>
  <sheetProtection sheet="1" objects="1" scenarios="1" formatCells="0" formatColumns="0" formatRows="0"/>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T1912"/>
  <sheetViews>
    <sheetView showZeros="0" tabSelected="1" zoomScale="75" workbookViewId="0">
      <selection activeCell="U28" sqref="U28"/>
    </sheetView>
  </sheetViews>
  <sheetFormatPr defaultRowHeight="12.75" x14ac:dyDescent="0.2"/>
  <cols>
    <col min="1" max="1" width="46.28515625" customWidth="1"/>
    <col min="2" max="2" width="14.28515625" customWidth="1"/>
    <col min="3" max="6" width="10.28515625" customWidth="1"/>
    <col min="7" max="7" width="11.85546875" customWidth="1"/>
    <col min="8" max="9" width="10.28515625" customWidth="1"/>
    <col min="10" max="10" width="10.140625" customWidth="1"/>
    <col min="11" max="11" width="9.28515625" customWidth="1"/>
    <col min="12" max="14" width="9.28515625" bestFit="1" customWidth="1"/>
    <col min="15" max="15" width="11.7109375" bestFit="1" customWidth="1"/>
    <col min="17" max="17" width="9.5703125" style="74" bestFit="1" customWidth="1"/>
    <col min="23" max="23" width="10.140625" bestFit="1" customWidth="1"/>
    <col min="24" max="24" width="9.5703125" bestFit="1" customWidth="1"/>
    <col min="26" max="26" width="10.140625" customWidth="1"/>
    <col min="28" max="28" width="10.42578125" customWidth="1"/>
    <col min="31" max="31" width="10.140625" customWidth="1"/>
    <col min="34" max="50" width="9.140625" style="239" hidden="1" customWidth="1"/>
    <col min="51" max="51" width="9.28515625" style="239" hidden="1" customWidth="1"/>
    <col min="52" max="52" width="9.140625" style="239" hidden="1" customWidth="1"/>
    <col min="53" max="53" width="10.28515625" style="239" hidden="1" customWidth="1"/>
    <col min="54" max="54" width="11" style="239" hidden="1" customWidth="1"/>
    <col min="55" max="60" width="9.140625" style="239" hidden="1" customWidth="1"/>
    <col min="61" max="61" width="10.140625" style="239" hidden="1" customWidth="1"/>
    <col min="62" max="64" width="9.140625" style="239" hidden="1" customWidth="1"/>
    <col min="65" max="66" width="9.140625" style="239"/>
    <col min="67" max="67" width="10.85546875" style="239" customWidth="1"/>
    <col min="68" max="68" width="9.140625" style="239" hidden="1" customWidth="1"/>
    <col min="69" max="69" width="9.5703125" style="239" hidden="1" customWidth="1"/>
    <col min="70" max="102" width="9.140625" style="239" hidden="1" customWidth="1"/>
    <col min="103" max="104" width="11.28515625" style="239" hidden="1" customWidth="1"/>
    <col min="105" max="105" width="15.5703125" style="239" hidden="1" customWidth="1"/>
    <col min="106" max="106" width="12.7109375" style="239" hidden="1" customWidth="1"/>
    <col min="107" max="107" width="9.140625" style="239" hidden="1" customWidth="1"/>
    <col min="108" max="108" width="10.42578125" style="239" hidden="1" customWidth="1"/>
    <col min="109" max="109" width="9.140625" style="239" hidden="1" customWidth="1"/>
    <col min="110" max="110" width="10.85546875" hidden="1" customWidth="1"/>
    <col min="111" max="124" width="9.140625" hidden="1" customWidth="1"/>
  </cols>
  <sheetData>
    <row r="1" spans="1:124" s="20" customFormat="1" ht="21.75" customHeight="1" x14ac:dyDescent="0.25">
      <c r="A1" s="49" t="s">
        <v>228</v>
      </c>
      <c r="O1" s="407" t="s">
        <v>89</v>
      </c>
      <c r="P1" s="408"/>
      <c r="Q1" s="407" t="s">
        <v>24</v>
      </c>
      <c r="R1" s="408"/>
      <c r="S1" s="407" t="s">
        <v>23</v>
      </c>
      <c r="T1" s="408"/>
      <c r="U1" s="407" t="s">
        <v>41</v>
      </c>
      <c r="V1" s="408"/>
      <c r="W1" s="407" t="s">
        <v>53</v>
      </c>
      <c r="X1" s="409"/>
      <c r="Y1" s="410" t="s">
        <v>189</v>
      </c>
      <c r="Z1" s="411"/>
      <c r="AA1" s="411"/>
      <c r="AB1" s="343"/>
      <c r="AC1" s="344"/>
      <c r="AD1" s="344"/>
      <c r="AE1" s="345" t="s">
        <v>160</v>
      </c>
      <c r="AF1" s="344"/>
      <c r="AG1" s="346"/>
      <c r="AH1" s="236" t="s">
        <v>91</v>
      </c>
      <c r="AI1" s="237"/>
      <c r="AJ1" s="237"/>
      <c r="AK1" s="237"/>
      <c r="AL1" s="237"/>
      <c r="AM1" s="237"/>
      <c r="AN1" s="237"/>
      <c r="AO1" s="237"/>
      <c r="AP1" s="237"/>
      <c r="AQ1" s="237"/>
      <c r="AR1" s="237"/>
      <c r="AS1" s="237"/>
      <c r="AT1" s="237"/>
      <c r="AU1" s="237"/>
      <c r="AV1" s="237"/>
      <c r="AW1" s="237"/>
      <c r="AX1" s="237"/>
      <c r="AY1" s="237"/>
      <c r="AZ1" s="237"/>
      <c r="BA1" s="237"/>
      <c r="BB1" s="237"/>
      <c r="BC1" s="237"/>
      <c r="BD1" s="237"/>
      <c r="BE1" s="237"/>
      <c r="BF1" s="237"/>
      <c r="BG1" s="237"/>
      <c r="BH1" s="237"/>
      <c r="BI1" s="237"/>
      <c r="BJ1" s="237"/>
      <c r="BK1" s="237"/>
      <c r="BL1" s="237"/>
      <c r="BM1" s="356" t="s">
        <v>234</v>
      </c>
      <c r="BN1" s="357"/>
      <c r="BO1" s="358"/>
      <c r="BP1" s="238"/>
      <c r="BQ1" s="393" t="s">
        <v>89</v>
      </c>
      <c r="BR1" s="394"/>
      <c r="BS1" s="394"/>
      <c r="BT1" s="394"/>
      <c r="BU1" s="395"/>
      <c r="BV1" s="393" t="s">
        <v>24</v>
      </c>
      <c r="BW1" s="394"/>
      <c r="BX1" s="394"/>
      <c r="BY1" s="394"/>
      <c r="BZ1" s="395"/>
      <c r="CA1" s="390" t="s">
        <v>23</v>
      </c>
      <c r="CB1" s="391"/>
      <c r="CC1" s="391"/>
      <c r="CD1" s="391"/>
      <c r="CE1" s="392"/>
      <c r="CF1" s="390" t="s">
        <v>41</v>
      </c>
      <c r="CG1" s="391"/>
      <c r="CH1" s="391"/>
      <c r="CI1" s="391"/>
      <c r="CJ1" s="392"/>
      <c r="CK1" s="390" t="s">
        <v>189</v>
      </c>
      <c r="CL1" s="391"/>
      <c r="CM1" s="391"/>
      <c r="CN1" s="391"/>
      <c r="CO1" s="391"/>
      <c r="CP1" s="391"/>
      <c r="CQ1" s="391"/>
      <c r="CR1" s="392"/>
      <c r="CS1" s="390" t="s">
        <v>53</v>
      </c>
      <c r="CT1" s="391"/>
      <c r="CU1" s="391"/>
      <c r="CV1" s="391"/>
      <c r="CW1" s="392"/>
      <c r="CX1" s="238"/>
      <c r="CY1" s="238"/>
      <c r="CZ1" s="238"/>
      <c r="DA1" s="238"/>
      <c r="DB1" s="238"/>
      <c r="DC1" s="238"/>
      <c r="DD1" s="238"/>
      <c r="DE1" s="238"/>
    </row>
    <row r="2" spans="1:124" s="20" customFormat="1" ht="16.5" customHeight="1" thickBot="1" x14ac:dyDescent="0.3">
      <c r="A2" s="49"/>
      <c r="O2" s="50"/>
      <c r="P2" s="291" t="s">
        <v>188</v>
      </c>
      <c r="Q2" s="294"/>
      <c r="R2" s="291" t="s">
        <v>188</v>
      </c>
      <c r="S2" s="50"/>
      <c r="T2" s="291" t="s">
        <v>188</v>
      </c>
      <c r="U2" s="50"/>
      <c r="V2" s="291" t="s">
        <v>188</v>
      </c>
      <c r="W2" s="50"/>
      <c r="X2" s="291" t="s">
        <v>188</v>
      </c>
      <c r="Y2" s="292" t="s">
        <v>190</v>
      </c>
      <c r="Z2" s="51" t="s">
        <v>191</v>
      </c>
      <c r="AA2" s="51" t="s">
        <v>188</v>
      </c>
      <c r="AB2" s="3"/>
      <c r="AC2" s="347"/>
      <c r="AD2" s="347"/>
      <c r="AE2" s="348"/>
      <c r="AF2" s="347"/>
      <c r="AG2" s="349"/>
      <c r="AH2" s="236"/>
      <c r="AI2" s="237"/>
      <c r="AJ2" s="237"/>
      <c r="AK2" s="237"/>
      <c r="AL2" s="237"/>
      <c r="AM2" s="237"/>
      <c r="AN2" s="237"/>
      <c r="AO2" s="237"/>
      <c r="AP2" s="237"/>
      <c r="AQ2" s="237"/>
      <c r="AR2" s="237"/>
      <c r="AS2" s="237"/>
      <c r="AT2" s="237"/>
      <c r="AU2" s="237"/>
      <c r="AV2" s="237"/>
      <c r="AW2" s="237"/>
      <c r="AX2" s="237"/>
      <c r="AY2" s="237"/>
      <c r="AZ2" s="237"/>
      <c r="BA2" s="237"/>
      <c r="BB2" s="237"/>
      <c r="BC2" s="237"/>
      <c r="BD2" s="237"/>
      <c r="BE2" s="237"/>
      <c r="BF2" s="237"/>
      <c r="BG2" s="237"/>
      <c r="BH2" s="237"/>
      <c r="BI2" s="237"/>
      <c r="BJ2" s="237"/>
      <c r="BK2" s="237"/>
      <c r="BL2" s="237"/>
      <c r="BM2" s="359" t="s">
        <v>223</v>
      </c>
      <c r="BN2" s="360"/>
      <c r="BO2" s="361"/>
      <c r="BP2" s="238"/>
      <c r="BQ2" s="284"/>
      <c r="BR2" s="285"/>
      <c r="BS2" s="285"/>
      <c r="BT2" s="285"/>
      <c r="BU2" s="285"/>
      <c r="BV2" s="284"/>
      <c r="BW2" s="285"/>
      <c r="BX2" s="285"/>
      <c r="BY2" s="285"/>
      <c r="BZ2" s="285"/>
      <c r="CA2" s="286"/>
      <c r="CB2" s="287"/>
      <c r="CC2" s="287"/>
      <c r="CD2" s="287"/>
      <c r="CE2" s="288"/>
      <c r="CF2" s="286"/>
      <c r="CG2" s="287"/>
      <c r="CH2" s="287"/>
      <c r="CI2" s="287"/>
      <c r="CJ2" s="288"/>
      <c r="CK2" s="287"/>
      <c r="CL2" s="287"/>
      <c r="CM2" s="287"/>
      <c r="CN2" s="286"/>
      <c r="CO2" s="287"/>
      <c r="CP2" s="287"/>
      <c r="CQ2" s="287"/>
      <c r="CR2" s="288"/>
      <c r="CS2" s="286"/>
      <c r="CT2" s="287"/>
      <c r="CU2" s="287"/>
      <c r="CV2" s="287"/>
      <c r="CW2" s="288"/>
      <c r="CX2" s="238"/>
      <c r="CY2" s="238"/>
      <c r="CZ2" s="238"/>
      <c r="DA2" s="238"/>
      <c r="DB2" s="238"/>
      <c r="DC2" s="238"/>
      <c r="DD2" s="238"/>
      <c r="DE2" s="238"/>
    </row>
    <row r="3" spans="1:124" ht="15.75" customHeight="1" thickBot="1" x14ac:dyDescent="0.25">
      <c r="A3" s="339" t="s">
        <v>227</v>
      </c>
      <c r="B3" s="53"/>
      <c r="C3" s="53"/>
      <c r="D3" s="412" t="s">
        <v>187</v>
      </c>
      <c r="E3" s="413"/>
      <c r="F3" s="413"/>
      <c r="G3" s="413"/>
      <c r="H3" s="413"/>
      <c r="I3" s="413"/>
      <c r="J3" s="413"/>
      <c r="K3" s="413"/>
      <c r="L3" s="414"/>
      <c r="M3" s="403" t="s">
        <v>161</v>
      </c>
      <c r="N3" s="404"/>
      <c r="O3" s="292" t="s">
        <v>17</v>
      </c>
      <c r="P3" s="313">
        <v>1</v>
      </c>
      <c r="Q3" s="113" t="s">
        <v>17</v>
      </c>
      <c r="R3" s="313">
        <v>1</v>
      </c>
      <c r="S3" s="51" t="s">
        <v>15</v>
      </c>
      <c r="T3" s="313">
        <v>1</v>
      </c>
      <c r="U3" s="51" t="s">
        <v>17</v>
      </c>
      <c r="V3" s="313">
        <v>1</v>
      </c>
      <c r="W3" s="51" t="s">
        <v>42</v>
      </c>
      <c r="X3" s="289">
        <v>1</v>
      </c>
      <c r="Y3" s="310" t="s">
        <v>43</v>
      </c>
      <c r="Z3" s="297" t="str">
        <f ca="1">INDIRECT(Y3&amp;7,TRUE)</f>
        <v>Li</v>
      </c>
      <c r="AA3" s="212">
        <v>1</v>
      </c>
      <c r="AB3" s="3"/>
      <c r="AC3" s="7"/>
      <c r="AD3" s="7"/>
      <c r="AE3" s="51" t="s">
        <v>158</v>
      </c>
      <c r="AF3" s="350">
        <v>-10</v>
      </c>
      <c r="AG3" s="353">
        <v>-20</v>
      </c>
      <c r="AH3" s="320" t="s">
        <v>201</v>
      </c>
      <c r="AI3" s="237"/>
      <c r="AJ3" s="237"/>
      <c r="AK3" s="237"/>
      <c r="AL3" s="237"/>
      <c r="AM3" s="237"/>
      <c r="AN3" s="237"/>
      <c r="AO3" s="237"/>
      <c r="AP3" s="237"/>
      <c r="AQ3" s="237"/>
      <c r="AR3" s="237"/>
      <c r="AS3" s="237"/>
      <c r="AT3" s="237"/>
      <c r="AU3" s="237"/>
      <c r="AV3" s="237"/>
      <c r="AW3" s="237"/>
      <c r="BM3" s="302"/>
      <c r="BN3" s="352">
        <v>0.2</v>
      </c>
      <c r="BO3" s="246"/>
      <c r="BQ3" s="240" t="s">
        <v>17</v>
      </c>
      <c r="BR3" s="241" t="s">
        <v>46</v>
      </c>
      <c r="BS3" s="241" t="s">
        <v>16</v>
      </c>
      <c r="BT3" s="242"/>
      <c r="BU3" s="242"/>
      <c r="BV3" s="240" t="s">
        <v>17</v>
      </c>
      <c r="BW3" s="241" t="s">
        <v>15</v>
      </c>
      <c r="BX3" s="241" t="s">
        <v>16</v>
      </c>
      <c r="BY3" s="242"/>
      <c r="BZ3" s="242"/>
      <c r="CA3" s="240" t="s">
        <v>15</v>
      </c>
      <c r="CB3" s="241" t="s">
        <v>22</v>
      </c>
      <c r="CC3" s="241" t="s">
        <v>21</v>
      </c>
      <c r="CD3" s="242"/>
      <c r="CE3" s="243"/>
      <c r="CF3" s="240" t="s">
        <v>17</v>
      </c>
      <c r="CG3" s="241" t="s">
        <v>18</v>
      </c>
      <c r="CH3" s="241" t="s">
        <v>37</v>
      </c>
      <c r="CI3" s="242"/>
      <c r="CJ3" s="242"/>
      <c r="CK3" s="301"/>
      <c r="CL3" s="242"/>
      <c r="CM3" s="243"/>
      <c r="CN3" s="241" t="str">
        <f ca="1">Z3</f>
        <v>Li</v>
      </c>
      <c r="CO3" s="241" t="str">
        <f ca="1">Z4</f>
        <v>Rb</v>
      </c>
      <c r="CP3" s="241" t="str">
        <f ca="1">Z5</f>
        <v>Cs</v>
      </c>
      <c r="CQ3" s="242"/>
      <c r="CR3" s="243"/>
      <c r="CS3" s="240" t="s">
        <v>42</v>
      </c>
      <c r="CT3" s="241" t="s">
        <v>43</v>
      </c>
      <c r="CU3" s="241" t="s">
        <v>86</v>
      </c>
      <c r="CV3" s="242"/>
      <c r="CW3" s="243"/>
    </row>
    <row r="4" spans="1:124" ht="12.75" customHeight="1" thickBot="1" x14ac:dyDescent="0.25">
      <c r="D4" s="415"/>
      <c r="E4" s="416"/>
      <c r="F4" s="416"/>
      <c r="G4" s="416"/>
      <c r="H4" s="416"/>
      <c r="I4" s="416"/>
      <c r="J4" s="416"/>
      <c r="K4" s="416"/>
      <c r="L4" s="417"/>
      <c r="M4" s="405"/>
      <c r="N4" s="406"/>
      <c r="O4" s="292" t="s">
        <v>46</v>
      </c>
      <c r="P4" s="314">
        <v>25</v>
      </c>
      <c r="Q4" s="113" t="s">
        <v>15</v>
      </c>
      <c r="R4" s="314">
        <v>100</v>
      </c>
      <c r="S4" s="51" t="s">
        <v>22</v>
      </c>
      <c r="T4" s="314">
        <v>4</v>
      </c>
      <c r="U4" s="51" t="s">
        <v>18</v>
      </c>
      <c r="V4" s="314">
        <v>1</v>
      </c>
      <c r="W4" s="51" t="s">
        <v>43</v>
      </c>
      <c r="X4" s="290">
        <v>10</v>
      </c>
      <c r="Y4" s="311" t="s">
        <v>2</v>
      </c>
      <c r="Z4" s="298" t="str">
        <f ca="1">INDIRECT(Y4&amp;7,TRUE)</f>
        <v>Rb</v>
      </c>
      <c r="AA4" s="342">
        <v>4</v>
      </c>
      <c r="AB4" s="3"/>
      <c r="AC4" s="7"/>
      <c r="AD4" s="7"/>
      <c r="AE4" s="51" t="s">
        <v>159</v>
      </c>
      <c r="AF4" s="351">
        <v>-16</v>
      </c>
      <c r="AG4" s="354"/>
      <c r="AH4" s="321" t="s">
        <v>200</v>
      </c>
      <c r="AI4" s="237"/>
      <c r="AJ4" s="237"/>
      <c r="AK4" s="237"/>
      <c r="AL4" s="237"/>
      <c r="AM4" s="237"/>
      <c r="AN4" s="237"/>
      <c r="AO4" s="237"/>
      <c r="AP4" s="237"/>
      <c r="AQ4" s="237"/>
      <c r="AR4" s="237"/>
      <c r="AS4" s="237"/>
      <c r="AT4" s="237"/>
      <c r="AU4" s="237"/>
      <c r="AV4" s="237"/>
      <c r="AW4" s="237"/>
      <c r="BM4" s="362"/>
      <c r="BN4" s="363"/>
      <c r="BO4" s="364"/>
      <c r="BQ4" s="244"/>
      <c r="BR4" s="245"/>
      <c r="BS4" s="245"/>
      <c r="BT4" s="237"/>
      <c r="BU4" s="237"/>
      <c r="BV4" s="244"/>
      <c r="BW4" s="245"/>
      <c r="BX4" s="245"/>
      <c r="BY4" s="237"/>
      <c r="BZ4" s="237"/>
      <c r="CA4" s="244"/>
      <c r="CB4" s="245"/>
      <c r="CC4" s="245"/>
      <c r="CD4" s="237"/>
      <c r="CE4" s="246"/>
      <c r="CF4" s="244"/>
      <c r="CG4" s="245"/>
      <c r="CH4" s="245"/>
      <c r="CI4" s="237"/>
      <c r="CJ4" s="237"/>
      <c r="CK4" s="302"/>
      <c r="CL4" s="237"/>
      <c r="CM4" s="246"/>
      <c r="CN4" s="245"/>
      <c r="CO4" s="245"/>
      <c r="CP4" s="245"/>
      <c r="CQ4" s="237"/>
      <c r="CR4" s="246"/>
      <c r="CS4" s="244"/>
      <c r="CT4" s="245"/>
      <c r="CU4" s="245"/>
      <c r="CV4" s="237"/>
      <c r="CW4" s="246"/>
    </row>
    <row r="5" spans="1:124" ht="12.75" customHeight="1" thickBot="1" x14ac:dyDescent="0.25">
      <c r="A5" s="47"/>
      <c r="D5" s="418"/>
      <c r="E5" s="419"/>
      <c r="F5" s="419"/>
      <c r="G5" s="419"/>
      <c r="H5" s="419"/>
      <c r="I5" s="419"/>
      <c r="J5" s="419"/>
      <c r="K5" s="419"/>
      <c r="L5" s="420"/>
      <c r="M5" s="405"/>
      <c r="N5" s="406"/>
      <c r="O5" s="293" t="s">
        <v>16</v>
      </c>
      <c r="P5" s="315">
        <v>25</v>
      </c>
      <c r="Q5" s="316" t="s">
        <v>16</v>
      </c>
      <c r="R5" s="315">
        <v>25</v>
      </c>
      <c r="S5" s="295" t="s">
        <v>21</v>
      </c>
      <c r="T5" s="315">
        <v>10</v>
      </c>
      <c r="U5" s="295" t="s">
        <v>37</v>
      </c>
      <c r="V5" s="315">
        <v>1</v>
      </c>
      <c r="W5" s="295" t="s">
        <v>54</v>
      </c>
      <c r="X5" s="309">
        <v>1000</v>
      </c>
      <c r="Y5" s="312" t="s">
        <v>110</v>
      </c>
      <c r="Z5" s="299" t="str">
        <f ca="1">INDIRECT(Y5&amp;7,TRUE)</f>
        <v>Cs</v>
      </c>
      <c r="AA5" s="213">
        <v>10</v>
      </c>
      <c r="AB5" s="5"/>
      <c r="AC5" s="14"/>
      <c r="AD5" s="14"/>
      <c r="AE5" s="14"/>
      <c r="AF5" s="14"/>
      <c r="AG5" s="6"/>
      <c r="AH5" s="247" t="s">
        <v>118</v>
      </c>
      <c r="AI5" s="247" t="s">
        <v>92</v>
      </c>
      <c r="AJ5" s="247" t="s">
        <v>46</v>
      </c>
      <c r="AK5" s="247" t="s">
        <v>95</v>
      </c>
      <c r="AL5" s="248" t="s">
        <v>96</v>
      </c>
      <c r="AM5" s="248" t="s">
        <v>97</v>
      </c>
      <c r="AN5" s="248" t="s">
        <v>98</v>
      </c>
      <c r="AO5" s="248" t="s">
        <v>43</v>
      </c>
      <c r="AP5" s="248" t="s">
        <v>99</v>
      </c>
      <c r="AQ5" s="248" t="s">
        <v>78</v>
      </c>
      <c r="AR5" s="248" t="s">
        <v>100</v>
      </c>
      <c r="AS5" s="248" t="s">
        <v>101</v>
      </c>
      <c r="AT5" s="248" t="s">
        <v>102</v>
      </c>
      <c r="AU5" s="248" t="s">
        <v>103</v>
      </c>
      <c r="AV5" s="248" t="s">
        <v>104</v>
      </c>
      <c r="AW5" s="248" t="s">
        <v>105</v>
      </c>
      <c r="AX5" s="248" t="s">
        <v>106</v>
      </c>
      <c r="AY5" s="248" t="s">
        <v>107</v>
      </c>
      <c r="AZ5" s="248" t="s">
        <v>108</v>
      </c>
      <c r="BA5" s="248" t="s">
        <v>109</v>
      </c>
      <c r="BB5" s="248" t="s">
        <v>3</v>
      </c>
      <c r="BC5" s="248" t="s">
        <v>2</v>
      </c>
      <c r="BD5" s="248" t="s">
        <v>110</v>
      </c>
      <c r="BE5" s="248" t="s">
        <v>111</v>
      </c>
      <c r="BF5" s="248" t="s">
        <v>112</v>
      </c>
      <c r="BG5" s="248" t="s">
        <v>79</v>
      </c>
      <c r="BH5" s="248" t="s">
        <v>113</v>
      </c>
      <c r="BI5" s="247" t="s">
        <v>114</v>
      </c>
      <c r="BJ5" s="247" t="s">
        <v>115</v>
      </c>
      <c r="BK5" s="247" t="s">
        <v>198</v>
      </c>
      <c r="BL5" s="249" t="s">
        <v>118</v>
      </c>
      <c r="BQ5" s="244"/>
      <c r="BR5" s="245"/>
      <c r="BS5" s="245"/>
      <c r="BT5" s="237"/>
      <c r="BU5" s="237"/>
      <c r="BV5" s="244"/>
      <c r="BW5" s="245"/>
      <c r="BX5" s="245"/>
      <c r="BY5" s="237"/>
      <c r="BZ5" s="237"/>
      <c r="CA5" s="244"/>
      <c r="CB5" s="245"/>
      <c r="CC5" s="245"/>
      <c r="CD5" s="237"/>
      <c r="CE5" s="246"/>
      <c r="CF5" s="244"/>
      <c r="CG5" s="245"/>
      <c r="CH5" s="245"/>
      <c r="CI5" s="237"/>
      <c r="CJ5" s="237"/>
      <c r="CK5" s="396" t="s">
        <v>192</v>
      </c>
      <c r="CL5" s="397"/>
      <c r="CM5" s="398"/>
      <c r="CN5" s="245"/>
      <c r="CO5" s="245"/>
      <c r="CP5" s="245"/>
      <c r="CQ5" s="237"/>
      <c r="CR5" s="246"/>
      <c r="CS5" s="244"/>
      <c r="CT5" s="245"/>
      <c r="CU5" s="245"/>
      <c r="CV5" s="237"/>
      <c r="CW5" s="246"/>
    </row>
    <row r="6" spans="1:124" ht="12.75" customHeight="1" thickBot="1" x14ac:dyDescent="0.25">
      <c r="J6" s="399" t="s">
        <v>25</v>
      </c>
      <c r="K6" s="400"/>
      <c r="L6" s="400"/>
      <c r="M6" s="400"/>
      <c r="N6" s="400"/>
      <c r="O6" s="400"/>
      <c r="P6" s="401"/>
      <c r="Q6" s="400"/>
      <c r="R6" s="401"/>
      <c r="S6" s="400"/>
      <c r="T6" s="401"/>
      <c r="U6" s="400"/>
      <c r="V6" s="401"/>
      <c r="W6" s="400"/>
      <c r="X6" s="400"/>
      <c r="Y6" s="401"/>
      <c r="Z6" s="401"/>
      <c r="AA6" s="401"/>
      <c r="AB6" s="401"/>
      <c r="AC6" s="401"/>
      <c r="AD6" s="401"/>
      <c r="AE6" s="402"/>
      <c r="AL6" s="250" t="s">
        <v>169</v>
      </c>
      <c r="AM6" s="251"/>
      <c r="AN6" s="251"/>
      <c r="AO6" s="251">
        <v>0.14410999999999999</v>
      </c>
      <c r="AP6" s="252">
        <v>4.3499999999999997E-2</v>
      </c>
      <c r="AQ6" s="251">
        <v>2.5569999999999999E-2</v>
      </c>
      <c r="AR6" s="252">
        <v>4.99E-2</v>
      </c>
      <c r="AS6" s="251">
        <v>8.226E-2</v>
      </c>
      <c r="AT6" s="251"/>
      <c r="AU6" s="251"/>
      <c r="AV6" s="251">
        <v>2.8209999999999999E-2</v>
      </c>
      <c r="AW6" s="251">
        <v>5.2639999999999999E-2</v>
      </c>
      <c r="AX6" s="251">
        <v>2.0820000000000002E-2</v>
      </c>
      <c r="AY6" s="251">
        <v>1.6389999999999998E-2</v>
      </c>
      <c r="AZ6" s="251">
        <v>3.3329999999999999E-2</v>
      </c>
      <c r="BA6" s="251">
        <v>5.5440000000000003E-2</v>
      </c>
      <c r="BB6" s="251"/>
      <c r="BC6" s="252"/>
      <c r="BD6" s="251"/>
      <c r="BE6" s="251"/>
      <c r="BF6" s="251"/>
      <c r="BG6" s="251">
        <v>3.5810000000000002E-2</v>
      </c>
      <c r="BH6" s="253"/>
      <c r="BP6" s="254" t="s">
        <v>11</v>
      </c>
      <c r="BQ6" s="255">
        <f>P3</f>
        <v>1</v>
      </c>
      <c r="BR6" s="256">
        <f>P4</f>
        <v>25</v>
      </c>
      <c r="BS6" s="256">
        <f>P5</f>
        <v>25</v>
      </c>
      <c r="BT6" s="237"/>
      <c r="BU6" s="237"/>
      <c r="BV6" s="255">
        <f>R3</f>
        <v>1</v>
      </c>
      <c r="BW6" s="256">
        <f>R4</f>
        <v>100</v>
      </c>
      <c r="BX6" s="256">
        <f>R5</f>
        <v>25</v>
      </c>
      <c r="BY6" s="237"/>
      <c r="BZ6" s="237"/>
      <c r="CA6" s="255">
        <f>T3</f>
        <v>1</v>
      </c>
      <c r="CB6" s="256">
        <f>T4</f>
        <v>4</v>
      </c>
      <c r="CC6" s="256">
        <f>T5</f>
        <v>10</v>
      </c>
      <c r="CD6" s="237"/>
      <c r="CE6" s="246"/>
      <c r="CF6" s="255">
        <f>V3</f>
        <v>1</v>
      </c>
      <c r="CG6" s="256">
        <f>V4</f>
        <v>1</v>
      </c>
      <c r="CH6" s="256">
        <f>V5</f>
        <v>1</v>
      </c>
      <c r="CI6" s="237"/>
      <c r="CJ6" s="237"/>
      <c r="CK6" s="303" t="s">
        <v>3</v>
      </c>
      <c r="CL6" s="300" t="s">
        <v>2</v>
      </c>
      <c r="CM6" s="304" t="s">
        <v>110</v>
      </c>
      <c r="CN6" s="256">
        <f>AA3</f>
        <v>1</v>
      </c>
      <c r="CO6" s="256">
        <f>AA4</f>
        <v>4</v>
      </c>
      <c r="CP6" s="256">
        <f>AA5</f>
        <v>10</v>
      </c>
      <c r="CQ6" s="237"/>
      <c r="CR6" s="246"/>
      <c r="CS6" s="255">
        <v>1</v>
      </c>
      <c r="CT6" s="256">
        <v>10</v>
      </c>
      <c r="CU6" s="256">
        <v>1000</v>
      </c>
      <c r="CV6" s="237"/>
      <c r="CW6" s="246"/>
      <c r="DC6" s="385" t="s">
        <v>231</v>
      </c>
      <c r="DD6" s="386"/>
      <c r="DE6" s="386"/>
      <c r="DF6" s="387"/>
      <c r="DG6" s="388" t="s">
        <v>222</v>
      </c>
      <c r="DH6" s="389"/>
      <c r="DI6" s="389"/>
      <c r="DJ6" s="389"/>
      <c r="DK6" s="389"/>
      <c r="DL6" s="389"/>
      <c r="DM6" s="389"/>
      <c r="DN6" s="389"/>
      <c r="DO6" s="389"/>
      <c r="DP6" s="389"/>
      <c r="DQ6" s="389"/>
      <c r="DR6" s="389"/>
      <c r="DS6" s="389"/>
      <c r="DT6" s="389"/>
    </row>
    <row r="7" spans="1:124" s="47" customFormat="1" ht="30.75" customHeight="1" thickBot="1" x14ac:dyDescent="0.25">
      <c r="A7" s="91" t="s">
        <v>39</v>
      </c>
      <c r="B7" s="92" t="s">
        <v>145</v>
      </c>
      <c r="C7" s="93" t="s">
        <v>9</v>
      </c>
      <c r="D7" s="93" t="s">
        <v>40</v>
      </c>
      <c r="E7" s="94" t="s">
        <v>87</v>
      </c>
      <c r="F7" s="94" t="s">
        <v>88</v>
      </c>
      <c r="G7" s="93" t="s">
        <v>81</v>
      </c>
      <c r="H7" s="93" t="s">
        <v>76</v>
      </c>
      <c r="I7" s="93" t="s">
        <v>197</v>
      </c>
      <c r="J7" s="93" t="s">
        <v>38</v>
      </c>
      <c r="K7" s="93" t="s">
        <v>15</v>
      </c>
      <c r="L7" s="93" t="s">
        <v>42</v>
      </c>
      <c r="M7" s="93" t="s">
        <v>43</v>
      </c>
      <c r="N7" s="93" t="s">
        <v>14</v>
      </c>
      <c r="O7" s="93" t="s">
        <v>44</v>
      </c>
      <c r="P7" s="93" t="s">
        <v>45</v>
      </c>
      <c r="Q7" s="93" t="s">
        <v>16</v>
      </c>
      <c r="R7" s="93" t="s">
        <v>17</v>
      </c>
      <c r="S7" s="93" t="s">
        <v>46</v>
      </c>
      <c r="T7" s="93" t="s">
        <v>18</v>
      </c>
      <c r="U7" s="93" t="s">
        <v>37</v>
      </c>
      <c r="V7" s="93" t="s">
        <v>47</v>
      </c>
      <c r="W7" s="93" t="s">
        <v>48</v>
      </c>
      <c r="X7" s="93" t="s">
        <v>49</v>
      </c>
      <c r="Y7" s="93" t="s">
        <v>22</v>
      </c>
      <c r="Z7" s="93" t="s">
        <v>21</v>
      </c>
      <c r="AA7" s="93" t="s">
        <v>19</v>
      </c>
      <c r="AB7" s="93" t="s">
        <v>20</v>
      </c>
      <c r="AC7" s="93" t="s">
        <v>50</v>
      </c>
      <c r="AD7" s="93" t="s">
        <v>51</v>
      </c>
      <c r="AE7" s="95" t="s">
        <v>144</v>
      </c>
      <c r="AF7" s="216" t="s">
        <v>183</v>
      </c>
      <c r="AG7" s="95" t="s">
        <v>184</v>
      </c>
      <c r="AH7" s="257" t="s">
        <v>40</v>
      </c>
      <c r="AI7" s="258" t="s">
        <v>93</v>
      </c>
      <c r="AJ7" s="258" t="s">
        <v>94</v>
      </c>
      <c r="AK7" s="259" t="s">
        <v>81</v>
      </c>
      <c r="AL7" s="259" t="s">
        <v>76</v>
      </c>
      <c r="AM7" s="259" t="s">
        <v>197</v>
      </c>
      <c r="AN7" s="259" t="s">
        <v>38</v>
      </c>
      <c r="AO7" s="259" t="s">
        <v>15</v>
      </c>
      <c r="AP7" s="259" t="s">
        <v>42</v>
      </c>
      <c r="AQ7" s="259" t="s">
        <v>43</v>
      </c>
      <c r="AR7" s="259" t="s">
        <v>14</v>
      </c>
      <c r="AS7" s="259" t="s">
        <v>44</v>
      </c>
      <c r="AT7" s="259" t="s">
        <v>45</v>
      </c>
      <c r="AU7" s="259" t="s">
        <v>16</v>
      </c>
      <c r="AV7" s="259" t="s">
        <v>17</v>
      </c>
      <c r="AW7" s="259" t="s">
        <v>46</v>
      </c>
      <c r="AX7" s="259" t="s">
        <v>18</v>
      </c>
      <c r="AY7" s="259" t="s">
        <v>37</v>
      </c>
      <c r="AZ7" s="259" t="s">
        <v>47</v>
      </c>
      <c r="BA7" s="259" t="s">
        <v>48</v>
      </c>
      <c r="BB7" s="259" t="s">
        <v>49</v>
      </c>
      <c r="BC7" s="259" t="s">
        <v>22</v>
      </c>
      <c r="BD7" s="259" t="s">
        <v>21</v>
      </c>
      <c r="BE7" s="259" t="s">
        <v>19</v>
      </c>
      <c r="BF7" s="259" t="s">
        <v>20</v>
      </c>
      <c r="BG7" s="259" t="s">
        <v>50</v>
      </c>
      <c r="BH7" s="259" t="s">
        <v>51</v>
      </c>
      <c r="BI7" s="259" t="s">
        <v>170</v>
      </c>
      <c r="BJ7" s="259" t="s">
        <v>65</v>
      </c>
      <c r="BK7" s="260" t="s">
        <v>66</v>
      </c>
      <c r="BL7" s="260" t="s">
        <v>146</v>
      </c>
      <c r="BM7" s="261" t="s">
        <v>67</v>
      </c>
      <c r="BN7" s="261" t="s">
        <v>68</v>
      </c>
      <c r="BO7" s="261" t="s">
        <v>162</v>
      </c>
      <c r="BP7" s="262" t="s">
        <v>12</v>
      </c>
      <c r="BQ7" s="263" t="str">
        <f>IF(BQ6=1,BQ3,CONCATENATE(BQ6," ",BQ3))</f>
        <v>Cl</v>
      </c>
      <c r="BR7" s="264" t="str">
        <f>IF(BR6=1,BR3,CONCATENATE(BR6," ",BR3))</f>
        <v>25 F</v>
      </c>
      <c r="BS7" s="264" t="str">
        <f>IF(BS6=1,BS3,CONCATENATE(BS6," ",BS3))</f>
        <v>25 B</v>
      </c>
      <c r="BT7" s="264" t="s">
        <v>3</v>
      </c>
      <c r="BU7" s="264" t="s">
        <v>2</v>
      </c>
      <c r="BV7" s="263" t="str">
        <f>IF(BV6=1,BV3,CONCATENATE(BV6," ",BV3))</f>
        <v>Cl</v>
      </c>
      <c r="BW7" s="264" t="str">
        <f>IF(BW6=1,BW3,CONCATENATE(BW6," ",BW3))</f>
        <v>100 Li</v>
      </c>
      <c r="BX7" s="264" t="str">
        <f>IF(BX6=1,BX3,CONCATENATE(BX6," ",BX3))</f>
        <v>25 B</v>
      </c>
      <c r="BY7" s="264" t="s">
        <v>3</v>
      </c>
      <c r="BZ7" s="264" t="s">
        <v>2</v>
      </c>
      <c r="CA7" s="263" t="str">
        <f>IF(CA6=1,CA3,CONCATENATE(CA6," ",CA3))</f>
        <v>Li</v>
      </c>
      <c r="CB7" s="264" t="str">
        <f>IF(CB6=1,CB3,CONCATENATE(CB6," ",CB3))</f>
        <v>4 Rb</v>
      </c>
      <c r="CC7" s="264" t="str">
        <f>IF(CC6=1,CC3,CONCATENATE(CC6," ",CC3))</f>
        <v>10 Cs</v>
      </c>
      <c r="CD7" s="264" t="s">
        <v>3</v>
      </c>
      <c r="CE7" s="265" t="s">
        <v>2</v>
      </c>
      <c r="CF7" s="263" t="str">
        <f>IF(CF6=1,CF3,CONCATENATE(CF6," ",CF3))</f>
        <v>Cl</v>
      </c>
      <c r="CG7" s="264" t="str">
        <f>IF(CG6=1,CG3,CONCATENATE(CG6," ",CG3))</f>
        <v>SO4</v>
      </c>
      <c r="CH7" s="264" t="str">
        <f>IF(CH6=1,CH3,CONCATENATE(CH6," ",CH3))</f>
        <v>HCO3</v>
      </c>
      <c r="CI7" s="264" t="s">
        <v>3</v>
      </c>
      <c r="CJ7" s="264" t="s">
        <v>2</v>
      </c>
      <c r="CK7" s="307" t="str">
        <f ca="1">CN3</f>
        <v>Li</v>
      </c>
      <c r="CL7" s="296" t="str">
        <f ca="1">CO3</f>
        <v>Rb</v>
      </c>
      <c r="CM7" s="308" t="str">
        <f ca="1">CP3</f>
        <v>Cs</v>
      </c>
      <c r="CN7" s="264" t="str">
        <f ca="1">IF(CN6=1,CN3,CONCATENATE(CN6," ",CN3))</f>
        <v>Li</v>
      </c>
      <c r="CO7" s="264" t="str">
        <f ca="1">IF(CO6=1,CO3,CONCATENATE(CO6," ",CO3))</f>
        <v>4 Rb</v>
      </c>
      <c r="CP7" s="264" t="str">
        <f ca="1">IF(CP6=1,CP3,CONCATENATE(CP6," ",CP3))</f>
        <v>10 Cs</v>
      </c>
      <c r="CQ7" s="264" t="s">
        <v>3</v>
      </c>
      <c r="CR7" s="265" t="s">
        <v>2</v>
      </c>
      <c r="CS7" s="263" t="str">
        <f>IF(CS6=1,CS3,CONCATENATE(CS6," ",CS3))</f>
        <v>Na</v>
      </c>
      <c r="CT7" s="264" t="str">
        <f>IF(CT6=1,CT3,CONCATENATE(CT6," ",CT3))</f>
        <v>10 K</v>
      </c>
      <c r="CU7" s="264" t="str">
        <f>IF(CU6=1,CU3,CONCATENATE(CU6," ",CU3))</f>
        <v>1000 Mg^0.5</v>
      </c>
      <c r="CV7" s="264" t="s">
        <v>3</v>
      </c>
      <c r="CW7" s="265" t="s">
        <v>2</v>
      </c>
      <c r="CX7" s="266"/>
      <c r="CY7" s="266" t="s">
        <v>117</v>
      </c>
      <c r="CZ7" s="267" t="s">
        <v>116</v>
      </c>
      <c r="DA7" s="267" t="s">
        <v>82</v>
      </c>
      <c r="DB7" s="267" t="s">
        <v>166</v>
      </c>
      <c r="DC7" s="268" t="s">
        <v>80</v>
      </c>
      <c r="DD7" s="269" t="s">
        <v>230</v>
      </c>
      <c r="DE7" s="269" t="s">
        <v>90</v>
      </c>
      <c r="DF7" s="340" t="s">
        <v>229</v>
      </c>
      <c r="DG7" s="332" t="s">
        <v>221</v>
      </c>
      <c r="DH7" s="333" t="s">
        <v>14</v>
      </c>
      <c r="DI7" s="333" t="s">
        <v>44</v>
      </c>
      <c r="DJ7" s="333" t="s">
        <v>3</v>
      </c>
      <c r="DK7" s="334" t="s">
        <v>2</v>
      </c>
      <c r="DL7" s="332" t="s">
        <v>17</v>
      </c>
      <c r="DM7" s="333" t="s">
        <v>37</v>
      </c>
      <c r="DN7" s="333" t="s">
        <v>18</v>
      </c>
      <c r="DO7" s="333" t="s">
        <v>3</v>
      </c>
      <c r="DP7" s="334" t="s">
        <v>2</v>
      </c>
      <c r="DQ7" s="332" t="s">
        <v>221</v>
      </c>
      <c r="DR7" s="333" t="s">
        <v>37</v>
      </c>
      <c r="DS7" s="333" t="s">
        <v>3</v>
      </c>
      <c r="DT7" s="334" t="s">
        <v>2</v>
      </c>
    </row>
    <row r="8" spans="1:124" s="53" customFormat="1" ht="15" x14ac:dyDescent="0.25">
      <c r="A8" s="365" t="s">
        <v>243</v>
      </c>
      <c r="B8" s="96"/>
      <c r="C8" s="214"/>
      <c r="D8" s="97"/>
      <c r="E8" s="96"/>
      <c r="F8" s="215"/>
      <c r="G8" s="97"/>
      <c r="H8" s="366">
        <v>38</v>
      </c>
      <c r="I8" s="322"/>
      <c r="J8" s="367"/>
      <c r="K8" s="367"/>
      <c r="L8" s="367"/>
      <c r="M8" s="367"/>
      <c r="N8" s="367"/>
      <c r="O8" s="367"/>
      <c r="P8" s="367"/>
      <c r="Q8" s="367">
        <v>12</v>
      </c>
      <c r="R8" s="367"/>
      <c r="S8" s="367"/>
      <c r="T8" s="367"/>
      <c r="U8" s="367"/>
      <c r="V8" s="367"/>
      <c r="W8" s="367"/>
      <c r="X8" s="367"/>
      <c r="Y8" s="367"/>
      <c r="Z8" s="367"/>
      <c r="AA8" s="367"/>
      <c r="AB8" s="367"/>
      <c r="AC8" s="367"/>
      <c r="AD8" s="367"/>
      <c r="AE8" s="367"/>
      <c r="AF8" s="367"/>
      <c r="AG8" s="367"/>
      <c r="AH8" s="317">
        <f t="shared" ref="AH8:AH37" ca="1" si="0">IF(ISERROR(BQ8),"",INDIRECT(AH$5&amp;(CELL("row", AH8))))</f>
        <v>0</v>
      </c>
      <c r="AI8" s="217">
        <f t="shared" ref="AI8:AN17" ca="1" si="1">INDIRECT(AI$5&amp;(CELL("row", AI8)))</f>
        <v>0</v>
      </c>
      <c r="AJ8" s="217">
        <f t="shared" ca="1" si="1"/>
        <v>0</v>
      </c>
      <c r="AK8" s="217">
        <f t="shared" ca="1" si="1"/>
        <v>0</v>
      </c>
      <c r="AL8" s="217">
        <f t="shared" ca="1" si="1"/>
        <v>38</v>
      </c>
      <c r="AM8" s="217">
        <f t="shared" ca="1" si="1"/>
        <v>0</v>
      </c>
      <c r="AN8" s="217">
        <f t="shared" ca="1" si="1"/>
        <v>0</v>
      </c>
      <c r="AO8" s="217">
        <f t="shared" ref="AO8:AX17" ca="1" si="2">ABS(INDIRECT(AO$5&amp;(CELL("row", AO8))))</f>
        <v>0</v>
      </c>
      <c r="AP8" s="217">
        <f t="shared" ca="1" si="2"/>
        <v>0</v>
      </c>
      <c r="AQ8" s="217">
        <f t="shared" ca="1" si="2"/>
        <v>0</v>
      </c>
      <c r="AR8" s="217">
        <f t="shared" ca="1" si="2"/>
        <v>0</v>
      </c>
      <c r="AS8" s="225">
        <f t="shared" ca="1" si="2"/>
        <v>0</v>
      </c>
      <c r="AT8" s="217">
        <f t="shared" ca="1" si="2"/>
        <v>0</v>
      </c>
      <c r="AU8" s="217">
        <f t="shared" ca="1" si="2"/>
        <v>12</v>
      </c>
      <c r="AV8" s="217">
        <f t="shared" ca="1" si="2"/>
        <v>0</v>
      </c>
      <c r="AW8" s="217">
        <f t="shared" ca="1" si="2"/>
        <v>0</v>
      </c>
      <c r="AX8" s="217">
        <f t="shared" ca="1" si="2"/>
        <v>0</v>
      </c>
      <c r="AY8" s="217">
        <f t="shared" ref="AY8:BI17" ca="1" si="3">ABS(INDIRECT(AY$5&amp;(CELL("row", AY8))))</f>
        <v>0</v>
      </c>
      <c r="AZ8" s="217">
        <f t="shared" ca="1" si="3"/>
        <v>0</v>
      </c>
      <c r="BA8" s="217">
        <f t="shared" ca="1" si="3"/>
        <v>0</v>
      </c>
      <c r="BB8" s="217">
        <f t="shared" ca="1" si="3"/>
        <v>0</v>
      </c>
      <c r="BC8" s="217">
        <f t="shared" ca="1" si="3"/>
        <v>0</v>
      </c>
      <c r="BD8" s="217">
        <f t="shared" ca="1" si="3"/>
        <v>0</v>
      </c>
      <c r="BE8" s="217">
        <f t="shared" ca="1" si="3"/>
        <v>0</v>
      </c>
      <c r="BF8" s="217">
        <f t="shared" ca="1" si="3"/>
        <v>0</v>
      </c>
      <c r="BG8" s="217">
        <f t="shared" ca="1" si="3"/>
        <v>0</v>
      </c>
      <c r="BH8" s="217">
        <f t="shared" ca="1" si="3"/>
        <v>0</v>
      </c>
      <c r="BI8" s="217">
        <f t="shared" ca="1" si="3"/>
        <v>0</v>
      </c>
      <c r="BJ8" s="217">
        <f t="shared" ref="BJ8:BJ37" ca="1" si="4">INDIRECT(BJ$5&amp;(CELL("row", BJ8)))</f>
        <v>0</v>
      </c>
      <c r="BK8" s="217">
        <f ca="1">IF(INDIRECT(BK$5&amp;(CELL("row", BK8)))=0,99,INDIRECT(BK$5&amp;(CELL("row", BK8))))</f>
        <v>99</v>
      </c>
      <c r="BL8" s="217" t="str">
        <f ca="1">IF(BK8=99,"",INDIRECT(BL$5&amp;(CELL("row", BL8))))</f>
        <v/>
      </c>
      <c r="BM8" s="270">
        <f ca="1">IF(AN8=0,ABS(AO8)*AO$6+ABS(AP8)*AP$6+ABS(AQ8)*AQ$6+ABS(AR8)*AR$6+ABS(AS8)*AS$6+ABS(BA8)*BA$6+ABS(BG8)*BG$6, ABS(AO8)*AO$6+ABS(AP8)*AP$6+ABS(AQ8)*AQ$6+ABS(AR8)*AR$6+ABS(AS8)*AS$6+ABS(BA8)*BA$6+0.992*10^(3-AN8)+ABS(BG8)*BG$6)</f>
        <v>0</v>
      </c>
      <c r="BN8" s="270">
        <f ca="1">ABS(AV8)*AV$6+ABS(AW8)*AW$6+ABS(AX8)*AX$6+ABS(AY8)*AY$6+ABS(AZ8)*AZ$6</f>
        <v>0</v>
      </c>
      <c r="BO8" s="271" t="str">
        <f ca="1">IF(BM8=0,"",(BM8-BN8)/(BM8+BN8))</f>
        <v/>
      </c>
      <c r="BP8" s="272"/>
      <c r="BQ8" s="273">
        <f t="shared" ref="BQ8:BQ37" ca="1" si="5">(AV8*BQ$6)/(AV8*BQ$6+AW8*BR$6+AU8*BS$6)</f>
        <v>0</v>
      </c>
      <c r="BR8" s="273">
        <f t="shared" ref="BR8:BR37" ca="1" si="6">(AW8*BR$6)/(AV8*BQ$6+AW8*BR$6+AU8*BS$6)</f>
        <v>0</v>
      </c>
      <c r="BS8" s="273">
        <f t="shared" ref="BS8:BS37" ca="1" si="7">(AU8*BS$6)/(AV8*BQ$6+AW8*BR$6+AU8*BS$6)</f>
        <v>1</v>
      </c>
      <c r="BT8" s="274">
        <f t="shared" ref="BT8:BT34" ca="1" si="8">0.5774*BQ8+1.1547*BS8</f>
        <v>1.1547000000000001</v>
      </c>
      <c r="BU8" s="275">
        <f ca="1">IF(ISERROR(BQ8),-1,BQ8)</f>
        <v>0</v>
      </c>
      <c r="BV8" s="273">
        <f t="shared" ref="BV8:BV37" ca="1" si="9">(AV8*BV$6)/(AV8*BV$6+AO8*BW$6+AU8*BX$6)</f>
        <v>0</v>
      </c>
      <c r="BW8" s="273">
        <f t="shared" ref="BW8:BW37" ca="1" si="10">(AO8*BW$6)/(AV8*BV$6+AO8*BW$6+AU8*BX$6)</f>
        <v>0</v>
      </c>
      <c r="BX8" s="273">
        <f t="shared" ref="BX8:BX37" ca="1" si="11">(AU8*BX$6)/(AV8*BV$6+AO8*BW$6+AU8*BX$6)</f>
        <v>1</v>
      </c>
      <c r="BY8" s="274">
        <f t="shared" ref="BY8:BY34" ca="1" si="12">0.5774*BV8+1.1547*BX8</f>
        <v>1.1547000000000001</v>
      </c>
      <c r="BZ8" s="275">
        <f ca="1">IF(ISERROR(BV8),-1,BV8)</f>
        <v>0</v>
      </c>
      <c r="CA8" s="273" t="e">
        <f t="shared" ref="CA8:CA37" ca="1" si="13">(AO8*CA$6)/(AO8*$CA$6+BC8*$CB$6+BD8*$CC$6)</f>
        <v>#DIV/0!</v>
      </c>
      <c r="CB8" s="273" t="e">
        <f t="shared" ref="CB8:CB37" ca="1" si="14">(BC8*CB$6)/(AO8*$CA$6+BC8*$CB$6+BD8*$CC$6)</f>
        <v>#DIV/0!</v>
      </c>
      <c r="CC8" s="273" t="e">
        <f t="shared" ref="CC8:CC37" ca="1" si="15">(BD8*CC$6)/(AO8*$CA$6+BC8*$CB$6+BD8*$CC$6)</f>
        <v>#DIV/0!</v>
      </c>
      <c r="CD8" s="274" t="e">
        <f t="shared" ref="CD8:CD34" ca="1" si="16">0.5774*CA8+1.1547*CC8</f>
        <v>#DIV/0!</v>
      </c>
      <c r="CE8" s="275">
        <f ca="1">IF(ISERROR(CA8),-1,CA8)</f>
        <v>-1</v>
      </c>
      <c r="CF8" s="273" t="e">
        <f t="shared" ref="CF8:CF37" ca="1" si="17">(AV8*CF$6)/(AV8*CF$6+AX8*CG$6+AY8*CH$6)</f>
        <v>#DIV/0!</v>
      </c>
      <c r="CG8" s="273" t="e">
        <f t="shared" ref="CG8:CG37" ca="1" si="18">(AX8*CG$6)/(AV8*CF$6+AX8*CG$6+AY8*CH$6)</f>
        <v>#DIV/0!</v>
      </c>
      <c r="CH8" s="273" t="e">
        <f t="shared" ref="CH8:CH37" ca="1" si="19">(AY8*CH$6)/(AV8*CF$6+AX8*CG$6+AY8*CH$6)</f>
        <v>#DIV/0!</v>
      </c>
      <c r="CI8" s="274" t="e">
        <f t="shared" ref="CI8:CI34" ca="1" si="20">0.5774*CF8+1.1547*CH8</f>
        <v>#DIV/0!</v>
      </c>
      <c r="CJ8" s="275">
        <f ca="1">IF(ISERROR(CF8),-1,CF8)</f>
        <v>-1</v>
      </c>
      <c r="CK8" s="319">
        <f ca="1">INDIRECT("R"&amp;ROW(CK8)&amp;"C"&amp;(COLUMN(INDIRECT(Y$3&amp;ROW(CK8),TRUE))+30),FALSE)</f>
        <v>0</v>
      </c>
      <c r="CL8" s="319">
        <f ca="1">INDIRECT("R"&amp;ROW(CL8)&amp;"C"&amp;(COLUMN(INDIRECT($Y$4&amp;ROW(CL8),TRUE))+30),FALSE)</f>
        <v>0</v>
      </c>
      <c r="CM8" s="319">
        <f ca="1">INDIRECT("R"&amp;ROW(CM8)&amp;"C"&amp;(COLUMN(INDIRECT($Y$5&amp;ROW(CM8),TRUE))+30),FALSE)</f>
        <v>0</v>
      </c>
      <c r="CN8" s="305" t="e">
        <f ca="1">(CK8*CN$6)/(CK8*CN$6+CL8*CO$6+CM8*CP$6)</f>
        <v>#DIV/0!</v>
      </c>
      <c r="CO8" s="273" t="e">
        <f ca="1">(CL8*CO$6)/(CK8*CN$6+CL8*CO$6+CM8*CP$6)</f>
        <v>#DIV/0!</v>
      </c>
      <c r="CP8" s="273" t="e">
        <f ca="1">(CM8*CP$6)/(CK8*CN$6+CL8*CO$6+CM8*CP$6)</f>
        <v>#DIV/0!</v>
      </c>
      <c r="CQ8" s="274" t="e">
        <f t="shared" ref="CQ8:CQ34" ca="1" si="21">0.5774*CN8+1.1547*CP8</f>
        <v>#DIV/0!</v>
      </c>
      <c r="CR8" s="275">
        <f ca="1">IF(ISERROR(CN8),-1,CN8)</f>
        <v>-1</v>
      </c>
      <c r="CS8" s="273" t="e">
        <f ca="1">((1-AM8)*AP8*CS$6)/((1-AM8)*AP8*CS$6+(1-AM8)*AQ8*CT$6+(((1-AM8)*AS8)^0.5)*CU$6)</f>
        <v>#DIV/0!</v>
      </c>
      <c r="CT8" s="273" t="e">
        <f ca="1">((1-AM8)*AQ8*CT$6)/((1-AM8)*AP8*CS$6+(1-AM8)*AQ8*CT$6+(((1-AM8)*AS8)^0.5)*CU$6)</f>
        <v>#DIV/0!</v>
      </c>
      <c r="CU8" s="273" t="e">
        <f ca="1">((((1-AM8)*AS8)^0.5)*CU$6)/((1-AM8)*AP8*CS$6+(1-AM8)*AQ8*CT$6+(((1-AM8)*AS8)^0.5)*CU$6)</f>
        <v>#DIV/0!</v>
      </c>
      <c r="CV8" s="274" t="e">
        <f t="shared" ref="CV8:CV34" ca="1" si="22">0.5774*CS8+1.1547*CU8</f>
        <v>#DIV/0!</v>
      </c>
      <c r="CW8" s="275">
        <f ca="1">IF(ISERROR(CS8),-1,CS8)</f>
        <v>-1</v>
      </c>
      <c r="CX8" s="276"/>
      <c r="CY8" s="277">
        <f ca="1">IF(ISERROR(2*LOG((1-AM8)*AQ8)-LOG((1-AM8)*AS8)),-99,2*LOG((1-AM8)*AQ8)-LOG((1-AM8)*AS8))</f>
        <v>-99</v>
      </c>
      <c r="CZ8" s="278">
        <f ca="1">IF(ISERROR(2*LOG((1-AM8)*AQ8)-LOG((1-AM8)*AR8)),-99,2*LOG((1-AM8)*AQ8)-LOG((1-AM8)*AR8))</f>
        <v>-99</v>
      </c>
      <c r="DA8" s="277">
        <f ca="1">IF(ISERROR(10*(1-AM8)*AS8/(10*(1-AM8)*AS8+(1-AM8)*AR8)),-99,10*(1-AM8)*AS8/(10*(1-AM8)*AS8+(1-AM8)*AR8))</f>
        <v>-99</v>
      </c>
      <c r="DB8" s="277">
        <f ca="1">IF(ISERROR(10*(1-AM8)*AQ8/(10*(1-AM8)*AQ8+(1-AM8)*AP8)),-99,10*(1-AM8)*AQ8/(10*(1-AM8)*AQ8+(1-AM8)*AP8))</f>
        <v>-99</v>
      </c>
      <c r="DC8" s="279" t="e">
        <f ca="1">0.00000031665*((1-AM8)*AT8)^3 - 0.00036686*((1-AM8)*AT8)^2 + 0.28831*(1-AM8)*AT8 + 77.034 *LOG((1-AM8)*AT8) - 42.198</f>
        <v>#NUM!</v>
      </c>
      <c r="DD8" s="341">
        <f ca="1">IF(AV8=0,-999,(1-AM8)*AV8)</f>
        <v>-999</v>
      </c>
      <c r="DE8" s="279">
        <f t="shared" ref="DE8:DE37" ca="1" si="23">IF(ISERROR(DC8),-999,418.84+10.286*DC8-0.05092*DC8^2+0.00026309*DC8^3-0.00000069303*DC8^4+0.00000000074566*DC8^5-1209.8*DC8^-1+11.99*DC8^-2-353.76*LOG(DC8))</f>
        <v>-999</v>
      </c>
      <c r="DF8" s="341">
        <f ca="1">IF(AL8=0,-999,IF(AL8&lt;50, 4.1868*AL8, 418.84+10.286*AL8-0.05092*AL8^2+0.00026309*AL8^3-0.00000069303*AL8^4+0.00000000074566*AL8^5-1209.8*AL8^-1+11.99*AL8^-2-353.76*LOG(AL8)))</f>
        <v>159.0984</v>
      </c>
      <c r="DG8" s="335" t="e">
        <f ca="1">(0.0435*$AP8+0.02557*$AQ8)/(0.0435*$AP8+0.02557*$AQ8+0.0499*$AR8+0.08226*$AS8)</f>
        <v>#DIV/0!</v>
      </c>
      <c r="DH8" s="329" t="e">
        <f ca="1">(0.0499*$AR8)/(0.0435*$AP8+0.02557*$AQ8+0.0499*$AR8+0.08226*AS8)</f>
        <v>#DIV/0!</v>
      </c>
      <c r="DI8" s="329" t="e">
        <f ca="1">(0.08226*$AS8)/(0.0435*$AP8+0.02557*$AQ8+0.0499*$AR8+0.08226*$AS8)</f>
        <v>#DIV/0!</v>
      </c>
      <c r="DJ8" s="330">
        <f ca="1">IF(ISERROR(DG8),-1,0.5774*DI8+1.1547*DG8)</f>
        <v>-1</v>
      </c>
      <c r="DK8" s="331">
        <f ca="1">IF(ISERROR(DG8),-1,DI8)</f>
        <v>-1</v>
      </c>
      <c r="DL8" s="335" t="e">
        <f ca="1">(0.02821*$AV8)/(0.02821*$AV8+0.01639*$AY88+0.02082*$AX8)</f>
        <v>#DIV/0!</v>
      </c>
      <c r="DM8" s="329" t="e">
        <f ca="1">(0.01639*$AY8)/(0.02821*$AV8+0.01639*$AY8+0.02082*$AX8)</f>
        <v>#DIV/0!</v>
      </c>
      <c r="DN8" s="329" t="e">
        <f ca="1">(0.02082*$AX8)/(0.02821*$AV8+0.01639*$AY8+0.02082*$AX8)</f>
        <v>#DIV/0!</v>
      </c>
      <c r="DO8" s="330">
        <f ca="1">IF(ISERROR(DL8),-1,Tgrid!$A$46+0.5774*DN8+1.1547*DL8)</f>
        <v>-1</v>
      </c>
      <c r="DP8" s="331">
        <f ca="1">IF(ISERROR(DL8),-1,DN8)</f>
        <v>-1</v>
      </c>
      <c r="DQ8" s="336" t="e">
        <f ca="1">DG8</f>
        <v>#DIV/0!</v>
      </c>
      <c r="DR8" s="337" t="e">
        <f ca="1">DM8</f>
        <v>#DIV/0!</v>
      </c>
      <c r="DS8" s="330">
        <f ca="1">IF(ISERROR(DQ8),-1,0.5*Tgrid!$B$42+0.5774*(2+DQ8-DR8))</f>
        <v>-1</v>
      </c>
      <c r="DT8" s="331">
        <f ca="1">IF(ISERROR(DQ8),-1,2+Tgrid!$B$54-DQ8-DR8)</f>
        <v>-1</v>
      </c>
    </row>
    <row r="9" spans="1:124" s="53" customFormat="1" ht="15" x14ac:dyDescent="0.25">
      <c r="A9" s="365" t="s">
        <v>244</v>
      </c>
      <c r="B9" s="89"/>
      <c r="C9" s="114"/>
      <c r="D9" s="21"/>
      <c r="E9" s="89"/>
      <c r="F9" s="218"/>
      <c r="G9" s="21"/>
      <c r="H9" s="366">
        <v>56</v>
      </c>
      <c r="I9" s="323"/>
      <c r="J9" s="367"/>
      <c r="K9" s="367"/>
      <c r="L9" s="367"/>
      <c r="M9" s="367"/>
      <c r="N9" s="367"/>
      <c r="O9" s="367"/>
      <c r="P9" s="367"/>
      <c r="Q9" s="367">
        <v>0.6</v>
      </c>
      <c r="R9" s="367"/>
      <c r="S9" s="367"/>
      <c r="T9" s="367"/>
      <c r="U9" s="367"/>
      <c r="V9" s="367"/>
      <c r="W9" s="367"/>
      <c r="X9" s="367"/>
      <c r="Y9" s="367"/>
      <c r="Z9" s="367"/>
      <c r="AA9" s="367"/>
      <c r="AB9" s="367"/>
      <c r="AC9" s="367"/>
      <c r="AD9" s="367"/>
      <c r="AE9" s="367"/>
      <c r="AF9" s="367"/>
      <c r="AG9" s="367"/>
      <c r="AH9" s="318">
        <f t="shared" ca="1" si="0"/>
        <v>0</v>
      </c>
      <c r="AI9" s="72">
        <f t="shared" ca="1" si="1"/>
        <v>0</v>
      </c>
      <c r="AJ9" s="72">
        <f t="shared" ca="1" si="1"/>
        <v>0</v>
      </c>
      <c r="AK9" s="72">
        <f t="shared" ca="1" si="1"/>
        <v>0</v>
      </c>
      <c r="AL9" s="72">
        <f t="shared" ca="1" si="1"/>
        <v>56</v>
      </c>
      <c r="AM9" s="72">
        <f t="shared" ca="1" si="1"/>
        <v>0</v>
      </c>
      <c r="AN9" s="72">
        <f t="shared" ca="1" si="1"/>
        <v>0</v>
      </c>
      <c r="AO9" s="72">
        <f t="shared" ca="1" si="2"/>
        <v>0</v>
      </c>
      <c r="AP9" s="72">
        <f t="shared" ca="1" si="2"/>
        <v>0</v>
      </c>
      <c r="AQ9" s="72">
        <f t="shared" ca="1" si="2"/>
        <v>0</v>
      </c>
      <c r="AR9" s="72">
        <f t="shared" ca="1" si="2"/>
        <v>0</v>
      </c>
      <c r="AS9" s="226">
        <f t="shared" ca="1" si="2"/>
        <v>0</v>
      </c>
      <c r="AT9" s="72">
        <f t="shared" ca="1" si="2"/>
        <v>0</v>
      </c>
      <c r="AU9" s="72">
        <f t="shared" ca="1" si="2"/>
        <v>0.6</v>
      </c>
      <c r="AV9" s="72">
        <f t="shared" ca="1" si="2"/>
        <v>0</v>
      </c>
      <c r="AW9" s="72">
        <f t="shared" ca="1" si="2"/>
        <v>0</v>
      </c>
      <c r="AX9" s="72">
        <f t="shared" ca="1" si="2"/>
        <v>0</v>
      </c>
      <c r="AY9" s="72">
        <f t="shared" ca="1" si="3"/>
        <v>0</v>
      </c>
      <c r="AZ9" s="72">
        <f t="shared" ca="1" si="3"/>
        <v>0</v>
      </c>
      <c r="BA9" s="72">
        <f t="shared" ca="1" si="3"/>
        <v>0</v>
      </c>
      <c r="BB9" s="72">
        <f t="shared" ca="1" si="3"/>
        <v>0</v>
      </c>
      <c r="BC9" s="72">
        <f t="shared" ca="1" si="3"/>
        <v>0</v>
      </c>
      <c r="BD9" s="72">
        <f t="shared" ca="1" si="3"/>
        <v>0</v>
      </c>
      <c r="BE9" s="72">
        <f t="shared" ca="1" si="3"/>
        <v>0</v>
      </c>
      <c r="BF9" s="72">
        <f t="shared" ca="1" si="3"/>
        <v>0</v>
      </c>
      <c r="BG9" s="72">
        <f t="shared" ca="1" si="3"/>
        <v>0</v>
      </c>
      <c r="BH9" s="72">
        <f t="shared" ca="1" si="3"/>
        <v>0</v>
      </c>
      <c r="BI9" s="72">
        <f t="shared" ca="1" si="3"/>
        <v>0</v>
      </c>
      <c r="BJ9" s="72">
        <f t="shared" ca="1" si="4"/>
        <v>0</v>
      </c>
      <c r="BK9" s="72">
        <f t="shared" ref="BK9:BK27" ca="1" si="24">IF(INDIRECT(BK$5&amp;(CELL("row", BK9)))=0,99,INDIRECT(BK$5&amp;(CELL("row", BK9))))</f>
        <v>99</v>
      </c>
      <c r="BL9" s="72" t="str">
        <f t="shared" ref="BL9:BL37" ca="1" si="25">IF(BK9=99,"",INDIRECT(BL$5&amp;(CELL("row", BL9))))</f>
        <v/>
      </c>
      <c r="BM9" s="280">
        <f t="shared" ref="BM9:BM27" ca="1" si="26">IF(AN9=0,ABS(AO9)*AO$6+ABS(AP9)*AP$6+ABS(AQ9)*AQ$6+ABS(AR9)*AR$6+ABS(AS9)*AS$6+ABS(BA9)*BA$6+ABS(BG9)*BG$6, ABS(AO9)*AO$6+ABS(AP9)*AP$6+ABS(AQ9)*AQ$6+ABS(AR9)*AR$6+ABS(AS9)*AS$6+ABS(BA9)*BA$6+0.992*10^(3-AN9)+ABS(BG9)*BG$6)</f>
        <v>0</v>
      </c>
      <c r="BN9" s="280">
        <f t="shared" ref="BN9:BN27" ca="1" si="27">ABS(AV9)*AV$6+ABS(AW9)*AW$6+ABS(AX9)*AX$6+ABS(AY9)*AY$6+ABS(AZ9)*AZ$6</f>
        <v>0</v>
      </c>
      <c r="BO9" s="281" t="str">
        <f t="shared" ref="BO9:BO36" ca="1" si="28">IF(BM9=0,"",(BM9-BN9)/(BM9+BN9))</f>
        <v/>
      </c>
      <c r="BP9" s="276"/>
      <c r="BQ9" s="273">
        <f t="shared" ca="1" si="5"/>
        <v>0</v>
      </c>
      <c r="BR9" s="273">
        <f t="shared" ca="1" si="6"/>
        <v>0</v>
      </c>
      <c r="BS9" s="273">
        <f t="shared" ca="1" si="7"/>
        <v>1</v>
      </c>
      <c r="BT9" s="274">
        <f t="shared" ca="1" si="8"/>
        <v>1.1547000000000001</v>
      </c>
      <c r="BU9" s="275">
        <f t="shared" ref="BU9:BU36" ca="1" si="29">IF(ISERROR(BQ9),-1,BQ9)</f>
        <v>0</v>
      </c>
      <c r="BV9" s="273">
        <f t="shared" ca="1" si="9"/>
        <v>0</v>
      </c>
      <c r="BW9" s="273">
        <f t="shared" ca="1" si="10"/>
        <v>0</v>
      </c>
      <c r="BX9" s="273">
        <f t="shared" ca="1" si="11"/>
        <v>1</v>
      </c>
      <c r="BY9" s="274">
        <f t="shared" ca="1" si="12"/>
        <v>1.1547000000000001</v>
      </c>
      <c r="BZ9" s="275">
        <f t="shared" ref="BZ9:BZ27" ca="1" si="30">IF(ISERROR(BV9),-1,BV9)</f>
        <v>0</v>
      </c>
      <c r="CA9" s="273" t="e">
        <f t="shared" ca="1" si="13"/>
        <v>#DIV/0!</v>
      </c>
      <c r="CB9" s="273" t="e">
        <f t="shared" ca="1" si="14"/>
        <v>#DIV/0!</v>
      </c>
      <c r="CC9" s="273" t="e">
        <f t="shared" ca="1" si="15"/>
        <v>#DIV/0!</v>
      </c>
      <c r="CD9" s="274" t="e">
        <f t="shared" ca="1" si="16"/>
        <v>#DIV/0!</v>
      </c>
      <c r="CE9" s="275">
        <f t="shared" ref="CE9:CE36" ca="1" si="31">IF(ISERROR(CA9),-1,CA9)</f>
        <v>-1</v>
      </c>
      <c r="CF9" s="273" t="e">
        <f t="shared" ca="1" si="17"/>
        <v>#DIV/0!</v>
      </c>
      <c r="CG9" s="273" t="e">
        <f t="shared" ca="1" si="18"/>
        <v>#DIV/0!</v>
      </c>
      <c r="CH9" s="273" t="e">
        <f t="shared" ca="1" si="19"/>
        <v>#DIV/0!</v>
      </c>
      <c r="CI9" s="274" t="e">
        <f t="shared" ca="1" si="20"/>
        <v>#DIV/0!</v>
      </c>
      <c r="CJ9" s="275">
        <f t="shared" ref="CJ9:CJ36" ca="1" si="32">IF(ISERROR(CF9),-1,CF9)</f>
        <v>-1</v>
      </c>
      <c r="CK9" s="319">
        <f t="shared" ref="CK9:CK37" ca="1" si="33">INDIRECT("R"&amp;ROW(CK9)&amp;"C"&amp;(COLUMN(INDIRECT(Y$3&amp;ROW(CK9),TRUE))+30),FALSE)</f>
        <v>0</v>
      </c>
      <c r="CL9" s="319">
        <f t="shared" ref="CL9:CL37" ca="1" si="34">INDIRECT("R"&amp;ROW(CL9)&amp;"C"&amp;(COLUMN(INDIRECT($Y$4&amp;ROW(CL9),TRUE))+30),FALSE)</f>
        <v>0</v>
      </c>
      <c r="CM9" s="319">
        <f t="shared" ref="CM9:CM37" ca="1" si="35">INDIRECT("R"&amp;ROW(CM9)&amp;"C"&amp;(COLUMN(INDIRECT($Y$5&amp;ROW(CM9),TRUE))+30),FALSE)</f>
        <v>0</v>
      </c>
      <c r="CN9" s="306" t="e">
        <f t="shared" ref="CN9:CN37" ca="1" si="36">(CK9*CN$6)/(CK9*CN$6+CL9*CO$6+CM9*CP$6)</f>
        <v>#DIV/0!</v>
      </c>
      <c r="CO9" s="273" t="e">
        <f t="shared" ref="CO9:CO37" ca="1" si="37">(CL9*CO$6)/(CK9*CN$6+CL9*CO$6+CM9*CP$6)</f>
        <v>#DIV/0!</v>
      </c>
      <c r="CP9" s="273" t="e">
        <f t="shared" ref="CP9:CP37" ca="1" si="38">(CM9*CP$6)/(CK9*CN$6+CL9*CO$6+CM9*CP$6)</f>
        <v>#DIV/0!</v>
      </c>
      <c r="CQ9" s="274" t="e">
        <f t="shared" ca="1" si="21"/>
        <v>#DIV/0!</v>
      </c>
      <c r="CR9" s="275">
        <f t="shared" ref="CR9:CR36" ca="1" si="39">IF(ISERROR(CN9),-1,CN9)</f>
        <v>-1</v>
      </c>
      <c r="CS9" s="273" t="e">
        <f t="shared" ref="CS9:CS37" ca="1" si="40">((1-AM9)*AP9*CS$6)/((1-AM9)*AP9*CS$6+(1-AM9)*AQ9*CT$6+(((1-AM9)*AS9)^0.5)*CU$6)</f>
        <v>#DIV/0!</v>
      </c>
      <c r="CT9" s="273" t="e">
        <f t="shared" ref="CT9:CT37" ca="1" si="41">((1-AM9)*AQ9*CT$6)/((1-AM9)*AP9*CS$6+(1-AM9)*AQ9*CT$6+(((1-AM9)*AS9)^0.5)*CU$6)</f>
        <v>#DIV/0!</v>
      </c>
      <c r="CU9" s="273" t="e">
        <f t="shared" ref="CU9:CU37" ca="1" si="42">((((1-AM9)*AS9)^0.5)*CU$6)/((1-AM9)*AP9*CS$6+(1-AM9)*AQ9*CT$6+(((1-AM9)*AS9)^0.5)*CU$6)</f>
        <v>#DIV/0!</v>
      </c>
      <c r="CV9" s="274" t="e">
        <f t="shared" ca="1" si="22"/>
        <v>#DIV/0!</v>
      </c>
      <c r="CW9" s="275">
        <f t="shared" ref="CW9:CW36" ca="1" si="43">IF(ISERROR(CS9),-1,CS9)</f>
        <v>-1</v>
      </c>
      <c r="CX9" s="276"/>
      <c r="CY9" s="277">
        <f t="shared" ref="CY9:CY37" ca="1" si="44">IF(ISERROR(2*LOG((1-AM9)*AQ9)-LOG((1-AM9)*AS9)),-99,2*LOG((1-AM9)*AQ9)-LOG((1-AM9)*AS9))</f>
        <v>-99</v>
      </c>
      <c r="CZ9" s="278">
        <f t="shared" ref="CZ9:CZ37" ca="1" si="45">IF(ISERROR(2*LOG((1-AM9)*AQ9)-LOG((1-AM9)*AR9)),-99,2*LOG((1-AM9)*AQ9)-LOG((1-AM9)*AR9))</f>
        <v>-99</v>
      </c>
      <c r="DA9" s="277">
        <f t="shared" ref="DA9:DA37" ca="1" si="46">IF(ISERROR(10*(1-AM9)*AS9/(10*(1-AM9)*AS9+(1-AM9)*AR9)),-99,10*(1-AM9)*AS9/(10*(1-AM9)*AS9+(1-AM9)*AR9))</f>
        <v>-99</v>
      </c>
      <c r="DB9" s="277">
        <f t="shared" ref="DB9:DB37" ca="1" si="47">IF(ISERROR(10*(1-AM9)*AQ9/(10*(1-AM9)*AQ9+(1-AM9)*AP9)),-99,10*(1-AM9)*AQ9/(10*(1-AM9)*AQ9+(1-AM9)*AP9))</f>
        <v>-99</v>
      </c>
      <c r="DC9" s="279" t="e">
        <f t="shared" ref="DC9:DC37" ca="1" si="48">0.00000031665*((1-AM9)*AT9)^3 - 0.00036686*((1-AM9)*AT9)^2 + 0.28831*(1-AM9)*AT9 + 77.034 *LOG((1-AM9)*AT9) - 42.198</f>
        <v>#NUM!</v>
      </c>
      <c r="DD9" s="341">
        <f t="shared" ref="DD9:DD37" ca="1" si="49">IF(AV9=0,-999,(1-AM9)*AV9)</f>
        <v>-999</v>
      </c>
      <c r="DE9" s="279">
        <f t="shared" ca="1" si="23"/>
        <v>-999</v>
      </c>
      <c r="DF9" s="341">
        <f t="shared" ref="DF9:DF37" ca="1" si="50">IF(AL9=0,-999,IF(AL9&lt;50, 4.1868*AL9, 418.84+10.286*AL9-0.05092*AL9^2+0.00026309*AL9^3-0.00000069303*AL9^4+0.00000000074566*AL9^5-1209.8*AL9^-1+11.99*AL9^-2-353.76*LOG(AL9)))</f>
        <v>234.93000681276419</v>
      </c>
      <c r="DG9" s="335" t="e">
        <f t="shared" ref="DG9:DG37" ca="1" si="51">(0.0435*$AP9+0.02557*$AQ9)/(0.0435*$AP9+0.02557*$AQ9+0.0499*$AR9+0.08226*$AS9)</f>
        <v>#DIV/0!</v>
      </c>
      <c r="DH9" s="329" t="e">
        <f t="shared" ref="DH9:DH37" ca="1" si="52">(0.0499*$AR9)/(0.0435*$AP9+0.02557*$AQ9+0.0499*$AR9+0.08226*AS9)</f>
        <v>#DIV/0!</v>
      </c>
      <c r="DI9" s="329" t="e">
        <f t="shared" ref="DI9:DI37" ca="1" si="53">(0.08226*$AS9)/(0.0435*$AP9+0.02557*$AQ9+0.0499*$AR9+0.08226*$AS9)</f>
        <v>#DIV/0!</v>
      </c>
      <c r="DJ9" s="330">
        <f t="shared" ref="DJ9:DJ37" ca="1" si="54">IF(ISERROR(DG9),-1,0.5774*DI9+1.1547*DG9)</f>
        <v>-1</v>
      </c>
      <c r="DK9" s="331">
        <f t="shared" ref="DK9:DK37" ca="1" si="55">IF(ISERROR(DG9),-1,DI9)</f>
        <v>-1</v>
      </c>
      <c r="DL9" s="335" t="e">
        <f t="shared" ref="DL9:DL37" ca="1" si="56">(0.02821*$AV9)/(0.02821*$AV9+0.01639*$AY89+0.02082*$AX9)</f>
        <v>#DIV/0!</v>
      </c>
      <c r="DM9" s="329" t="e">
        <f t="shared" ref="DM9:DM37" ca="1" si="57">(0.01639*$AY9)/(0.02821*$AV9+0.01639*$AY9+0.02082*$AX9)</f>
        <v>#DIV/0!</v>
      </c>
      <c r="DN9" s="329" t="e">
        <f t="shared" ref="DN9:DN37" ca="1" si="58">(0.02082*$AX9)/(0.02821*$AV9+0.01639*$AY9+0.02082*$AX9)</f>
        <v>#DIV/0!</v>
      </c>
      <c r="DO9" s="330">
        <f ca="1">IF(ISERROR(DL9),-1,Tgrid!$A$46+0.5774*DN9+1.1547*DL9)</f>
        <v>-1</v>
      </c>
      <c r="DP9" s="331">
        <f t="shared" ref="DP9:DP37" ca="1" si="59">IF(ISERROR(DL9),-1,DN9)</f>
        <v>-1</v>
      </c>
      <c r="DQ9" s="336" t="e">
        <f t="shared" ref="DQ9:DQ37" ca="1" si="60">DG9</f>
        <v>#DIV/0!</v>
      </c>
      <c r="DR9" s="337" t="e">
        <f t="shared" ref="DR9:DR37" ca="1" si="61">DM9</f>
        <v>#DIV/0!</v>
      </c>
      <c r="DS9" s="330">
        <f ca="1">IF(ISERROR(DQ9),-1,0.5*Tgrid!$B$42+0.5774*(2+DQ9-DR9))</f>
        <v>-1</v>
      </c>
      <c r="DT9" s="331">
        <f ca="1">IF(ISERROR(DQ9),-1,2+Tgrid!$B$54-DQ9-DR9)</f>
        <v>-1</v>
      </c>
    </row>
    <row r="10" spans="1:124" s="53" customFormat="1" ht="14.25" customHeight="1" x14ac:dyDescent="0.25">
      <c r="A10" s="365" t="s">
        <v>245</v>
      </c>
      <c r="B10" s="89"/>
      <c r="C10" s="114"/>
      <c r="D10" s="21"/>
      <c r="E10" s="89"/>
      <c r="F10" s="21"/>
      <c r="G10" s="21"/>
      <c r="H10" s="366">
        <v>51</v>
      </c>
      <c r="I10" s="323"/>
      <c r="J10" s="367"/>
      <c r="K10" s="367"/>
      <c r="L10" s="367"/>
      <c r="M10" s="367"/>
      <c r="N10" s="367"/>
      <c r="O10" s="367"/>
      <c r="P10" s="367"/>
      <c r="Q10" s="367">
        <v>3.5</v>
      </c>
      <c r="R10" s="367"/>
      <c r="S10" s="367"/>
      <c r="T10" s="367"/>
      <c r="U10" s="367"/>
      <c r="V10" s="367"/>
      <c r="W10" s="367"/>
      <c r="X10" s="367"/>
      <c r="Y10" s="367"/>
      <c r="Z10" s="367"/>
      <c r="AA10" s="367"/>
      <c r="AB10" s="367"/>
      <c r="AC10" s="367"/>
      <c r="AD10" s="367"/>
      <c r="AE10" s="367"/>
      <c r="AF10" s="367"/>
      <c r="AG10" s="367"/>
      <c r="AH10" s="318">
        <f t="shared" ca="1" si="0"/>
        <v>0</v>
      </c>
      <c r="AI10" s="72">
        <f t="shared" ca="1" si="1"/>
        <v>0</v>
      </c>
      <c r="AJ10" s="72">
        <f t="shared" ca="1" si="1"/>
        <v>0</v>
      </c>
      <c r="AK10" s="72">
        <f t="shared" ca="1" si="1"/>
        <v>0</v>
      </c>
      <c r="AL10" s="72">
        <f t="shared" ca="1" si="1"/>
        <v>51</v>
      </c>
      <c r="AM10" s="72">
        <f t="shared" ca="1" si="1"/>
        <v>0</v>
      </c>
      <c r="AN10" s="72">
        <f t="shared" ca="1" si="1"/>
        <v>0</v>
      </c>
      <c r="AO10" s="72">
        <f t="shared" ca="1" si="2"/>
        <v>0</v>
      </c>
      <c r="AP10" s="72">
        <f t="shared" ca="1" si="2"/>
        <v>0</v>
      </c>
      <c r="AQ10" s="72">
        <f t="shared" ca="1" si="2"/>
        <v>0</v>
      </c>
      <c r="AR10" s="72">
        <f t="shared" ca="1" si="2"/>
        <v>0</v>
      </c>
      <c r="AS10" s="226">
        <f t="shared" ca="1" si="2"/>
        <v>0</v>
      </c>
      <c r="AT10" s="72">
        <f t="shared" ca="1" si="2"/>
        <v>0</v>
      </c>
      <c r="AU10" s="72">
        <f t="shared" ca="1" si="2"/>
        <v>3.5</v>
      </c>
      <c r="AV10" s="72">
        <f t="shared" ca="1" si="2"/>
        <v>0</v>
      </c>
      <c r="AW10" s="72">
        <f t="shared" ca="1" si="2"/>
        <v>0</v>
      </c>
      <c r="AX10" s="72">
        <f t="shared" ca="1" si="2"/>
        <v>0</v>
      </c>
      <c r="AY10" s="72">
        <f t="shared" ca="1" si="3"/>
        <v>0</v>
      </c>
      <c r="AZ10" s="72">
        <f t="shared" ca="1" si="3"/>
        <v>0</v>
      </c>
      <c r="BA10" s="72">
        <f t="shared" ca="1" si="3"/>
        <v>0</v>
      </c>
      <c r="BB10" s="72">
        <f t="shared" ca="1" si="3"/>
        <v>0</v>
      </c>
      <c r="BC10" s="72">
        <f t="shared" ca="1" si="3"/>
        <v>0</v>
      </c>
      <c r="BD10" s="72">
        <f t="shared" ca="1" si="3"/>
        <v>0</v>
      </c>
      <c r="BE10" s="72">
        <f t="shared" ca="1" si="3"/>
        <v>0</v>
      </c>
      <c r="BF10" s="72">
        <f t="shared" ca="1" si="3"/>
        <v>0</v>
      </c>
      <c r="BG10" s="72">
        <f t="shared" ca="1" si="3"/>
        <v>0</v>
      </c>
      <c r="BH10" s="72">
        <f t="shared" ca="1" si="3"/>
        <v>0</v>
      </c>
      <c r="BI10" s="72">
        <f t="shared" ca="1" si="3"/>
        <v>0</v>
      </c>
      <c r="BJ10" s="72">
        <f t="shared" ca="1" si="4"/>
        <v>0</v>
      </c>
      <c r="BK10" s="72">
        <f t="shared" ca="1" si="24"/>
        <v>99</v>
      </c>
      <c r="BL10" s="72" t="str">
        <f t="shared" ca="1" si="25"/>
        <v/>
      </c>
      <c r="BM10" s="280">
        <f t="shared" ca="1" si="26"/>
        <v>0</v>
      </c>
      <c r="BN10" s="280">
        <f t="shared" ca="1" si="27"/>
        <v>0</v>
      </c>
      <c r="BO10" s="281" t="str">
        <f t="shared" ca="1" si="28"/>
        <v/>
      </c>
      <c r="BP10" s="276"/>
      <c r="BQ10" s="273">
        <f t="shared" ca="1" si="5"/>
        <v>0</v>
      </c>
      <c r="BR10" s="273">
        <f t="shared" ca="1" si="6"/>
        <v>0</v>
      </c>
      <c r="BS10" s="273">
        <f t="shared" ca="1" si="7"/>
        <v>1</v>
      </c>
      <c r="BT10" s="274">
        <f t="shared" ca="1" si="8"/>
        <v>1.1547000000000001</v>
      </c>
      <c r="BU10" s="275">
        <f t="shared" ca="1" si="29"/>
        <v>0</v>
      </c>
      <c r="BV10" s="273">
        <f t="shared" ca="1" si="9"/>
        <v>0</v>
      </c>
      <c r="BW10" s="273">
        <f t="shared" ca="1" si="10"/>
        <v>0</v>
      </c>
      <c r="BX10" s="273">
        <f t="shared" ca="1" si="11"/>
        <v>1</v>
      </c>
      <c r="BY10" s="274">
        <f t="shared" ca="1" si="12"/>
        <v>1.1547000000000001</v>
      </c>
      <c r="BZ10" s="275">
        <f t="shared" ca="1" si="30"/>
        <v>0</v>
      </c>
      <c r="CA10" s="273" t="e">
        <f t="shared" ca="1" si="13"/>
        <v>#DIV/0!</v>
      </c>
      <c r="CB10" s="273" t="e">
        <f t="shared" ca="1" si="14"/>
        <v>#DIV/0!</v>
      </c>
      <c r="CC10" s="273" t="e">
        <f t="shared" ca="1" si="15"/>
        <v>#DIV/0!</v>
      </c>
      <c r="CD10" s="274" t="e">
        <f t="shared" ca="1" si="16"/>
        <v>#DIV/0!</v>
      </c>
      <c r="CE10" s="275">
        <f t="shared" ca="1" si="31"/>
        <v>-1</v>
      </c>
      <c r="CF10" s="273" t="e">
        <f t="shared" ca="1" si="17"/>
        <v>#DIV/0!</v>
      </c>
      <c r="CG10" s="273" t="e">
        <f t="shared" ca="1" si="18"/>
        <v>#DIV/0!</v>
      </c>
      <c r="CH10" s="273" t="e">
        <f t="shared" ca="1" si="19"/>
        <v>#DIV/0!</v>
      </c>
      <c r="CI10" s="274" t="e">
        <f t="shared" ca="1" si="20"/>
        <v>#DIV/0!</v>
      </c>
      <c r="CJ10" s="275">
        <f t="shared" ca="1" si="32"/>
        <v>-1</v>
      </c>
      <c r="CK10" s="319">
        <f t="shared" ca="1" si="33"/>
        <v>0</v>
      </c>
      <c r="CL10" s="319">
        <f t="shared" ca="1" si="34"/>
        <v>0</v>
      </c>
      <c r="CM10" s="319">
        <f t="shared" ca="1" si="35"/>
        <v>0</v>
      </c>
      <c r="CN10" s="306" t="e">
        <f t="shared" ca="1" si="36"/>
        <v>#DIV/0!</v>
      </c>
      <c r="CO10" s="273" t="e">
        <f t="shared" ca="1" si="37"/>
        <v>#DIV/0!</v>
      </c>
      <c r="CP10" s="273" t="e">
        <f t="shared" ca="1" si="38"/>
        <v>#DIV/0!</v>
      </c>
      <c r="CQ10" s="274" t="e">
        <f t="shared" ca="1" si="21"/>
        <v>#DIV/0!</v>
      </c>
      <c r="CR10" s="275">
        <f t="shared" ca="1" si="39"/>
        <v>-1</v>
      </c>
      <c r="CS10" s="273" t="e">
        <f t="shared" ca="1" si="40"/>
        <v>#DIV/0!</v>
      </c>
      <c r="CT10" s="273" t="e">
        <f t="shared" ca="1" si="41"/>
        <v>#DIV/0!</v>
      </c>
      <c r="CU10" s="273" t="e">
        <f t="shared" ca="1" si="42"/>
        <v>#DIV/0!</v>
      </c>
      <c r="CV10" s="274" t="e">
        <f t="shared" ca="1" si="22"/>
        <v>#DIV/0!</v>
      </c>
      <c r="CW10" s="275">
        <f t="shared" ca="1" si="43"/>
        <v>-1</v>
      </c>
      <c r="CX10" s="276"/>
      <c r="CY10" s="277">
        <f t="shared" ca="1" si="44"/>
        <v>-99</v>
      </c>
      <c r="CZ10" s="278">
        <f t="shared" ca="1" si="45"/>
        <v>-99</v>
      </c>
      <c r="DA10" s="277">
        <f t="shared" ca="1" si="46"/>
        <v>-99</v>
      </c>
      <c r="DB10" s="277">
        <f t="shared" ca="1" si="47"/>
        <v>-99</v>
      </c>
      <c r="DC10" s="279" t="e">
        <f t="shared" ca="1" si="48"/>
        <v>#NUM!</v>
      </c>
      <c r="DD10" s="341">
        <f t="shared" ca="1" si="49"/>
        <v>-999</v>
      </c>
      <c r="DE10" s="279">
        <f t="shared" ca="1" si="23"/>
        <v>-999</v>
      </c>
      <c r="DF10" s="341">
        <f t="shared" ca="1" si="50"/>
        <v>213.66403151124848</v>
      </c>
      <c r="DG10" s="335" t="e">
        <f t="shared" ca="1" si="51"/>
        <v>#DIV/0!</v>
      </c>
      <c r="DH10" s="329" t="e">
        <f t="shared" ca="1" si="52"/>
        <v>#DIV/0!</v>
      </c>
      <c r="DI10" s="329" t="e">
        <f t="shared" ca="1" si="53"/>
        <v>#DIV/0!</v>
      </c>
      <c r="DJ10" s="330">
        <f t="shared" ca="1" si="54"/>
        <v>-1</v>
      </c>
      <c r="DK10" s="331">
        <f t="shared" ca="1" si="55"/>
        <v>-1</v>
      </c>
      <c r="DL10" s="335" t="e">
        <f t="shared" ca="1" si="56"/>
        <v>#DIV/0!</v>
      </c>
      <c r="DM10" s="329" t="e">
        <f t="shared" ca="1" si="57"/>
        <v>#DIV/0!</v>
      </c>
      <c r="DN10" s="329" t="e">
        <f t="shared" ca="1" si="58"/>
        <v>#DIV/0!</v>
      </c>
      <c r="DO10" s="330">
        <f ca="1">IF(ISERROR(DL10),-1,Tgrid!$A$46+0.5774*DN10+1.1547*DL10)</f>
        <v>-1</v>
      </c>
      <c r="DP10" s="331">
        <f t="shared" ca="1" si="59"/>
        <v>-1</v>
      </c>
      <c r="DQ10" s="336" t="e">
        <f t="shared" ca="1" si="60"/>
        <v>#DIV/0!</v>
      </c>
      <c r="DR10" s="337" t="e">
        <f t="shared" ca="1" si="61"/>
        <v>#DIV/0!</v>
      </c>
      <c r="DS10" s="330">
        <f ca="1">IF(ISERROR(DQ10),-1,0.5*Tgrid!$B$42+0.5774*(2+DQ10-DR10))</f>
        <v>-1</v>
      </c>
      <c r="DT10" s="331">
        <f ca="1">IF(ISERROR(DQ10),-1,2+Tgrid!$B$54-DQ10-DR10)</f>
        <v>-1</v>
      </c>
    </row>
    <row r="11" spans="1:124" s="53" customFormat="1" ht="15" x14ac:dyDescent="0.25">
      <c r="A11" s="365" t="s">
        <v>246</v>
      </c>
      <c r="B11" s="89"/>
      <c r="C11" s="114"/>
      <c r="D11" s="21"/>
      <c r="E11" s="89"/>
      <c r="F11" s="218"/>
      <c r="G11" s="117"/>
      <c r="H11" s="366">
        <v>96</v>
      </c>
      <c r="I11" s="323"/>
      <c r="J11" s="367"/>
      <c r="K11" s="367"/>
      <c r="L11" s="367"/>
      <c r="M11" s="367"/>
      <c r="N11" s="367"/>
      <c r="O11" s="367"/>
      <c r="P11" s="367"/>
      <c r="Q11" s="367">
        <v>5.5</v>
      </c>
      <c r="R11" s="367"/>
      <c r="S11" s="367"/>
      <c r="T11" s="367"/>
      <c r="U11" s="367"/>
      <c r="V11" s="367"/>
      <c r="W11" s="367"/>
      <c r="X11" s="367"/>
      <c r="Y11" s="367"/>
      <c r="Z11" s="367"/>
      <c r="AA11" s="367"/>
      <c r="AB11" s="367"/>
      <c r="AC11" s="367"/>
      <c r="AD11" s="367"/>
      <c r="AE11" s="367"/>
      <c r="AF11" s="367"/>
      <c r="AG11" s="367"/>
      <c r="AH11" s="318">
        <f t="shared" ca="1" si="0"/>
        <v>0</v>
      </c>
      <c r="AI11" s="72">
        <f t="shared" ca="1" si="1"/>
        <v>0</v>
      </c>
      <c r="AJ11" s="72">
        <f t="shared" ca="1" si="1"/>
        <v>0</v>
      </c>
      <c r="AK11" s="72">
        <f t="shared" ca="1" si="1"/>
        <v>0</v>
      </c>
      <c r="AL11" s="72">
        <f t="shared" ca="1" si="1"/>
        <v>96</v>
      </c>
      <c r="AM11" s="72">
        <f t="shared" ca="1" si="1"/>
        <v>0</v>
      </c>
      <c r="AN11" s="72">
        <f t="shared" ca="1" si="1"/>
        <v>0</v>
      </c>
      <c r="AO11" s="72">
        <f t="shared" ca="1" si="2"/>
        <v>0</v>
      </c>
      <c r="AP11" s="72">
        <f t="shared" ca="1" si="2"/>
        <v>0</v>
      </c>
      <c r="AQ11" s="72">
        <f t="shared" ca="1" si="2"/>
        <v>0</v>
      </c>
      <c r="AR11" s="72">
        <f t="shared" ca="1" si="2"/>
        <v>0</v>
      </c>
      <c r="AS11" s="226">
        <f t="shared" ca="1" si="2"/>
        <v>0</v>
      </c>
      <c r="AT11" s="72">
        <f t="shared" ca="1" si="2"/>
        <v>0</v>
      </c>
      <c r="AU11" s="72">
        <f t="shared" ca="1" si="2"/>
        <v>5.5</v>
      </c>
      <c r="AV11" s="72">
        <f t="shared" ca="1" si="2"/>
        <v>0</v>
      </c>
      <c r="AW11" s="72">
        <f t="shared" ca="1" si="2"/>
        <v>0</v>
      </c>
      <c r="AX11" s="72">
        <f t="shared" ca="1" si="2"/>
        <v>0</v>
      </c>
      <c r="AY11" s="72">
        <f t="shared" ca="1" si="3"/>
        <v>0</v>
      </c>
      <c r="AZ11" s="72">
        <f t="shared" ca="1" si="3"/>
        <v>0</v>
      </c>
      <c r="BA11" s="72">
        <f t="shared" ca="1" si="3"/>
        <v>0</v>
      </c>
      <c r="BB11" s="72">
        <f t="shared" ca="1" si="3"/>
        <v>0</v>
      </c>
      <c r="BC11" s="72">
        <f t="shared" ca="1" si="3"/>
        <v>0</v>
      </c>
      <c r="BD11" s="72">
        <f t="shared" ca="1" si="3"/>
        <v>0</v>
      </c>
      <c r="BE11" s="72">
        <f t="shared" ca="1" si="3"/>
        <v>0</v>
      </c>
      <c r="BF11" s="72">
        <f t="shared" ca="1" si="3"/>
        <v>0</v>
      </c>
      <c r="BG11" s="72">
        <f t="shared" ca="1" si="3"/>
        <v>0</v>
      </c>
      <c r="BH11" s="72">
        <f t="shared" ca="1" si="3"/>
        <v>0</v>
      </c>
      <c r="BI11" s="72">
        <f t="shared" ca="1" si="3"/>
        <v>0</v>
      </c>
      <c r="BJ11" s="72">
        <f t="shared" ca="1" si="4"/>
        <v>0</v>
      </c>
      <c r="BK11" s="72">
        <f t="shared" ca="1" si="24"/>
        <v>99</v>
      </c>
      <c r="BL11" s="72" t="str">
        <f t="shared" ca="1" si="25"/>
        <v/>
      </c>
      <c r="BM11" s="280">
        <f t="shared" ca="1" si="26"/>
        <v>0</v>
      </c>
      <c r="BN11" s="280">
        <f t="shared" ca="1" si="27"/>
        <v>0</v>
      </c>
      <c r="BO11" s="281" t="str">
        <f t="shared" ca="1" si="28"/>
        <v/>
      </c>
      <c r="BP11" s="276"/>
      <c r="BQ11" s="273">
        <f t="shared" ca="1" si="5"/>
        <v>0</v>
      </c>
      <c r="BR11" s="273">
        <f t="shared" ca="1" si="6"/>
        <v>0</v>
      </c>
      <c r="BS11" s="273">
        <f t="shared" ca="1" si="7"/>
        <v>1</v>
      </c>
      <c r="BT11" s="274">
        <f t="shared" ca="1" si="8"/>
        <v>1.1547000000000001</v>
      </c>
      <c r="BU11" s="275">
        <f t="shared" ca="1" si="29"/>
        <v>0</v>
      </c>
      <c r="BV11" s="273">
        <f t="shared" ca="1" si="9"/>
        <v>0</v>
      </c>
      <c r="BW11" s="273">
        <f t="shared" ca="1" si="10"/>
        <v>0</v>
      </c>
      <c r="BX11" s="273">
        <f t="shared" ca="1" si="11"/>
        <v>1</v>
      </c>
      <c r="BY11" s="274">
        <f t="shared" ca="1" si="12"/>
        <v>1.1547000000000001</v>
      </c>
      <c r="BZ11" s="275">
        <f t="shared" ca="1" si="30"/>
        <v>0</v>
      </c>
      <c r="CA11" s="273" t="e">
        <f t="shared" ca="1" si="13"/>
        <v>#DIV/0!</v>
      </c>
      <c r="CB11" s="273" t="e">
        <f t="shared" ca="1" si="14"/>
        <v>#DIV/0!</v>
      </c>
      <c r="CC11" s="273" t="e">
        <f t="shared" ca="1" si="15"/>
        <v>#DIV/0!</v>
      </c>
      <c r="CD11" s="274" t="e">
        <f t="shared" ca="1" si="16"/>
        <v>#DIV/0!</v>
      </c>
      <c r="CE11" s="275">
        <f t="shared" ca="1" si="31"/>
        <v>-1</v>
      </c>
      <c r="CF11" s="273" t="e">
        <f t="shared" ca="1" si="17"/>
        <v>#DIV/0!</v>
      </c>
      <c r="CG11" s="273" t="e">
        <f t="shared" ca="1" si="18"/>
        <v>#DIV/0!</v>
      </c>
      <c r="CH11" s="273" t="e">
        <f t="shared" ca="1" si="19"/>
        <v>#DIV/0!</v>
      </c>
      <c r="CI11" s="274" t="e">
        <f t="shared" ca="1" si="20"/>
        <v>#DIV/0!</v>
      </c>
      <c r="CJ11" s="275">
        <f t="shared" ca="1" si="32"/>
        <v>-1</v>
      </c>
      <c r="CK11" s="319">
        <f t="shared" ca="1" si="33"/>
        <v>0</v>
      </c>
      <c r="CL11" s="319">
        <f t="shared" ca="1" si="34"/>
        <v>0</v>
      </c>
      <c r="CM11" s="319">
        <f t="shared" ca="1" si="35"/>
        <v>0</v>
      </c>
      <c r="CN11" s="306" t="e">
        <f t="shared" ca="1" si="36"/>
        <v>#DIV/0!</v>
      </c>
      <c r="CO11" s="273" t="e">
        <f t="shared" ca="1" si="37"/>
        <v>#DIV/0!</v>
      </c>
      <c r="CP11" s="273" t="e">
        <f t="shared" ca="1" si="38"/>
        <v>#DIV/0!</v>
      </c>
      <c r="CQ11" s="274" t="e">
        <f t="shared" ca="1" si="21"/>
        <v>#DIV/0!</v>
      </c>
      <c r="CR11" s="275">
        <f t="shared" ca="1" si="39"/>
        <v>-1</v>
      </c>
      <c r="CS11" s="273" t="e">
        <f t="shared" ca="1" si="40"/>
        <v>#DIV/0!</v>
      </c>
      <c r="CT11" s="273" t="e">
        <f t="shared" ca="1" si="41"/>
        <v>#DIV/0!</v>
      </c>
      <c r="CU11" s="273" t="e">
        <f t="shared" ca="1" si="42"/>
        <v>#DIV/0!</v>
      </c>
      <c r="CV11" s="274" t="e">
        <f t="shared" ca="1" si="22"/>
        <v>#DIV/0!</v>
      </c>
      <c r="CW11" s="275">
        <f t="shared" ca="1" si="43"/>
        <v>-1</v>
      </c>
      <c r="CX11" s="276"/>
      <c r="CY11" s="277">
        <f t="shared" ca="1" si="44"/>
        <v>-99</v>
      </c>
      <c r="CZ11" s="278">
        <f t="shared" ca="1" si="45"/>
        <v>-99</v>
      </c>
      <c r="DA11" s="277">
        <f t="shared" ca="1" si="46"/>
        <v>-99</v>
      </c>
      <c r="DB11" s="277">
        <f t="shared" ca="1" si="47"/>
        <v>-99</v>
      </c>
      <c r="DC11" s="279" t="e">
        <f t="shared" ca="1" si="48"/>
        <v>#NUM!</v>
      </c>
      <c r="DD11" s="341">
        <f t="shared" ca="1" si="49"/>
        <v>-999</v>
      </c>
      <c r="DE11" s="279">
        <f t="shared" ca="1" si="23"/>
        <v>-999</v>
      </c>
      <c r="DF11" s="341">
        <f t="shared" ca="1" si="50"/>
        <v>403.15106391409665</v>
      </c>
      <c r="DG11" s="335" t="e">
        <f t="shared" ca="1" si="51"/>
        <v>#DIV/0!</v>
      </c>
      <c r="DH11" s="329" t="e">
        <f t="shared" ca="1" si="52"/>
        <v>#DIV/0!</v>
      </c>
      <c r="DI11" s="329" t="e">
        <f t="shared" ca="1" si="53"/>
        <v>#DIV/0!</v>
      </c>
      <c r="DJ11" s="330">
        <f t="shared" ca="1" si="54"/>
        <v>-1</v>
      </c>
      <c r="DK11" s="331">
        <f t="shared" ca="1" si="55"/>
        <v>-1</v>
      </c>
      <c r="DL11" s="335" t="e">
        <f t="shared" ca="1" si="56"/>
        <v>#DIV/0!</v>
      </c>
      <c r="DM11" s="329" t="e">
        <f t="shared" ca="1" si="57"/>
        <v>#DIV/0!</v>
      </c>
      <c r="DN11" s="329" t="e">
        <f t="shared" ca="1" si="58"/>
        <v>#DIV/0!</v>
      </c>
      <c r="DO11" s="330">
        <f ca="1">IF(ISERROR(DL11),-1,Tgrid!$A$46+0.5774*DN11+1.1547*DL11)</f>
        <v>-1</v>
      </c>
      <c r="DP11" s="331">
        <f t="shared" ca="1" si="59"/>
        <v>-1</v>
      </c>
      <c r="DQ11" s="336" t="e">
        <f t="shared" ca="1" si="60"/>
        <v>#DIV/0!</v>
      </c>
      <c r="DR11" s="337" t="e">
        <f t="shared" ca="1" si="61"/>
        <v>#DIV/0!</v>
      </c>
      <c r="DS11" s="330">
        <f ca="1">IF(ISERROR(DQ11),-1,0.5*Tgrid!$B$42+0.5774*(2+DQ11-DR11))</f>
        <v>-1</v>
      </c>
      <c r="DT11" s="331">
        <f ca="1">IF(ISERROR(DQ11),-1,2+Tgrid!$B$54-DQ11-DR11)</f>
        <v>-1</v>
      </c>
    </row>
    <row r="12" spans="1:124" s="53" customFormat="1" ht="15" x14ac:dyDescent="0.25">
      <c r="A12" s="365" t="s">
        <v>247</v>
      </c>
      <c r="B12" s="89"/>
      <c r="C12" s="114"/>
      <c r="D12" s="21"/>
      <c r="E12" s="89"/>
      <c r="F12" s="21"/>
      <c r="G12" s="21"/>
      <c r="H12" s="366">
        <v>39</v>
      </c>
      <c r="I12" s="323"/>
      <c r="J12" s="367"/>
      <c r="K12" s="367"/>
      <c r="L12" s="367"/>
      <c r="M12" s="367"/>
      <c r="N12" s="367"/>
      <c r="O12" s="367"/>
      <c r="P12" s="367"/>
      <c r="Q12" s="367">
        <v>7.4</v>
      </c>
      <c r="R12" s="367"/>
      <c r="S12" s="367"/>
      <c r="T12" s="367"/>
      <c r="U12" s="367"/>
      <c r="V12" s="367"/>
      <c r="W12" s="367"/>
      <c r="X12" s="367"/>
      <c r="Y12" s="367"/>
      <c r="Z12" s="367"/>
      <c r="AA12" s="367"/>
      <c r="AB12" s="367"/>
      <c r="AC12" s="367"/>
      <c r="AD12" s="367"/>
      <c r="AE12" s="367"/>
      <c r="AF12" s="367"/>
      <c r="AG12" s="367"/>
      <c r="AH12" s="318">
        <f t="shared" ca="1" si="0"/>
        <v>0</v>
      </c>
      <c r="AI12" s="72">
        <f t="shared" ca="1" si="1"/>
        <v>0</v>
      </c>
      <c r="AJ12" s="72">
        <f t="shared" ca="1" si="1"/>
        <v>0</v>
      </c>
      <c r="AK12" s="72">
        <f t="shared" ca="1" si="1"/>
        <v>0</v>
      </c>
      <c r="AL12" s="72">
        <f t="shared" ca="1" si="1"/>
        <v>39</v>
      </c>
      <c r="AM12" s="72">
        <f t="shared" ca="1" si="1"/>
        <v>0</v>
      </c>
      <c r="AN12" s="72">
        <f t="shared" ca="1" si="1"/>
        <v>0</v>
      </c>
      <c r="AO12" s="72">
        <f t="shared" ca="1" si="2"/>
        <v>0</v>
      </c>
      <c r="AP12" s="72">
        <f t="shared" ca="1" si="2"/>
        <v>0</v>
      </c>
      <c r="AQ12" s="72">
        <f t="shared" ca="1" si="2"/>
        <v>0</v>
      </c>
      <c r="AR12" s="72">
        <f t="shared" ca="1" si="2"/>
        <v>0</v>
      </c>
      <c r="AS12" s="226">
        <f t="shared" ca="1" si="2"/>
        <v>0</v>
      </c>
      <c r="AT12" s="72">
        <f t="shared" ca="1" si="2"/>
        <v>0</v>
      </c>
      <c r="AU12" s="72">
        <f t="shared" ca="1" si="2"/>
        <v>7.4</v>
      </c>
      <c r="AV12" s="72">
        <f t="shared" ca="1" si="2"/>
        <v>0</v>
      </c>
      <c r="AW12" s="72">
        <f t="shared" ca="1" si="2"/>
        <v>0</v>
      </c>
      <c r="AX12" s="72">
        <f t="shared" ca="1" si="2"/>
        <v>0</v>
      </c>
      <c r="AY12" s="72">
        <f t="shared" ca="1" si="3"/>
        <v>0</v>
      </c>
      <c r="AZ12" s="72">
        <f t="shared" ca="1" si="3"/>
        <v>0</v>
      </c>
      <c r="BA12" s="72">
        <f t="shared" ca="1" si="3"/>
        <v>0</v>
      </c>
      <c r="BB12" s="72">
        <f t="shared" ca="1" si="3"/>
        <v>0</v>
      </c>
      <c r="BC12" s="72">
        <f t="shared" ca="1" si="3"/>
        <v>0</v>
      </c>
      <c r="BD12" s="72">
        <f t="shared" ca="1" si="3"/>
        <v>0</v>
      </c>
      <c r="BE12" s="72">
        <f t="shared" ca="1" si="3"/>
        <v>0</v>
      </c>
      <c r="BF12" s="72">
        <f t="shared" ca="1" si="3"/>
        <v>0</v>
      </c>
      <c r="BG12" s="72">
        <f t="shared" ca="1" si="3"/>
        <v>0</v>
      </c>
      <c r="BH12" s="72">
        <f t="shared" ca="1" si="3"/>
        <v>0</v>
      </c>
      <c r="BI12" s="72">
        <f t="shared" ca="1" si="3"/>
        <v>0</v>
      </c>
      <c r="BJ12" s="72">
        <f t="shared" ca="1" si="4"/>
        <v>0</v>
      </c>
      <c r="BK12" s="72">
        <f t="shared" ca="1" si="24"/>
        <v>99</v>
      </c>
      <c r="BL12" s="72" t="str">
        <f t="shared" ca="1" si="25"/>
        <v/>
      </c>
      <c r="BM12" s="280">
        <f t="shared" ca="1" si="26"/>
        <v>0</v>
      </c>
      <c r="BN12" s="280">
        <f t="shared" ca="1" si="27"/>
        <v>0</v>
      </c>
      <c r="BO12" s="281" t="str">
        <f t="shared" ca="1" si="28"/>
        <v/>
      </c>
      <c r="BP12" s="276"/>
      <c r="BQ12" s="273">
        <f t="shared" ca="1" si="5"/>
        <v>0</v>
      </c>
      <c r="BR12" s="273">
        <f t="shared" ca="1" si="6"/>
        <v>0</v>
      </c>
      <c r="BS12" s="273">
        <f t="shared" ca="1" si="7"/>
        <v>1</v>
      </c>
      <c r="BT12" s="274">
        <f t="shared" ca="1" si="8"/>
        <v>1.1547000000000001</v>
      </c>
      <c r="BU12" s="275">
        <f t="shared" ca="1" si="29"/>
        <v>0</v>
      </c>
      <c r="BV12" s="273">
        <f t="shared" ca="1" si="9"/>
        <v>0</v>
      </c>
      <c r="BW12" s="273">
        <f t="shared" ca="1" si="10"/>
        <v>0</v>
      </c>
      <c r="BX12" s="273">
        <f t="shared" ca="1" si="11"/>
        <v>1</v>
      </c>
      <c r="BY12" s="274">
        <f t="shared" ca="1" si="12"/>
        <v>1.1547000000000001</v>
      </c>
      <c r="BZ12" s="275">
        <f t="shared" ca="1" si="30"/>
        <v>0</v>
      </c>
      <c r="CA12" s="273" t="e">
        <f t="shared" ca="1" si="13"/>
        <v>#DIV/0!</v>
      </c>
      <c r="CB12" s="273" t="e">
        <f t="shared" ca="1" si="14"/>
        <v>#DIV/0!</v>
      </c>
      <c r="CC12" s="273" t="e">
        <f t="shared" ca="1" si="15"/>
        <v>#DIV/0!</v>
      </c>
      <c r="CD12" s="274" t="e">
        <f t="shared" ca="1" si="16"/>
        <v>#DIV/0!</v>
      </c>
      <c r="CE12" s="275">
        <f t="shared" ca="1" si="31"/>
        <v>-1</v>
      </c>
      <c r="CF12" s="273" t="e">
        <f t="shared" ca="1" si="17"/>
        <v>#DIV/0!</v>
      </c>
      <c r="CG12" s="273" t="e">
        <f t="shared" ca="1" si="18"/>
        <v>#DIV/0!</v>
      </c>
      <c r="CH12" s="273" t="e">
        <f t="shared" ca="1" si="19"/>
        <v>#DIV/0!</v>
      </c>
      <c r="CI12" s="274" t="e">
        <f t="shared" ca="1" si="20"/>
        <v>#DIV/0!</v>
      </c>
      <c r="CJ12" s="275">
        <f t="shared" ca="1" si="32"/>
        <v>-1</v>
      </c>
      <c r="CK12" s="319">
        <f t="shared" ca="1" si="33"/>
        <v>0</v>
      </c>
      <c r="CL12" s="319">
        <f t="shared" ca="1" si="34"/>
        <v>0</v>
      </c>
      <c r="CM12" s="319">
        <f t="shared" ca="1" si="35"/>
        <v>0</v>
      </c>
      <c r="CN12" s="306" t="e">
        <f t="shared" ca="1" si="36"/>
        <v>#DIV/0!</v>
      </c>
      <c r="CO12" s="273" t="e">
        <f t="shared" ca="1" si="37"/>
        <v>#DIV/0!</v>
      </c>
      <c r="CP12" s="273" t="e">
        <f t="shared" ca="1" si="38"/>
        <v>#DIV/0!</v>
      </c>
      <c r="CQ12" s="274" t="e">
        <f t="shared" ca="1" si="21"/>
        <v>#DIV/0!</v>
      </c>
      <c r="CR12" s="275">
        <f t="shared" ca="1" si="39"/>
        <v>-1</v>
      </c>
      <c r="CS12" s="273" t="e">
        <f t="shared" ca="1" si="40"/>
        <v>#DIV/0!</v>
      </c>
      <c r="CT12" s="273" t="e">
        <f t="shared" ca="1" si="41"/>
        <v>#DIV/0!</v>
      </c>
      <c r="CU12" s="273" t="e">
        <f t="shared" ca="1" si="42"/>
        <v>#DIV/0!</v>
      </c>
      <c r="CV12" s="274" t="e">
        <f t="shared" ca="1" si="22"/>
        <v>#DIV/0!</v>
      </c>
      <c r="CW12" s="275">
        <f t="shared" ca="1" si="43"/>
        <v>-1</v>
      </c>
      <c r="CX12" s="276"/>
      <c r="CY12" s="277">
        <f t="shared" ca="1" si="44"/>
        <v>-99</v>
      </c>
      <c r="CZ12" s="278">
        <f t="shared" ca="1" si="45"/>
        <v>-99</v>
      </c>
      <c r="DA12" s="277">
        <f t="shared" ca="1" si="46"/>
        <v>-99</v>
      </c>
      <c r="DB12" s="277">
        <f t="shared" ca="1" si="47"/>
        <v>-99</v>
      </c>
      <c r="DC12" s="279" t="e">
        <f t="shared" ca="1" si="48"/>
        <v>#NUM!</v>
      </c>
      <c r="DD12" s="341">
        <f t="shared" ca="1" si="49"/>
        <v>-999</v>
      </c>
      <c r="DE12" s="279">
        <f t="shared" ca="1" si="23"/>
        <v>-999</v>
      </c>
      <c r="DF12" s="341">
        <f t="shared" ca="1" si="50"/>
        <v>163.2852</v>
      </c>
      <c r="DG12" s="335" t="e">
        <f t="shared" ca="1" si="51"/>
        <v>#DIV/0!</v>
      </c>
      <c r="DH12" s="329" t="e">
        <f t="shared" ca="1" si="52"/>
        <v>#DIV/0!</v>
      </c>
      <c r="DI12" s="329" t="e">
        <f t="shared" ca="1" si="53"/>
        <v>#DIV/0!</v>
      </c>
      <c r="DJ12" s="330">
        <f t="shared" ca="1" si="54"/>
        <v>-1</v>
      </c>
      <c r="DK12" s="331">
        <f t="shared" ca="1" si="55"/>
        <v>-1</v>
      </c>
      <c r="DL12" s="335" t="e">
        <f t="shared" ca="1" si="56"/>
        <v>#DIV/0!</v>
      </c>
      <c r="DM12" s="329" t="e">
        <f t="shared" ca="1" si="57"/>
        <v>#DIV/0!</v>
      </c>
      <c r="DN12" s="329" t="e">
        <f t="shared" ca="1" si="58"/>
        <v>#DIV/0!</v>
      </c>
      <c r="DO12" s="330">
        <f ca="1">IF(ISERROR(DL12),-1,Tgrid!$A$46+0.5774*DN12+1.1547*DL12)</f>
        <v>-1</v>
      </c>
      <c r="DP12" s="331">
        <f t="shared" ca="1" si="59"/>
        <v>-1</v>
      </c>
      <c r="DQ12" s="336" t="e">
        <f t="shared" ca="1" si="60"/>
        <v>#DIV/0!</v>
      </c>
      <c r="DR12" s="337" t="e">
        <f t="shared" ca="1" si="61"/>
        <v>#DIV/0!</v>
      </c>
      <c r="DS12" s="330">
        <f ca="1">IF(ISERROR(DQ12),-1,0.5*Tgrid!$B$42+0.5774*(2+DQ12-DR12))</f>
        <v>-1</v>
      </c>
      <c r="DT12" s="331">
        <f ca="1">IF(ISERROR(DQ12),-1,2+Tgrid!$B$54-DQ12-DR12)</f>
        <v>-1</v>
      </c>
    </row>
    <row r="13" spans="1:124" s="53" customFormat="1" ht="15" x14ac:dyDescent="0.25">
      <c r="A13" s="365" t="s">
        <v>248</v>
      </c>
      <c r="B13" s="89"/>
      <c r="C13" s="114"/>
      <c r="D13" s="21"/>
      <c r="E13" s="89"/>
      <c r="F13" s="218"/>
      <c r="G13" s="117"/>
      <c r="H13" s="366">
        <v>36</v>
      </c>
      <c r="I13" s="323"/>
      <c r="J13" s="367"/>
      <c r="K13" s="367"/>
      <c r="L13" s="367"/>
      <c r="M13" s="367"/>
      <c r="N13" s="367"/>
      <c r="O13" s="367"/>
      <c r="P13" s="367"/>
      <c r="Q13" s="367">
        <v>46</v>
      </c>
      <c r="R13" s="367"/>
      <c r="S13" s="367"/>
      <c r="T13" s="367"/>
      <c r="U13" s="367"/>
      <c r="V13" s="367"/>
      <c r="W13" s="367"/>
      <c r="X13" s="367"/>
      <c r="Y13" s="367"/>
      <c r="Z13" s="367"/>
      <c r="AA13" s="367"/>
      <c r="AB13" s="367"/>
      <c r="AC13" s="367"/>
      <c r="AD13" s="367"/>
      <c r="AE13" s="367"/>
      <c r="AF13" s="367"/>
      <c r="AG13" s="367"/>
      <c r="AH13" s="318">
        <f t="shared" ca="1" si="0"/>
        <v>0</v>
      </c>
      <c r="AI13" s="72">
        <f t="shared" ca="1" si="1"/>
        <v>0</v>
      </c>
      <c r="AJ13" s="72">
        <f t="shared" ca="1" si="1"/>
        <v>0</v>
      </c>
      <c r="AK13" s="72">
        <f t="shared" ca="1" si="1"/>
        <v>0</v>
      </c>
      <c r="AL13" s="72">
        <f t="shared" ca="1" si="1"/>
        <v>36</v>
      </c>
      <c r="AM13" s="72">
        <f t="shared" ca="1" si="1"/>
        <v>0</v>
      </c>
      <c r="AN13" s="72">
        <f t="shared" ca="1" si="1"/>
        <v>0</v>
      </c>
      <c r="AO13" s="72">
        <f t="shared" ca="1" si="2"/>
        <v>0</v>
      </c>
      <c r="AP13" s="72">
        <f t="shared" ca="1" si="2"/>
        <v>0</v>
      </c>
      <c r="AQ13" s="72">
        <f t="shared" ca="1" si="2"/>
        <v>0</v>
      </c>
      <c r="AR13" s="72">
        <f t="shared" ca="1" si="2"/>
        <v>0</v>
      </c>
      <c r="AS13" s="226">
        <f t="shared" ca="1" si="2"/>
        <v>0</v>
      </c>
      <c r="AT13" s="72">
        <f t="shared" ca="1" si="2"/>
        <v>0</v>
      </c>
      <c r="AU13" s="72">
        <f t="shared" ca="1" si="2"/>
        <v>46</v>
      </c>
      <c r="AV13" s="72">
        <f t="shared" ca="1" si="2"/>
        <v>0</v>
      </c>
      <c r="AW13" s="72">
        <f t="shared" ca="1" si="2"/>
        <v>0</v>
      </c>
      <c r="AX13" s="72">
        <f t="shared" ca="1" si="2"/>
        <v>0</v>
      </c>
      <c r="AY13" s="72">
        <f t="shared" ca="1" si="3"/>
        <v>0</v>
      </c>
      <c r="AZ13" s="72">
        <f t="shared" ca="1" si="3"/>
        <v>0</v>
      </c>
      <c r="BA13" s="72">
        <f t="shared" ca="1" si="3"/>
        <v>0</v>
      </c>
      <c r="BB13" s="72">
        <f t="shared" ca="1" si="3"/>
        <v>0</v>
      </c>
      <c r="BC13" s="72">
        <f t="shared" ca="1" si="3"/>
        <v>0</v>
      </c>
      <c r="BD13" s="72">
        <f t="shared" ca="1" si="3"/>
        <v>0</v>
      </c>
      <c r="BE13" s="72">
        <f t="shared" ca="1" si="3"/>
        <v>0</v>
      </c>
      <c r="BF13" s="72">
        <f t="shared" ca="1" si="3"/>
        <v>0</v>
      </c>
      <c r="BG13" s="72">
        <f t="shared" ca="1" si="3"/>
        <v>0</v>
      </c>
      <c r="BH13" s="72">
        <f t="shared" ca="1" si="3"/>
        <v>0</v>
      </c>
      <c r="BI13" s="72">
        <f t="shared" ca="1" si="3"/>
        <v>0</v>
      </c>
      <c r="BJ13" s="72">
        <f t="shared" ca="1" si="4"/>
        <v>0</v>
      </c>
      <c r="BK13" s="72">
        <f t="shared" ca="1" si="24"/>
        <v>99</v>
      </c>
      <c r="BL13" s="72" t="str">
        <f t="shared" ca="1" si="25"/>
        <v/>
      </c>
      <c r="BM13" s="280">
        <f t="shared" ca="1" si="26"/>
        <v>0</v>
      </c>
      <c r="BN13" s="280">
        <f t="shared" ca="1" si="27"/>
        <v>0</v>
      </c>
      <c r="BO13" s="281" t="str">
        <f t="shared" ca="1" si="28"/>
        <v/>
      </c>
      <c r="BP13" s="276"/>
      <c r="BQ13" s="273">
        <f t="shared" ca="1" si="5"/>
        <v>0</v>
      </c>
      <c r="BR13" s="273">
        <f t="shared" ca="1" si="6"/>
        <v>0</v>
      </c>
      <c r="BS13" s="273">
        <f t="shared" ca="1" si="7"/>
        <v>1</v>
      </c>
      <c r="BT13" s="274">
        <f t="shared" ca="1" si="8"/>
        <v>1.1547000000000001</v>
      </c>
      <c r="BU13" s="275">
        <f t="shared" ca="1" si="29"/>
        <v>0</v>
      </c>
      <c r="BV13" s="273">
        <f t="shared" ca="1" si="9"/>
        <v>0</v>
      </c>
      <c r="BW13" s="273">
        <f t="shared" ca="1" si="10"/>
        <v>0</v>
      </c>
      <c r="BX13" s="273">
        <f t="shared" ca="1" si="11"/>
        <v>1</v>
      </c>
      <c r="BY13" s="274">
        <f t="shared" ca="1" si="12"/>
        <v>1.1547000000000001</v>
      </c>
      <c r="BZ13" s="275">
        <f t="shared" ca="1" si="30"/>
        <v>0</v>
      </c>
      <c r="CA13" s="273" t="e">
        <f t="shared" ca="1" si="13"/>
        <v>#DIV/0!</v>
      </c>
      <c r="CB13" s="273" t="e">
        <f t="shared" ca="1" si="14"/>
        <v>#DIV/0!</v>
      </c>
      <c r="CC13" s="273" t="e">
        <f t="shared" ca="1" si="15"/>
        <v>#DIV/0!</v>
      </c>
      <c r="CD13" s="274" t="e">
        <f t="shared" ca="1" si="16"/>
        <v>#DIV/0!</v>
      </c>
      <c r="CE13" s="275">
        <f t="shared" ca="1" si="31"/>
        <v>-1</v>
      </c>
      <c r="CF13" s="273" t="e">
        <f t="shared" ca="1" si="17"/>
        <v>#DIV/0!</v>
      </c>
      <c r="CG13" s="273" t="e">
        <f t="shared" ca="1" si="18"/>
        <v>#DIV/0!</v>
      </c>
      <c r="CH13" s="273" t="e">
        <f t="shared" ca="1" si="19"/>
        <v>#DIV/0!</v>
      </c>
      <c r="CI13" s="274" t="e">
        <f t="shared" ca="1" si="20"/>
        <v>#DIV/0!</v>
      </c>
      <c r="CJ13" s="275">
        <f t="shared" ca="1" si="32"/>
        <v>-1</v>
      </c>
      <c r="CK13" s="319">
        <f t="shared" ca="1" si="33"/>
        <v>0</v>
      </c>
      <c r="CL13" s="319">
        <f t="shared" ca="1" si="34"/>
        <v>0</v>
      </c>
      <c r="CM13" s="319">
        <f t="shared" ca="1" si="35"/>
        <v>0</v>
      </c>
      <c r="CN13" s="306" t="e">
        <f t="shared" ca="1" si="36"/>
        <v>#DIV/0!</v>
      </c>
      <c r="CO13" s="273" t="e">
        <f t="shared" ca="1" si="37"/>
        <v>#DIV/0!</v>
      </c>
      <c r="CP13" s="273" t="e">
        <f t="shared" ca="1" si="38"/>
        <v>#DIV/0!</v>
      </c>
      <c r="CQ13" s="274" t="e">
        <f t="shared" ca="1" si="21"/>
        <v>#DIV/0!</v>
      </c>
      <c r="CR13" s="275">
        <f t="shared" ca="1" si="39"/>
        <v>-1</v>
      </c>
      <c r="CS13" s="273" t="e">
        <f t="shared" ca="1" si="40"/>
        <v>#DIV/0!</v>
      </c>
      <c r="CT13" s="273" t="e">
        <f t="shared" ca="1" si="41"/>
        <v>#DIV/0!</v>
      </c>
      <c r="CU13" s="273" t="e">
        <f t="shared" ca="1" si="42"/>
        <v>#DIV/0!</v>
      </c>
      <c r="CV13" s="274" t="e">
        <f t="shared" ca="1" si="22"/>
        <v>#DIV/0!</v>
      </c>
      <c r="CW13" s="275">
        <f t="shared" ca="1" si="43"/>
        <v>-1</v>
      </c>
      <c r="CX13" s="276"/>
      <c r="CY13" s="277">
        <f t="shared" ca="1" si="44"/>
        <v>-99</v>
      </c>
      <c r="CZ13" s="278">
        <f t="shared" ca="1" si="45"/>
        <v>-99</v>
      </c>
      <c r="DA13" s="277">
        <f t="shared" ca="1" si="46"/>
        <v>-99</v>
      </c>
      <c r="DB13" s="277">
        <f t="shared" ca="1" si="47"/>
        <v>-99</v>
      </c>
      <c r="DC13" s="279" t="e">
        <f t="shared" ca="1" si="48"/>
        <v>#NUM!</v>
      </c>
      <c r="DD13" s="341">
        <f t="shared" ca="1" si="49"/>
        <v>-999</v>
      </c>
      <c r="DE13" s="279">
        <f t="shared" ca="1" si="23"/>
        <v>-999</v>
      </c>
      <c r="DF13" s="341">
        <f t="shared" ca="1" si="50"/>
        <v>150.72479999999999</v>
      </c>
      <c r="DG13" s="335" t="e">
        <f t="shared" ca="1" si="51"/>
        <v>#DIV/0!</v>
      </c>
      <c r="DH13" s="329" t="e">
        <f t="shared" ca="1" si="52"/>
        <v>#DIV/0!</v>
      </c>
      <c r="DI13" s="329" t="e">
        <f t="shared" ca="1" si="53"/>
        <v>#DIV/0!</v>
      </c>
      <c r="DJ13" s="330">
        <f t="shared" ca="1" si="54"/>
        <v>-1</v>
      </c>
      <c r="DK13" s="331">
        <f t="shared" ca="1" si="55"/>
        <v>-1</v>
      </c>
      <c r="DL13" s="335" t="e">
        <f t="shared" ca="1" si="56"/>
        <v>#DIV/0!</v>
      </c>
      <c r="DM13" s="329" t="e">
        <f t="shared" ca="1" si="57"/>
        <v>#DIV/0!</v>
      </c>
      <c r="DN13" s="329" t="e">
        <f t="shared" ca="1" si="58"/>
        <v>#DIV/0!</v>
      </c>
      <c r="DO13" s="330">
        <f ca="1">IF(ISERROR(DL13),-1,Tgrid!$A$46+0.5774*DN13+1.1547*DL13)</f>
        <v>-1</v>
      </c>
      <c r="DP13" s="331">
        <f t="shared" ca="1" si="59"/>
        <v>-1</v>
      </c>
      <c r="DQ13" s="336" t="e">
        <f t="shared" ca="1" si="60"/>
        <v>#DIV/0!</v>
      </c>
      <c r="DR13" s="337" t="e">
        <f t="shared" ca="1" si="61"/>
        <v>#DIV/0!</v>
      </c>
      <c r="DS13" s="330">
        <f ca="1">IF(ISERROR(DQ13),-1,0.5*Tgrid!$B$42+0.5774*(2+DQ13-DR13))</f>
        <v>-1</v>
      </c>
      <c r="DT13" s="331">
        <f ca="1">IF(ISERROR(DQ13),-1,2+Tgrid!$B$54-DQ13-DR13)</f>
        <v>-1</v>
      </c>
    </row>
    <row r="14" spans="1:124" s="53" customFormat="1" ht="15" x14ac:dyDescent="0.25">
      <c r="A14" s="365" t="s">
        <v>249</v>
      </c>
      <c r="B14" s="89"/>
      <c r="C14" s="114"/>
      <c r="D14" s="21"/>
      <c r="E14" s="89"/>
      <c r="F14" s="21"/>
      <c r="G14" s="21"/>
      <c r="H14" s="366">
        <v>60</v>
      </c>
      <c r="I14" s="323"/>
      <c r="J14" s="367"/>
      <c r="K14" s="367"/>
      <c r="L14" s="367"/>
      <c r="M14" s="367"/>
      <c r="N14" s="367"/>
      <c r="O14" s="367"/>
      <c r="P14" s="367"/>
      <c r="Q14" s="367">
        <v>1.1000000000000001</v>
      </c>
      <c r="R14" s="367"/>
      <c r="S14" s="367"/>
      <c r="T14" s="367"/>
      <c r="U14" s="367"/>
      <c r="V14" s="367"/>
      <c r="W14" s="367"/>
      <c r="X14" s="367"/>
      <c r="Y14" s="367"/>
      <c r="Z14" s="367"/>
      <c r="AA14" s="367"/>
      <c r="AB14" s="367"/>
      <c r="AC14" s="367"/>
      <c r="AD14" s="367"/>
      <c r="AE14" s="367"/>
      <c r="AF14" s="367"/>
      <c r="AG14" s="367"/>
      <c r="AH14" s="318">
        <f t="shared" ca="1" si="0"/>
        <v>0</v>
      </c>
      <c r="AI14" s="72">
        <f t="shared" ca="1" si="1"/>
        <v>0</v>
      </c>
      <c r="AJ14" s="72">
        <f t="shared" ca="1" si="1"/>
        <v>0</v>
      </c>
      <c r="AK14" s="72">
        <f t="shared" ca="1" si="1"/>
        <v>0</v>
      </c>
      <c r="AL14" s="72">
        <f t="shared" ca="1" si="1"/>
        <v>60</v>
      </c>
      <c r="AM14" s="72">
        <f t="shared" ca="1" si="1"/>
        <v>0</v>
      </c>
      <c r="AN14" s="72">
        <f t="shared" ca="1" si="1"/>
        <v>0</v>
      </c>
      <c r="AO14" s="72">
        <f t="shared" ca="1" si="2"/>
        <v>0</v>
      </c>
      <c r="AP14" s="72">
        <f t="shared" ca="1" si="2"/>
        <v>0</v>
      </c>
      <c r="AQ14" s="72">
        <f t="shared" ca="1" si="2"/>
        <v>0</v>
      </c>
      <c r="AR14" s="72">
        <f t="shared" ca="1" si="2"/>
        <v>0</v>
      </c>
      <c r="AS14" s="226">
        <f t="shared" ca="1" si="2"/>
        <v>0</v>
      </c>
      <c r="AT14" s="72">
        <f t="shared" ca="1" si="2"/>
        <v>0</v>
      </c>
      <c r="AU14" s="72">
        <f t="shared" ca="1" si="2"/>
        <v>1.1000000000000001</v>
      </c>
      <c r="AV14" s="72">
        <f t="shared" ca="1" si="2"/>
        <v>0</v>
      </c>
      <c r="AW14" s="72">
        <f t="shared" ca="1" si="2"/>
        <v>0</v>
      </c>
      <c r="AX14" s="72">
        <f t="shared" ca="1" si="2"/>
        <v>0</v>
      </c>
      <c r="AY14" s="72">
        <f t="shared" ca="1" si="3"/>
        <v>0</v>
      </c>
      <c r="AZ14" s="72">
        <f t="shared" ca="1" si="3"/>
        <v>0</v>
      </c>
      <c r="BA14" s="72">
        <f t="shared" ca="1" si="3"/>
        <v>0</v>
      </c>
      <c r="BB14" s="72">
        <f t="shared" ca="1" si="3"/>
        <v>0</v>
      </c>
      <c r="BC14" s="72">
        <f t="shared" ca="1" si="3"/>
        <v>0</v>
      </c>
      <c r="BD14" s="72">
        <f t="shared" ca="1" si="3"/>
        <v>0</v>
      </c>
      <c r="BE14" s="72">
        <f t="shared" ca="1" si="3"/>
        <v>0</v>
      </c>
      <c r="BF14" s="72">
        <f t="shared" ca="1" si="3"/>
        <v>0</v>
      </c>
      <c r="BG14" s="72">
        <f t="shared" ca="1" si="3"/>
        <v>0</v>
      </c>
      <c r="BH14" s="72">
        <f t="shared" ca="1" si="3"/>
        <v>0</v>
      </c>
      <c r="BI14" s="72">
        <f t="shared" ca="1" si="3"/>
        <v>0</v>
      </c>
      <c r="BJ14" s="72">
        <f t="shared" ca="1" si="4"/>
        <v>0</v>
      </c>
      <c r="BK14" s="72">
        <f t="shared" ca="1" si="24"/>
        <v>99</v>
      </c>
      <c r="BL14" s="72" t="str">
        <f t="shared" ca="1" si="25"/>
        <v/>
      </c>
      <c r="BM14" s="280">
        <f t="shared" ca="1" si="26"/>
        <v>0</v>
      </c>
      <c r="BN14" s="280">
        <f t="shared" ca="1" si="27"/>
        <v>0</v>
      </c>
      <c r="BO14" s="281" t="str">
        <f t="shared" ca="1" si="28"/>
        <v/>
      </c>
      <c r="BP14" s="282"/>
      <c r="BQ14" s="273">
        <f t="shared" ca="1" si="5"/>
        <v>0</v>
      </c>
      <c r="BR14" s="273">
        <f t="shared" ca="1" si="6"/>
        <v>0</v>
      </c>
      <c r="BS14" s="273">
        <f t="shared" ca="1" si="7"/>
        <v>1</v>
      </c>
      <c r="BT14" s="274">
        <f t="shared" ca="1" si="8"/>
        <v>1.1547000000000001</v>
      </c>
      <c r="BU14" s="275">
        <f t="shared" ca="1" si="29"/>
        <v>0</v>
      </c>
      <c r="BV14" s="273">
        <f t="shared" ca="1" si="9"/>
        <v>0</v>
      </c>
      <c r="BW14" s="273">
        <f t="shared" ca="1" si="10"/>
        <v>0</v>
      </c>
      <c r="BX14" s="273">
        <f t="shared" ca="1" si="11"/>
        <v>1</v>
      </c>
      <c r="BY14" s="274">
        <f t="shared" ca="1" si="12"/>
        <v>1.1547000000000001</v>
      </c>
      <c r="BZ14" s="275">
        <f t="shared" ca="1" si="30"/>
        <v>0</v>
      </c>
      <c r="CA14" s="273" t="e">
        <f t="shared" ca="1" si="13"/>
        <v>#DIV/0!</v>
      </c>
      <c r="CB14" s="273" t="e">
        <f t="shared" ca="1" si="14"/>
        <v>#DIV/0!</v>
      </c>
      <c r="CC14" s="273" t="e">
        <f t="shared" ca="1" si="15"/>
        <v>#DIV/0!</v>
      </c>
      <c r="CD14" s="274" t="e">
        <f t="shared" ca="1" si="16"/>
        <v>#DIV/0!</v>
      </c>
      <c r="CE14" s="275">
        <f t="shared" ca="1" si="31"/>
        <v>-1</v>
      </c>
      <c r="CF14" s="273" t="e">
        <f t="shared" ca="1" si="17"/>
        <v>#DIV/0!</v>
      </c>
      <c r="CG14" s="273" t="e">
        <f t="shared" ca="1" si="18"/>
        <v>#DIV/0!</v>
      </c>
      <c r="CH14" s="273" t="e">
        <f t="shared" ca="1" si="19"/>
        <v>#DIV/0!</v>
      </c>
      <c r="CI14" s="274" t="e">
        <f t="shared" ca="1" si="20"/>
        <v>#DIV/0!</v>
      </c>
      <c r="CJ14" s="275">
        <f t="shared" ca="1" si="32"/>
        <v>-1</v>
      </c>
      <c r="CK14" s="319">
        <f t="shared" ca="1" si="33"/>
        <v>0</v>
      </c>
      <c r="CL14" s="319">
        <f t="shared" ca="1" si="34"/>
        <v>0</v>
      </c>
      <c r="CM14" s="319">
        <f t="shared" ca="1" si="35"/>
        <v>0</v>
      </c>
      <c r="CN14" s="306" t="e">
        <f t="shared" ca="1" si="36"/>
        <v>#DIV/0!</v>
      </c>
      <c r="CO14" s="273" t="e">
        <f t="shared" ca="1" si="37"/>
        <v>#DIV/0!</v>
      </c>
      <c r="CP14" s="273" t="e">
        <f t="shared" ca="1" si="38"/>
        <v>#DIV/0!</v>
      </c>
      <c r="CQ14" s="274" t="e">
        <f t="shared" ca="1" si="21"/>
        <v>#DIV/0!</v>
      </c>
      <c r="CR14" s="275">
        <f t="shared" ca="1" si="39"/>
        <v>-1</v>
      </c>
      <c r="CS14" s="273" t="e">
        <f t="shared" ca="1" si="40"/>
        <v>#DIV/0!</v>
      </c>
      <c r="CT14" s="273" t="e">
        <f t="shared" ca="1" si="41"/>
        <v>#DIV/0!</v>
      </c>
      <c r="CU14" s="273" t="e">
        <f t="shared" ca="1" si="42"/>
        <v>#DIV/0!</v>
      </c>
      <c r="CV14" s="274" t="e">
        <f t="shared" ca="1" si="22"/>
        <v>#DIV/0!</v>
      </c>
      <c r="CW14" s="275">
        <f t="shared" ca="1" si="43"/>
        <v>-1</v>
      </c>
      <c r="CX14" s="276"/>
      <c r="CY14" s="277">
        <f t="shared" ca="1" si="44"/>
        <v>-99</v>
      </c>
      <c r="CZ14" s="278">
        <f t="shared" ca="1" si="45"/>
        <v>-99</v>
      </c>
      <c r="DA14" s="277">
        <f t="shared" ca="1" si="46"/>
        <v>-99</v>
      </c>
      <c r="DB14" s="277">
        <f t="shared" ca="1" si="47"/>
        <v>-99</v>
      </c>
      <c r="DC14" s="279" t="e">
        <f t="shared" ca="1" si="48"/>
        <v>#NUM!</v>
      </c>
      <c r="DD14" s="341">
        <f t="shared" ca="1" si="49"/>
        <v>-999</v>
      </c>
      <c r="DE14" s="279">
        <f t="shared" ca="1" si="23"/>
        <v>-999</v>
      </c>
      <c r="DF14" s="341">
        <f t="shared" ca="1" si="50"/>
        <v>251.91480730250453</v>
      </c>
      <c r="DG14" s="335" t="e">
        <f t="shared" ca="1" si="51"/>
        <v>#DIV/0!</v>
      </c>
      <c r="DH14" s="329" t="e">
        <f t="shared" ca="1" si="52"/>
        <v>#DIV/0!</v>
      </c>
      <c r="DI14" s="329" t="e">
        <f t="shared" ca="1" si="53"/>
        <v>#DIV/0!</v>
      </c>
      <c r="DJ14" s="330">
        <f t="shared" ca="1" si="54"/>
        <v>-1</v>
      </c>
      <c r="DK14" s="331">
        <f t="shared" ca="1" si="55"/>
        <v>-1</v>
      </c>
      <c r="DL14" s="335" t="e">
        <f t="shared" ca="1" si="56"/>
        <v>#DIV/0!</v>
      </c>
      <c r="DM14" s="329" t="e">
        <f t="shared" ca="1" si="57"/>
        <v>#DIV/0!</v>
      </c>
      <c r="DN14" s="329" t="e">
        <f t="shared" ca="1" si="58"/>
        <v>#DIV/0!</v>
      </c>
      <c r="DO14" s="330">
        <f ca="1">IF(ISERROR(DL14),-1,Tgrid!$A$46+0.5774*DN14+1.1547*DL14)</f>
        <v>-1</v>
      </c>
      <c r="DP14" s="331">
        <f t="shared" ca="1" si="59"/>
        <v>-1</v>
      </c>
      <c r="DQ14" s="336" t="e">
        <f t="shared" ca="1" si="60"/>
        <v>#DIV/0!</v>
      </c>
      <c r="DR14" s="337" t="e">
        <f t="shared" ca="1" si="61"/>
        <v>#DIV/0!</v>
      </c>
      <c r="DS14" s="330">
        <f ca="1">IF(ISERROR(DQ14),-1,0.5*Tgrid!$B$42+0.5774*(2+DQ14-DR14))</f>
        <v>-1</v>
      </c>
      <c r="DT14" s="331">
        <f ca="1">IF(ISERROR(DQ14),-1,2+Tgrid!$B$54-DQ14-DR14)</f>
        <v>-1</v>
      </c>
    </row>
    <row r="15" spans="1:124" s="53" customFormat="1" ht="15" x14ac:dyDescent="0.25">
      <c r="A15" s="365" t="s">
        <v>250</v>
      </c>
      <c r="B15" s="89"/>
      <c r="C15" s="114"/>
      <c r="D15" s="21"/>
      <c r="E15" s="89"/>
      <c r="F15" s="218"/>
      <c r="G15" s="117"/>
      <c r="H15" s="366">
        <v>93</v>
      </c>
      <c r="I15" s="323"/>
      <c r="J15" s="367"/>
      <c r="K15" s="367"/>
      <c r="L15" s="367"/>
      <c r="M15" s="367"/>
      <c r="N15" s="367"/>
      <c r="O15" s="367"/>
      <c r="P15" s="367"/>
      <c r="Q15" s="367">
        <v>0.2</v>
      </c>
      <c r="R15" s="367"/>
      <c r="S15" s="367"/>
      <c r="T15" s="367"/>
      <c r="U15" s="367"/>
      <c r="V15" s="367"/>
      <c r="W15" s="367"/>
      <c r="X15" s="367"/>
      <c r="Y15" s="367"/>
      <c r="Z15" s="367"/>
      <c r="AA15" s="367"/>
      <c r="AB15" s="367"/>
      <c r="AC15" s="367"/>
      <c r="AD15" s="367"/>
      <c r="AE15" s="367"/>
      <c r="AF15" s="367"/>
      <c r="AG15" s="367"/>
      <c r="AH15" s="318">
        <f t="shared" ca="1" si="0"/>
        <v>0</v>
      </c>
      <c r="AI15" s="72">
        <f t="shared" ca="1" si="1"/>
        <v>0</v>
      </c>
      <c r="AJ15" s="72">
        <f t="shared" ca="1" si="1"/>
        <v>0</v>
      </c>
      <c r="AK15" s="72">
        <f t="shared" ca="1" si="1"/>
        <v>0</v>
      </c>
      <c r="AL15" s="72">
        <f t="shared" ca="1" si="1"/>
        <v>93</v>
      </c>
      <c r="AM15" s="72">
        <f t="shared" ca="1" si="1"/>
        <v>0</v>
      </c>
      <c r="AN15" s="72">
        <f t="shared" ca="1" si="1"/>
        <v>0</v>
      </c>
      <c r="AO15" s="72">
        <f t="shared" ca="1" si="2"/>
        <v>0</v>
      </c>
      <c r="AP15" s="72">
        <f t="shared" ca="1" si="2"/>
        <v>0</v>
      </c>
      <c r="AQ15" s="72">
        <f t="shared" ca="1" si="2"/>
        <v>0</v>
      </c>
      <c r="AR15" s="72">
        <f t="shared" ca="1" si="2"/>
        <v>0</v>
      </c>
      <c r="AS15" s="226">
        <f t="shared" ca="1" si="2"/>
        <v>0</v>
      </c>
      <c r="AT15" s="72">
        <f t="shared" ca="1" si="2"/>
        <v>0</v>
      </c>
      <c r="AU15" s="72">
        <f t="shared" ca="1" si="2"/>
        <v>0.2</v>
      </c>
      <c r="AV15" s="72">
        <f t="shared" ca="1" si="2"/>
        <v>0</v>
      </c>
      <c r="AW15" s="72">
        <f t="shared" ca="1" si="2"/>
        <v>0</v>
      </c>
      <c r="AX15" s="72">
        <f t="shared" ca="1" si="2"/>
        <v>0</v>
      </c>
      <c r="AY15" s="72">
        <f t="shared" ca="1" si="3"/>
        <v>0</v>
      </c>
      <c r="AZ15" s="72">
        <f t="shared" ca="1" si="3"/>
        <v>0</v>
      </c>
      <c r="BA15" s="72">
        <f t="shared" ca="1" si="3"/>
        <v>0</v>
      </c>
      <c r="BB15" s="72">
        <f t="shared" ca="1" si="3"/>
        <v>0</v>
      </c>
      <c r="BC15" s="72">
        <f t="shared" ca="1" si="3"/>
        <v>0</v>
      </c>
      <c r="BD15" s="72">
        <f t="shared" ca="1" si="3"/>
        <v>0</v>
      </c>
      <c r="BE15" s="72">
        <f t="shared" ca="1" si="3"/>
        <v>0</v>
      </c>
      <c r="BF15" s="72">
        <f t="shared" ca="1" si="3"/>
        <v>0</v>
      </c>
      <c r="BG15" s="72">
        <f t="shared" ca="1" si="3"/>
        <v>0</v>
      </c>
      <c r="BH15" s="72">
        <f t="shared" ca="1" si="3"/>
        <v>0</v>
      </c>
      <c r="BI15" s="72">
        <f t="shared" ca="1" si="3"/>
        <v>0</v>
      </c>
      <c r="BJ15" s="72">
        <f t="shared" ca="1" si="4"/>
        <v>0</v>
      </c>
      <c r="BK15" s="72">
        <f t="shared" ca="1" si="24"/>
        <v>99</v>
      </c>
      <c r="BL15" s="72" t="str">
        <f t="shared" ca="1" si="25"/>
        <v/>
      </c>
      <c r="BM15" s="280">
        <f t="shared" ca="1" si="26"/>
        <v>0</v>
      </c>
      <c r="BN15" s="280">
        <f t="shared" ca="1" si="27"/>
        <v>0</v>
      </c>
      <c r="BO15" s="281" t="str">
        <f t="shared" ca="1" si="28"/>
        <v/>
      </c>
      <c r="BP15" s="282"/>
      <c r="BQ15" s="273">
        <f t="shared" ca="1" si="5"/>
        <v>0</v>
      </c>
      <c r="BR15" s="273">
        <f t="shared" ca="1" si="6"/>
        <v>0</v>
      </c>
      <c r="BS15" s="273">
        <f t="shared" ca="1" si="7"/>
        <v>1</v>
      </c>
      <c r="BT15" s="274">
        <f t="shared" ca="1" si="8"/>
        <v>1.1547000000000001</v>
      </c>
      <c r="BU15" s="275">
        <f t="shared" ca="1" si="29"/>
        <v>0</v>
      </c>
      <c r="BV15" s="273">
        <f t="shared" ca="1" si="9"/>
        <v>0</v>
      </c>
      <c r="BW15" s="273">
        <f t="shared" ca="1" si="10"/>
        <v>0</v>
      </c>
      <c r="BX15" s="273">
        <f t="shared" ca="1" si="11"/>
        <v>1</v>
      </c>
      <c r="BY15" s="274">
        <f t="shared" ca="1" si="12"/>
        <v>1.1547000000000001</v>
      </c>
      <c r="BZ15" s="275">
        <f t="shared" ca="1" si="30"/>
        <v>0</v>
      </c>
      <c r="CA15" s="273" t="e">
        <f t="shared" ca="1" si="13"/>
        <v>#DIV/0!</v>
      </c>
      <c r="CB15" s="273" t="e">
        <f t="shared" ca="1" si="14"/>
        <v>#DIV/0!</v>
      </c>
      <c r="CC15" s="273" t="e">
        <f t="shared" ca="1" si="15"/>
        <v>#DIV/0!</v>
      </c>
      <c r="CD15" s="274" t="e">
        <f t="shared" ca="1" si="16"/>
        <v>#DIV/0!</v>
      </c>
      <c r="CE15" s="275">
        <f t="shared" ca="1" si="31"/>
        <v>-1</v>
      </c>
      <c r="CF15" s="273" t="e">
        <f t="shared" ca="1" si="17"/>
        <v>#DIV/0!</v>
      </c>
      <c r="CG15" s="273" t="e">
        <f t="shared" ca="1" si="18"/>
        <v>#DIV/0!</v>
      </c>
      <c r="CH15" s="273" t="e">
        <f t="shared" ca="1" si="19"/>
        <v>#DIV/0!</v>
      </c>
      <c r="CI15" s="274" t="e">
        <f t="shared" ca="1" si="20"/>
        <v>#DIV/0!</v>
      </c>
      <c r="CJ15" s="275">
        <f t="shared" ca="1" si="32"/>
        <v>-1</v>
      </c>
      <c r="CK15" s="319">
        <f t="shared" ca="1" si="33"/>
        <v>0</v>
      </c>
      <c r="CL15" s="319">
        <f t="shared" ca="1" si="34"/>
        <v>0</v>
      </c>
      <c r="CM15" s="319">
        <f t="shared" ca="1" si="35"/>
        <v>0</v>
      </c>
      <c r="CN15" s="306" t="e">
        <f t="shared" ca="1" si="36"/>
        <v>#DIV/0!</v>
      </c>
      <c r="CO15" s="273" t="e">
        <f t="shared" ca="1" si="37"/>
        <v>#DIV/0!</v>
      </c>
      <c r="CP15" s="273" t="e">
        <f t="shared" ca="1" si="38"/>
        <v>#DIV/0!</v>
      </c>
      <c r="CQ15" s="274" t="e">
        <f t="shared" ca="1" si="21"/>
        <v>#DIV/0!</v>
      </c>
      <c r="CR15" s="275">
        <f t="shared" ca="1" si="39"/>
        <v>-1</v>
      </c>
      <c r="CS15" s="273" t="e">
        <f t="shared" ca="1" si="40"/>
        <v>#DIV/0!</v>
      </c>
      <c r="CT15" s="273" t="e">
        <f t="shared" ca="1" si="41"/>
        <v>#DIV/0!</v>
      </c>
      <c r="CU15" s="273" t="e">
        <f t="shared" ca="1" si="42"/>
        <v>#DIV/0!</v>
      </c>
      <c r="CV15" s="274" t="e">
        <f t="shared" ca="1" si="22"/>
        <v>#DIV/0!</v>
      </c>
      <c r="CW15" s="275">
        <f t="shared" ca="1" si="43"/>
        <v>-1</v>
      </c>
      <c r="CX15" s="276"/>
      <c r="CY15" s="277">
        <f t="shared" ca="1" si="44"/>
        <v>-99</v>
      </c>
      <c r="CZ15" s="278">
        <f t="shared" ca="1" si="45"/>
        <v>-99</v>
      </c>
      <c r="DA15" s="277">
        <f t="shared" ca="1" si="46"/>
        <v>-99</v>
      </c>
      <c r="DB15" s="277">
        <f t="shared" ca="1" si="47"/>
        <v>-99</v>
      </c>
      <c r="DC15" s="279" t="e">
        <f t="shared" ca="1" si="48"/>
        <v>#NUM!</v>
      </c>
      <c r="DD15" s="341">
        <f t="shared" ca="1" si="49"/>
        <v>-999</v>
      </c>
      <c r="DE15" s="279">
        <f t="shared" ca="1" si="23"/>
        <v>-999</v>
      </c>
      <c r="DF15" s="341">
        <f t="shared" ca="1" si="50"/>
        <v>390.61668083194672</v>
      </c>
      <c r="DG15" s="335" t="e">
        <f t="shared" ca="1" si="51"/>
        <v>#DIV/0!</v>
      </c>
      <c r="DH15" s="329" t="e">
        <f t="shared" ca="1" si="52"/>
        <v>#DIV/0!</v>
      </c>
      <c r="DI15" s="329" t="e">
        <f t="shared" ca="1" si="53"/>
        <v>#DIV/0!</v>
      </c>
      <c r="DJ15" s="330">
        <f t="shared" ca="1" si="54"/>
        <v>-1</v>
      </c>
      <c r="DK15" s="331">
        <f t="shared" ca="1" si="55"/>
        <v>-1</v>
      </c>
      <c r="DL15" s="335" t="e">
        <f t="shared" ca="1" si="56"/>
        <v>#DIV/0!</v>
      </c>
      <c r="DM15" s="329" t="e">
        <f t="shared" ca="1" si="57"/>
        <v>#DIV/0!</v>
      </c>
      <c r="DN15" s="329" t="e">
        <f t="shared" ca="1" si="58"/>
        <v>#DIV/0!</v>
      </c>
      <c r="DO15" s="330">
        <f ca="1">IF(ISERROR(DL15),-1,Tgrid!$A$46+0.5774*DN15+1.1547*DL15)</f>
        <v>-1</v>
      </c>
      <c r="DP15" s="331">
        <f t="shared" ca="1" si="59"/>
        <v>-1</v>
      </c>
      <c r="DQ15" s="336" t="e">
        <f t="shared" ca="1" si="60"/>
        <v>#DIV/0!</v>
      </c>
      <c r="DR15" s="337" t="e">
        <f t="shared" ca="1" si="61"/>
        <v>#DIV/0!</v>
      </c>
      <c r="DS15" s="330">
        <f ca="1">IF(ISERROR(DQ15),-1,0.5*Tgrid!$B$42+0.5774*(2+DQ15-DR15))</f>
        <v>-1</v>
      </c>
      <c r="DT15" s="331">
        <f ca="1">IF(ISERROR(DQ15),-1,2+Tgrid!$B$54-DQ15-DR15)</f>
        <v>-1</v>
      </c>
    </row>
    <row r="16" spans="1:124" s="53" customFormat="1" ht="15" x14ac:dyDescent="0.25">
      <c r="A16" s="365" t="s">
        <v>251</v>
      </c>
      <c r="B16" s="89"/>
      <c r="C16" s="114"/>
      <c r="D16" s="21"/>
      <c r="E16" s="89"/>
      <c r="F16" s="21"/>
      <c r="G16" s="21"/>
      <c r="H16" s="366">
        <v>45</v>
      </c>
      <c r="I16" s="323"/>
      <c r="J16" s="367"/>
      <c r="K16" s="367"/>
      <c r="L16" s="367"/>
      <c r="M16" s="367"/>
      <c r="N16" s="367"/>
      <c r="O16" s="367"/>
      <c r="P16" s="367"/>
      <c r="Q16" s="367">
        <v>0.4</v>
      </c>
      <c r="R16" s="367"/>
      <c r="S16" s="367"/>
      <c r="T16" s="367"/>
      <c r="U16" s="367"/>
      <c r="V16" s="367"/>
      <c r="W16" s="367"/>
      <c r="X16" s="367"/>
      <c r="Y16" s="367"/>
      <c r="Z16" s="367"/>
      <c r="AA16" s="367"/>
      <c r="AB16" s="367"/>
      <c r="AC16" s="367"/>
      <c r="AD16" s="367"/>
      <c r="AE16" s="367"/>
      <c r="AF16" s="367"/>
      <c r="AG16" s="367"/>
      <c r="AH16" s="318">
        <f t="shared" ca="1" si="0"/>
        <v>0</v>
      </c>
      <c r="AI16" s="72">
        <f t="shared" ca="1" si="1"/>
        <v>0</v>
      </c>
      <c r="AJ16" s="72">
        <f t="shared" ca="1" si="1"/>
        <v>0</v>
      </c>
      <c r="AK16" s="72">
        <f t="shared" ca="1" si="1"/>
        <v>0</v>
      </c>
      <c r="AL16" s="72">
        <f t="shared" ca="1" si="1"/>
        <v>45</v>
      </c>
      <c r="AM16" s="72">
        <f t="shared" ca="1" si="1"/>
        <v>0</v>
      </c>
      <c r="AN16" s="72">
        <f t="shared" ca="1" si="1"/>
        <v>0</v>
      </c>
      <c r="AO16" s="72">
        <f t="shared" ca="1" si="2"/>
        <v>0</v>
      </c>
      <c r="AP16" s="72">
        <f t="shared" ca="1" si="2"/>
        <v>0</v>
      </c>
      <c r="AQ16" s="72">
        <f t="shared" ca="1" si="2"/>
        <v>0</v>
      </c>
      <c r="AR16" s="72">
        <f t="shared" ca="1" si="2"/>
        <v>0</v>
      </c>
      <c r="AS16" s="111">
        <f t="shared" ca="1" si="2"/>
        <v>0</v>
      </c>
      <c r="AT16" s="72">
        <f t="shared" ca="1" si="2"/>
        <v>0</v>
      </c>
      <c r="AU16" s="72">
        <f t="shared" ca="1" si="2"/>
        <v>0.4</v>
      </c>
      <c r="AV16" s="72">
        <f t="shared" ca="1" si="2"/>
        <v>0</v>
      </c>
      <c r="AW16" s="72">
        <f t="shared" ca="1" si="2"/>
        <v>0</v>
      </c>
      <c r="AX16" s="72">
        <f t="shared" ca="1" si="2"/>
        <v>0</v>
      </c>
      <c r="AY16" s="72">
        <f t="shared" ca="1" si="3"/>
        <v>0</v>
      </c>
      <c r="AZ16" s="72">
        <f t="shared" ca="1" si="3"/>
        <v>0</v>
      </c>
      <c r="BA16" s="72">
        <f t="shared" ca="1" si="3"/>
        <v>0</v>
      </c>
      <c r="BB16" s="72">
        <f t="shared" ca="1" si="3"/>
        <v>0</v>
      </c>
      <c r="BC16" s="72">
        <f t="shared" ca="1" si="3"/>
        <v>0</v>
      </c>
      <c r="BD16" s="72">
        <f t="shared" ca="1" si="3"/>
        <v>0</v>
      </c>
      <c r="BE16" s="72">
        <f t="shared" ca="1" si="3"/>
        <v>0</v>
      </c>
      <c r="BF16" s="72">
        <f t="shared" ca="1" si="3"/>
        <v>0</v>
      </c>
      <c r="BG16" s="72">
        <f t="shared" ca="1" si="3"/>
        <v>0</v>
      </c>
      <c r="BH16" s="72">
        <f t="shared" ca="1" si="3"/>
        <v>0</v>
      </c>
      <c r="BI16" s="72">
        <f t="shared" ca="1" si="3"/>
        <v>0</v>
      </c>
      <c r="BJ16" s="72">
        <f t="shared" ca="1" si="4"/>
        <v>0</v>
      </c>
      <c r="BK16" s="72">
        <f t="shared" ca="1" si="24"/>
        <v>99</v>
      </c>
      <c r="BL16" s="72" t="str">
        <f t="shared" ca="1" si="25"/>
        <v/>
      </c>
      <c r="BM16" s="280">
        <f t="shared" ca="1" si="26"/>
        <v>0</v>
      </c>
      <c r="BN16" s="280">
        <f t="shared" ca="1" si="27"/>
        <v>0</v>
      </c>
      <c r="BO16" s="281" t="str">
        <f t="shared" ca="1" si="28"/>
        <v/>
      </c>
      <c r="BP16" s="276"/>
      <c r="BQ16" s="273">
        <f t="shared" ca="1" si="5"/>
        <v>0</v>
      </c>
      <c r="BR16" s="273">
        <f t="shared" ca="1" si="6"/>
        <v>0</v>
      </c>
      <c r="BS16" s="273">
        <f t="shared" ca="1" si="7"/>
        <v>1</v>
      </c>
      <c r="BT16" s="274">
        <f t="shared" ca="1" si="8"/>
        <v>1.1547000000000001</v>
      </c>
      <c r="BU16" s="275">
        <f t="shared" ca="1" si="29"/>
        <v>0</v>
      </c>
      <c r="BV16" s="273">
        <f t="shared" ca="1" si="9"/>
        <v>0</v>
      </c>
      <c r="BW16" s="273">
        <f t="shared" ca="1" si="10"/>
        <v>0</v>
      </c>
      <c r="BX16" s="273">
        <f t="shared" ca="1" si="11"/>
        <v>1</v>
      </c>
      <c r="BY16" s="274">
        <f t="shared" ca="1" si="12"/>
        <v>1.1547000000000001</v>
      </c>
      <c r="BZ16" s="275">
        <f t="shared" ca="1" si="30"/>
        <v>0</v>
      </c>
      <c r="CA16" s="273" t="e">
        <f t="shared" ca="1" si="13"/>
        <v>#DIV/0!</v>
      </c>
      <c r="CB16" s="273" t="e">
        <f t="shared" ca="1" si="14"/>
        <v>#DIV/0!</v>
      </c>
      <c r="CC16" s="273" t="e">
        <f t="shared" ca="1" si="15"/>
        <v>#DIV/0!</v>
      </c>
      <c r="CD16" s="274" t="e">
        <f t="shared" ca="1" si="16"/>
        <v>#DIV/0!</v>
      </c>
      <c r="CE16" s="275">
        <f t="shared" ca="1" si="31"/>
        <v>-1</v>
      </c>
      <c r="CF16" s="273" t="e">
        <f t="shared" ca="1" si="17"/>
        <v>#DIV/0!</v>
      </c>
      <c r="CG16" s="273" t="e">
        <f t="shared" ca="1" si="18"/>
        <v>#DIV/0!</v>
      </c>
      <c r="CH16" s="273" t="e">
        <f t="shared" ca="1" si="19"/>
        <v>#DIV/0!</v>
      </c>
      <c r="CI16" s="274" t="e">
        <f t="shared" ca="1" si="20"/>
        <v>#DIV/0!</v>
      </c>
      <c r="CJ16" s="275">
        <f t="shared" ca="1" si="32"/>
        <v>-1</v>
      </c>
      <c r="CK16" s="319">
        <f t="shared" ca="1" si="33"/>
        <v>0</v>
      </c>
      <c r="CL16" s="319">
        <f t="shared" ca="1" si="34"/>
        <v>0</v>
      </c>
      <c r="CM16" s="319">
        <f t="shared" ca="1" si="35"/>
        <v>0</v>
      </c>
      <c r="CN16" s="306" t="e">
        <f t="shared" ca="1" si="36"/>
        <v>#DIV/0!</v>
      </c>
      <c r="CO16" s="273" t="e">
        <f t="shared" ca="1" si="37"/>
        <v>#DIV/0!</v>
      </c>
      <c r="CP16" s="273" t="e">
        <f t="shared" ca="1" si="38"/>
        <v>#DIV/0!</v>
      </c>
      <c r="CQ16" s="274" t="e">
        <f t="shared" ca="1" si="21"/>
        <v>#DIV/0!</v>
      </c>
      <c r="CR16" s="275">
        <f t="shared" ca="1" si="39"/>
        <v>-1</v>
      </c>
      <c r="CS16" s="273" t="e">
        <f t="shared" ca="1" si="40"/>
        <v>#DIV/0!</v>
      </c>
      <c r="CT16" s="273" t="e">
        <f t="shared" ca="1" si="41"/>
        <v>#DIV/0!</v>
      </c>
      <c r="CU16" s="273" t="e">
        <f t="shared" ca="1" si="42"/>
        <v>#DIV/0!</v>
      </c>
      <c r="CV16" s="274" t="e">
        <f t="shared" ca="1" si="22"/>
        <v>#DIV/0!</v>
      </c>
      <c r="CW16" s="275">
        <f t="shared" ca="1" si="43"/>
        <v>-1</v>
      </c>
      <c r="CX16" s="276"/>
      <c r="CY16" s="277">
        <f t="shared" ca="1" si="44"/>
        <v>-99</v>
      </c>
      <c r="CZ16" s="278">
        <f t="shared" ca="1" si="45"/>
        <v>-99</v>
      </c>
      <c r="DA16" s="277">
        <f t="shared" ca="1" si="46"/>
        <v>-99</v>
      </c>
      <c r="DB16" s="277">
        <f t="shared" ca="1" si="47"/>
        <v>-99</v>
      </c>
      <c r="DC16" s="279" t="e">
        <f t="shared" ca="1" si="48"/>
        <v>#NUM!</v>
      </c>
      <c r="DD16" s="341">
        <f t="shared" ca="1" si="49"/>
        <v>-999</v>
      </c>
      <c r="DE16" s="279">
        <f t="shared" ca="1" si="23"/>
        <v>-999</v>
      </c>
      <c r="DF16" s="341">
        <f t="shared" ca="1" si="50"/>
        <v>188.40600000000001</v>
      </c>
      <c r="DG16" s="335" t="e">
        <f t="shared" ca="1" si="51"/>
        <v>#DIV/0!</v>
      </c>
      <c r="DH16" s="329" t="e">
        <f t="shared" ca="1" si="52"/>
        <v>#DIV/0!</v>
      </c>
      <c r="DI16" s="329" t="e">
        <f t="shared" ca="1" si="53"/>
        <v>#DIV/0!</v>
      </c>
      <c r="DJ16" s="330">
        <f t="shared" ca="1" si="54"/>
        <v>-1</v>
      </c>
      <c r="DK16" s="331">
        <f t="shared" ca="1" si="55"/>
        <v>-1</v>
      </c>
      <c r="DL16" s="335" t="e">
        <f t="shared" ca="1" si="56"/>
        <v>#DIV/0!</v>
      </c>
      <c r="DM16" s="329" t="e">
        <f t="shared" ca="1" si="57"/>
        <v>#DIV/0!</v>
      </c>
      <c r="DN16" s="329" t="e">
        <f t="shared" ca="1" si="58"/>
        <v>#DIV/0!</v>
      </c>
      <c r="DO16" s="330">
        <f ca="1">IF(ISERROR(DL16),-1,Tgrid!$A$46+0.5774*DN16+1.1547*DL16)</f>
        <v>-1</v>
      </c>
      <c r="DP16" s="331">
        <f t="shared" ca="1" si="59"/>
        <v>-1</v>
      </c>
      <c r="DQ16" s="336" t="e">
        <f t="shared" ca="1" si="60"/>
        <v>#DIV/0!</v>
      </c>
      <c r="DR16" s="337" t="e">
        <f t="shared" ca="1" si="61"/>
        <v>#DIV/0!</v>
      </c>
      <c r="DS16" s="330">
        <f ca="1">IF(ISERROR(DQ16),-1,0.5*Tgrid!$B$42+0.5774*(2+DQ16-DR16))</f>
        <v>-1</v>
      </c>
      <c r="DT16" s="331">
        <f ca="1">IF(ISERROR(DQ16),-1,2+Tgrid!$B$54-DQ16-DR16)</f>
        <v>-1</v>
      </c>
    </row>
    <row r="17" spans="1:124" s="53" customFormat="1" ht="12.75" customHeight="1" x14ac:dyDescent="0.25">
      <c r="A17" s="365" t="s">
        <v>252</v>
      </c>
      <c r="B17" s="89"/>
      <c r="C17" s="114"/>
      <c r="D17" s="21"/>
      <c r="E17" s="89"/>
      <c r="F17" s="218"/>
      <c r="G17" s="117"/>
      <c r="H17" s="366">
        <v>61</v>
      </c>
      <c r="I17" s="323"/>
      <c r="J17" s="367"/>
      <c r="K17" s="367"/>
      <c r="L17" s="367"/>
      <c r="M17" s="367"/>
      <c r="N17" s="367"/>
      <c r="O17" s="367"/>
      <c r="P17" s="367"/>
      <c r="Q17" s="367">
        <v>7.1</v>
      </c>
      <c r="R17" s="367"/>
      <c r="S17" s="367"/>
      <c r="T17" s="367"/>
      <c r="U17" s="367"/>
      <c r="V17" s="367"/>
      <c r="W17" s="367"/>
      <c r="X17" s="367"/>
      <c r="Y17" s="367"/>
      <c r="Z17" s="367"/>
      <c r="AA17" s="367"/>
      <c r="AB17" s="367"/>
      <c r="AC17" s="367"/>
      <c r="AD17" s="367"/>
      <c r="AE17" s="367"/>
      <c r="AF17" s="367"/>
      <c r="AG17" s="367"/>
      <c r="AH17" s="318">
        <f t="shared" ca="1" si="0"/>
        <v>0</v>
      </c>
      <c r="AI17" s="72">
        <f t="shared" ca="1" si="1"/>
        <v>0</v>
      </c>
      <c r="AJ17" s="72">
        <f t="shared" ca="1" si="1"/>
        <v>0</v>
      </c>
      <c r="AK17" s="72">
        <f t="shared" ca="1" si="1"/>
        <v>0</v>
      </c>
      <c r="AL17" s="72">
        <f t="shared" ca="1" si="1"/>
        <v>61</v>
      </c>
      <c r="AM17" s="72">
        <f t="shared" ca="1" si="1"/>
        <v>0</v>
      </c>
      <c r="AN17" s="72">
        <f t="shared" ca="1" si="1"/>
        <v>0</v>
      </c>
      <c r="AO17" s="72">
        <f t="shared" ca="1" si="2"/>
        <v>0</v>
      </c>
      <c r="AP17" s="72">
        <f t="shared" ca="1" si="2"/>
        <v>0</v>
      </c>
      <c r="AQ17" s="72">
        <f t="shared" ca="1" si="2"/>
        <v>0</v>
      </c>
      <c r="AR17" s="72">
        <f t="shared" ca="1" si="2"/>
        <v>0</v>
      </c>
      <c r="AS17" s="111">
        <f t="shared" ca="1" si="2"/>
        <v>0</v>
      </c>
      <c r="AT17" s="72">
        <f t="shared" ca="1" si="2"/>
        <v>0</v>
      </c>
      <c r="AU17" s="72">
        <f t="shared" ca="1" si="2"/>
        <v>7.1</v>
      </c>
      <c r="AV17" s="72">
        <f t="shared" ca="1" si="2"/>
        <v>0</v>
      </c>
      <c r="AW17" s="72">
        <f t="shared" ca="1" si="2"/>
        <v>0</v>
      </c>
      <c r="AX17" s="72">
        <f t="shared" ca="1" si="2"/>
        <v>0</v>
      </c>
      <c r="AY17" s="72">
        <f t="shared" ca="1" si="3"/>
        <v>0</v>
      </c>
      <c r="AZ17" s="72">
        <f t="shared" ca="1" si="3"/>
        <v>0</v>
      </c>
      <c r="BA17" s="72">
        <f t="shared" ca="1" si="3"/>
        <v>0</v>
      </c>
      <c r="BB17" s="72">
        <f t="shared" ca="1" si="3"/>
        <v>0</v>
      </c>
      <c r="BC17" s="72">
        <f t="shared" ca="1" si="3"/>
        <v>0</v>
      </c>
      <c r="BD17" s="72">
        <f t="shared" ca="1" si="3"/>
        <v>0</v>
      </c>
      <c r="BE17" s="72">
        <f t="shared" ca="1" si="3"/>
        <v>0</v>
      </c>
      <c r="BF17" s="72">
        <f t="shared" ca="1" si="3"/>
        <v>0</v>
      </c>
      <c r="BG17" s="72">
        <f t="shared" ca="1" si="3"/>
        <v>0</v>
      </c>
      <c r="BH17" s="72">
        <f t="shared" ca="1" si="3"/>
        <v>0</v>
      </c>
      <c r="BI17" s="72">
        <f t="shared" ca="1" si="3"/>
        <v>0</v>
      </c>
      <c r="BJ17" s="72">
        <f t="shared" ca="1" si="4"/>
        <v>0</v>
      </c>
      <c r="BK17" s="72">
        <f t="shared" ca="1" si="24"/>
        <v>99</v>
      </c>
      <c r="BL17" s="72" t="str">
        <f t="shared" ca="1" si="25"/>
        <v/>
      </c>
      <c r="BM17" s="280">
        <f t="shared" ca="1" si="26"/>
        <v>0</v>
      </c>
      <c r="BN17" s="280">
        <f t="shared" ca="1" si="27"/>
        <v>0</v>
      </c>
      <c r="BO17" s="281" t="str">
        <f t="shared" ca="1" si="28"/>
        <v/>
      </c>
      <c r="BP17" s="276"/>
      <c r="BQ17" s="273">
        <f t="shared" ca="1" si="5"/>
        <v>0</v>
      </c>
      <c r="BR17" s="273">
        <f t="shared" ca="1" si="6"/>
        <v>0</v>
      </c>
      <c r="BS17" s="273">
        <f t="shared" ca="1" si="7"/>
        <v>1</v>
      </c>
      <c r="BT17" s="274">
        <f t="shared" ca="1" si="8"/>
        <v>1.1547000000000001</v>
      </c>
      <c r="BU17" s="275">
        <f t="shared" ca="1" si="29"/>
        <v>0</v>
      </c>
      <c r="BV17" s="273">
        <f t="shared" ca="1" si="9"/>
        <v>0</v>
      </c>
      <c r="BW17" s="273">
        <f t="shared" ca="1" si="10"/>
        <v>0</v>
      </c>
      <c r="BX17" s="273">
        <f t="shared" ca="1" si="11"/>
        <v>1</v>
      </c>
      <c r="BY17" s="274">
        <f t="shared" ca="1" si="12"/>
        <v>1.1547000000000001</v>
      </c>
      <c r="BZ17" s="275">
        <f t="shared" ca="1" si="30"/>
        <v>0</v>
      </c>
      <c r="CA17" s="273" t="e">
        <f t="shared" ca="1" si="13"/>
        <v>#DIV/0!</v>
      </c>
      <c r="CB17" s="273" t="e">
        <f t="shared" ca="1" si="14"/>
        <v>#DIV/0!</v>
      </c>
      <c r="CC17" s="273" t="e">
        <f t="shared" ca="1" si="15"/>
        <v>#DIV/0!</v>
      </c>
      <c r="CD17" s="274" t="e">
        <f t="shared" ca="1" si="16"/>
        <v>#DIV/0!</v>
      </c>
      <c r="CE17" s="275">
        <f t="shared" ca="1" si="31"/>
        <v>-1</v>
      </c>
      <c r="CF17" s="273" t="e">
        <f t="shared" ca="1" si="17"/>
        <v>#DIV/0!</v>
      </c>
      <c r="CG17" s="273" t="e">
        <f t="shared" ca="1" si="18"/>
        <v>#DIV/0!</v>
      </c>
      <c r="CH17" s="273" t="e">
        <f t="shared" ca="1" si="19"/>
        <v>#DIV/0!</v>
      </c>
      <c r="CI17" s="274" t="e">
        <f t="shared" ca="1" si="20"/>
        <v>#DIV/0!</v>
      </c>
      <c r="CJ17" s="275">
        <f t="shared" ca="1" si="32"/>
        <v>-1</v>
      </c>
      <c r="CK17" s="319">
        <f t="shared" ca="1" si="33"/>
        <v>0</v>
      </c>
      <c r="CL17" s="319">
        <f t="shared" ca="1" si="34"/>
        <v>0</v>
      </c>
      <c r="CM17" s="319">
        <f t="shared" ca="1" si="35"/>
        <v>0</v>
      </c>
      <c r="CN17" s="306" t="e">
        <f t="shared" ca="1" si="36"/>
        <v>#DIV/0!</v>
      </c>
      <c r="CO17" s="273" t="e">
        <f t="shared" ca="1" si="37"/>
        <v>#DIV/0!</v>
      </c>
      <c r="CP17" s="273" t="e">
        <f t="shared" ca="1" si="38"/>
        <v>#DIV/0!</v>
      </c>
      <c r="CQ17" s="274" t="e">
        <f t="shared" ca="1" si="21"/>
        <v>#DIV/0!</v>
      </c>
      <c r="CR17" s="275">
        <f t="shared" ca="1" si="39"/>
        <v>-1</v>
      </c>
      <c r="CS17" s="273" t="e">
        <f t="shared" ca="1" si="40"/>
        <v>#DIV/0!</v>
      </c>
      <c r="CT17" s="273" t="e">
        <f t="shared" ca="1" si="41"/>
        <v>#DIV/0!</v>
      </c>
      <c r="CU17" s="273" t="e">
        <f t="shared" ca="1" si="42"/>
        <v>#DIV/0!</v>
      </c>
      <c r="CV17" s="274" t="e">
        <f t="shared" ca="1" si="22"/>
        <v>#DIV/0!</v>
      </c>
      <c r="CW17" s="275">
        <f t="shared" ca="1" si="43"/>
        <v>-1</v>
      </c>
      <c r="CX17" s="276"/>
      <c r="CY17" s="277">
        <f t="shared" ca="1" si="44"/>
        <v>-99</v>
      </c>
      <c r="CZ17" s="278">
        <f t="shared" ca="1" si="45"/>
        <v>-99</v>
      </c>
      <c r="DA17" s="277">
        <f t="shared" ca="1" si="46"/>
        <v>-99</v>
      </c>
      <c r="DB17" s="277">
        <f t="shared" ca="1" si="47"/>
        <v>-99</v>
      </c>
      <c r="DC17" s="279" t="e">
        <f t="shared" ca="1" si="48"/>
        <v>#NUM!</v>
      </c>
      <c r="DD17" s="341">
        <f t="shared" ca="1" si="49"/>
        <v>-999</v>
      </c>
      <c r="DE17" s="279">
        <f t="shared" ca="1" si="23"/>
        <v>-999</v>
      </c>
      <c r="DF17" s="341">
        <f t="shared" ca="1" si="50"/>
        <v>256.1554627130015</v>
      </c>
      <c r="DG17" s="335" t="e">
        <f t="shared" ca="1" si="51"/>
        <v>#DIV/0!</v>
      </c>
      <c r="DH17" s="329" t="e">
        <f t="shared" ca="1" si="52"/>
        <v>#DIV/0!</v>
      </c>
      <c r="DI17" s="329" t="e">
        <f t="shared" ca="1" si="53"/>
        <v>#DIV/0!</v>
      </c>
      <c r="DJ17" s="330">
        <f t="shared" ca="1" si="54"/>
        <v>-1</v>
      </c>
      <c r="DK17" s="331">
        <f t="shared" ca="1" si="55"/>
        <v>-1</v>
      </c>
      <c r="DL17" s="335" t="e">
        <f t="shared" ca="1" si="56"/>
        <v>#DIV/0!</v>
      </c>
      <c r="DM17" s="329" t="e">
        <f t="shared" ca="1" si="57"/>
        <v>#DIV/0!</v>
      </c>
      <c r="DN17" s="329" t="e">
        <f t="shared" ca="1" si="58"/>
        <v>#DIV/0!</v>
      </c>
      <c r="DO17" s="330">
        <f ca="1">IF(ISERROR(DL17),-1,Tgrid!$A$46+0.5774*DN17+1.1547*DL17)</f>
        <v>-1</v>
      </c>
      <c r="DP17" s="331">
        <f t="shared" ca="1" si="59"/>
        <v>-1</v>
      </c>
      <c r="DQ17" s="336" t="e">
        <f t="shared" ca="1" si="60"/>
        <v>#DIV/0!</v>
      </c>
      <c r="DR17" s="337" t="e">
        <f t="shared" ca="1" si="61"/>
        <v>#DIV/0!</v>
      </c>
      <c r="DS17" s="330">
        <f ca="1">IF(ISERROR(DQ17),-1,0.5*Tgrid!$B$42+0.5774*(2+DQ17-DR17))</f>
        <v>-1</v>
      </c>
      <c r="DT17" s="331">
        <f ca="1">IF(ISERROR(DQ17),-1,2+Tgrid!$B$54-DQ17-DR17)</f>
        <v>-1</v>
      </c>
    </row>
    <row r="18" spans="1:124" s="53" customFormat="1" ht="13.5" customHeight="1" x14ac:dyDescent="0.25">
      <c r="A18" s="365" t="s">
        <v>253</v>
      </c>
      <c r="B18" s="89"/>
      <c r="C18" s="114"/>
      <c r="D18" s="21"/>
      <c r="E18" s="89"/>
      <c r="F18" s="21"/>
      <c r="G18" s="21"/>
      <c r="H18" s="366">
        <v>28</v>
      </c>
      <c r="I18" s="323"/>
      <c r="J18" s="367"/>
      <c r="K18" s="367"/>
      <c r="L18" s="367"/>
      <c r="M18" s="367"/>
      <c r="N18" s="367"/>
      <c r="O18" s="367"/>
      <c r="P18" s="367"/>
      <c r="Q18" s="367">
        <v>1.4</v>
      </c>
      <c r="R18" s="367"/>
      <c r="S18" s="367"/>
      <c r="T18" s="367"/>
      <c r="U18" s="367"/>
      <c r="V18" s="367"/>
      <c r="W18" s="367"/>
      <c r="X18" s="367"/>
      <c r="Y18" s="367"/>
      <c r="Z18" s="367"/>
      <c r="AA18" s="367"/>
      <c r="AB18" s="367"/>
      <c r="AC18" s="367"/>
      <c r="AD18" s="367"/>
      <c r="AE18" s="367"/>
      <c r="AF18" s="367"/>
      <c r="AG18" s="367"/>
      <c r="AH18" s="318">
        <f t="shared" ca="1" si="0"/>
        <v>0</v>
      </c>
      <c r="AI18" s="72">
        <f t="shared" ref="AI18:AN27" ca="1" si="62">INDIRECT(AI$5&amp;(CELL("row", AI18)))</f>
        <v>0</v>
      </c>
      <c r="AJ18" s="72">
        <f t="shared" ca="1" si="62"/>
        <v>0</v>
      </c>
      <c r="AK18" s="72">
        <f t="shared" ca="1" si="62"/>
        <v>0</v>
      </c>
      <c r="AL18" s="72">
        <f t="shared" ca="1" si="62"/>
        <v>28</v>
      </c>
      <c r="AM18" s="72">
        <f t="shared" ca="1" si="62"/>
        <v>0</v>
      </c>
      <c r="AN18" s="72">
        <f t="shared" ca="1" si="62"/>
        <v>0</v>
      </c>
      <c r="AO18" s="72">
        <f t="shared" ref="AO18:AX27" ca="1" si="63">ABS(INDIRECT(AO$5&amp;(CELL("row", AO18))))</f>
        <v>0</v>
      </c>
      <c r="AP18" s="72">
        <f t="shared" ca="1" si="63"/>
        <v>0</v>
      </c>
      <c r="AQ18" s="72">
        <f t="shared" ca="1" si="63"/>
        <v>0</v>
      </c>
      <c r="AR18" s="72">
        <f t="shared" ca="1" si="63"/>
        <v>0</v>
      </c>
      <c r="AS18" s="111">
        <f t="shared" ca="1" si="63"/>
        <v>0</v>
      </c>
      <c r="AT18" s="72">
        <f t="shared" ca="1" si="63"/>
        <v>0</v>
      </c>
      <c r="AU18" s="72">
        <f t="shared" ca="1" si="63"/>
        <v>1.4</v>
      </c>
      <c r="AV18" s="72">
        <f t="shared" ca="1" si="63"/>
        <v>0</v>
      </c>
      <c r="AW18" s="72">
        <f t="shared" ca="1" si="63"/>
        <v>0</v>
      </c>
      <c r="AX18" s="72">
        <f t="shared" ca="1" si="63"/>
        <v>0</v>
      </c>
      <c r="AY18" s="72">
        <f t="shared" ref="AY18:BI27" ca="1" si="64">ABS(INDIRECT(AY$5&amp;(CELL("row", AY18))))</f>
        <v>0</v>
      </c>
      <c r="AZ18" s="72">
        <f t="shared" ca="1" si="64"/>
        <v>0</v>
      </c>
      <c r="BA18" s="72">
        <f t="shared" ca="1" si="64"/>
        <v>0</v>
      </c>
      <c r="BB18" s="72">
        <f t="shared" ca="1" si="64"/>
        <v>0</v>
      </c>
      <c r="BC18" s="72">
        <f t="shared" ca="1" si="64"/>
        <v>0</v>
      </c>
      <c r="BD18" s="72">
        <f t="shared" ca="1" si="64"/>
        <v>0</v>
      </c>
      <c r="BE18" s="72">
        <f t="shared" ca="1" si="64"/>
        <v>0</v>
      </c>
      <c r="BF18" s="72">
        <f t="shared" ca="1" si="64"/>
        <v>0</v>
      </c>
      <c r="BG18" s="72">
        <f t="shared" ca="1" si="64"/>
        <v>0</v>
      </c>
      <c r="BH18" s="72">
        <f t="shared" ca="1" si="64"/>
        <v>0</v>
      </c>
      <c r="BI18" s="72">
        <f t="shared" ca="1" si="64"/>
        <v>0</v>
      </c>
      <c r="BJ18" s="72">
        <f t="shared" ca="1" si="4"/>
        <v>0</v>
      </c>
      <c r="BK18" s="72">
        <f t="shared" ca="1" si="24"/>
        <v>99</v>
      </c>
      <c r="BL18" s="72" t="str">
        <f t="shared" ca="1" si="25"/>
        <v/>
      </c>
      <c r="BM18" s="280">
        <f t="shared" ca="1" si="26"/>
        <v>0</v>
      </c>
      <c r="BN18" s="280">
        <f t="shared" ca="1" si="27"/>
        <v>0</v>
      </c>
      <c r="BO18" s="281" t="str">
        <f t="shared" ca="1" si="28"/>
        <v/>
      </c>
      <c r="BP18" s="276"/>
      <c r="BQ18" s="273">
        <f t="shared" ca="1" si="5"/>
        <v>0</v>
      </c>
      <c r="BR18" s="273">
        <f t="shared" ca="1" si="6"/>
        <v>0</v>
      </c>
      <c r="BS18" s="273">
        <f t="shared" ca="1" si="7"/>
        <v>1</v>
      </c>
      <c r="BT18" s="274">
        <f t="shared" ca="1" si="8"/>
        <v>1.1547000000000001</v>
      </c>
      <c r="BU18" s="275">
        <f t="shared" ca="1" si="29"/>
        <v>0</v>
      </c>
      <c r="BV18" s="273">
        <f t="shared" ca="1" si="9"/>
        <v>0</v>
      </c>
      <c r="BW18" s="273">
        <f t="shared" ca="1" si="10"/>
        <v>0</v>
      </c>
      <c r="BX18" s="273">
        <f t="shared" ca="1" si="11"/>
        <v>1</v>
      </c>
      <c r="BY18" s="274">
        <f t="shared" ca="1" si="12"/>
        <v>1.1547000000000001</v>
      </c>
      <c r="BZ18" s="275">
        <f t="shared" ca="1" si="30"/>
        <v>0</v>
      </c>
      <c r="CA18" s="273" t="e">
        <f t="shared" ca="1" si="13"/>
        <v>#DIV/0!</v>
      </c>
      <c r="CB18" s="273" t="e">
        <f t="shared" ca="1" si="14"/>
        <v>#DIV/0!</v>
      </c>
      <c r="CC18" s="273" t="e">
        <f t="shared" ca="1" si="15"/>
        <v>#DIV/0!</v>
      </c>
      <c r="CD18" s="274" t="e">
        <f t="shared" ca="1" si="16"/>
        <v>#DIV/0!</v>
      </c>
      <c r="CE18" s="275">
        <f t="shared" ca="1" si="31"/>
        <v>-1</v>
      </c>
      <c r="CF18" s="273" t="e">
        <f t="shared" ca="1" si="17"/>
        <v>#DIV/0!</v>
      </c>
      <c r="CG18" s="273" t="e">
        <f t="shared" ca="1" si="18"/>
        <v>#DIV/0!</v>
      </c>
      <c r="CH18" s="273" t="e">
        <f t="shared" ca="1" si="19"/>
        <v>#DIV/0!</v>
      </c>
      <c r="CI18" s="274" t="e">
        <f t="shared" ca="1" si="20"/>
        <v>#DIV/0!</v>
      </c>
      <c r="CJ18" s="275">
        <f t="shared" ca="1" si="32"/>
        <v>-1</v>
      </c>
      <c r="CK18" s="319">
        <f t="shared" ca="1" si="33"/>
        <v>0</v>
      </c>
      <c r="CL18" s="319">
        <f t="shared" ca="1" si="34"/>
        <v>0</v>
      </c>
      <c r="CM18" s="319">
        <f t="shared" ca="1" si="35"/>
        <v>0</v>
      </c>
      <c r="CN18" s="306" t="e">
        <f t="shared" ca="1" si="36"/>
        <v>#DIV/0!</v>
      </c>
      <c r="CO18" s="273" t="e">
        <f t="shared" ca="1" si="37"/>
        <v>#DIV/0!</v>
      </c>
      <c r="CP18" s="273" t="e">
        <f t="shared" ca="1" si="38"/>
        <v>#DIV/0!</v>
      </c>
      <c r="CQ18" s="274" t="e">
        <f t="shared" ca="1" si="21"/>
        <v>#DIV/0!</v>
      </c>
      <c r="CR18" s="275">
        <f t="shared" ca="1" si="39"/>
        <v>-1</v>
      </c>
      <c r="CS18" s="273" t="e">
        <f t="shared" ca="1" si="40"/>
        <v>#DIV/0!</v>
      </c>
      <c r="CT18" s="273" t="e">
        <f t="shared" ca="1" si="41"/>
        <v>#DIV/0!</v>
      </c>
      <c r="CU18" s="273" t="e">
        <f t="shared" ca="1" si="42"/>
        <v>#DIV/0!</v>
      </c>
      <c r="CV18" s="274" t="e">
        <f t="shared" ca="1" si="22"/>
        <v>#DIV/0!</v>
      </c>
      <c r="CW18" s="275">
        <f t="shared" ca="1" si="43"/>
        <v>-1</v>
      </c>
      <c r="CX18" s="276"/>
      <c r="CY18" s="277">
        <f t="shared" ca="1" si="44"/>
        <v>-99</v>
      </c>
      <c r="CZ18" s="278">
        <f t="shared" ca="1" si="45"/>
        <v>-99</v>
      </c>
      <c r="DA18" s="277">
        <f t="shared" ca="1" si="46"/>
        <v>-99</v>
      </c>
      <c r="DB18" s="277">
        <f t="shared" ca="1" si="47"/>
        <v>-99</v>
      </c>
      <c r="DC18" s="279" t="e">
        <f t="shared" ca="1" si="48"/>
        <v>#NUM!</v>
      </c>
      <c r="DD18" s="341">
        <f t="shared" ca="1" si="49"/>
        <v>-999</v>
      </c>
      <c r="DE18" s="279">
        <f t="shared" ca="1" si="23"/>
        <v>-999</v>
      </c>
      <c r="DF18" s="341">
        <f t="shared" ca="1" si="50"/>
        <v>117.2304</v>
      </c>
      <c r="DG18" s="335" t="e">
        <f t="shared" ca="1" si="51"/>
        <v>#DIV/0!</v>
      </c>
      <c r="DH18" s="329" t="e">
        <f t="shared" ca="1" si="52"/>
        <v>#DIV/0!</v>
      </c>
      <c r="DI18" s="329" t="e">
        <f t="shared" ca="1" si="53"/>
        <v>#DIV/0!</v>
      </c>
      <c r="DJ18" s="330">
        <f t="shared" ca="1" si="54"/>
        <v>-1</v>
      </c>
      <c r="DK18" s="331">
        <f t="shared" ca="1" si="55"/>
        <v>-1</v>
      </c>
      <c r="DL18" s="335" t="e">
        <f t="shared" ca="1" si="56"/>
        <v>#DIV/0!</v>
      </c>
      <c r="DM18" s="329" t="e">
        <f t="shared" ca="1" si="57"/>
        <v>#DIV/0!</v>
      </c>
      <c r="DN18" s="329" t="e">
        <f t="shared" ca="1" si="58"/>
        <v>#DIV/0!</v>
      </c>
      <c r="DO18" s="330">
        <f ca="1">IF(ISERROR(DL18),-1,Tgrid!$A$46+0.5774*DN18+1.1547*DL18)</f>
        <v>-1</v>
      </c>
      <c r="DP18" s="331">
        <f t="shared" ca="1" si="59"/>
        <v>-1</v>
      </c>
      <c r="DQ18" s="336" t="e">
        <f t="shared" ca="1" si="60"/>
        <v>#DIV/0!</v>
      </c>
      <c r="DR18" s="337" t="e">
        <f t="shared" ca="1" si="61"/>
        <v>#DIV/0!</v>
      </c>
      <c r="DS18" s="330">
        <f ca="1">IF(ISERROR(DQ18),-1,0.5*Tgrid!$B$42+0.5774*(2+DQ18-DR18))</f>
        <v>-1</v>
      </c>
      <c r="DT18" s="331">
        <f ca="1">IF(ISERROR(DQ18),-1,2+Tgrid!$B$54-DQ18-DR18)</f>
        <v>-1</v>
      </c>
    </row>
    <row r="19" spans="1:124" s="53" customFormat="1" ht="13.5" customHeight="1" x14ac:dyDescent="0.25">
      <c r="A19" s="365" t="s">
        <v>254</v>
      </c>
      <c r="B19" s="89"/>
      <c r="C19" s="114"/>
      <c r="D19" s="21"/>
      <c r="E19" s="89"/>
      <c r="F19" s="218"/>
      <c r="G19" s="117"/>
      <c r="H19" s="366">
        <v>41</v>
      </c>
      <c r="I19" s="323"/>
      <c r="J19" s="367"/>
      <c r="K19" s="367"/>
      <c r="L19" s="367"/>
      <c r="M19" s="367"/>
      <c r="N19" s="367"/>
      <c r="O19" s="367"/>
      <c r="P19" s="367"/>
      <c r="Q19" s="367">
        <v>17</v>
      </c>
      <c r="R19" s="367"/>
      <c r="S19" s="367"/>
      <c r="T19" s="367"/>
      <c r="U19" s="367"/>
      <c r="V19" s="367"/>
      <c r="W19" s="367"/>
      <c r="X19" s="367"/>
      <c r="Y19" s="367"/>
      <c r="Z19" s="367"/>
      <c r="AA19" s="367"/>
      <c r="AB19" s="367"/>
      <c r="AC19" s="367"/>
      <c r="AD19" s="367"/>
      <c r="AE19" s="367"/>
      <c r="AF19" s="367"/>
      <c r="AG19" s="367"/>
      <c r="AH19" s="318">
        <f t="shared" ca="1" si="0"/>
        <v>0</v>
      </c>
      <c r="AI19" s="72">
        <f t="shared" ca="1" si="62"/>
        <v>0</v>
      </c>
      <c r="AJ19" s="72">
        <f t="shared" ca="1" si="62"/>
        <v>0</v>
      </c>
      <c r="AK19" s="72">
        <f t="shared" ca="1" si="62"/>
        <v>0</v>
      </c>
      <c r="AL19" s="72">
        <f t="shared" ca="1" si="62"/>
        <v>41</v>
      </c>
      <c r="AM19" s="72">
        <f t="shared" ca="1" si="62"/>
        <v>0</v>
      </c>
      <c r="AN19" s="72">
        <f t="shared" ca="1" si="62"/>
        <v>0</v>
      </c>
      <c r="AO19" s="72">
        <f t="shared" ca="1" si="63"/>
        <v>0</v>
      </c>
      <c r="AP19" s="72">
        <f t="shared" ca="1" si="63"/>
        <v>0</v>
      </c>
      <c r="AQ19" s="72">
        <f t="shared" ca="1" si="63"/>
        <v>0</v>
      </c>
      <c r="AR19" s="72">
        <f t="shared" ca="1" si="63"/>
        <v>0</v>
      </c>
      <c r="AS19" s="111">
        <f t="shared" ca="1" si="63"/>
        <v>0</v>
      </c>
      <c r="AT19" s="72">
        <f t="shared" ca="1" si="63"/>
        <v>0</v>
      </c>
      <c r="AU19" s="72">
        <f t="shared" ca="1" si="63"/>
        <v>17</v>
      </c>
      <c r="AV19" s="72">
        <f t="shared" ca="1" si="63"/>
        <v>0</v>
      </c>
      <c r="AW19" s="72">
        <f t="shared" ca="1" si="63"/>
        <v>0</v>
      </c>
      <c r="AX19" s="72">
        <f t="shared" ca="1" si="63"/>
        <v>0</v>
      </c>
      <c r="AY19" s="72">
        <f t="shared" ca="1" si="64"/>
        <v>0</v>
      </c>
      <c r="AZ19" s="72">
        <f t="shared" ca="1" si="64"/>
        <v>0</v>
      </c>
      <c r="BA19" s="72">
        <f t="shared" ca="1" si="64"/>
        <v>0</v>
      </c>
      <c r="BB19" s="72">
        <f t="shared" ca="1" si="64"/>
        <v>0</v>
      </c>
      <c r="BC19" s="72">
        <f t="shared" ca="1" si="64"/>
        <v>0</v>
      </c>
      <c r="BD19" s="72">
        <f t="shared" ca="1" si="64"/>
        <v>0</v>
      </c>
      <c r="BE19" s="72">
        <f t="shared" ca="1" si="64"/>
        <v>0</v>
      </c>
      <c r="BF19" s="72">
        <f t="shared" ca="1" si="64"/>
        <v>0</v>
      </c>
      <c r="BG19" s="72">
        <f t="shared" ca="1" si="64"/>
        <v>0</v>
      </c>
      <c r="BH19" s="72">
        <f t="shared" ca="1" si="64"/>
        <v>0</v>
      </c>
      <c r="BI19" s="72">
        <f t="shared" ca="1" si="64"/>
        <v>0</v>
      </c>
      <c r="BJ19" s="72">
        <f t="shared" ca="1" si="4"/>
        <v>0</v>
      </c>
      <c r="BK19" s="72">
        <f t="shared" ca="1" si="24"/>
        <v>99</v>
      </c>
      <c r="BL19" s="72" t="str">
        <f t="shared" ca="1" si="25"/>
        <v/>
      </c>
      <c r="BM19" s="280">
        <f t="shared" ca="1" si="26"/>
        <v>0</v>
      </c>
      <c r="BN19" s="280">
        <f t="shared" ca="1" si="27"/>
        <v>0</v>
      </c>
      <c r="BO19" s="281" t="str">
        <f t="shared" ca="1" si="28"/>
        <v/>
      </c>
      <c r="BP19" s="276"/>
      <c r="BQ19" s="273">
        <f t="shared" ca="1" si="5"/>
        <v>0</v>
      </c>
      <c r="BR19" s="273">
        <f t="shared" ca="1" si="6"/>
        <v>0</v>
      </c>
      <c r="BS19" s="273">
        <f t="shared" ca="1" si="7"/>
        <v>1</v>
      </c>
      <c r="BT19" s="274">
        <f t="shared" ca="1" si="8"/>
        <v>1.1547000000000001</v>
      </c>
      <c r="BU19" s="275">
        <f t="shared" ca="1" si="29"/>
        <v>0</v>
      </c>
      <c r="BV19" s="273">
        <f t="shared" ca="1" si="9"/>
        <v>0</v>
      </c>
      <c r="BW19" s="273">
        <f t="shared" ca="1" si="10"/>
        <v>0</v>
      </c>
      <c r="BX19" s="273">
        <f t="shared" ca="1" si="11"/>
        <v>1</v>
      </c>
      <c r="BY19" s="274">
        <f t="shared" ca="1" si="12"/>
        <v>1.1547000000000001</v>
      </c>
      <c r="BZ19" s="275">
        <f t="shared" ca="1" si="30"/>
        <v>0</v>
      </c>
      <c r="CA19" s="273" t="e">
        <f t="shared" ca="1" si="13"/>
        <v>#DIV/0!</v>
      </c>
      <c r="CB19" s="273" t="e">
        <f t="shared" ca="1" si="14"/>
        <v>#DIV/0!</v>
      </c>
      <c r="CC19" s="273" t="e">
        <f t="shared" ca="1" si="15"/>
        <v>#DIV/0!</v>
      </c>
      <c r="CD19" s="274" t="e">
        <f t="shared" ca="1" si="16"/>
        <v>#DIV/0!</v>
      </c>
      <c r="CE19" s="275">
        <f t="shared" ca="1" si="31"/>
        <v>-1</v>
      </c>
      <c r="CF19" s="273" t="e">
        <f t="shared" ca="1" si="17"/>
        <v>#DIV/0!</v>
      </c>
      <c r="CG19" s="273" t="e">
        <f t="shared" ca="1" si="18"/>
        <v>#DIV/0!</v>
      </c>
      <c r="CH19" s="273" t="e">
        <f t="shared" ca="1" si="19"/>
        <v>#DIV/0!</v>
      </c>
      <c r="CI19" s="274" t="e">
        <f t="shared" ca="1" si="20"/>
        <v>#DIV/0!</v>
      </c>
      <c r="CJ19" s="275">
        <f t="shared" ca="1" si="32"/>
        <v>-1</v>
      </c>
      <c r="CK19" s="319">
        <f t="shared" ca="1" si="33"/>
        <v>0</v>
      </c>
      <c r="CL19" s="319">
        <f t="shared" ca="1" si="34"/>
        <v>0</v>
      </c>
      <c r="CM19" s="319">
        <f t="shared" ca="1" si="35"/>
        <v>0</v>
      </c>
      <c r="CN19" s="306" t="e">
        <f t="shared" ca="1" si="36"/>
        <v>#DIV/0!</v>
      </c>
      <c r="CO19" s="273" t="e">
        <f t="shared" ca="1" si="37"/>
        <v>#DIV/0!</v>
      </c>
      <c r="CP19" s="273" t="e">
        <f t="shared" ca="1" si="38"/>
        <v>#DIV/0!</v>
      </c>
      <c r="CQ19" s="274" t="e">
        <f t="shared" ca="1" si="21"/>
        <v>#DIV/0!</v>
      </c>
      <c r="CR19" s="275">
        <f t="shared" ca="1" si="39"/>
        <v>-1</v>
      </c>
      <c r="CS19" s="273" t="e">
        <f t="shared" ca="1" si="40"/>
        <v>#DIV/0!</v>
      </c>
      <c r="CT19" s="273" t="e">
        <f t="shared" ca="1" si="41"/>
        <v>#DIV/0!</v>
      </c>
      <c r="CU19" s="273" t="e">
        <f t="shared" ca="1" si="42"/>
        <v>#DIV/0!</v>
      </c>
      <c r="CV19" s="274" t="e">
        <f t="shared" ca="1" si="22"/>
        <v>#DIV/0!</v>
      </c>
      <c r="CW19" s="275">
        <f t="shared" ca="1" si="43"/>
        <v>-1</v>
      </c>
      <c r="CX19" s="276"/>
      <c r="CY19" s="277">
        <f t="shared" ca="1" si="44"/>
        <v>-99</v>
      </c>
      <c r="CZ19" s="278">
        <f t="shared" ca="1" si="45"/>
        <v>-99</v>
      </c>
      <c r="DA19" s="277">
        <f t="shared" ca="1" si="46"/>
        <v>-99</v>
      </c>
      <c r="DB19" s="277">
        <f t="shared" ca="1" si="47"/>
        <v>-99</v>
      </c>
      <c r="DC19" s="279" t="e">
        <f t="shared" ca="1" si="48"/>
        <v>#NUM!</v>
      </c>
      <c r="DD19" s="341">
        <f t="shared" ca="1" si="49"/>
        <v>-999</v>
      </c>
      <c r="DE19" s="279">
        <f t="shared" ca="1" si="23"/>
        <v>-999</v>
      </c>
      <c r="DF19" s="341">
        <f t="shared" ca="1" si="50"/>
        <v>171.65879999999999</v>
      </c>
      <c r="DG19" s="335" t="e">
        <f t="shared" ca="1" si="51"/>
        <v>#DIV/0!</v>
      </c>
      <c r="DH19" s="329" t="e">
        <f t="shared" ca="1" si="52"/>
        <v>#DIV/0!</v>
      </c>
      <c r="DI19" s="329" t="e">
        <f t="shared" ca="1" si="53"/>
        <v>#DIV/0!</v>
      </c>
      <c r="DJ19" s="330">
        <f t="shared" ca="1" si="54"/>
        <v>-1</v>
      </c>
      <c r="DK19" s="331">
        <f t="shared" ca="1" si="55"/>
        <v>-1</v>
      </c>
      <c r="DL19" s="335" t="e">
        <f t="shared" ca="1" si="56"/>
        <v>#DIV/0!</v>
      </c>
      <c r="DM19" s="329" t="e">
        <f t="shared" ca="1" si="57"/>
        <v>#DIV/0!</v>
      </c>
      <c r="DN19" s="329" t="e">
        <f t="shared" ca="1" si="58"/>
        <v>#DIV/0!</v>
      </c>
      <c r="DO19" s="330">
        <f ca="1">IF(ISERROR(DL19),-1,Tgrid!$A$46+0.5774*DN19+1.1547*DL19)</f>
        <v>-1</v>
      </c>
      <c r="DP19" s="331">
        <f t="shared" ca="1" si="59"/>
        <v>-1</v>
      </c>
      <c r="DQ19" s="336" t="e">
        <f t="shared" ca="1" si="60"/>
        <v>#DIV/0!</v>
      </c>
      <c r="DR19" s="337" t="e">
        <f t="shared" ca="1" si="61"/>
        <v>#DIV/0!</v>
      </c>
      <c r="DS19" s="330">
        <f ca="1">IF(ISERROR(DQ19),-1,0.5*Tgrid!$B$42+0.5774*(2+DQ19-DR19))</f>
        <v>-1</v>
      </c>
      <c r="DT19" s="331">
        <f ca="1">IF(ISERROR(DQ19),-1,2+Tgrid!$B$54-DQ19-DR19)</f>
        <v>-1</v>
      </c>
    </row>
    <row r="20" spans="1:124" s="53" customFormat="1" ht="12.75" customHeight="1" x14ac:dyDescent="0.25">
      <c r="A20" s="365" t="s">
        <v>255</v>
      </c>
      <c r="B20" s="89"/>
      <c r="C20" s="114"/>
      <c r="D20" s="21"/>
      <c r="E20" s="89"/>
      <c r="F20" s="21"/>
      <c r="G20" s="21"/>
      <c r="H20" s="366">
        <v>34.6</v>
      </c>
      <c r="I20" s="323"/>
      <c r="J20" s="367"/>
      <c r="K20" s="367"/>
      <c r="L20" s="367"/>
      <c r="M20" s="367"/>
      <c r="N20" s="367"/>
      <c r="O20" s="367"/>
      <c r="P20" s="367"/>
      <c r="Q20" s="367">
        <v>1</v>
      </c>
      <c r="R20" s="367"/>
      <c r="S20" s="367"/>
      <c r="T20" s="367"/>
      <c r="U20" s="367"/>
      <c r="V20" s="367"/>
      <c r="W20" s="367"/>
      <c r="X20" s="367"/>
      <c r="Y20" s="367"/>
      <c r="Z20" s="367"/>
      <c r="AA20" s="367"/>
      <c r="AB20" s="367"/>
      <c r="AC20" s="367"/>
      <c r="AD20" s="367"/>
      <c r="AE20" s="367"/>
      <c r="AF20" s="367"/>
      <c r="AG20" s="367"/>
      <c r="AH20" s="318">
        <f t="shared" ca="1" si="0"/>
        <v>0</v>
      </c>
      <c r="AI20" s="72">
        <f t="shared" ca="1" si="62"/>
        <v>0</v>
      </c>
      <c r="AJ20" s="72">
        <f t="shared" ca="1" si="62"/>
        <v>0</v>
      </c>
      <c r="AK20" s="72">
        <f t="shared" ca="1" si="62"/>
        <v>0</v>
      </c>
      <c r="AL20" s="72">
        <f t="shared" ca="1" si="62"/>
        <v>34.6</v>
      </c>
      <c r="AM20" s="72">
        <f t="shared" ca="1" si="62"/>
        <v>0</v>
      </c>
      <c r="AN20" s="72">
        <f t="shared" ca="1" si="62"/>
        <v>0</v>
      </c>
      <c r="AO20" s="72">
        <f t="shared" ca="1" si="63"/>
        <v>0</v>
      </c>
      <c r="AP20" s="72">
        <f t="shared" ca="1" si="63"/>
        <v>0</v>
      </c>
      <c r="AQ20" s="72">
        <f t="shared" ca="1" si="63"/>
        <v>0</v>
      </c>
      <c r="AR20" s="72">
        <f t="shared" ca="1" si="63"/>
        <v>0</v>
      </c>
      <c r="AS20" s="111">
        <f t="shared" ca="1" si="63"/>
        <v>0</v>
      </c>
      <c r="AT20" s="72">
        <f t="shared" ca="1" si="63"/>
        <v>0</v>
      </c>
      <c r="AU20" s="72">
        <f t="shared" ca="1" si="63"/>
        <v>1</v>
      </c>
      <c r="AV20" s="72">
        <f t="shared" ca="1" si="63"/>
        <v>0</v>
      </c>
      <c r="AW20" s="72">
        <f t="shared" ca="1" si="63"/>
        <v>0</v>
      </c>
      <c r="AX20" s="72">
        <f t="shared" ca="1" si="63"/>
        <v>0</v>
      </c>
      <c r="AY20" s="72">
        <f t="shared" ca="1" si="64"/>
        <v>0</v>
      </c>
      <c r="AZ20" s="72">
        <f t="shared" ca="1" si="64"/>
        <v>0</v>
      </c>
      <c r="BA20" s="72">
        <f t="shared" ca="1" si="64"/>
        <v>0</v>
      </c>
      <c r="BB20" s="72">
        <f t="shared" ca="1" si="64"/>
        <v>0</v>
      </c>
      <c r="BC20" s="72">
        <f t="shared" ca="1" si="64"/>
        <v>0</v>
      </c>
      <c r="BD20" s="72">
        <f t="shared" ca="1" si="64"/>
        <v>0</v>
      </c>
      <c r="BE20" s="72">
        <f t="shared" ca="1" si="64"/>
        <v>0</v>
      </c>
      <c r="BF20" s="72">
        <f t="shared" ca="1" si="64"/>
        <v>0</v>
      </c>
      <c r="BG20" s="72">
        <f t="shared" ca="1" si="64"/>
        <v>0</v>
      </c>
      <c r="BH20" s="72">
        <f t="shared" ca="1" si="64"/>
        <v>0</v>
      </c>
      <c r="BI20" s="72">
        <f t="shared" ca="1" si="64"/>
        <v>0</v>
      </c>
      <c r="BJ20" s="72">
        <f t="shared" ca="1" si="4"/>
        <v>0</v>
      </c>
      <c r="BK20" s="72">
        <f t="shared" ca="1" si="24"/>
        <v>99</v>
      </c>
      <c r="BL20" s="72" t="str">
        <f t="shared" ca="1" si="25"/>
        <v/>
      </c>
      <c r="BM20" s="280">
        <f t="shared" ca="1" si="26"/>
        <v>0</v>
      </c>
      <c r="BN20" s="280">
        <f t="shared" ca="1" si="27"/>
        <v>0</v>
      </c>
      <c r="BO20" s="281" t="str">
        <f t="shared" ca="1" si="28"/>
        <v/>
      </c>
      <c r="BP20" s="276"/>
      <c r="BQ20" s="273">
        <f t="shared" ca="1" si="5"/>
        <v>0</v>
      </c>
      <c r="BR20" s="273">
        <f t="shared" ca="1" si="6"/>
        <v>0</v>
      </c>
      <c r="BS20" s="273">
        <f t="shared" ca="1" si="7"/>
        <v>1</v>
      </c>
      <c r="BT20" s="274">
        <f t="shared" ca="1" si="8"/>
        <v>1.1547000000000001</v>
      </c>
      <c r="BU20" s="275">
        <f t="shared" ca="1" si="29"/>
        <v>0</v>
      </c>
      <c r="BV20" s="273">
        <f t="shared" ca="1" si="9"/>
        <v>0</v>
      </c>
      <c r="BW20" s="273">
        <f t="shared" ca="1" si="10"/>
        <v>0</v>
      </c>
      <c r="BX20" s="273">
        <f t="shared" ca="1" si="11"/>
        <v>1</v>
      </c>
      <c r="BY20" s="274">
        <f t="shared" ca="1" si="12"/>
        <v>1.1547000000000001</v>
      </c>
      <c r="BZ20" s="275">
        <f t="shared" ca="1" si="30"/>
        <v>0</v>
      </c>
      <c r="CA20" s="273" t="e">
        <f t="shared" ca="1" si="13"/>
        <v>#DIV/0!</v>
      </c>
      <c r="CB20" s="273" t="e">
        <f t="shared" ca="1" si="14"/>
        <v>#DIV/0!</v>
      </c>
      <c r="CC20" s="273" t="e">
        <f t="shared" ca="1" si="15"/>
        <v>#DIV/0!</v>
      </c>
      <c r="CD20" s="274" t="e">
        <f t="shared" ca="1" si="16"/>
        <v>#DIV/0!</v>
      </c>
      <c r="CE20" s="275">
        <f t="shared" ca="1" si="31"/>
        <v>-1</v>
      </c>
      <c r="CF20" s="273" t="e">
        <f t="shared" ca="1" si="17"/>
        <v>#DIV/0!</v>
      </c>
      <c r="CG20" s="273" t="e">
        <f t="shared" ca="1" si="18"/>
        <v>#DIV/0!</v>
      </c>
      <c r="CH20" s="273" t="e">
        <f t="shared" ca="1" si="19"/>
        <v>#DIV/0!</v>
      </c>
      <c r="CI20" s="274" t="e">
        <f t="shared" ca="1" si="20"/>
        <v>#DIV/0!</v>
      </c>
      <c r="CJ20" s="275">
        <f t="shared" ca="1" si="32"/>
        <v>-1</v>
      </c>
      <c r="CK20" s="319">
        <f t="shared" ca="1" si="33"/>
        <v>0</v>
      </c>
      <c r="CL20" s="319">
        <f t="shared" ca="1" si="34"/>
        <v>0</v>
      </c>
      <c r="CM20" s="319">
        <f t="shared" ca="1" si="35"/>
        <v>0</v>
      </c>
      <c r="CN20" s="306" t="e">
        <f t="shared" ca="1" si="36"/>
        <v>#DIV/0!</v>
      </c>
      <c r="CO20" s="273" t="e">
        <f t="shared" ca="1" si="37"/>
        <v>#DIV/0!</v>
      </c>
      <c r="CP20" s="273" t="e">
        <f t="shared" ca="1" si="38"/>
        <v>#DIV/0!</v>
      </c>
      <c r="CQ20" s="274" t="e">
        <f t="shared" ca="1" si="21"/>
        <v>#DIV/0!</v>
      </c>
      <c r="CR20" s="275">
        <f t="shared" ca="1" si="39"/>
        <v>-1</v>
      </c>
      <c r="CS20" s="273" t="e">
        <f t="shared" ca="1" si="40"/>
        <v>#DIV/0!</v>
      </c>
      <c r="CT20" s="273" t="e">
        <f t="shared" ca="1" si="41"/>
        <v>#DIV/0!</v>
      </c>
      <c r="CU20" s="273" t="e">
        <f t="shared" ca="1" si="42"/>
        <v>#DIV/0!</v>
      </c>
      <c r="CV20" s="274" t="e">
        <f t="shared" ca="1" si="22"/>
        <v>#DIV/0!</v>
      </c>
      <c r="CW20" s="275">
        <f t="shared" ca="1" si="43"/>
        <v>-1</v>
      </c>
      <c r="CX20" s="276"/>
      <c r="CY20" s="277">
        <f t="shared" ca="1" si="44"/>
        <v>-99</v>
      </c>
      <c r="CZ20" s="278">
        <f t="shared" ca="1" si="45"/>
        <v>-99</v>
      </c>
      <c r="DA20" s="277">
        <f t="shared" ca="1" si="46"/>
        <v>-99</v>
      </c>
      <c r="DB20" s="277">
        <f t="shared" ca="1" si="47"/>
        <v>-99</v>
      </c>
      <c r="DC20" s="279" t="e">
        <f t="shared" ca="1" si="48"/>
        <v>#NUM!</v>
      </c>
      <c r="DD20" s="341">
        <f t="shared" ca="1" si="49"/>
        <v>-999</v>
      </c>
      <c r="DE20" s="279">
        <f t="shared" ca="1" si="23"/>
        <v>-999</v>
      </c>
      <c r="DF20" s="341">
        <f t="shared" ca="1" si="50"/>
        <v>144.86328</v>
      </c>
      <c r="DG20" s="335" t="e">
        <f t="shared" ca="1" si="51"/>
        <v>#DIV/0!</v>
      </c>
      <c r="DH20" s="329" t="e">
        <f t="shared" ca="1" si="52"/>
        <v>#DIV/0!</v>
      </c>
      <c r="DI20" s="329" t="e">
        <f t="shared" ca="1" si="53"/>
        <v>#DIV/0!</v>
      </c>
      <c r="DJ20" s="330">
        <f t="shared" ca="1" si="54"/>
        <v>-1</v>
      </c>
      <c r="DK20" s="331">
        <f t="shared" ca="1" si="55"/>
        <v>-1</v>
      </c>
      <c r="DL20" s="335" t="e">
        <f t="shared" ca="1" si="56"/>
        <v>#DIV/0!</v>
      </c>
      <c r="DM20" s="329" t="e">
        <f t="shared" ca="1" si="57"/>
        <v>#DIV/0!</v>
      </c>
      <c r="DN20" s="329" t="e">
        <f t="shared" ca="1" si="58"/>
        <v>#DIV/0!</v>
      </c>
      <c r="DO20" s="330">
        <f ca="1">IF(ISERROR(DL20),-1,Tgrid!$A$46+0.5774*DN20+1.1547*DL20)</f>
        <v>-1</v>
      </c>
      <c r="DP20" s="331">
        <f t="shared" ca="1" si="59"/>
        <v>-1</v>
      </c>
      <c r="DQ20" s="336" t="e">
        <f t="shared" ca="1" si="60"/>
        <v>#DIV/0!</v>
      </c>
      <c r="DR20" s="337" t="e">
        <f t="shared" ca="1" si="61"/>
        <v>#DIV/0!</v>
      </c>
      <c r="DS20" s="330">
        <f ca="1">IF(ISERROR(DQ20),-1,0.5*Tgrid!$B$42+0.5774*(2+DQ20-DR20))</f>
        <v>-1</v>
      </c>
      <c r="DT20" s="331">
        <f ca="1">IF(ISERROR(DQ20),-1,2+Tgrid!$B$54-DQ20-DR20)</f>
        <v>-1</v>
      </c>
    </row>
    <row r="21" spans="1:124" s="53" customFormat="1" ht="12.75" customHeight="1" x14ac:dyDescent="0.25">
      <c r="A21" s="365" t="s">
        <v>256</v>
      </c>
      <c r="B21" s="89"/>
      <c r="C21" s="114"/>
      <c r="D21" s="21"/>
      <c r="E21" s="89"/>
      <c r="F21" s="218"/>
      <c r="G21" s="117"/>
      <c r="H21" s="366">
        <v>37</v>
      </c>
      <c r="I21" s="323"/>
      <c r="J21" s="367"/>
      <c r="K21" s="367"/>
      <c r="L21" s="367"/>
      <c r="M21" s="367"/>
      <c r="N21" s="367"/>
      <c r="O21" s="367"/>
      <c r="P21" s="367"/>
      <c r="Q21" s="367">
        <v>1.1000000000000001</v>
      </c>
      <c r="R21" s="367"/>
      <c r="S21" s="367"/>
      <c r="T21" s="367"/>
      <c r="U21" s="367"/>
      <c r="V21" s="367"/>
      <c r="W21" s="367"/>
      <c r="X21" s="367"/>
      <c r="Y21" s="367"/>
      <c r="Z21" s="367"/>
      <c r="AA21" s="367"/>
      <c r="AB21" s="367"/>
      <c r="AC21" s="367"/>
      <c r="AD21" s="367"/>
      <c r="AE21" s="367"/>
      <c r="AF21" s="367"/>
      <c r="AG21" s="367"/>
      <c r="AH21" s="318">
        <f t="shared" ca="1" si="0"/>
        <v>0</v>
      </c>
      <c r="AI21" s="72">
        <f t="shared" ca="1" si="62"/>
        <v>0</v>
      </c>
      <c r="AJ21" s="72">
        <f t="shared" ca="1" si="62"/>
        <v>0</v>
      </c>
      <c r="AK21" s="72">
        <f t="shared" ca="1" si="62"/>
        <v>0</v>
      </c>
      <c r="AL21" s="72">
        <f t="shared" ca="1" si="62"/>
        <v>37</v>
      </c>
      <c r="AM21" s="72">
        <f t="shared" ca="1" si="62"/>
        <v>0</v>
      </c>
      <c r="AN21" s="72">
        <f t="shared" ca="1" si="62"/>
        <v>0</v>
      </c>
      <c r="AO21" s="72">
        <f t="shared" ca="1" si="63"/>
        <v>0</v>
      </c>
      <c r="AP21" s="72">
        <f t="shared" ca="1" si="63"/>
        <v>0</v>
      </c>
      <c r="AQ21" s="72">
        <f t="shared" ca="1" si="63"/>
        <v>0</v>
      </c>
      <c r="AR21" s="72">
        <f t="shared" ca="1" si="63"/>
        <v>0</v>
      </c>
      <c r="AS21" s="111">
        <f t="shared" ca="1" si="63"/>
        <v>0</v>
      </c>
      <c r="AT21" s="72">
        <f t="shared" ca="1" si="63"/>
        <v>0</v>
      </c>
      <c r="AU21" s="72">
        <f t="shared" ca="1" si="63"/>
        <v>1.1000000000000001</v>
      </c>
      <c r="AV21" s="72">
        <f t="shared" ca="1" si="63"/>
        <v>0</v>
      </c>
      <c r="AW21" s="72">
        <f t="shared" ca="1" si="63"/>
        <v>0</v>
      </c>
      <c r="AX21" s="72">
        <f t="shared" ca="1" si="63"/>
        <v>0</v>
      </c>
      <c r="AY21" s="72">
        <f t="shared" ca="1" si="64"/>
        <v>0</v>
      </c>
      <c r="AZ21" s="72">
        <f t="shared" ca="1" si="64"/>
        <v>0</v>
      </c>
      <c r="BA21" s="72">
        <f t="shared" ca="1" si="64"/>
        <v>0</v>
      </c>
      <c r="BB21" s="72">
        <f t="shared" ca="1" si="64"/>
        <v>0</v>
      </c>
      <c r="BC21" s="72">
        <f t="shared" ca="1" si="64"/>
        <v>0</v>
      </c>
      <c r="BD21" s="72">
        <f t="shared" ca="1" si="64"/>
        <v>0</v>
      </c>
      <c r="BE21" s="72">
        <f t="shared" ca="1" si="64"/>
        <v>0</v>
      </c>
      <c r="BF21" s="72">
        <f t="shared" ca="1" si="64"/>
        <v>0</v>
      </c>
      <c r="BG21" s="72">
        <f t="shared" ca="1" si="64"/>
        <v>0</v>
      </c>
      <c r="BH21" s="72">
        <f t="shared" ca="1" si="64"/>
        <v>0</v>
      </c>
      <c r="BI21" s="72">
        <f t="shared" ca="1" si="64"/>
        <v>0</v>
      </c>
      <c r="BJ21" s="72">
        <f t="shared" ca="1" si="4"/>
        <v>0</v>
      </c>
      <c r="BK21" s="72">
        <f t="shared" ca="1" si="24"/>
        <v>99</v>
      </c>
      <c r="BL21" s="72" t="str">
        <f t="shared" ca="1" si="25"/>
        <v/>
      </c>
      <c r="BM21" s="280">
        <f t="shared" ca="1" si="26"/>
        <v>0</v>
      </c>
      <c r="BN21" s="280">
        <f t="shared" ca="1" si="27"/>
        <v>0</v>
      </c>
      <c r="BO21" s="281" t="str">
        <f t="shared" ca="1" si="28"/>
        <v/>
      </c>
      <c r="BP21" s="276"/>
      <c r="BQ21" s="273">
        <f t="shared" ca="1" si="5"/>
        <v>0</v>
      </c>
      <c r="BR21" s="273">
        <f t="shared" ca="1" si="6"/>
        <v>0</v>
      </c>
      <c r="BS21" s="273">
        <f t="shared" ca="1" si="7"/>
        <v>1</v>
      </c>
      <c r="BT21" s="274">
        <f t="shared" ca="1" si="8"/>
        <v>1.1547000000000001</v>
      </c>
      <c r="BU21" s="275">
        <f t="shared" ca="1" si="29"/>
        <v>0</v>
      </c>
      <c r="BV21" s="273">
        <f t="shared" ca="1" si="9"/>
        <v>0</v>
      </c>
      <c r="BW21" s="273">
        <f t="shared" ca="1" si="10"/>
        <v>0</v>
      </c>
      <c r="BX21" s="273">
        <f t="shared" ca="1" si="11"/>
        <v>1</v>
      </c>
      <c r="BY21" s="274">
        <f t="shared" ca="1" si="12"/>
        <v>1.1547000000000001</v>
      </c>
      <c r="BZ21" s="275">
        <f t="shared" ca="1" si="30"/>
        <v>0</v>
      </c>
      <c r="CA21" s="273" t="e">
        <f t="shared" ca="1" si="13"/>
        <v>#DIV/0!</v>
      </c>
      <c r="CB21" s="273" t="e">
        <f t="shared" ca="1" si="14"/>
        <v>#DIV/0!</v>
      </c>
      <c r="CC21" s="273" t="e">
        <f t="shared" ca="1" si="15"/>
        <v>#DIV/0!</v>
      </c>
      <c r="CD21" s="274" t="e">
        <f t="shared" ca="1" si="16"/>
        <v>#DIV/0!</v>
      </c>
      <c r="CE21" s="275">
        <f t="shared" ca="1" si="31"/>
        <v>-1</v>
      </c>
      <c r="CF21" s="273" t="e">
        <f t="shared" ca="1" si="17"/>
        <v>#DIV/0!</v>
      </c>
      <c r="CG21" s="273" t="e">
        <f t="shared" ca="1" si="18"/>
        <v>#DIV/0!</v>
      </c>
      <c r="CH21" s="273" t="e">
        <f t="shared" ca="1" si="19"/>
        <v>#DIV/0!</v>
      </c>
      <c r="CI21" s="274" t="e">
        <f t="shared" ca="1" si="20"/>
        <v>#DIV/0!</v>
      </c>
      <c r="CJ21" s="275">
        <f t="shared" ca="1" si="32"/>
        <v>-1</v>
      </c>
      <c r="CK21" s="319">
        <f t="shared" ca="1" si="33"/>
        <v>0</v>
      </c>
      <c r="CL21" s="319">
        <f t="shared" ca="1" si="34"/>
        <v>0</v>
      </c>
      <c r="CM21" s="319">
        <f t="shared" ca="1" si="35"/>
        <v>0</v>
      </c>
      <c r="CN21" s="306" t="e">
        <f t="shared" ca="1" si="36"/>
        <v>#DIV/0!</v>
      </c>
      <c r="CO21" s="273" t="e">
        <f t="shared" ca="1" si="37"/>
        <v>#DIV/0!</v>
      </c>
      <c r="CP21" s="273" t="e">
        <f t="shared" ca="1" si="38"/>
        <v>#DIV/0!</v>
      </c>
      <c r="CQ21" s="274" t="e">
        <f t="shared" ca="1" si="21"/>
        <v>#DIV/0!</v>
      </c>
      <c r="CR21" s="275">
        <f t="shared" ca="1" si="39"/>
        <v>-1</v>
      </c>
      <c r="CS21" s="273" t="e">
        <f t="shared" ca="1" si="40"/>
        <v>#DIV/0!</v>
      </c>
      <c r="CT21" s="273" t="e">
        <f t="shared" ca="1" si="41"/>
        <v>#DIV/0!</v>
      </c>
      <c r="CU21" s="273" t="e">
        <f t="shared" ca="1" si="42"/>
        <v>#DIV/0!</v>
      </c>
      <c r="CV21" s="274" t="e">
        <f t="shared" ca="1" si="22"/>
        <v>#DIV/0!</v>
      </c>
      <c r="CW21" s="275">
        <f t="shared" ca="1" si="43"/>
        <v>-1</v>
      </c>
      <c r="CX21" s="276"/>
      <c r="CY21" s="277">
        <f t="shared" ca="1" si="44"/>
        <v>-99</v>
      </c>
      <c r="CZ21" s="278">
        <f t="shared" ca="1" si="45"/>
        <v>-99</v>
      </c>
      <c r="DA21" s="277">
        <f t="shared" ca="1" si="46"/>
        <v>-99</v>
      </c>
      <c r="DB21" s="277">
        <f t="shared" ca="1" si="47"/>
        <v>-99</v>
      </c>
      <c r="DC21" s="279" t="e">
        <f t="shared" ca="1" si="48"/>
        <v>#NUM!</v>
      </c>
      <c r="DD21" s="341">
        <f t="shared" ca="1" si="49"/>
        <v>-999</v>
      </c>
      <c r="DE21" s="279">
        <f t="shared" ca="1" si="23"/>
        <v>-999</v>
      </c>
      <c r="DF21" s="341">
        <f t="shared" ca="1" si="50"/>
        <v>154.91159999999999</v>
      </c>
      <c r="DG21" s="335" t="e">
        <f t="shared" ca="1" si="51"/>
        <v>#DIV/0!</v>
      </c>
      <c r="DH21" s="329" t="e">
        <f t="shared" ca="1" si="52"/>
        <v>#DIV/0!</v>
      </c>
      <c r="DI21" s="329" t="e">
        <f t="shared" ca="1" si="53"/>
        <v>#DIV/0!</v>
      </c>
      <c r="DJ21" s="330">
        <f t="shared" ca="1" si="54"/>
        <v>-1</v>
      </c>
      <c r="DK21" s="331">
        <f t="shared" ca="1" si="55"/>
        <v>-1</v>
      </c>
      <c r="DL21" s="335" t="e">
        <f t="shared" ca="1" si="56"/>
        <v>#DIV/0!</v>
      </c>
      <c r="DM21" s="329" t="e">
        <f t="shared" ca="1" si="57"/>
        <v>#DIV/0!</v>
      </c>
      <c r="DN21" s="329" t="e">
        <f t="shared" ca="1" si="58"/>
        <v>#DIV/0!</v>
      </c>
      <c r="DO21" s="330">
        <f ca="1">IF(ISERROR(DL21),-1,Tgrid!$A$46+0.5774*DN21+1.1547*DL21)</f>
        <v>-1</v>
      </c>
      <c r="DP21" s="331">
        <f t="shared" ca="1" si="59"/>
        <v>-1</v>
      </c>
      <c r="DQ21" s="336" t="e">
        <f t="shared" ca="1" si="60"/>
        <v>#DIV/0!</v>
      </c>
      <c r="DR21" s="337" t="e">
        <f t="shared" ca="1" si="61"/>
        <v>#DIV/0!</v>
      </c>
      <c r="DS21" s="330">
        <f ca="1">IF(ISERROR(DQ21),-1,0.5*Tgrid!$B$42+0.5774*(2+DQ21-DR21))</f>
        <v>-1</v>
      </c>
      <c r="DT21" s="331">
        <f ca="1">IF(ISERROR(DQ21),-1,2+Tgrid!$B$54-DQ21-DR21)</f>
        <v>-1</v>
      </c>
    </row>
    <row r="22" spans="1:124" s="53" customFormat="1" ht="15" x14ac:dyDescent="0.25">
      <c r="A22" s="365" t="s">
        <v>257</v>
      </c>
      <c r="B22" s="89"/>
      <c r="C22" s="114"/>
      <c r="D22" s="21"/>
      <c r="E22" s="89"/>
      <c r="F22" s="21"/>
      <c r="G22" s="21"/>
      <c r="H22" s="366">
        <v>19.399999999999999</v>
      </c>
      <c r="I22" s="323"/>
      <c r="J22" s="367"/>
      <c r="K22" s="367"/>
      <c r="L22" s="367"/>
      <c r="M22" s="367"/>
      <c r="N22" s="367"/>
      <c r="O22" s="367"/>
      <c r="P22" s="367"/>
      <c r="Q22" s="367">
        <v>167</v>
      </c>
      <c r="R22" s="367"/>
      <c r="S22" s="367"/>
      <c r="T22" s="367"/>
      <c r="U22" s="367"/>
      <c r="V22" s="367"/>
      <c r="W22" s="367"/>
      <c r="X22" s="367"/>
      <c r="Y22" s="367"/>
      <c r="Z22" s="367"/>
      <c r="AA22" s="367"/>
      <c r="AB22" s="367"/>
      <c r="AC22" s="367"/>
      <c r="AD22" s="367"/>
      <c r="AE22" s="367"/>
      <c r="AF22" s="367"/>
      <c r="AG22" s="367"/>
      <c r="AH22" s="318">
        <f t="shared" ca="1" si="0"/>
        <v>0</v>
      </c>
      <c r="AI22" s="72">
        <f t="shared" ca="1" si="62"/>
        <v>0</v>
      </c>
      <c r="AJ22" s="72">
        <f t="shared" ca="1" si="62"/>
        <v>0</v>
      </c>
      <c r="AK22" s="72">
        <f t="shared" ca="1" si="62"/>
        <v>0</v>
      </c>
      <c r="AL22" s="72">
        <f t="shared" ca="1" si="62"/>
        <v>19.399999999999999</v>
      </c>
      <c r="AM22" s="72">
        <f t="shared" ca="1" si="62"/>
        <v>0</v>
      </c>
      <c r="AN22" s="72">
        <f t="shared" ca="1" si="62"/>
        <v>0</v>
      </c>
      <c r="AO22" s="72">
        <f t="shared" ca="1" si="63"/>
        <v>0</v>
      </c>
      <c r="AP22" s="72">
        <f t="shared" ca="1" si="63"/>
        <v>0</v>
      </c>
      <c r="AQ22" s="72">
        <f t="shared" ca="1" si="63"/>
        <v>0</v>
      </c>
      <c r="AR22" s="72">
        <f t="shared" ca="1" si="63"/>
        <v>0</v>
      </c>
      <c r="AS22" s="111">
        <f t="shared" ca="1" si="63"/>
        <v>0</v>
      </c>
      <c r="AT22" s="72">
        <f t="shared" ca="1" si="63"/>
        <v>0</v>
      </c>
      <c r="AU22" s="72">
        <f t="shared" ca="1" si="63"/>
        <v>167</v>
      </c>
      <c r="AV22" s="72">
        <f t="shared" ca="1" si="63"/>
        <v>0</v>
      </c>
      <c r="AW22" s="72">
        <f t="shared" ca="1" si="63"/>
        <v>0</v>
      </c>
      <c r="AX22" s="72">
        <f t="shared" ca="1" si="63"/>
        <v>0</v>
      </c>
      <c r="AY22" s="72">
        <f t="shared" ca="1" si="64"/>
        <v>0</v>
      </c>
      <c r="AZ22" s="72">
        <f t="shared" ca="1" si="64"/>
        <v>0</v>
      </c>
      <c r="BA22" s="72">
        <f t="shared" ca="1" si="64"/>
        <v>0</v>
      </c>
      <c r="BB22" s="72">
        <f t="shared" ca="1" si="64"/>
        <v>0</v>
      </c>
      <c r="BC22" s="72">
        <f t="shared" ca="1" si="64"/>
        <v>0</v>
      </c>
      <c r="BD22" s="72">
        <f t="shared" ca="1" si="64"/>
        <v>0</v>
      </c>
      <c r="BE22" s="72">
        <f t="shared" ca="1" si="64"/>
        <v>0</v>
      </c>
      <c r="BF22" s="72">
        <f t="shared" ca="1" si="64"/>
        <v>0</v>
      </c>
      <c r="BG22" s="72">
        <f t="shared" ca="1" si="64"/>
        <v>0</v>
      </c>
      <c r="BH22" s="72">
        <f t="shared" ca="1" si="64"/>
        <v>0</v>
      </c>
      <c r="BI22" s="72">
        <f t="shared" ca="1" si="64"/>
        <v>0</v>
      </c>
      <c r="BJ22" s="72">
        <f t="shared" ca="1" si="4"/>
        <v>0</v>
      </c>
      <c r="BK22" s="72">
        <f t="shared" ca="1" si="24"/>
        <v>99</v>
      </c>
      <c r="BL22" s="72" t="str">
        <f t="shared" ca="1" si="25"/>
        <v/>
      </c>
      <c r="BM22" s="280">
        <f t="shared" ca="1" si="26"/>
        <v>0</v>
      </c>
      <c r="BN22" s="280">
        <f t="shared" ca="1" si="27"/>
        <v>0</v>
      </c>
      <c r="BO22" s="281" t="str">
        <f t="shared" ca="1" si="28"/>
        <v/>
      </c>
      <c r="BP22" s="276"/>
      <c r="BQ22" s="273">
        <f t="shared" ca="1" si="5"/>
        <v>0</v>
      </c>
      <c r="BR22" s="273">
        <f t="shared" ca="1" si="6"/>
        <v>0</v>
      </c>
      <c r="BS22" s="273">
        <f t="shared" ca="1" si="7"/>
        <v>1</v>
      </c>
      <c r="BT22" s="274">
        <f t="shared" ca="1" si="8"/>
        <v>1.1547000000000001</v>
      </c>
      <c r="BU22" s="275">
        <f t="shared" ca="1" si="29"/>
        <v>0</v>
      </c>
      <c r="BV22" s="273">
        <f t="shared" ca="1" si="9"/>
        <v>0</v>
      </c>
      <c r="BW22" s="273">
        <f t="shared" ca="1" si="10"/>
        <v>0</v>
      </c>
      <c r="BX22" s="273">
        <f t="shared" ca="1" si="11"/>
        <v>1</v>
      </c>
      <c r="BY22" s="274">
        <f t="shared" ca="1" si="12"/>
        <v>1.1547000000000001</v>
      </c>
      <c r="BZ22" s="275">
        <f t="shared" ca="1" si="30"/>
        <v>0</v>
      </c>
      <c r="CA22" s="273" t="e">
        <f t="shared" ca="1" si="13"/>
        <v>#DIV/0!</v>
      </c>
      <c r="CB22" s="273" t="e">
        <f t="shared" ca="1" si="14"/>
        <v>#DIV/0!</v>
      </c>
      <c r="CC22" s="273" t="e">
        <f t="shared" ca="1" si="15"/>
        <v>#DIV/0!</v>
      </c>
      <c r="CD22" s="274" t="e">
        <f t="shared" ca="1" si="16"/>
        <v>#DIV/0!</v>
      </c>
      <c r="CE22" s="275">
        <f t="shared" ca="1" si="31"/>
        <v>-1</v>
      </c>
      <c r="CF22" s="273" t="e">
        <f t="shared" ca="1" si="17"/>
        <v>#DIV/0!</v>
      </c>
      <c r="CG22" s="273" t="e">
        <f t="shared" ca="1" si="18"/>
        <v>#DIV/0!</v>
      </c>
      <c r="CH22" s="273" t="e">
        <f t="shared" ca="1" si="19"/>
        <v>#DIV/0!</v>
      </c>
      <c r="CI22" s="274" t="e">
        <f t="shared" ca="1" si="20"/>
        <v>#DIV/0!</v>
      </c>
      <c r="CJ22" s="275">
        <f t="shared" ca="1" si="32"/>
        <v>-1</v>
      </c>
      <c r="CK22" s="319">
        <f t="shared" ca="1" si="33"/>
        <v>0</v>
      </c>
      <c r="CL22" s="319">
        <f t="shared" ca="1" si="34"/>
        <v>0</v>
      </c>
      <c r="CM22" s="319">
        <f t="shared" ca="1" si="35"/>
        <v>0</v>
      </c>
      <c r="CN22" s="306" t="e">
        <f t="shared" ca="1" si="36"/>
        <v>#DIV/0!</v>
      </c>
      <c r="CO22" s="273" t="e">
        <f t="shared" ca="1" si="37"/>
        <v>#DIV/0!</v>
      </c>
      <c r="CP22" s="273" t="e">
        <f t="shared" ca="1" si="38"/>
        <v>#DIV/0!</v>
      </c>
      <c r="CQ22" s="274" t="e">
        <f t="shared" ca="1" si="21"/>
        <v>#DIV/0!</v>
      </c>
      <c r="CR22" s="275">
        <f t="shared" ca="1" si="39"/>
        <v>-1</v>
      </c>
      <c r="CS22" s="273" t="e">
        <f t="shared" ca="1" si="40"/>
        <v>#DIV/0!</v>
      </c>
      <c r="CT22" s="273" t="e">
        <f t="shared" ca="1" si="41"/>
        <v>#DIV/0!</v>
      </c>
      <c r="CU22" s="273" t="e">
        <f t="shared" ca="1" si="42"/>
        <v>#DIV/0!</v>
      </c>
      <c r="CV22" s="274" t="e">
        <f t="shared" ca="1" si="22"/>
        <v>#DIV/0!</v>
      </c>
      <c r="CW22" s="275">
        <f t="shared" ca="1" si="43"/>
        <v>-1</v>
      </c>
      <c r="CX22" s="276"/>
      <c r="CY22" s="277">
        <f t="shared" ca="1" si="44"/>
        <v>-99</v>
      </c>
      <c r="CZ22" s="278">
        <f t="shared" ca="1" si="45"/>
        <v>-99</v>
      </c>
      <c r="DA22" s="277">
        <f t="shared" ca="1" si="46"/>
        <v>-99</v>
      </c>
      <c r="DB22" s="277">
        <f t="shared" ca="1" si="47"/>
        <v>-99</v>
      </c>
      <c r="DC22" s="279" t="e">
        <f t="shared" ca="1" si="48"/>
        <v>#NUM!</v>
      </c>
      <c r="DD22" s="341">
        <f t="shared" ca="1" si="49"/>
        <v>-999</v>
      </c>
      <c r="DE22" s="279">
        <f t="shared" ca="1" si="23"/>
        <v>-999</v>
      </c>
      <c r="DF22" s="341">
        <f t="shared" ca="1" si="50"/>
        <v>81.223919999999993</v>
      </c>
      <c r="DG22" s="335" t="e">
        <f t="shared" ca="1" si="51"/>
        <v>#DIV/0!</v>
      </c>
      <c r="DH22" s="329" t="e">
        <f t="shared" ca="1" si="52"/>
        <v>#DIV/0!</v>
      </c>
      <c r="DI22" s="329" t="e">
        <f t="shared" ca="1" si="53"/>
        <v>#DIV/0!</v>
      </c>
      <c r="DJ22" s="330">
        <f t="shared" ca="1" si="54"/>
        <v>-1</v>
      </c>
      <c r="DK22" s="331">
        <f t="shared" ca="1" si="55"/>
        <v>-1</v>
      </c>
      <c r="DL22" s="335" t="e">
        <f t="shared" ca="1" si="56"/>
        <v>#DIV/0!</v>
      </c>
      <c r="DM22" s="329" t="e">
        <f t="shared" ca="1" si="57"/>
        <v>#DIV/0!</v>
      </c>
      <c r="DN22" s="329" t="e">
        <f t="shared" ca="1" si="58"/>
        <v>#DIV/0!</v>
      </c>
      <c r="DO22" s="330">
        <f ca="1">IF(ISERROR(DL22),-1,Tgrid!$A$46+0.5774*DN22+1.1547*DL22)</f>
        <v>-1</v>
      </c>
      <c r="DP22" s="331">
        <f t="shared" ca="1" si="59"/>
        <v>-1</v>
      </c>
      <c r="DQ22" s="336" t="e">
        <f t="shared" ca="1" si="60"/>
        <v>#DIV/0!</v>
      </c>
      <c r="DR22" s="337" t="e">
        <f t="shared" ca="1" si="61"/>
        <v>#DIV/0!</v>
      </c>
      <c r="DS22" s="330">
        <f ca="1">IF(ISERROR(DQ22),-1,0.5*Tgrid!$B$42+0.5774*(2+DQ22-DR22))</f>
        <v>-1</v>
      </c>
      <c r="DT22" s="331">
        <f ca="1">IF(ISERROR(DQ22),-1,2+Tgrid!$B$54-DQ22-DR22)</f>
        <v>-1</v>
      </c>
    </row>
    <row r="23" spans="1:124" s="53" customFormat="1" ht="15" x14ac:dyDescent="0.25">
      <c r="A23" s="365" t="s">
        <v>258</v>
      </c>
      <c r="B23" s="89"/>
      <c r="C23" s="114"/>
      <c r="D23" s="21"/>
      <c r="E23" s="89"/>
      <c r="F23" s="218"/>
      <c r="G23" s="117"/>
      <c r="H23" s="366">
        <v>29</v>
      </c>
      <c r="I23" s="323"/>
      <c r="J23" s="367"/>
      <c r="K23" s="367"/>
      <c r="L23" s="367"/>
      <c r="M23" s="367"/>
      <c r="N23" s="367"/>
      <c r="O23" s="367"/>
      <c r="P23" s="367"/>
      <c r="Q23" s="367">
        <v>0.3</v>
      </c>
      <c r="R23" s="367"/>
      <c r="S23" s="367"/>
      <c r="T23" s="367"/>
      <c r="U23" s="367"/>
      <c r="V23" s="367"/>
      <c r="W23" s="367"/>
      <c r="X23" s="367"/>
      <c r="Y23" s="367"/>
      <c r="Z23" s="367"/>
      <c r="AA23" s="367"/>
      <c r="AB23" s="367"/>
      <c r="AC23" s="367"/>
      <c r="AD23" s="118"/>
      <c r="AE23" s="119"/>
      <c r="AF23" s="116"/>
      <c r="AG23" s="116"/>
      <c r="AH23" s="318">
        <f t="shared" ca="1" si="0"/>
        <v>0</v>
      </c>
      <c r="AI23" s="72">
        <f t="shared" ca="1" si="62"/>
        <v>0</v>
      </c>
      <c r="AJ23" s="72">
        <f t="shared" ca="1" si="62"/>
        <v>0</v>
      </c>
      <c r="AK23" s="72">
        <f t="shared" ca="1" si="62"/>
        <v>0</v>
      </c>
      <c r="AL23" s="72">
        <f t="shared" ca="1" si="62"/>
        <v>29</v>
      </c>
      <c r="AM23" s="72">
        <f t="shared" ca="1" si="62"/>
        <v>0</v>
      </c>
      <c r="AN23" s="72">
        <f t="shared" ca="1" si="62"/>
        <v>0</v>
      </c>
      <c r="AO23" s="72">
        <f t="shared" ca="1" si="63"/>
        <v>0</v>
      </c>
      <c r="AP23" s="72">
        <f t="shared" ca="1" si="63"/>
        <v>0</v>
      </c>
      <c r="AQ23" s="72">
        <f t="shared" ca="1" si="63"/>
        <v>0</v>
      </c>
      <c r="AR23" s="72">
        <f t="shared" ca="1" si="63"/>
        <v>0</v>
      </c>
      <c r="AS23" s="111">
        <f t="shared" ca="1" si="63"/>
        <v>0</v>
      </c>
      <c r="AT23" s="72">
        <f t="shared" ca="1" si="63"/>
        <v>0</v>
      </c>
      <c r="AU23" s="72">
        <f t="shared" ca="1" si="63"/>
        <v>0.3</v>
      </c>
      <c r="AV23" s="72">
        <f t="shared" ca="1" si="63"/>
        <v>0</v>
      </c>
      <c r="AW23" s="72">
        <f t="shared" ca="1" si="63"/>
        <v>0</v>
      </c>
      <c r="AX23" s="72">
        <f t="shared" ca="1" si="63"/>
        <v>0</v>
      </c>
      <c r="AY23" s="72">
        <f t="shared" ca="1" si="64"/>
        <v>0</v>
      </c>
      <c r="AZ23" s="72">
        <f t="shared" ca="1" si="64"/>
        <v>0</v>
      </c>
      <c r="BA23" s="72">
        <f t="shared" ca="1" si="64"/>
        <v>0</v>
      </c>
      <c r="BB23" s="72">
        <f t="shared" ca="1" si="64"/>
        <v>0</v>
      </c>
      <c r="BC23" s="72">
        <f t="shared" ca="1" si="64"/>
        <v>0</v>
      </c>
      <c r="BD23" s="72">
        <f t="shared" ca="1" si="64"/>
        <v>0</v>
      </c>
      <c r="BE23" s="72">
        <f t="shared" ca="1" si="64"/>
        <v>0</v>
      </c>
      <c r="BF23" s="72">
        <f t="shared" ca="1" si="64"/>
        <v>0</v>
      </c>
      <c r="BG23" s="72">
        <f t="shared" ca="1" si="64"/>
        <v>0</v>
      </c>
      <c r="BH23" s="72">
        <f t="shared" ca="1" si="64"/>
        <v>0</v>
      </c>
      <c r="BI23" s="72">
        <f t="shared" ca="1" si="64"/>
        <v>0</v>
      </c>
      <c r="BJ23" s="72">
        <f t="shared" ca="1" si="4"/>
        <v>0</v>
      </c>
      <c r="BK23" s="72">
        <f t="shared" ca="1" si="24"/>
        <v>99</v>
      </c>
      <c r="BL23" s="72" t="str">
        <f t="shared" ca="1" si="25"/>
        <v/>
      </c>
      <c r="BM23" s="280">
        <f t="shared" ca="1" si="26"/>
        <v>0</v>
      </c>
      <c r="BN23" s="280">
        <f t="shared" ca="1" si="27"/>
        <v>0</v>
      </c>
      <c r="BO23" s="281" t="str">
        <f t="shared" ca="1" si="28"/>
        <v/>
      </c>
      <c r="BP23" s="276"/>
      <c r="BQ23" s="273">
        <f t="shared" ca="1" si="5"/>
        <v>0</v>
      </c>
      <c r="BR23" s="273">
        <f t="shared" ca="1" si="6"/>
        <v>0</v>
      </c>
      <c r="BS23" s="273">
        <f t="shared" ca="1" si="7"/>
        <v>1</v>
      </c>
      <c r="BT23" s="274">
        <f t="shared" ca="1" si="8"/>
        <v>1.1547000000000001</v>
      </c>
      <c r="BU23" s="275">
        <f t="shared" ca="1" si="29"/>
        <v>0</v>
      </c>
      <c r="BV23" s="273">
        <f t="shared" ca="1" si="9"/>
        <v>0</v>
      </c>
      <c r="BW23" s="273">
        <f t="shared" ca="1" si="10"/>
        <v>0</v>
      </c>
      <c r="BX23" s="273">
        <f t="shared" ca="1" si="11"/>
        <v>1</v>
      </c>
      <c r="BY23" s="274">
        <f t="shared" ca="1" si="12"/>
        <v>1.1547000000000001</v>
      </c>
      <c r="BZ23" s="275">
        <f t="shared" ca="1" si="30"/>
        <v>0</v>
      </c>
      <c r="CA23" s="273" t="e">
        <f t="shared" ca="1" si="13"/>
        <v>#DIV/0!</v>
      </c>
      <c r="CB23" s="273" t="e">
        <f t="shared" ca="1" si="14"/>
        <v>#DIV/0!</v>
      </c>
      <c r="CC23" s="273" t="e">
        <f t="shared" ca="1" si="15"/>
        <v>#DIV/0!</v>
      </c>
      <c r="CD23" s="274" t="e">
        <f t="shared" ca="1" si="16"/>
        <v>#DIV/0!</v>
      </c>
      <c r="CE23" s="275">
        <f t="shared" ca="1" si="31"/>
        <v>-1</v>
      </c>
      <c r="CF23" s="273" t="e">
        <f t="shared" ca="1" si="17"/>
        <v>#DIV/0!</v>
      </c>
      <c r="CG23" s="273" t="e">
        <f t="shared" ca="1" si="18"/>
        <v>#DIV/0!</v>
      </c>
      <c r="CH23" s="273" t="e">
        <f t="shared" ca="1" si="19"/>
        <v>#DIV/0!</v>
      </c>
      <c r="CI23" s="274" t="e">
        <f t="shared" ca="1" si="20"/>
        <v>#DIV/0!</v>
      </c>
      <c r="CJ23" s="275">
        <f t="shared" ca="1" si="32"/>
        <v>-1</v>
      </c>
      <c r="CK23" s="319">
        <f t="shared" ca="1" si="33"/>
        <v>0</v>
      </c>
      <c r="CL23" s="319">
        <f t="shared" ca="1" si="34"/>
        <v>0</v>
      </c>
      <c r="CM23" s="319">
        <f t="shared" ca="1" si="35"/>
        <v>0</v>
      </c>
      <c r="CN23" s="306" t="e">
        <f t="shared" ca="1" si="36"/>
        <v>#DIV/0!</v>
      </c>
      <c r="CO23" s="273" t="e">
        <f t="shared" ca="1" si="37"/>
        <v>#DIV/0!</v>
      </c>
      <c r="CP23" s="273" t="e">
        <f t="shared" ca="1" si="38"/>
        <v>#DIV/0!</v>
      </c>
      <c r="CQ23" s="274" t="e">
        <f t="shared" ca="1" si="21"/>
        <v>#DIV/0!</v>
      </c>
      <c r="CR23" s="275">
        <f t="shared" ca="1" si="39"/>
        <v>-1</v>
      </c>
      <c r="CS23" s="273" t="e">
        <f t="shared" ca="1" si="40"/>
        <v>#DIV/0!</v>
      </c>
      <c r="CT23" s="273" t="e">
        <f t="shared" ca="1" si="41"/>
        <v>#DIV/0!</v>
      </c>
      <c r="CU23" s="273" t="e">
        <f t="shared" ca="1" si="42"/>
        <v>#DIV/0!</v>
      </c>
      <c r="CV23" s="274" t="e">
        <f t="shared" ca="1" si="22"/>
        <v>#DIV/0!</v>
      </c>
      <c r="CW23" s="275">
        <f t="shared" ca="1" si="43"/>
        <v>-1</v>
      </c>
      <c r="CX23" s="276"/>
      <c r="CY23" s="277">
        <f t="shared" ca="1" si="44"/>
        <v>-99</v>
      </c>
      <c r="CZ23" s="278">
        <f t="shared" ca="1" si="45"/>
        <v>-99</v>
      </c>
      <c r="DA23" s="277">
        <f t="shared" ca="1" si="46"/>
        <v>-99</v>
      </c>
      <c r="DB23" s="277">
        <f t="shared" ca="1" si="47"/>
        <v>-99</v>
      </c>
      <c r="DC23" s="279" t="e">
        <f t="shared" ca="1" si="48"/>
        <v>#NUM!</v>
      </c>
      <c r="DD23" s="341">
        <f t="shared" ca="1" si="49"/>
        <v>-999</v>
      </c>
      <c r="DE23" s="279">
        <f t="shared" ca="1" si="23"/>
        <v>-999</v>
      </c>
      <c r="DF23" s="341">
        <f t="shared" ca="1" si="50"/>
        <v>121.41719999999999</v>
      </c>
      <c r="DG23" s="335" t="e">
        <f t="shared" ca="1" si="51"/>
        <v>#DIV/0!</v>
      </c>
      <c r="DH23" s="329" t="e">
        <f t="shared" ca="1" si="52"/>
        <v>#DIV/0!</v>
      </c>
      <c r="DI23" s="329" t="e">
        <f t="shared" ca="1" si="53"/>
        <v>#DIV/0!</v>
      </c>
      <c r="DJ23" s="330">
        <f t="shared" ca="1" si="54"/>
        <v>-1</v>
      </c>
      <c r="DK23" s="331">
        <f t="shared" ca="1" si="55"/>
        <v>-1</v>
      </c>
      <c r="DL23" s="335" t="e">
        <f t="shared" ca="1" si="56"/>
        <v>#DIV/0!</v>
      </c>
      <c r="DM23" s="329" t="e">
        <f t="shared" ca="1" si="57"/>
        <v>#DIV/0!</v>
      </c>
      <c r="DN23" s="329" t="e">
        <f t="shared" ca="1" si="58"/>
        <v>#DIV/0!</v>
      </c>
      <c r="DO23" s="330">
        <f ca="1">IF(ISERROR(DL23),-1,Tgrid!$A$46+0.5774*DN23+1.1547*DL23)</f>
        <v>-1</v>
      </c>
      <c r="DP23" s="331">
        <f t="shared" ca="1" si="59"/>
        <v>-1</v>
      </c>
      <c r="DQ23" s="336" t="e">
        <f t="shared" ca="1" si="60"/>
        <v>#DIV/0!</v>
      </c>
      <c r="DR23" s="337" t="e">
        <f t="shared" ca="1" si="61"/>
        <v>#DIV/0!</v>
      </c>
      <c r="DS23" s="330">
        <f ca="1">IF(ISERROR(DQ23),-1,0.5*Tgrid!$B$42+0.5774*(2+DQ23-DR23))</f>
        <v>-1</v>
      </c>
      <c r="DT23" s="331">
        <f ca="1">IF(ISERROR(DQ23),-1,2+Tgrid!$B$54-DQ23-DR23)</f>
        <v>-1</v>
      </c>
    </row>
    <row r="24" spans="1:124" s="53" customFormat="1" ht="15" x14ac:dyDescent="0.25">
      <c r="A24" s="365" t="s">
        <v>259</v>
      </c>
      <c r="B24" s="89"/>
      <c r="C24" s="114"/>
      <c r="D24" s="21"/>
      <c r="E24" s="89"/>
      <c r="F24" s="21"/>
      <c r="G24" s="21"/>
      <c r="H24" s="366">
        <v>51</v>
      </c>
      <c r="I24" s="323"/>
      <c r="J24" s="367"/>
      <c r="K24" s="367"/>
      <c r="L24" s="367"/>
      <c r="M24" s="367"/>
      <c r="N24" s="367"/>
      <c r="O24" s="367"/>
      <c r="P24" s="367"/>
      <c r="Q24" s="367">
        <v>16</v>
      </c>
      <c r="R24" s="367"/>
      <c r="S24" s="367"/>
      <c r="T24" s="367"/>
      <c r="U24" s="367"/>
      <c r="V24" s="367"/>
      <c r="W24" s="367"/>
      <c r="X24" s="367"/>
      <c r="Y24" s="367"/>
      <c r="Z24" s="367"/>
      <c r="AA24" s="367"/>
      <c r="AB24" s="367"/>
      <c r="AC24" s="367"/>
      <c r="AD24" s="115"/>
      <c r="AE24" s="115"/>
      <c r="AF24" s="116"/>
      <c r="AG24" s="116"/>
      <c r="AH24" s="318">
        <f t="shared" ca="1" si="0"/>
        <v>0</v>
      </c>
      <c r="AI24" s="72">
        <f t="shared" ca="1" si="62"/>
        <v>0</v>
      </c>
      <c r="AJ24" s="72">
        <f t="shared" ca="1" si="62"/>
        <v>0</v>
      </c>
      <c r="AK24" s="72">
        <f t="shared" ca="1" si="62"/>
        <v>0</v>
      </c>
      <c r="AL24" s="72">
        <f t="shared" ca="1" si="62"/>
        <v>51</v>
      </c>
      <c r="AM24" s="72">
        <f t="shared" ca="1" si="62"/>
        <v>0</v>
      </c>
      <c r="AN24" s="72">
        <f t="shared" ca="1" si="62"/>
        <v>0</v>
      </c>
      <c r="AO24" s="72">
        <f t="shared" ca="1" si="63"/>
        <v>0</v>
      </c>
      <c r="AP24" s="72">
        <f t="shared" ca="1" si="63"/>
        <v>0</v>
      </c>
      <c r="AQ24" s="72">
        <f t="shared" ca="1" si="63"/>
        <v>0</v>
      </c>
      <c r="AR24" s="72">
        <f t="shared" ca="1" si="63"/>
        <v>0</v>
      </c>
      <c r="AS24" s="111">
        <f t="shared" ca="1" si="63"/>
        <v>0</v>
      </c>
      <c r="AT24" s="72">
        <f t="shared" ca="1" si="63"/>
        <v>0</v>
      </c>
      <c r="AU24" s="72">
        <f t="shared" ca="1" si="63"/>
        <v>16</v>
      </c>
      <c r="AV24" s="72">
        <f t="shared" ca="1" si="63"/>
        <v>0</v>
      </c>
      <c r="AW24" s="72">
        <f t="shared" ca="1" si="63"/>
        <v>0</v>
      </c>
      <c r="AX24" s="72">
        <f t="shared" ca="1" si="63"/>
        <v>0</v>
      </c>
      <c r="AY24" s="72">
        <f t="shared" ca="1" si="64"/>
        <v>0</v>
      </c>
      <c r="AZ24" s="72">
        <f t="shared" ca="1" si="64"/>
        <v>0</v>
      </c>
      <c r="BA24" s="72">
        <f t="shared" ca="1" si="64"/>
        <v>0</v>
      </c>
      <c r="BB24" s="72">
        <f t="shared" ca="1" si="64"/>
        <v>0</v>
      </c>
      <c r="BC24" s="72">
        <f t="shared" ca="1" si="64"/>
        <v>0</v>
      </c>
      <c r="BD24" s="72">
        <f t="shared" ca="1" si="64"/>
        <v>0</v>
      </c>
      <c r="BE24" s="72">
        <f t="shared" ca="1" si="64"/>
        <v>0</v>
      </c>
      <c r="BF24" s="72">
        <f t="shared" ca="1" si="64"/>
        <v>0</v>
      </c>
      <c r="BG24" s="72">
        <f t="shared" ca="1" si="64"/>
        <v>0</v>
      </c>
      <c r="BH24" s="72">
        <f t="shared" ca="1" si="64"/>
        <v>0</v>
      </c>
      <c r="BI24" s="72">
        <f t="shared" ca="1" si="64"/>
        <v>0</v>
      </c>
      <c r="BJ24" s="72">
        <f t="shared" ca="1" si="4"/>
        <v>0</v>
      </c>
      <c r="BK24" s="72">
        <f t="shared" ca="1" si="24"/>
        <v>99</v>
      </c>
      <c r="BL24" s="72" t="str">
        <f t="shared" ca="1" si="25"/>
        <v/>
      </c>
      <c r="BM24" s="280">
        <f t="shared" ca="1" si="26"/>
        <v>0</v>
      </c>
      <c r="BN24" s="280">
        <f t="shared" ca="1" si="27"/>
        <v>0</v>
      </c>
      <c r="BO24" s="281" t="str">
        <f t="shared" ca="1" si="28"/>
        <v/>
      </c>
      <c r="BP24" s="276"/>
      <c r="BQ24" s="273">
        <f t="shared" ca="1" si="5"/>
        <v>0</v>
      </c>
      <c r="BR24" s="273">
        <f t="shared" ca="1" si="6"/>
        <v>0</v>
      </c>
      <c r="BS24" s="273">
        <f t="shared" ca="1" si="7"/>
        <v>1</v>
      </c>
      <c r="BT24" s="274">
        <f t="shared" ca="1" si="8"/>
        <v>1.1547000000000001</v>
      </c>
      <c r="BU24" s="275">
        <f t="shared" ca="1" si="29"/>
        <v>0</v>
      </c>
      <c r="BV24" s="273">
        <f t="shared" ca="1" si="9"/>
        <v>0</v>
      </c>
      <c r="BW24" s="273">
        <f t="shared" ca="1" si="10"/>
        <v>0</v>
      </c>
      <c r="BX24" s="273">
        <f t="shared" ca="1" si="11"/>
        <v>1</v>
      </c>
      <c r="BY24" s="274">
        <f t="shared" ca="1" si="12"/>
        <v>1.1547000000000001</v>
      </c>
      <c r="BZ24" s="275">
        <f t="shared" ca="1" si="30"/>
        <v>0</v>
      </c>
      <c r="CA24" s="273" t="e">
        <f t="shared" ca="1" si="13"/>
        <v>#DIV/0!</v>
      </c>
      <c r="CB24" s="273" t="e">
        <f t="shared" ca="1" si="14"/>
        <v>#DIV/0!</v>
      </c>
      <c r="CC24" s="273" t="e">
        <f t="shared" ca="1" si="15"/>
        <v>#DIV/0!</v>
      </c>
      <c r="CD24" s="274" t="e">
        <f t="shared" ca="1" si="16"/>
        <v>#DIV/0!</v>
      </c>
      <c r="CE24" s="275">
        <f t="shared" ca="1" si="31"/>
        <v>-1</v>
      </c>
      <c r="CF24" s="273" t="e">
        <f t="shared" ca="1" si="17"/>
        <v>#DIV/0!</v>
      </c>
      <c r="CG24" s="273" t="e">
        <f t="shared" ca="1" si="18"/>
        <v>#DIV/0!</v>
      </c>
      <c r="CH24" s="273" t="e">
        <f t="shared" ca="1" si="19"/>
        <v>#DIV/0!</v>
      </c>
      <c r="CI24" s="274" t="e">
        <f t="shared" ca="1" si="20"/>
        <v>#DIV/0!</v>
      </c>
      <c r="CJ24" s="275">
        <f t="shared" ca="1" si="32"/>
        <v>-1</v>
      </c>
      <c r="CK24" s="319">
        <f t="shared" ca="1" si="33"/>
        <v>0</v>
      </c>
      <c r="CL24" s="319">
        <f t="shared" ca="1" si="34"/>
        <v>0</v>
      </c>
      <c r="CM24" s="319">
        <f t="shared" ca="1" si="35"/>
        <v>0</v>
      </c>
      <c r="CN24" s="306" t="e">
        <f t="shared" ca="1" si="36"/>
        <v>#DIV/0!</v>
      </c>
      <c r="CO24" s="273" t="e">
        <f t="shared" ca="1" si="37"/>
        <v>#DIV/0!</v>
      </c>
      <c r="CP24" s="273" t="e">
        <f t="shared" ca="1" si="38"/>
        <v>#DIV/0!</v>
      </c>
      <c r="CQ24" s="274" t="e">
        <f t="shared" ca="1" si="21"/>
        <v>#DIV/0!</v>
      </c>
      <c r="CR24" s="275">
        <f t="shared" ca="1" si="39"/>
        <v>-1</v>
      </c>
      <c r="CS24" s="273" t="e">
        <f t="shared" ca="1" si="40"/>
        <v>#DIV/0!</v>
      </c>
      <c r="CT24" s="273" t="e">
        <f t="shared" ca="1" si="41"/>
        <v>#DIV/0!</v>
      </c>
      <c r="CU24" s="273" t="e">
        <f t="shared" ca="1" si="42"/>
        <v>#DIV/0!</v>
      </c>
      <c r="CV24" s="274" t="e">
        <f t="shared" ca="1" si="22"/>
        <v>#DIV/0!</v>
      </c>
      <c r="CW24" s="275">
        <f t="shared" ca="1" si="43"/>
        <v>-1</v>
      </c>
      <c r="CX24" s="276"/>
      <c r="CY24" s="277">
        <f t="shared" ca="1" si="44"/>
        <v>-99</v>
      </c>
      <c r="CZ24" s="278">
        <f t="shared" ca="1" si="45"/>
        <v>-99</v>
      </c>
      <c r="DA24" s="277">
        <f t="shared" ca="1" si="46"/>
        <v>-99</v>
      </c>
      <c r="DB24" s="277">
        <f t="shared" ca="1" si="47"/>
        <v>-99</v>
      </c>
      <c r="DC24" s="279" t="e">
        <f t="shared" ca="1" si="48"/>
        <v>#NUM!</v>
      </c>
      <c r="DD24" s="341">
        <f t="shared" ca="1" si="49"/>
        <v>-999</v>
      </c>
      <c r="DE24" s="279">
        <f t="shared" ca="1" si="23"/>
        <v>-999</v>
      </c>
      <c r="DF24" s="341">
        <f t="shared" ca="1" si="50"/>
        <v>213.66403151124848</v>
      </c>
      <c r="DG24" s="335" t="e">
        <f t="shared" ca="1" si="51"/>
        <v>#DIV/0!</v>
      </c>
      <c r="DH24" s="329" t="e">
        <f t="shared" ca="1" si="52"/>
        <v>#DIV/0!</v>
      </c>
      <c r="DI24" s="329" t="e">
        <f t="shared" ca="1" si="53"/>
        <v>#DIV/0!</v>
      </c>
      <c r="DJ24" s="330">
        <f t="shared" ca="1" si="54"/>
        <v>-1</v>
      </c>
      <c r="DK24" s="331">
        <f t="shared" ca="1" si="55"/>
        <v>-1</v>
      </c>
      <c r="DL24" s="335" t="e">
        <f t="shared" ca="1" si="56"/>
        <v>#DIV/0!</v>
      </c>
      <c r="DM24" s="329" t="e">
        <f t="shared" ca="1" si="57"/>
        <v>#DIV/0!</v>
      </c>
      <c r="DN24" s="329" t="e">
        <f t="shared" ca="1" si="58"/>
        <v>#DIV/0!</v>
      </c>
      <c r="DO24" s="330">
        <f ca="1">IF(ISERROR(DL24),-1,Tgrid!$A$46+0.5774*DN24+1.1547*DL24)</f>
        <v>-1</v>
      </c>
      <c r="DP24" s="331">
        <f t="shared" ca="1" si="59"/>
        <v>-1</v>
      </c>
      <c r="DQ24" s="336" t="e">
        <f t="shared" ca="1" si="60"/>
        <v>#DIV/0!</v>
      </c>
      <c r="DR24" s="337" t="e">
        <f t="shared" ca="1" si="61"/>
        <v>#DIV/0!</v>
      </c>
      <c r="DS24" s="330">
        <f ca="1">IF(ISERROR(DQ24),-1,0.5*Tgrid!$B$42+0.5774*(2+DQ24-DR24))</f>
        <v>-1</v>
      </c>
      <c r="DT24" s="331">
        <f ca="1">IF(ISERROR(DQ24),-1,2+Tgrid!$B$54-DQ24-DR24)</f>
        <v>-1</v>
      </c>
    </row>
    <row r="25" spans="1:124" s="53" customFormat="1" ht="15" x14ac:dyDescent="0.25">
      <c r="A25" s="365" t="s">
        <v>260</v>
      </c>
      <c r="B25" s="89"/>
      <c r="C25" s="114"/>
      <c r="D25" s="21"/>
      <c r="E25" s="89"/>
      <c r="F25" s="218"/>
      <c r="G25" s="117"/>
      <c r="H25" s="366"/>
      <c r="I25" s="323"/>
      <c r="J25" s="367"/>
      <c r="K25" s="367"/>
      <c r="L25" s="367"/>
      <c r="M25" s="367"/>
      <c r="N25" s="367"/>
      <c r="O25" s="367"/>
      <c r="P25" s="367"/>
      <c r="Q25" s="367">
        <v>0.3</v>
      </c>
      <c r="R25" s="367"/>
      <c r="S25" s="367"/>
      <c r="T25" s="367"/>
      <c r="U25" s="367"/>
      <c r="V25" s="367"/>
      <c r="W25" s="367"/>
      <c r="X25" s="367"/>
      <c r="Y25" s="367"/>
      <c r="Z25" s="367"/>
      <c r="AA25" s="367"/>
      <c r="AB25" s="367"/>
      <c r="AC25" s="367"/>
      <c r="AD25" s="118"/>
      <c r="AE25" s="119"/>
      <c r="AF25" s="116"/>
      <c r="AG25" s="116"/>
      <c r="AH25" s="318">
        <f t="shared" ca="1" si="0"/>
        <v>0</v>
      </c>
      <c r="AI25" s="72">
        <f t="shared" ca="1" si="62"/>
        <v>0</v>
      </c>
      <c r="AJ25" s="72">
        <f t="shared" ca="1" si="62"/>
        <v>0</v>
      </c>
      <c r="AK25" s="72">
        <f t="shared" ca="1" si="62"/>
        <v>0</v>
      </c>
      <c r="AL25" s="72">
        <f t="shared" ca="1" si="62"/>
        <v>0</v>
      </c>
      <c r="AM25" s="72">
        <f t="shared" ca="1" si="62"/>
        <v>0</v>
      </c>
      <c r="AN25" s="72">
        <f t="shared" ca="1" si="62"/>
        <v>0</v>
      </c>
      <c r="AO25" s="72">
        <f t="shared" ca="1" si="63"/>
        <v>0</v>
      </c>
      <c r="AP25" s="72">
        <f t="shared" ca="1" si="63"/>
        <v>0</v>
      </c>
      <c r="AQ25" s="72">
        <f t="shared" ca="1" si="63"/>
        <v>0</v>
      </c>
      <c r="AR25" s="72">
        <f t="shared" ca="1" si="63"/>
        <v>0</v>
      </c>
      <c r="AS25" s="111">
        <f t="shared" ca="1" si="63"/>
        <v>0</v>
      </c>
      <c r="AT25" s="72">
        <f t="shared" ca="1" si="63"/>
        <v>0</v>
      </c>
      <c r="AU25" s="72">
        <f t="shared" ca="1" si="63"/>
        <v>0.3</v>
      </c>
      <c r="AV25" s="72">
        <f t="shared" ca="1" si="63"/>
        <v>0</v>
      </c>
      <c r="AW25" s="72">
        <f t="shared" ca="1" si="63"/>
        <v>0</v>
      </c>
      <c r="AX25" s="72">
        <f t="shared" ca="1" si="63"/>
        <v>0</v>
      </c>
      <c r="AY25" s="72">
        <f t="shared" ca="1" si="64"/>
        <v>0</v>
      </c>
      <c r="AZ25" s="72">
        <f t="shared" ca="1" si="64"/>
        <v>0</v>
      </c>
      <c r="BA25" s="72">
        <f t="shared" ca="1" si="64"/>
        <v>0</v>
      </c>
      <c r="BB25" s="72">
        <f t="shared" ca="1" si="64"/>
        <v>0</v>
      </c>
      <c r="BC25" s="72">
        <f t="shared" ca="1" si="64"/>
        <v>0</v>
      </c>
      <c r="BD25" s="72">
        <f t="shared" ca="1" si="64"/>
        <v>0</v>
      </c>
      <c r="BE25" s="72">
        <f t="shared" ca="1" si="64"/>
        <v>0</v>
      </c>
      <c r="BF25" s="72">
        <f t="shared" ca="1" si="64"/>
        <v>0</v>
      </c>
      <c r="BG25" s="72">
        <f t="shared" ca="1" si="64"/>
        <v>0</v>
      </c>
      <c r="BH25" s="72">
        <f t="shared" ca="1" si="64"/>
        <v>0</v>
      </c>
      <c r="BI25" s="72">
        <f t="shared" ca="1" si="64"/>
        <v>0</v>
      </c>
      <c r="BJ25" s="72">
        <f t="shared" ca="1" si="4"/>
        <v>0</v>
      </c>
      <c r="BK25" s="72">
        <f t="shared" ca="1" si="24"/>
        <v>99</v>
      </c>
      <c r="BL25" s="72" t="str">
        <f t="shared" ca="1" si="25"/>
        <v/>
      </c>
      <c r="BM25" s="280">
        <f t="shared" ca="1" si="26"/>
        <v>0</v>
      </c>
      <c r="BN25" s="280">
        <f t="shared" ca="1" si="27"/>
        <v>0</v>
      </c>
      <c r="BO25" s="281" t="str">
        <f t="shared" ca="1" si="28"/>
        <v/>
      </c>
      <c r="BP25" s="276"/>
      <c r="BQ25" s="273">
        <f t="shared" ca="1" si="5"/>
        <v>0</v>
      </c>
      <c r="BR25" s="273">
        <f t="shared" ca="1" si="6"/>
        <v>0</v>
      </c>
      <c r="BS25" s="273">
        <f t="shared" ca="1" si="7"/>
        <v>1</v>
      </c>
      <c r="BT25" s="274">
        <f t="shared" ca="1" si="8"/>
        <v>1.1547000000000001</v>
      </c>
      <c r="BU25" s="275">
        <f t="shared" ca="1" si="29"/>
        <v>0</v>
      </c>
      <c r="BV25" s="273">
        <f t="shared" ca="1" si="9"/>
        <v>0</v>
      </c>
      <c r="BW25" s="273">
        <f t="shared" ca="1" si="10"/>
        <v>0</v>
      </c>
      <c r="BX25" s="273">
        <f t="shared" ca="1" si="11"/>
        <v>1</v>
      </c>
      <c r="BY25" s="274">
        <f t="shared" ca="1" si="12"/>
        <v>1.1547000000000001</v>
      </c>
      <c r="BZ25" s="275">
        <f t="shared" ca="1" si="30"/>
        <v>0</v>
      </c>
      <c r="CA25" s="273" t="e">
        <f t="shared" ca="1" si="13"/>
        <v>#DIV/0!</v>
      </c>
      <c r="CB25" s="273" t="e">
        <f t="shared" ca="1" si="14"/>
        <v>#DIV/0!</v>
      </c>
      <c r="CC25" s="273" t="e">
        <f t="shared" ca="1" si="15"/>
        <v>#DIV/0!</v>
      </c>
      <c r="CD25" s="274" t="e">
        <f t="shared" ca="1" si="16"/>
        <v>#DIV/0!</v>
      </c>
      <c r="CE25" s="275">
        <f t="shared" ca="1" si="31"/>
        <v>-1</v>
      </c>
      <c r="CF25" s="273" t="e">
        <f t="shared" ca="1" si="17"/>
        <v>#DIV/0!</v>
      </c>
      <c r="CG25" s="273" t="e">
        <f t="shared" ca="1" si="18"/>
        <v>#DIV/0!</v>
      </c>
      <c r="CH25" s="273" t="e">
        <f t="shared" ca="1" si="19"/>
        <v>#DIV/0!</v>
      </c>
      <c r="CI25" s="274" t="e">
        <f t="shared" ca="1" si="20"/>
        <v>#DIV/0!</v>
      </c>
      <c r="CJ25" s="275">
        <f t="shared" ca="1" si="32"/>
        <v>-1</v>
      </c>
      <c r="CK25" s="319">
        <f t="shared" ca="1" si="33"/>
        <v>0</v>
      </c>
      <c r="CL25" s="319">
        <f t="shared" ca="1" si="34"/>
        <v>0</v>
      </c>
      <c r="CM25" s="319">
        <f t="shared" ca="1" si="35"/>
        <v>0</v>
      </c>
      <c r="CN25" s="306" t="e">
        <f t="shared" ca="1" si="36"/>
        <v>#DIV/0!</v>
      </c>
      <c r="CO25" s="273" t="e">
        <f t="shared" ca="1" si="37"/>
        <v>#DIV/0!</v>
      </c>
      <c r="CP25" s="273" t="e">
        <f t="shared" ca="1" si="38"/>
        <v>#DIV/0!</v>
      </c>
      <c r="CQ25" s="274" t="e">
        <f t="shared" ca="1" si="21"/>
        <v>#DIV/0!</v>
      </c>
      <c r="CR25" s="275">
        <f t="shared" ca="1" si="39"/>
        <v>-1</v>
      </c>
      <c r="CS25" s="273" t="e">
        <f t="shared" ca="1" si="40"/>
        <v>#DIV/0!</v>
      </c>
      <c r="CT25" s="273" t="e">
        <f t="shared" ca="1" si="41"/>
        <v>#DIV/0!</v>
      </c>
      <c r="CU25" s="273" t="e">
        <f t="shared" ca="1" si="42"/>
        <v>#DIV/0!</v>
      </c>
      <c r="CV25" s="274" t="e">
        <f t="shared" ca="1" si="22"/>
        <v>#DIV/0!</v>
      </c>
      <c r="CW25" s="275">
        <f t="shared" ca="1" si="43"/>
        <v>-1</v>
      </c>
      <c r="CX25" s="276"/>
      <c r="CY25" s="277">
        <f t="shared" ca="1" si="44"/>
        <v>-99</v>
      </c>
      <c r="CZ25" s="278">
        <f t="shared" ca="1" si="45"/>
        <v>-99</v>
      </c>
      <c r="DA25" s="277">
        <f t="shared" ca="1" si="46"/>
        <v>-99</v>
      </c>
      <c r="DB25" s="277">
        <f t="shared" ca="1" si="47"/>
        <v>-99</v>
      </c>
      <c r="DC25" s="279" t="e">
        <f t="shared" ca="1" si="48"/>
        <v>#NUM!</v>
      </c>
      <c r="DD25" s="341">
        <f t="shared" ca="1" si="49"/>
        <v>-999</v>
      </c>
      <c r="DE25" s="279">
        <f t="shared" ca="1" si="23"/>
        <v>-999</v>
      </c>
      <c r="DF25" s="341">
        <f t="shared" ca="1" si="50"/>
        <v>-999</v>
      </c>
      <c r="DG25" s="335" t="e">
        <f t="shared" ca="1" si="51"/>
        <v>#DIV/0!</v>
      </c>
      <c r="DH25" s="329" t="e">
        <f t="shared" ca="1" si="52"/>
        <v>#DIV/0!</v>
      </c>
      <c r="DI25" s="329" t="e">
        <f t="shared" ca="1" si="53"/>
        <v>#DIV/0!</v>
      </c>
      <c r="DJ25" s="330">
        <f t="shared" ca="1" si="54"/>
        <v>-1</v>
      </c>
      <c r="DK25" s="331">
        <f t="shared" ca="1" si="55"/>
        <v>-1</v>
      </c>
      <c r="DL25" s="335" t="e">
        <f t="shared" ca="1" si="56"/>
        <v>#DIV/0!</v>
      </c>
      <c r="DM25" s="329" t="e">
        <f t="shared" ca="1" si="57"/>
        <v>#DIV/0!</v>
      </c>
      <c r="DN25" s="329" t="e">
        <f t="shared" ca="1" si="58"/>
        <v>#DIV/0!</v>
      </c>
      <c r="DO25" s="330">
        <f ca="1">IF(ISERROR(DL25),-1,Tgrid!$A$46+0.5774*DN25+1.1547*DL25)</f>
        <v>-1</v>
      </c>
      <c r="DP25" s="331">
        <f t="shared" ca="1" si="59"/>
        <v>-1</v>
      </c>
      <c r="DQ25" s="336" t="e">
        <f t="shared" ca="1" si="60"/>
        <v>#DIV/0!</v>
      </c>
      <c r="DR25" s="337" t="e">
        <f t="shared" ca="1" si="61"/>
        <v>#DIV/0!</v>
      </c>
      <c r="DS25" s="330">
        <f ca="1">IF(ISERROR(DQ25),-1,0.5*Tgrid!$B$42+0.5774*(2+DQ25-DR25))</f>
        <v>-1</v>
      </c>
      <c r="DT25" s="331">
        <f ca="1">IF(ISERROR(DQ25),-1,2+Tgrid!$B$54-DQ25-DR25)</f>
        <v>-1</v>
      </c>
    </row>
    <row r="26" spans="1:124" s="53" customFormat="1" ht="15" x14ac:dyDescent="0.25">
      <c r="A26" s="365" t="s">
        <v>261</v>
      </c>
      <c r="B26" s="89"/>
      <c r="C26" s="114"/>
      <c r="D26" s="21"/>
      <c r="E26" s="89"/>
      <c r="F26" s="21"/>
      <c r="G26" s="21"/>
      <c r="H26" s="366">
        <v>43</v>
      </c>
      <c r="I26" s="323"/>
      <c r="J26" s="367"/>
      <c r="K26" s="367"/>
      <c r="L26" s="367"/>
      <c r="M26" s="367"/>
      <c r="N26" s="367"/>
      <c r="O26" s="367"/>
      <c r="P26" s="367"/>
      <c r="Q26" s="367">
        <v>3.5</v>
      </c>
      <c r="R26" s="367"/>
      <c r="S26" s="367"/>
      <c r="T26" s="367"/>
      <c r="U26" s="367"/>
      <c r="V26" s="367"/>
      <c r="W26" s="367"/>
      <c r="X26" s="367"/>
      <c r="Y26" s="367"/>
      <c r="Z26" s="367"/>
      <c r="AA26" s="367"/>
      <c r="AB26" s="367"/>
      <c r="AC26" s="367"/>
      <c r="AD26" s="115"/>
      <c r="AE26" s="115"/>
      <c r="AF26" s="116"/>
      <c r="AG26" s="116"/>
      <c r="AH26" s="318">
        <f t="shared" ca="1" si="0"/>
        <v>0</v>
      </c>
      <c r="AI26" s="72">
        <f t="shared" ca="1" si="62"/>
        <v>0</v>
      </c>
      <c r="AJ26" s="72">
        <f t="shared" ca="1" si="62"/>
        <v>0</v>
      </c>
      <c r="AK26" s="72">
        <f t="shared" ca="1" si="62"/>
        <v>0</v>
      </c>
      <c r="AL26" s="72">
        <f t="shared" ca="1" si="62"/>
        <v>43</v>
      </c>
      <c r="AM26" s="72">
        <f t="shared" ca="1" si="62"/>
        <v>0</v>
      </c>
      <c r="AN26" s="72">
        <f t="shared" ca="1" si="62"/>
        <v>0</v>
      </c>
      <c r="AO26" s="72">
        <f t="shared" ca="1" si="63"/>
        <v>0</v>
      </c>
      <c r="AP26" s="72">
        <f t="shared" ca="1" si="63"/>
        <v>0</v>
      </c>
      <c r="AQ26" s="72">
        <f t="shared" ca="1" si="63"/>
        <v>0</v>
      </c>
      <c r="AR26" s="72">
        <f t="shared" ca="1" si="63"/>
        <v>0</v>
      </c>
      <c r="AS26" s="111">
        <f t="shared" ca="1" si="63"/>
        <v>0</v>
      </c>
      <c r="AT26" s="72">
        <f t="shared" ca="1" si="63"/>
        <v>0</v>
      </c>
      <c r="AU26" s="72">
        <f t="shared" ca="1" si="63"/>
        <v>3.5</v>
      </c>
      <c r="AV26" s="72">
        <f t="shared" ca="1" si="63"/>
        <v>0</v>
      </c>
      <c r="AW26" s="72">
        <f t="shared" ca="1" si="63"/>
        <v>0</v>
      </c>
      <c r="AX26" s="72">
        <f t="shared" ca="1" si="63"/>
        <v>0</v>
      </c>
      <c r="AY26" s="72">
        <f t="shared" ca="1" si="64"/>
        <v>0</v>
      </c>
      <c r="AZ26" s="72">
        <f t="shared" ca="1" si="64"/>
        <v>0</v>
      </c>
      <c r="BA26" s="72">
        <f t="shared" ca="1" si="64"/>
        <v>0</v>
      </c>
      <c r="BB26" s="72">
        <f t="shared" ca="1" si="64"/>
        <v>0</v>
      </c>
      <c r="BC26" s="72">
        <f t="shared" ca="1" si="64"/>
        <v>0</v>
      </c>
      <c r="BD26" s="72">
        <f t="shared" ca="1" si="64"/>
        <v>0</v>
      </c>
      <c r="BE26" s="72">
        <f t="shared" ca="1" si="64"/>
        <v>0</v>
      </c>
      <c r="BF26" s="72">
        <f t="shared" ca="1" si="64"/>
        <v>0</v>
      </c>
      <c r="BG26" s="72">
        <f t="shared" ca="1" si="64"/>
        <v>0</v>
      </c>
      <c r="BH26" s="72">
        <f t="shared" ca="1" si="64"/>
        <v>0</v>
      </c>
      <c r="BI26" s="72">
        <f t="shared" ca="1" si="64"/>
        <v>0</v>
      </c>
      <c r="BJ26" s="72">
        <f t="shared" ca="1" si="4"/>
        <v>0</v>
      </c>
      <c r="BK26" s="72">
        <f t="shared" ca="1" si="24"/>
        <v>99</v>
      </c>
      <c r="BL26" s="72" t="str">
        <f t="shared" ca="1" si="25"/>
        <v/>
      </c>
      <c r="BM26" s="280">
        <f t="shared" ca="1" si="26"/>
        <v>0</v>
      </c>
      <c r="BN26" s="280">
        <f t="shared" ca="1" si="27"/>
        <v>0</v>
      </c>
      <c r="BO26" s="281" t="str">
        <f t="shared" ca="1" si="28"/>
        <v/>
      </c>
      <c r="BP26" s="276"/>
      <c r="BQ26" s="273">
        <f t="shared" ca="1" si="5"/>
        <v>0</v>
      </c>
      <c r="BR26" s="273">
        <f t="shared" ca="1" si="6"/>
        <v>0</v>
      </c>
      <c r="BS26" s="273">
        <f t="shared" ca="1" si="7"/>
        <v>1</v>
      </c>
      <c r="BT26" s="274">
        <f t="shared" ca="1" si="8"/>
        <v>1.1547000000000001</v>
      </c>
      <c r="BU26" s="275">
        <f t="shared" ca="1" si="29"/>
        <v>0</v>
      </c>
      <c r="BV26" s="273">
        <f t="shared" ca="1" si="9"/>
        <v>0</v>
      </c>
      <c r="BW26" s="273">
        <f t="shared" ca="1" si="10"/>
        <v>0</v>
      </c>
      <c r="BX26" s="273">
        <f t="shared" ca="1" si="11"/>
        <v>1</v>
      </c>
      <c r="BY26" s="274">
        <f t="shared" ca="1" si="12"/>
        <v>1.1547000000000001</v>
      </c>
      <c r="BZ26" s="275">
        <f t="shared" ca="1" si="30"/>
        <v>0</v>
      </c>
      <c r="CA26" s="273" t="e">
        <f t="shared" ca="1" si="13"/>
        <v>#DIV/0!</v>
      </c>
      <c r="CB26" s="273" t="e">
        <f t="shared" ca="1" si="14"/>
        <v>#DIV/0!</v>
      </c>
      <c r="CC26" s="273" t="e">
        <f t="shared" ca="1" si="15"/>
        <v>#DIV/0!</v>
      </c>
      <c r="CD26" s="274" t="e">
        <f t="shared" ca="1" si="16"/>
        <v>#DIV/0!</v>
      </c>
      <c r="CE26" s="275">
        <f t="shared" ca="1" si="31"/>
        <v>-1</v>
      </c>
      <c r="CF26" s="273" t="e">
        <f t="shared" ca="1" si="17"/>
        <v>#DIV/0!</v>
      </c>
      <c r="CG26" s="273" t="e">
        <f t="shared" ca="1" si="18"/>
        <v>#DIV/0!</v>
      </c>
      <c r="CH26" s="273" t="e">
        <f t="shared" ca="1" si="19"/>
        <v>#DIV/0!</v>
      </c>
      <c r="CI26" s="274" t="e">
        <f t="shared" ca="1" si="20"/>
        <v>#DIV/0!</v>
      </c>
      <c r="CJ26" s="275">
        <f t="shared" ca="1" si="32"/>
        <v>-1</v>
      </c>
      <c r="CK26" s="319">
        <f t="shared" ca="1" si="33"/>
        <v>0</v>
      </c>
      <c r="CL26" s="319">
        <f t="shared" ca="1" si="34"/>
        <v>0</v>
      </c>
      <c r="CM26" s="319">
        <f t="shared" ca="1" si="35"/>
        <v>0</v>
      </c>
      <c r="CN26" s="306" t="e">
        <f t="shared" ca="1" si="36"/>
        <v>#DIV/0!</v>
      </c>
      <c r="CO26" s="273" t="e">
        <f t="shared" ca="1" si="37"/>
        <v>#DIV/0!</v>
      </c>
      <c r="CP26" s="273" t="e">
        <f t="shared" ca="1" si="38"/>
        <v>#DIV/0!</v>
      </c>
      <c r="CQ26" s="274" t="e">
        <f t="shared" ca="1" si="21"/>
        <v>#DIV/0!</v>
      </c>
      <c r="CR26" s="275">
        <f t="shared" ca="1" si="39"/>
        <v>-1</v>
      </c>
      <c r="CS26" s="273" t="e">
        <f t="shared" ca="1" si="40"/>
        <v>#DIV/0!</v>
      </c>
      <c r="CT26" s="273" t="e">
        <f t="shared" ca="1" si="41"/>
        <v>#DIV/0!</v>
      </c>
      <c r="CU26" s="273" t="e">
        <f t="shared" ca="1" si="42"/>
        <v>#DIV/0!</v>
      </c>
      <c r="CV26" s="274" t="e">
        <f t="shared" ca="1" si="22"/>
        <v>#DIV/0!</v>
      </c>
      <c r="CW26" s="275">
        <f t="shared" ca="1" si="43"/>
        <v>-1</v>
      </c>
      <c r="CX26" s="276"/>
      <c r="CY26" s="277">
        <f t="shared" ca="1" si="44"/>
        <v>-99</v>
      </c>
      <c r="CZ26" s="278">
        <f t="shared" ca="1" si="45"/>
        <v>-99</v>
      </c>
      <c r="DA26" s="277">
        <f t="shared" ca="1" si="46"/>
        <v>-99</v>
      </c>
      <c r="DB26" s="277">
        <f t="shared" ca="1" si="47"/>
        <v>-99</v>
      </c>
      <c r="DC26" s="279" t="e">
        <f t="shared" ca="1" si="48"/>
        <v>#NUM!</v>
      </c>
      <c r="DD26" s="341">
        <f t="shared" ca="1" si="49"/>
        <v>-999</v>
      </c>
      <c r="DE26" s="279">
        <f t="shared" ca="1" si="23"/>
        <v>-999</v>
      </c>
      <c r="DF26" s="341">
        <f t="shared" ca="1" si="50"/>
        <v>180.0324</v>
      </c>
      <c r="DG26" s="335" t="e">
        <f t="shared" ca="1" si="51"/>
        <v>#DIV/0!</v>
      </c>
      <c r="DH26" s="329" t="e">
        <f t="shared" ca="1" si="52"/>
        <v>#DIV/0!</v>
      </c>
      <c r="DI26" s="329" t="e">
        <f t="shared" ca="1" si="53"/>
        <v>#DIV/0!</v>
      </c>
      <c r="DJ26" s="330">
        <f t="shared" ca="1" si="54"/>
        <v>-1</v>
      </c>
      <c r="DK26" s="331">
        <f t="shared" ca="1" si="55"/>
        <v>-1</v>
      </c>
      <c r="DL26" s="335" t="e">
        <f t="shared" ca="1" si="56"/>
        <v>#DIV/0!</v>
      </c>
      <c r="DM26" s="329" t="e">
        <f t="shared" ca="1" si="57"/>
        <v>#DIV/0!</v>
      </c>
      <c r="DN26" s="329" t="e">
        <f t="shared" ca="1" si="58"/>
        <v>#DIV/0!</v>
      </c>
      <c r="DO26" s="330">
        <f ca="1">IF(ISERROR(DL26),-1,Tgrid!$A$46+0.5774*DN26+1.1547*DL26)</f>
        <v>-1</v>
      </c>
      <c r="DP26" s="331">
        <f t="shared" ca="1" si="59"/>
        <v>-1</v>
      </c>
      <c r="DQ26" s="336" t="e">
        <f t="shared" ca="1" si="60"/>
        <v>#DIV/0!</v>
      </c>
      <c r="DR26" s="337" t="e">
        <f t="shared" ca="1" si="61"/>
        <v>#DIV/0!</v>
      </c>
      <c r="DS26" s="330">
        <f ca="1">IF(ISERROR(DQ26),-1,0.5*Tgrid!$B$42+0.5774*(2+DQ26-DR26))</f>
        <v>-1</v>
      </c>
      <c r="DT26" s="331">
        <f ca="1">IF(ISERROR(DQ26),-1,2+Tgrid!$B$54-DQ26-DR26)</f>
        <v>-1</v>
      </c>
    </row>
    <row r="27" spans="1:124" s="54" customFormat="1" ht="15" x14ac:dyDescent="0.25">
      <c r="A27" s="365" t="s">
        <v>262</v>
      </c>
      <c r="B27" s="89"/>
      <c r="C27" s="114"/>
      <c r="D27" s="21"/>
      <c r="E27" s="89"/>
      <c r="F27" s="218"/>
      <c r="G27" s="117"/>
      <c r="H27" s="366">
        <v>39</v>
      </c>
      <c r="I27" s="323"/>
      <c r="J27" s="367"/>
      <c r="K27" s="367"/>
      <c r="L27" s="367"/>
      <c r="M27" s="367"/>
      <c r="N27" s="367"/>
      <c r="O27" s="367"/>
      <c r="P27" s="367"/>
      <c r="Q27" s="367">
        <v>3.8</v>
      </c>
      <c r="R27" s="367"/>
      <c r="S27" s="367"/>
      <c r="T27" s="367"/>
      <c r="U27" s="367"/>
      <c r="V27" s="367"/>
      <c r="W27" s="367"/>
      <c r="X27" s="367"/>
      <c r="Y27" s="367"/>
      <c r="Z27" s="367"/>
      <c r="AA27" s="367"/>
      <c r="AB27" s="367"/>
      <c r="AC27" s="367"/>
      <c r="AD27" s="118"/>
      <c r="AE27" s="119"/>
      <c r="AF27" s="116"/>
      <c r="AG27" s="116"/>
      <c r="AH27" s="318">
        <f t="shared" ca="1" si="0"/>
        <v>0</v>
      </c>
      <c r="AI27" s="72">
        <f t="shared" ca="1" si="62"/>
        <v>0</v>
      </c>
      <c r="AJ27" s="72">
        <f t="shared" ca="1" si="62"/>
        <v>0</v>
      </c>
      <c r="AK27" s="72">
        <f t="shared" ca="1" si="62"/>
        <v>0</v>
      </c>
      <c r="AL27" s="72">
        <f t="shared" ca="1" si="62"/>
        <v>39</v>
      </c>
      <c r="AM27" s="72">
        <f t="shared" ca="1" si="62"/>
        <v>0</v>
      </c>
      <c r="AN27" s="72">
        <f t="shared" ca="1" si="62"/>
        <v>0</v>
      </c>
      <c r="AO27" s="72">
        <f t="shared" ca="1" si="63"/>
        <v>0</v>
      </c>
      <c r="AP27" s="72">
        <f t="shared" ca="1" si="63"/>
        <v>0</v>
      </c>
      <c r="AQ27" s="72">
        <f t="shared" ca="1" si="63"/>
        <v>0</v>
      </c>
      <c r="AR27" s="72">
        <f t="shared" ca="1" si="63"/>
        <v>0</v>
      </c>
      <c r="AS27" s="111">
        <f t="shared" ca="1" si="63"/>
        <v>0</v>
      </c>
      <c r="AT27" s="72">
        <f t="shared" ca="1" si="63"/>
        <v>0</v>
      </c>
      <c r="AU27" s="72">
        <f t="shared" ca="1" si="63"/>
        <v>3.8</v>
      </c>
      <c r="AV27" s="72">
        <f t="shared" ca="1" si="63"/>
        <v>0</v>
      </c>
      <c r="AW27" s="72">
        <f t="shared" ca="1" si="63"/>
        <v>0</v>
      </c>
      <c r="AX27" s="72">
        <f t="shared" ca="1" si="63"/>
        <v>0</v>
      </c>
      <c r="AY27" s="72">
        <f t="shared" ca="1" si="64"/>
        <v>0</v>
      </c>
      <c r="AZ27" s="72">
        <f t="shared" ca="1" si="64"/>
        <v>0</v>
      </c>
      <c r="BA27" s="72">
        <f t="shared" ca="1" si="64"/>
        <v>0</v>
      </c>
      <c r="BB27" s="72">
        <f t="shared" ca="1" si="64"/>
        <v>0</v>
      </c>
      <c r="BC27" s="72">
        <f t="shared" ca="1" si="64"/>
        <v>0</v>
      </c>
      <c r="BD27" s="72">
        <f t="shared" ca="1" si="64"/>
        <v>0</v>
      </c>
      <c r="BE27" s="72">
        <f t="shared" ca="1" si="64"/>
        <v>0</v>
      </c>
      <c r="BF27" s="72">
        <f t="shared" ca="1" si="64"/>
        <v>0</v>
      </c>
      <c r="BG27" s="72">
        <f t="shared" ca="1" si="64"/>
        <v>0</v>
      </c>
      <c r="BH27" s="72">
        <f t="shared" ca="1" si="64"/>
        <v>0</v>
      </c>
      <c r="BI27" s="72">
        <f t="shared" ca="1" si="64"/>
        <v>0</v>
      </c>
      <c r="BJ27" s="72">
        <f t="shared" ca="1" si="4"/>
        <v>0</v>
      </c>
      <c r="BK27" s="72">
        <f t="shared" ca="1" si="24"/>
        <v>99</v>
      </c>
      <c r="BL27" s="72" t="str">
        <f t="shared" ca="1" si="25"/>
        <v/>
      </c>
      <c r="BM27" s="280">
        <f t="shared" ca="1" si="26"/>
        <v>0</v>
      </c>
      <c r="BN27" s="280">
        <f t="shared" ca="1" si="27"/>
        <v>0</v>
      </c>
      <c r="BO27" s="281" t="str">
        <f t="shared" ca="1" si="28"/>
        <v/>
      </c>
      <c r="BP27" s="283"/>
      <c r="BQ27" s="273">
        <f t="shared" ca="1" si="5"/>
        <v>0</v>
      </c>
      <c r="BR27" s="273">
        <f t="shared" ca="1" si="6"/>
        <v>0</v>
      </c>
      <c r="BS27" s="273">
        <f t="shared" ca="1" si="7"/>
        <v>1</v>
      </c>
      <c r="BT27" s="274">
        <f t="shared" ca="1" si="8"/>
        <v>1.1547000000000001</v>
      </c>
      <c r="BU27" s="275">
        <f t="shared" ca="1" si="29"/>
        <v>0</v>
      </c>
      <c r="BV27" s="273">
        <f t="shared" ca="1" si="9"/>
        <v>0</v>
      </c>
      <c r="BW27" s="273">
        <f t="shared" ca="1" si="10"/>
        <v>0</v>
      </c>
      <c r="BX27" s="273">
        <f t="shared" ca="1" si="11"/>
        <v>1</v>
      </c>
      <c r="BY27" s="274">
        <f t="shared" ca="1" si="12"/>
        <v>1.1547000000000001</v>
      </c>
      <c r="BZ27" s="275">
        <f t="shared" ca="1" si="30"/>
        <v>0</v>
      </c>
      <c r="CA27" s="273" t="e">
        <f t="shared" ca="1" si="13"/>
        <v>#DIV/0!</v>
      </c>
      <c r="CB27" s="273" t="e">
        <f t="shared" ca="1" si="14"/>
        <v>#DIV/0!</v>
      </c>
      <c r="CC27" s="273" t="e">
        <f t="shared" ca="1" si="15"/>
        <v>#DIV/0!</v>
      </c>
      <c r="CD27" s="274" t="e">
        <f t="shared" ca="1" si="16"/>
        <v>#DIV/0!</v>
      </c>
      <c r="CE27" s="275">
        <f t="shared" ca="1" si="31"/>
        <v>-1</v>
      </c>
      <c r="CF27" s="273" t="e">
        <f t="shared" ca="1" si="17"/>
        <v>#DIV/0!</v>
      </c>
      <c r="CG27" s="273" t="e">
        <f t="shared" ca="1" si="18"/>
        <v>#DIV/0!</v>
      </c>
      <c r="CH27" s="273" t="e">
        <f t="shared" ca="1" si="19"/>
        <v>#DIV/0!</v>
      </c>
      <c r="CI27" s="274" t="e">
        <f t="shared" ca="1" si="20"/>
        <v>#DIV/0!</v>
      </c>
      <c r="CJ27" s="275">
        <f t="shared" ca="1" si="32"/>
        <v>-1</v>
      </c>
      <c r="CK27" s="319">
        <f t="shared" ca="1" si="33"/>
        <v>0</v>
      </c>
      <c r="CL27" s="319">
        <f t="shared" ca="1" si="34"/>
        <v>0</v>
      </c>
      <c r="CM27" s="319">
        <f t="shared" ca="1" si="35"/>
        <v>0</v>
      </c>
      <c r="CN27" s="306" t="e">
        <f t="shared" ca="1" si="36"/>
        <v>#DIV/0!</v>
      </c>
      <c r="CO27" s="273" t="e">
        <f t="shared" ca="1" si="37"/>
        <v>#DIV/0!</v>
      </c>
      <c r="CP27" s="273" t="e">
        <f t="shared" ca="1" si="38"/>
        <v>#DIV/0!</v>
      </c>
      <c r="CQ27" s="274" t="e">
        <f t="shared" ca="1" si="21"/>
        <v>#DIV/0!</v>
      </c>
      <c r="CR27" s="275">
        <f t="shared" ca="1" si="39"/>
        <v>-1</v>
      </c>
      <c r="CS27" s="273" t="e">
        <f t="shared" ca="1" si="40"/>
        <v>#DIV/0!</v>
      </c>
      <c r="CT27" s="273" t="e">
        <f t="shared" ca="1" si="41"/>
        <v>#DIV/0!</v>
      </c>
      <c r="CU27" s="273" t="e">
        <f t="shared" ca="1" si="42"/>
        <v>#DIV/0!</v>
      </c>
      <c r="CV27" s="274" t="e">
        <f t="shared" ca="1" si="22"/>
        <v>#DIV/0!</v>
      </c>
      <c r="CW27" s="275">
        <f t="shared" ca="1" si="43"/>
        <v>-1</v>
      </c>
      <c r="CX27" s="276"/>
      <c r="CY27" s="277">
        <f t="shared" ca="1" si="44"/>
        <v>-99</v>
      </c>
      <c r="CZ27" s="278">
        <f t="shared" ca="1" si="45"/>
        <v>-99</v>
      </c>
      <c r="DA27" s="277">
        <f t="shared" ca="1" si="46"/>
        <v>-99</v>
      </c>
      <c r="DB27" s="277">
        <f t="shared" ca="1" si="47"/>
        <v>-99</v>
      </c>
      <c r="DC27" s="279" t="e">
        <f t="shared" ca="1" si="48"/>
        <v>#NUM!</v>
      </c>
      <c r="DD27" s="341">
        <f t="shared" ca="1" si="49"/>
        <v>-999</v>
      </c>
      <c r="DE27" s="279">
        <f t="shared" ca="1" si="23"/>
        <v>-999</v>
      </c>
      <c r="DF27" s="341">
        <f t="shared" ca="1" si="50"/>
        <v>163.2852</v>
      </c>
      <c r="DG27" s="335" t="e">
        <f t="shared" ca="1" si="51"/>
        <v>#DIV/0!</v>
      </c>
      <c r="DH27" s="329" t="e">
        <f t="shared" ca="1" si="52"/>
        <v>#DIV/0!</v>
      </c>
      <c r="DI27" s="329" t="e">
        <f t="shared" ca="1" si="53"/>
        <v>#DIV/0!</v>
      </c>
      <c r="DJ27" s="330">
        <f t="shared" ca="1" si="54"/>
        <v>-1</v>
      </c>
      <c r="DK27" s="331">
        <f t="shared" ca="1" si="55"/>
        <v>-1</v>
      </c>
      <c r="DL27" s="335" t="e">
        <f t="shared" ca="1" si="56"/>
        <v>#DIV/0!</v>
      </c>
      <c r="DM27" s="329" t="e">
        <f t="shared" ca="1" si="57"/>
        <v>#DIV/0!</v>
      </c>
      <c r="DN27" s="329" t="e">
        <f t="shared" ca="1" si="58"/>
        <v>#DIV/0!</v>
      </c>
      <c r="DO27" s="330">
        <f ca="1">IF(ISERROR(DL27),-1,Tgrid!$A$46+0.5774*DN27+1.1547*DL27)</f>
        <v>-1</v>
      </c>
      <c r="DP27" s="331">
        <f t="shared" ca="1" si="59"/>
        <v>-1</v>
      </c>
      <c r="DQ27" s="336" t="e">
        <f t="shared" ca="1" si="60"/>
        <v>#DIV/0!</v>
      </c>
      <c r="DR27" s="337" t="e">
        <f t="shared" ca="1" si="61"/>
        <v>#DIV/0!</v>
      </c>
      <c r="DS27" s="330">
        <f ca="1">IF(ISERROR(DQ27),-1,0.5*Tgrid!$B$42+0.5774*(2+DQ27-DR27))</f>
        <v>-1</v>
      </c>
      <c r="DT27" s="331">
        <f ca="1">IF(ISERROR(DQ27),-1,2+Tgrid!$B$54-DQ27-DR27)</f>
        <v>-1</v>
      </c>
    </row>
    <row r="28" spans="1:124" s="54" customFormat="1" ht="15" x14ac:dyDescent="0.25">
      <c r="A28" s="365" t="s">
        <v>263</v>
      </c>
      <c r="B28" s="89"/>
      <c r="C28" s="114"/>
      <c r="D28" s="21"/>
      <c r="E28" s="89"/>
      <c r="F28" s="21"/>
      <c r="G28" s="21"/>
      <c r="H28" s="366">
        <v>52</v>
      </c>
      <c r="I28" s="323"/>
      <c r="J28" s="367"/>
      <c r="K28" s="367"/>
      <c r="L28" s="367"/>
      <c r="M28" s="367"/>
      <c r="N28" s="367"/>
      <c r="O28" s="367"/>
      <c r="P28" s="367"/>
      <c r="Q28" s="367">
        <v>19</v>
      </c>
      <c r="R28" s="367"/>
      <c r="S28" s="367"/>
      <c r="T28" s="367"/>
      <c r="U28" s="367"/>
      <c r="V28" s="367"/>
      <c r="W28" s="367"/>
      <c r="X28" s="367"/>
      <c r="Y28" s="367"/>
      <c r="Z28" s="367"/>
      <c r="AA28" s="367"/>
      <c r="AB28" s="367"/>
      <c r="AC28" s="367"/>
      <c r="AD28" s="115"/>
      <c r="AE28" s="115"/>
      <c r="AF28" s="227"/>
      <c r="AG28" s="116"/>
      <c r="AH28" s="318">
        <f t="shared" ca="1" si="0"/>
        <v>0</v>
      </c>
      <c r="AI28" s="72">
        <f t="shared" ref="AI28:AN37" ca="1" si="65">INDIRECT(AI$5&amp;(CELL("row", AI28)))</f>
        <v>0</v>
      </c>
      <c r="AJ28" s="72">
        <f t="shared" ca="1" si="65"/>
        <v>0</v>
      </c>
      <c r="AK28" s="72">
        <f t="shared" ca="1" si="65"/>
        <v>0</v>
      </c>
      <c r="AL28" s="72">
        <f t="shared" ca="1" si="65"/>
        <v>52</v>
      </c>
      <c r="AM28" s="72">
        <f t="shared" ca="1" si="65"/>
        <v>0</v>
      </c>
      <c r="AN28" s="72">
        <f t="shared" ca="1" si="65"/>
        <v>0</v>
      </c>
      <c r="AO28" s="72">
        <f t="shared" ref="AO28:AX37" ca="1" si="66">ABS(INDIRECT(AO$5&amp;(CELL("row", AO28))))</f>
        <v>0</v>
      </c>
      <c r="AP28" s="72">
        <f t="shared" ca="1" si="66"/>
        <v>0</v>
      </c>
      <c r="AQ28" s="72">
        <f t="shared" ca="1" si="66"/>
        <v>0</v>
      </c>
      <c r="AR28" s="72">
        <f t="shared" ca="1" si="66"/>
        <v>0</v>
      </c>
      <c r="AS28" s="111">
        <f t="shared" ca="1" si="66"/>
        <v>0</v>
      </c>
      <c r="AT28" s="72">
        <f t="shared" ca="1" si="66"/>
        <v>0</v>
      </c>
      <c r="AU28" s="72">
        <f t="shared" ca="1" si="66"/>
        <v>19</v>
      </c>
      <c r="AV28" s="72">
        <f t="shared" ca="1" si="66"/>
        <v>0</v>
      </c>
      <c r="AW28" s="72">
        <f t="shared" ca="1" si="66"/>
        <v>0</v>
      </c>
      <c r="AX28" s="72">
        <f t="shared" ca="1" si="66"/>
        <v>0</v>
      </c>
      <c r="AY28" s="72">
        <f t="shared" ref="AY28:BI37" ca="1" si="67">ABS(INDIRECT(AY$5&amp;(CELL("row", AY28))))</f>
        <v>0</v>
      </c>
      <c r="AZ28" s="72">
        <f t="shared" ca="1" si="67"/>
        <v>0</v>
      </c>
      <c r="BA28" s="72">
        <f t="shared" ca="1" si="67"/>
        <v>0</v>
      </c>
      <c r="BB28" s="72">
        <f t="shared" ca="1" si="67"/>
        <v>0</v>
      </c>
      <c r="BC28" s="72">
        <f t="shared" ca="1" si="67"/>
        <v>0</v>
      </c>
      <c r="BD28" s="72">
        <f t="shared" ca="1" si="67"/>
        <v>0</v>
      </c>
      <c r="BE28" s="72">
        <f t="shared" ca="1" si="67"/>
        <v>0</v>
      </c>
      <c r="BF28" s="72">
        <f t="shared" ca="1" si="67"/>
        <v>0</v>
      </c>
      <c r="BG28" s="72">
        <f t="shared" ca="1" si="67"/>
        <v>0</v>
      </c>
      <c r="BH28" s="72">
        <f t="shared" ca="1" si="67"/>
        <v>0</v>
      </c>
      <c r="BI28" s="72">
        <f t="shared" ca="1" si="67"/>
        <v>0</v>
      </c>
      <c r="BJ28" s="72">
        <f t="shared" ca="1" si="4"/>
        <v>0</v>
      </c>
      <c r="BK28" s="72">
        <f t="shared" ref="BK28:BK37" ca="1" si="68">IF(INDIRECT(BK$5&amp;(CELL("row", BK28)))=0,99,INDIRECT(BK$5&amp;(CELL("row", BK28))))</f>
        <v>99</v>
      </c>
      <c r="BL28" s="318" t="str">
        <f t="shared" ca="1" si="25"/>
        <v/>
      </c>
      <c r="BM28" s="280">
        <f t="shared" ref="BM28:BM36" ca="1" si="69">IF(AN28=0,ABS(AO28)*0.14411+ABS(AP28)*0.0435+ABS(AQ28)*0.02557+ABS(AR28)*0.0499+ABS(AS28)*0.08226+ABS(BA28)*0.05544+ABS(BG28)*0.05372, ABS(AO28)*0.14411+ABS(AP28)*0.0435+ABS(AQ28)*0.02557+ABS(AR28)*0.0499+ABS(AS28)*0.08226+ABS(BA28)*0.05544+0.992*10^(3-AN28)+ABS(BG28)*0.05372)</f>
        <v>0</v>
      </c>
      <c r="BN28" s="280">
        <f t="shared" ref="BN28:BN36" ca="1" si="70">ABS(AV28)*0.02821+ABS(AW28)*0.05264+ABS(AX28)*0.02082+ABS(AY28)*0.01639+ABS(AZ28)*0.03333</f>
        <v>0</v>
      </c>
      <c r="BO28" s="281" t="str">
        <f t="shared" ca="1" si="28"/>
        <v/>
      </c>
      <c r="BP28" s="283"/>
      <c r="BQ28" s="273">
        <f t="shared" ca="1" si="5"/>
        <v>0</v>
      </c>
      <c r="BR28" s="273">
        <f t="shared" ca="1" si="6"/>
        <v>0</v>
      </c>
      <c r="BS28" s="273">
        <f t="shared" ca="1" si="7"/>
        <v>1</v>
      </c>
      <c r="BT28" s="274">
        <f t="shared" ca="1" si="8"/>
        <v>1.1547000000000001</v>
      </c>
      <c r="BU28" s="275">
        <f t="shared" ca="1" si="29"/>
        <v>0</v>
      </c>
      <c r="BV28" s="273">
        <f t="shared" ca="1" si="9"/>
        <v>0</v>
      </c>
      <c r="BW28" s="273">
        <f t="shared" ca="1" si="10"/>
        <v>0</v>
      </c>
      <c r="BX28" s="273">
        <f t="shared" ca="1" si="11"/>
        <v>1</v>
      </c>
      <c r="BY28" s="274">
        <f t="shared" ca="1" si="12"/>
        <v>1.1547000000000001</v>
      </c>
      <c r="BZ28" s="275">
        <f ca="1">IF(ISERROR(BV28),-1,BV28)</f>
        <v>0</v>
      </c>
      <c r="CA28" s="273" t="e">
        <f t="shared" ca="1" si="13"/>
        <v>#DIV/0!</v>
      </c>
      <c r="CB28" s="273" t="e">
        <f t="shared" ca="1" si="14"/>
        <v>#DIV/0!</v>
      </c>
      <c r="CC28" s="273" t="e">
        <f t="shared" ca="1" si="15"/>
        <v>#DIV/0!</v>
      </c>
      <c r="CD28" s="274" t="e">
        <f t="shared" ca="1" si="16"/>
        <v>#DIV/0!</v>
      </c>
      <c r="CE28" s="275">
        <f t="shared" ca="1" si="31"/>
        <v>-1</v>
      </c>
      <c r="CF28" s="273" t="e">
        <f t="shared" ca="1" si="17"/>
        <v>#DIV/0!</v>
      </c>
      <c r="CG28" s="273" t="e">
        <f t="shared" ca="1" si="18"/>
        <v>#DIV/0!</v>
      </c>
      <c r="CH28" s="273" t="e">
        <f t="shared" ca="1" si="19"/>
        <v>#DIV/0!</v>
      </c>
      <c r="CI28" s="274" t="e">
        <f t="shared" ca="1" si="20"/>
        <v>#DIV/0!</v>
      </c>
      <c r="CJ28" s="275">
        <f t="shared" ca="1" si="32"/>
        <v>-1</v>
      </c>
      <c r="CK28" s="319">
        <f t="shared" ca="1" si="33"/>
        <v>0</v>
      </c>
      <c r="CL28" s="319">
        <f t="shared" ca="1" si="34"/>
        <v>0</v>
      </c>
      <c r="CM28" s="319">
        <f t="shared" ca="1" si="35"/>
        <v>0</v>
      </c>
      <c r="CN28" s="306" t="e">
        <f t="shared" ca="1" si="36"/>
        <v>#DIV/0!</v>
      </c>
      <c r="CO28" s="273" t="e">
        <f t="shared" ca="1" si="37"/>
        <v>#DIV/0!</v>
      </c>
      <c r="CP28" s="273" t="e">
        <f t="shared" ca="1" si="38"/>
        <v>#DIV/0!</v>
      </c>
      <c r="CQ28" s="274" t="e">
        <f t="shared" ca="1" si="21"/>
        <v>#DIV/0!</v>
      </c>
      <c r="CR28" s="275">
        <f t="shared" ca="1" si="39"/>
        <v>-1</v>
      </c>
      <c r="CS28" s="273" t="e">
        <f t="shared" ca="1" si="40"/>
        <v>#DIV/0!</v>
      </c>
      <c r="CT28" s="273" t="e">
        <f t="shared" ca="1" si="41"/>
        <v>#DIV/0!</v>
      </c>
      <c r="CU28" s="273" t="e">
        <f t="shared" ca="1" si="42"/>
        <v>#DIV/0!</v>
      </c>
      <c r="CV28" s="274" t="e">
        <f t="shared" ca="1" si="22"/>
        <v>#DIV/0!</v>
      </c>
      <c r="CW28" s="275">
        <f t="shared" ca="1" si="43"/>
        <v>-1</v>
      </c>
      <c r="CX28" s="276"/>
      <c r="CY28" s="277">
        <f t="shared" ca="1" si="44"/>
        <v>-99</v>
      </c>
      <c r="CZ28" s="278">
        <f t="shared" ca="1" si="45"/>
        <v>-99</v>
      </c>
      <c r="DA28" s="277">
        <f t="shared" ca="1" si="46"/>
        <v>-99</v>
      </c>
      <c r="DB28" s="277">
        <f t="shared" ca="1" si="47"/>
        <v>-99</v>
      </c>
      <c r="DC28" s="279" t="e">
        <f t="shared" ca="1" si="48"/>
        <v>#NUM!</v>
      </c>
      <c r="DD28" s="341">
        <f t="shared" ca="1" si="49"/>
        <v>-999</v>
      </c>
      <c r="DE28" s="279">
        <f t="shared" ca="1" si="23"/>
        <v>-999</v>
      </c>
      <c r="DF28" s="341">
        <f t="shared" ca="1" si="50"/>
        <v>217.91891913398752</v>
      </c>
      <c r="DG28" s="335" t="e">
        <f t="shared" ca="1" si="51"/>
        <v>#DIV/0!</v>
      </c>
      <c r="DH28" s="329" t="e">
        <f t="shared" ca="1" si="52"/>
        <v>#DIV/0!</v>
      </c>
      <c r="DI28" s="329" t="e">
        <f t="shared" ca="1" si="53"/>
        <v>#DIV/0!</v>
      </c>
      <c r="DJ28" s="330">
        <f t="shared" ca="1" si="54"/>
        <v>-1</v>
      </c>
      <c r="DK28" s="331">
        <f t="shared" ca="1" si="55"/>
        <v>-1</v>
      </c>
      <c r="DL28" s="335" t="e">
        <f t="shared" ca="1" si="56"/>
        <v>#DIV/0!</v>
      </c>
      <c r="DM28" s="329" t="e">
        <f t="shared" ca="1" si="57"/>
        <v>#DIV/0!</v>
      </c>
      <c r="DN28" s="329" t="e">
        <f t="shared" ca="1" si="58"/>
        <v>#DIV/0!</v>
      </c>
      <c r="DO28" s="330">
        <f ca="1">IF(ISERROR(DL28),-1,Tgrid!$A$46+0.5774*DN28+1.1547*DL28)</f>
        <v>-1</v>
      </c>
      <c r="DP28" s="331">
        <f t="shared" ca="1" si="59"/>
        <v>-1</v>
      </c>
      <c r="DQ28" s="336" t="e">
        <f t="shared" ca="1" si="60"/>
        <v>#DIV/0!</v>
      </c>
      <c r="DR28" s="337" t="e">
        <f t="shared" ca="1" si="61"/>
        <v>#DIV/0!</v>
      </c>
      <c r="DS28" s="330">
        <f ca="1">IF(ISERROR(DQ28),-1,0.5*Tgrid!$B$42+0.5774*(2+DQ28-DR28))</f>
        <v>-1</v>
      </c>
      <c r="DT28" s="331">
        <f ca="1">IF(ISERROR(DQ28),-1,2+Tgrid!$B$54-DQ28-DR28)</f>
        <v>-1</v>
      </c>
    </row>
    <row r="29" spans="1:124" s="54" customFormat="1" ht="15" x14ac:dyDescent="0.25">
      <c r="A29" s="365" t="s">
        <v>264</v>
      </c>
      <c r="B29" s="89"/>
      <c r="C29" s="114"/>
      <c r="D29" s="21"/>
      <c r="E29" s="89"/>
      <c r="F29" s="218"/>
      <c r="G29" s="117"/>
      <c r="H29" s="366">
        <v>90</v>
      </c>
      <c r="I29" s="323"/>
      <c r="J29" s="367"/>
      <c r="K29" s="367"/>
      <c r="L29" s="367"/>
      <c r="M29" s="367"/>
      <c r="N29" s="367"/>
      <c r="O29" s="367"/>
      <c r="P29" s="367"/>
      <c r="Q29" s="367">
        <v>13</v>
      </c>
      <c r="R29" s="367"/>
      <c r="S29" s="367"/>
      <c r="T29" s="367"/>
      <c r="U29" s="367"/>
      <c r="V29" s="367"/>
      <c r="W29" s="367"/>
      <c r="X29" s="367"/>
      <c r="Y29" s="367"/>
      <c r="Z29" s="367"/>
      <c r="AA29" s="367"/>
      <c r="AB29" s="367"/>
      <c r="AC29" s="367"/>
      <c r="AD29" s="118"/>
      <c r="AE29" s="119"/>
      <c r="AF29" s="227"/>
      <c r="AG29" s="116"/>
      <c r="AH29" s="318">
        <f t="shared" ca="1" si="0"/>
        <v>0</v>
      </c>
      <c r="AI29" s="72">
        <f t="shared" ca="1" si="65"/>
        <v>0</v>
      </c>
      <c r="AJ29" s="72">
        <f t="shared" ca="1" si="65"/>
        <v>0</v>
      </c>
      <c r="AK29" s="72">
        <f t="shared" ca="1" si="65"/>
        <v>0</v>
      </c>
      <c r="AL29" s="72">
        <f t="shared" ca="1" si="65"/>
        <v>90</v>
      </c>
      <c r="AM29" s="72">
        <f t="shared" ca="1" si="65"/>
        <v>0</v>
      </c>
      <c r="AN29" s="72">
        <f t="shared" ca="1" si="65"/>
        <v>0</v>
      </c>
      <c r="AO29" s="72">
        <f t="shared" ca="1" si="66"/>
        <v>0</v>
      </c>
      <c r="AP29" s="72">
        <f t="shared" ca="1" si="66"/>
        <v>0</v>
      </c>
      <c r="AQ29" s="72">
        <f t="shared" ca="1" si="66"/>
        <v>0</v>
      </c>
      <c r="AR29" s="72">
        <f t="shared" ca="1" si="66"/>
        <v>0</v>
      </c>
      <c r="AS29" s="111">
        <f t="shared" ca="1" si="66"/>
        <v>0</v>
      </c>
      <c r="AT29" s="72">
        <f t="shared" ca="1" si="66"/>
        <v>0</v>
      </c>
      <c r="AU29" s="72">
        <f t="shared" ca="1" si="66"/>
        <v>13</v>
      </c>
      <c r="AV29" s="72">
        <f t="shared" ca="1" si="66"/>
        <v>0</v>
      </c>
      <c r="AW29" s="72">
        <f t="shared" ca="1" si="66"/>
        <v>0</v>
      </c>
      <c r="AX29" s="72">
        <f t="shared" ca="1" si="66"/>
        <v>0</v>
      </c>
      <c r="AY29" s="72">
        <f t="shared" ca="1" si="67"/>
        <v>0</v>
      </c>
      <c r="AZ29" s="72">
        <f t="shared" ca="1" si="67"/>
        <v>0</v>
      </c>
      <c r="BA29" s="72">
        <f t="shared" ca="1" si="67"/>
        <v>0</v>
      </c>
      <c r="BB29" s="72">
        <f t="shared" ca="1" si="67"/>
        <v>0</v>
      </c>
      <c r="BC29" s="72">
        <f t="shared" ca="1" si="67"/>
        <v>0</v>
      </c>
      <c r="BD29" s="72">
        <f t="shared" ca="1" si="67"/>
        <v>0</v>
      </c>
      <c r="BE29" s="72">
        <f t="shared" ca="1" si="67"/>
        <v>0</v>
      </c>
      <c r="BF29" s="72">
        <f t="shared" ca="1" si="67"/>
        <v>0</v>
      </c>
      <c r="BG29" s="72">
        <f t="shared" ca="1" si="67"/>
        <v>0</v>
      </c>
      <c r="BH29" s="72">
        <f t="shared" ca="1" si="67"/>
        <v>0</v>
      </c>
      <c r="BI29" s="72">
        <f t="shared" ca="1" si="67"/>
        <v>0</v>
      </c>
      <c r="BJ29" s="72">
        <f t="shared" ca="1" si="4"/>
        <v>0</v>
      </c>
      <c r="BK29" s="72">
        <f t="shared" ca="1" si="68"/>
        <v>99</v>
      </c>
      <c r="BL29" s="318" t="str">
        <f t="shared" ca="1" si="25"/>
        <v/>
      </c>
      <c r="BM29" s="280">
        <f t="shared" ca="1" si="69"/>
        <v>0</v>
      </c>
      <c r="BN29" s="280">
        <f t="shared" ca="1" si="70"/>
        <v>0</v>
      </c>
      <c r="BO29" s="281" t="str">
        <f t="shared" ca="1" si="28"/>
        <v/>
      </c>
      <c r="BP29" s="283"/>
      <c r="BQ29" s="273">
        <f t="shared" ca="1" si="5"/>
        <v>0</v>
      </c>
      <c r="BR29" s="273">
        <f t="shared" ca="1" si="6"/>
        <v>0</v>
      </c>
      <c r="BS29" s="273">
        <f t="shared" ca="1" si="7"/>
        <v>1</v>
      </c>
      <c r="BT29" s="274">
        <f t="shared" ca="1" si="8"/>
        <v>1.1547000000000001</v>
      </c>
      <c r="BU29" s="275">
        <f t="shared" ca="1" si="29"/>
        <v>0</v>
      </c>
      <c r="BV29" s="273">
        <f t="shared" ca="1" si="9"/>
        <v>0</v>
      </c>
      <c r="BW29" s="273">
        <f t="shared" ca="1" si="10"/>
        <v>0</v>
      </c>
      <c r="BX29" s="273">
        <f t="shared" ca="1" si="11"/>
        <v>1</v>
      </c>
      <c r="BY29" s="274">
        <f t="shared" ca="1" si="12"/>
        <v>1.1547000000000001</v>
      </c>
      <c r="BZ29" s="275">
        <f t="shared" ref="BZ29:BZ37" ca="1" si="71">IF(ISERROR(BV29),-1,BV29)</f>
        <v>0</v>
      </c>
      <c r="CA29" s="273" t="e">
        <f t="shared" ca="1" si="13"/>
        <v>#DIV/0!</v>
      </c>
      <c r="CB29" s="273" t="e">
        <f t="shared" ca="1" si="14"/>
        <v>#DIV/0!</v>
      </c>
      <c r="CC29" s="273" t="e">
        <f t="shared" ca="1" si="15"/>
        <v>#DIV/0!</v>
      </c>
      <c r="CD29" s="274" t="e">
        <f t="shared" ca="1" si="16"/>
        <v>#DIV/0!</v>
      </c>
      <c r="CE29" s="275">
        <f t="shared" ca="1" si="31"/>
        <v>-1</v>
      </c>
      <c r="CF29" s="273" t="e">
        <f t="shared" ca="1" si="17"/>
        <v>#DIV/0!</v>
      </c>
      <c r="CG29" s="273" t="e">
        <f t="shared" ca="1" si="18"/>
        <v>#DIV/0!</v>
      </c>
      <c r="CH29" s="273" t="e">
        <f t="shared" ca="1" si="19"/>
        <v>#DIV/0!</v>
      </c>
      <c r="CI29" s="274" t="e">
        <f t="shared" ca="1" si="20"/>
        <v>#DIV/0!</v>
      </c>
      <c r="CJ29" s="275">
        <f t="shared" ca="1" si="32"/>
        <v>-1</v>
      </c>
      <c r="CK29" s="319">
        <f t="shared" ca="1" si="33"/>
        <v>0</v>
      </c>
      <c r="CL29" s="319">
        <f t="shared" ca="1" si="34"/>
        <v>0</v>
      </c>
      <c r="CM29" s="319">
        <f t="shared" ca="1" si="35"/>
        <v>0</v>
      </c>
      <c r="CN29" s="306" t="e">
        <f t="shared" ca="1" si="36"/>
        <v>#DIV/0!</v>
      </c>
      <c r="CO29" s="273" t="e">
        <f t="shared" ca="1" si="37"/>
        <v>#DIV/0!</v>
      </c>
      <c r="CP29" s="273" t="e">
        <f t="shared" ca="1" si="38"/>
        <v>#DIV/0!</v>
      </c>
      <c r="CQ29" s="274" t="e">
        <f t="shared" ca="1" si="21"/>
        <v>#DIV/0!</v>
      </c>
      <c r="CR29" s="275">
        <f t="shared" ca="1" si="39"/>
        <v>-1</v>
      </c>
      <c r="CS29" s="273" t="e">
        <f t="shared" ca="1" si="40"/>
        <v>#DIV/0!</v>
      </c>
      <c r="CT29" s="273" t="e">
        <f t="shared" ca="1" si="41"/>
        <v>#DIV/0!</v>
      </c>
      <c r="CU29" s="273" t="e">
        <f t="shared" ca="1" si="42"/>
        <v>#DIV/0!</v>
      </c>
      <c r="CV29" s="274" t="e">
        <f t="shared" ca="1" si="22"/>
        <v>#DIV/0!</v>
      </c>
      <c r="CW29" s="275">
        <f t="shared" ca="1" si="43"/>
        <v>-1</v>
      </c>
      <c r="CX29" s="276"/>
      <c r="CY29" s="277">
        <f t="shared" ca="1" si="44"/>
        <v>-99</v>
      </c>
      <c r="CZ29" s="278">
        <f t="shared" ca="1" si="45"/>
        <v>-99</v>
      </c>
      <c r="DA29" s="277">
        <f t="shared" ca="1" si="46"/>
        <v>-99</v>
      </c>
      <c r="DB29" s="277">
        <f t="shared" ca="1" si="47"/>
        <v>-99</v>
      </c>
      <c r="DC29" s="279" t="e">
        <f t="shared" ca="1" si="48"/>
        <v>#NUM!</v>
      </c>
      <c r="DD29" s="341">
        <f t="shared" ca="1" si="49"/>
        <v>-999</v>
      </c>
      <c r="DE29" s="279">
        <f t="shared" ca="1" si="23"/>
        <v>-999</v>
      </c>
      <c r="DF29" s="341">
        <f t="shared" ca="1" si="50"/>
        <v>378.08038731943577</v>
      </c>
      <c r="DG29" s="335" t="e">
        <f t="shared" ca="1" si="51"/>
        <v>#DIV/0!</v>
      </c>
      <c r="DH29" s="329" t="e">
        <f t="shared" ca="1" si="52"/>
        <v>#DIV/0!</v>
      </c>
      <c r="DI29" s="329" t="e">
        <f t="shared" ca="1" si="53"/>
        <v>#DIV/0!</v>
      </c>
      <c r="DJ29" s="330">
        <f t="shared" ca="1" si="54"/>
        <v>-1</v>
      </c>
      <c r="DK29" s="331">
        <f t="shared" ca="1" si="55"/>
        <v>-1</v>
      </c>
      <c r="DL29" s="335" t="e">
        <f t="shared" ca="1" si="56"/>
        <v>#DIV/0!</v>
      </c>
      <c r="DM29" s="329" t="e">
        <f t="shared" ca="1" si="57"/>
        <v>#DIV/0!</v>
      </c>
      <c r="DN29" s="329" t="e">
        <f t="shared" ca="1" si="58"/>
        <v>#DIV/0!</v>
      </c>
      <c r="DO29" s="330">
        <f ca="1">IF(ISERROR(DL29),-1,Tgrid!$A$46+0.5774*DN29+1.1547*DL29)</f>
        <v>-1</v>
      </c>
      <c r="DP29" s="331">
        <f t="shared" ca="1" si="59"/>
        <v>-1</v>
      </c>
      <c r="DQ29" s="336" t="e">
        <f t="shared" ca="1" si="60"/>
        <v>#DIV/0!</v>
      </c>
      <c r="DR29" s="337" t="e">
        <f t="shared" ca="1" si="61"/>
        <v>#DIV/0!</v>
      </c>
      <c r="DS29" s="330">
        <f ca="1">IF(ISERROR(DQ29),-1,0.5*Tgrid!$B$42+0.5774*(2+DQ29-DR29))</f>
        <v>-1</v>
      </c>
      <c r="DT29" s="331">
        <f ca="1">IF(ISERROR(DQ29),-1,2+Tgrid!$B$54-DQ29-DR29)</f>
        <v>-1</v>
      </c>
    </row>
    <row r="30" spans="1:124" s="53" customFormat="1" ht="15" x14ac:dyDescent="0.25">
      <c r="A30" s="365" t="s">
        <v>265</v>
      </c>
      <c r="B30" s="89"/>
      <c r="C30" s="114"/>
      <c r="D30" s="21"/>
      <c r="E30" s="89"/>
      <c r="F30" s="21"/>
      <c r="G30" s="21"/>
      <c r="H30" s="366">
        <v>85</v>
      </c>
      <c r="I30" s="323"/>
      <c r="J30" s="367"/>
      <c r="K30" s="367"/>
      <c r="L30" s="367"/>
      <c r="M30" s="367"/>
      <c r="N30" s="367"/>
      <c r="O30" s="367"/>
      <c r="P30" s="367"/>
      <c r="Q30" s="367">
        <v>7.6</v>
      </c>
      <c r="R30" s="367"/>
      <c r="S30" s="367"/>
      <c r="T30" s="367"/>
      <c r="U30" s="367"/>
      <c r="V30" s="367"/>
      <c r="W30" s="367"/>
      <c r="X30" s="367"/>
      <c r="Y30" s="367"/>
      <c r="Z30" s="367"/>
      <c r="AA30" s="367"/>
      <c r="AB30" s="367"/>
      <c r="AC30" s="367"/>
      <c r="AD30" s="115"/>
      <c r="AE30" s="115"/>
      <c r="AF30" s="227"/>
      <c r="AG30" s="116"/>
      <c r="AH30" s="318">
        <f t="shared" ca="1" si="0"/>
        <v>0</v>
      </c>
      <c r="AI30" s="72">
        <f t="shared" ca="1" si="65"/>
        <v>0</v>
      </c>
      <c r="AJ30" s="72">
        <f t="shared" ca="1" si="65"/>
        <v>0</v>
      </c>
      <c r="AK30" s="72">
        <f t="shared" ca="1" si="65"/>
        <v>0</v>
      </c>
      <c r="AL30" s="72">
        <f t="shared" ca="1" si="65"/>
        <v>85</v>
      </c>
      <c r="AM30" s="72">
        <f t="shared" ca="1" si="65"/>
        <v>0</v>
      </c>
      <c r="AN30" s="72">
        <f t="shared" ca="1" si="65"/>
        <v>0</v>
      </c>
      <c r="AO30" s="72">
        <f t="shared" ca="1" si="66"/>
        <v>0</v>
      </c>
      <c r="AP30" s="72">
        <f t="shared" ca="1" si="66"/>
        <v>0</v>
      </c>
      <c r="AQ30" s="72">
        <f t="shared" ca="1" si="66"/>
        <v>0</v>
      </c>
      <c r="AR30" s="72">
        <f t="shared" ca="1" si="66"/>
        <v>0</v>
      </c>
      <c r="AS30" s="72">
        <f t="shared" ca="1" si="66"/>
        <v>0</v>
      </c>
      <c r="AT30" s="72">
        <f t="shared" ca="1" si="66"/>
        <v>0</v>
      </c>
      <c r="AU30" s="72">
        <f t="shared" ca="1" si="66"/>
        <v>7.6</v>
      </c>
      <c r="AV30" s="72">
        <f t="shared" ca="1" si="66"/>
        <v>0</v>
      </c>
      <c r="AW30" s="72">
        <f t="shared" ca="1" si="66"/>
        <v>0</v>
      </c>
      <c r="AX30" s="72">
        <f t="shared" ca="1" si="66"/>
        <v>0</v>
      </c>
      <c r="AY30" s="72">
        <f t="shared" ca="1" si="67"/>
        <v>0</v>
      </c>
      <c r="AZ30" s="72">
        <f t="shared" ca="1" si="67"/>
        <v>0</v>
      </c>
      <c r="BA30" s="72">
        <f t="shared" ca="1" si="67"/>
        <v>0</v>
      </c>
      <c r="BB30" s="72">
        <f t="shared" ca="1" si="67"/>
        <v>0</v>
      </c>
      <c r="BC30" s="72">
        <f t="shared" ca="1" si="67"/>
        <v>0</v>
      </c>
      <c r="BD30" s="72">
        <f t="shared" ca="1" si="67"/>
        <v>0</v>
      </c>
      <c r="BE30" s="72">
        <f t="shared" ca="1" si="67"/>
        <v>0</v>
      </c>
      <c r="BF30" s="72">
        <f t="shared" ca="1" si="67"/>
        <v>0</v>
      </c>
      <c r="BG30" s="72">
        <f t="shared" ca="1" si="67"/>
        <v>0</v>
      </c>
      <c r="BH30" s="72">
        <f t="shared" ca="1" si="67"/>
        <v>0</v>
      </c>
      <c r="BI30" s="72">
        <f t="shared" ca="1" si="67"/>
        <v>0</v>
      </c>
      <c r="BJ30" s="72">
        <f t="shared" ca="1" si="4"/>
        <v>0</v>
      </c>
      <c r="BK30" s="72">
        <f t="shared" ca="1" si="68"/>
        <v>99</v>
      </c>
      <c r="BL30" s="318" t="str">
        <f t="shared" ca="1" si="25"/>
        <v/>
      </c>
      <c r="BM30" s="280">
        <f t="shared" ca="1" si="69"/>
        <v>0</v>
      </c>
      <c r="BN30" s="280">
        <f t="shared" ca="1" si="70"/>
        <v>0</v>
      </c>
      <c r="BO30" s="281" t="str">
        <f t="shared" ca="1" si="28"/>
        <v/>
      </c>
      <c r="BP30" s="276"/>
      <c r="BQ30" s="273">
        <f t="shared" ca="1" si="5"/>
        <v>0</v>
      </c>
      <c r="BR30" s="273">
        <f t="shared" ca="1" si="6"/>
        <v>0</v>
      </c>
      <c r="BS30" s="273">
        <f t="shared" ca="1" si="7"/>
        <v>1</v>
      </c>
      <c r="BT30" s="274">
        <f t="shared" ca="1" si="8"/>
        <v>1.1547000000000001</v>
      </c>
      <c r="BU30" s="275">
        <f t="shared" ca="1" si="29"/>
        <v>0</v>
      </c>
      <c r="BV30" s="273">
        <f t="shared" ca="1" si="9"/>
        <v>0</v>
      </c>
      <c r="BW30" s="273">
        <f t="shared" ca="1" si="10"/>
        <v>0</v>
      </c>
      <c r="BX30" s="273">
        <f t="shared" ca="1" si="11"/>
        <v>1</v>
      </c>
      <c r="BY30" s="274">
        <f t="shared" ca="1" si="12"/>
        <v>1.1547000000000001</v>
      </c>
      <c r="BZ30" s="275">
        <f t="shared" ca="1" si="71"/>
        <v>0</v>
      </c>
      <c r="CA30" s="273" t="e">
        <f t="shared" ca="1" si="13"/>
        <v>#DIV/0!</v>
      </c>
      <c r="CB30" s="273" t="e">
        <f t="shared" ca="1" si="14"/>
        <v>#DIV/0!</v>
      </c>
      <c r="CC30" s="273" t="e">
        <f t="shared" ca="1" si="15"/>
        <v>#DIV/0!</v>
      </c>
      <c r="CD30" s="274" t="e">
        <f t="shared" ca="1" si="16"/>
        <v>#DIV/0!</v>
      </c>
      <c r="CE30" s="275">
        <f t="shared" ca="1" si="31"/>
        <v>-1</v>
      </c>
      <c r="CF30" s="273" t="e">
        <f t="shared" ca="1" si="17"/>
        <v>#DIV/0!</v>
      </c>
      <c r="CG30" s="273" t="e">
        <f t="shared" ca="1" si="18"/>
        <v>#DIV/0!</v>
      </c>
      <c r="CH30" s="273" t="e">
        <f t="shared" ca="1" si="19"/>
        <v>#DIV/0!</v>
      </c>
      <c r="CI30" s="274" t="e">
        <f t="shared" ca="1" si="20"/>
        <v>#DIV/0!</v>
      </c>
      <c r="CJ30" s="275">
        <f t="shared" ca="1" si="32"/>
        <v>-1</v>
      </c>
      <c r="CK30" s="319">
        <f t="shared" ca="1" si="33"/>
        <v>0</v>
      </c>
      <c r="CL30" s="319">
        <f t="shared" ca="1" si="34"/>
        <v>0</v>
      </c>
      <c r="CM30" s="319">
        <f t="shared" ca="1" si="35"/>
        <v>0</v>
      </c>
      <c r="CN30" s="306" t="e">
        <f t="shared" ca="1" si="36"/>
        <v>#DIV/0!</v>
      </c>
      <c r="CO30" s="273" t="e">
        <f t="shared" ca="1" si="37"/>
        <v>#DIV/0!</v>
      </c>
      <c r="CP30" s="273" t="e">
        <f t="shared" ca="1" si="38"/>
        <v>#DIV/0!</v>
      </c>
      <c r="CQ30" s="274" t="e">
        <f t="shared" ca="1" si="21"/>
        <v>#DIV/0!</v>
      </c>
      <c r="CR30" s="275">
        <f t="shared" ca="1" si="39"/>
        <v>-1</v>
      </c>
      <c r="CS30" s="273" t="e">
        <f t="shared" ca="1" si="40"/>
        <v>#DIV/0!</v>
      </c>
      <c r="CT30" s="273" t="e">
        <f t="shared" ca="1" si="41"/>
        <v>#DIV/0!</v>
      </c>
      <c r="CU30" s="273" t="e">
        <f t="shared" ca="1" si="42"/>
        <v>#DIV/0!</v>
      </c>
      <c r="CV30" s="274" t="e">
        <f t="shared" ca="1" si="22"/>
        <v>#DIV/0!</v>
      </c>
      <c r="CW30" s="275">
        <f t="shared" ca="1" si="43"/>
        <v>-1</v>
      </c>
      <c r="CX30" s="276"/>
      <c r="CY30" s="277">
        <f t="shared" ca="1" si="44"/>
        <v>-99</v>
      </c>
      <c r="CZ30" s="278">
        <f t="shared" ca="1" si="45"/>
        <v>-99</v>
      </c>
      <c r="DA30" s="277">
        <f t="shared" ca="1" si="46"/>
        <v>-99</v>
      </c>
      <c r="DB30" s="277">
        <f t="shared" ca="1" si="47"/>
        <v>-99</v>
      </c>
      <c r="DC30" s="279" t="e">
        <f t="shared" ca="1" si="48"/>
        <v>#NUM!</v>
      </c>
      <c r="DD30" s="341">
        <f t="shared" ca="1" si="49"/>
        <v>-999</v>
      </c>
      <c r="DE30" s="279">
        <f t="shared" ca="1" si="23"/>
        <v>-999</v>
      </c>
      <c r="DF30" s="341">
        <f t="shared" ca="1" si="50"/>
        <v>357.1725593178495</v>
      </c>
      <c r="DG30" s="335" t="e">
        <f t="shared" ca="1" si="51"/>
        <v>#DIV/0!</v>
      </c>
      <c r="DH30" s="329" t="e">
        <f t="shared" ca="1" si="52"/>
        <v>#DIV/0!</v>
      </c>
      <c r="DI30" s="329" t="e">
        <f t="shared" ca="1" si="53"/>
        <v>#DIV/0!</v>
      </c>
      <c r="DJ30" s="330">
        <f t="shared" ca="1" si="54"/>
        <v>-1</v>
      </c>
      <c r="DK30" s="331">
        <f t="shared" ca="1" si="55"/>
        <v>-1</v>
      </c>
      <c r="DL30" s="335" t="e">
        <f t="shared" ca="1" si="56"/>
        <v>#DIV/0!</v>
      </c>
      <c r="DM30" s="329" t="e">
        <f t="shared" ca="1" si="57"/>
        <v>#DIV/0!</v>
      </c>
      <c r="DN30" s="329" t="e">
        <f t="shared" ca="1" si="58"/>
        <v>#DIV/0!</v>
      </c>
      <c r="DO30" s="330">
        <f ca="1">IF(ISERROR(DL30),-1,Tgrid!$A$46+0.5774*DN30+1.1547*DL30)</f>
        <v>-1</v>
      </c>
      <c r="DP30" s="331">
        <f t="shared" ca="1" si="59"/>
        <v>-1</v>
      </c>
      <c r="DQ30" s="336" t="e">
        <f t="shared" ca="1" si="60"/>
        <v>#DIV/0!</v>
      </c>
      <c r="DR30" s="337" t="e">
        <f t="shared" ca="1" si="61"/>
        <v>#DIV/0!</v>
      </c>
      <c r="DS30" s="330">
        <f ca="1">IF(ISERROR(DQ30),-1,0.5*Tgrid!$B$42+0.5774*(2+DQ30-DR30))</f>
        <v>-1</v>
      </c>
      <c r="DT30" s="331">
        <f ca="1">IF(ISERROR(DQ30),-1,2+Tgrid!$B$54-DQ30-DR30)</f>
        <v>-1</v>
      </c>
    </row>
    <row r="31" spans="1:124" s="54" customFormat="1" ht="12.75" customHeight="1" x14ac:dyDescent="0.25">
      <c r="A31" s="365" t="s">
        <v>266</v>
      </c>
      <c r="B31" s="89"/>
      <c r="C31" s="114"/>
      <c r="D31" s="21"/>
      <c r="E31" s="89"/>
      <c r="F31" s="218"/>
      <c r="G31" s="117"/>
      <c r="H31" s="366">
        <v>23</v>
      </c>
      <c r="I31" s="323"/>
      <c r="J31" s="367"/>
      <c r="K31" s="367"/>
      <c r="L31" s="367"/>
      <c r="M31" s="367"/>
      <c r="N31" s="367"/>
      <c r="O31" s="367"/>
      <c r="P31" s="367"/>
      <c r="Q31" s="367">
        <v>0.6</v>
      </c>
      <c r="R31" s="367"/>
      <c r="S31" s="367"/>
      <c r="T31" s="367"/>
      <c r="U31" s="367"/>
      <c r="V31" s="367"/>
      <c r="W31" s="367"/>
      <c r="X31" s="367"/>
      <c r="Y31" s="367"/>
      <c r="Z31" s="367"/>
      <c r="AA31" s="367"/>
      <c r="AB31" s="367"/>
      <c r="AC31" s="367"/>
      <c r="AD31" s="118"/>
      <c r="AE31" s="119"/>
      <c r="AF31" s="227"/>
      <c r="AG31" s="116"/>
      <c r="AH31" s="318">
        <f t="shared" ca="1" si="0"/>
        <v>0</v>
      </c>
      <c r="AI31" s="72">
        <f t="shared" ca="1" si="65"/>
        <v>0</v>
      </c>
      <c r="AJ31" s="72">
        <f t="shared" ca="1" si="65"/>
        <v>0</v>
      </c>
      <c r="AK31" s="72">
        <f t="shared" ca="1" si="65"/>
        <v>0</v>
      </c>
      <c r="AL31" s="72">
        <f t="shared" ca="1" si="65"/>
        <v>23</v>
      </c>
      <c r="AM31" s="72">
        <f t="shared" ca="1" si="65"/>
        <v>0</v>
      </c>
      <c r="AN31" s="72">
        <f t="shared" ca="1" si="65"/>
        <v>0</v>
      </c>
      <c r="AO31" s="72">
        <f t="shared" ca="1" si="66"/>
        <v>0</v>
      </c>
      <c r="AP31" s="72">
        <f t="shared" ca="1" si="66"/>
        <v>0</v>
      </c>
      <c r="AQ31" s="72">
        <f t="shared" ca="1" si="66"/>
        <v>0</v>
      </c>
      <c r="AR31" s="72">
        <f t="shared" ca="1" si="66"/>
        <v>0</v>
      </c>
      <c r="AS31" s="72">
        <f t="shared" ca="1" si="66"/>
        <v>0</v>
      </c>
      <c r="AT31" s="72">
        <f t="shared" ca="1" si="66"/>
        <v>0</v>
      </c>
      <c r="AU31" s="72">
        <f t="shared" ca="1" si="66"/>
        <v>0.6</v>
      </c>
      <c r="AV31" s="72">
        <f t="shared" ca="1" si="66"/>
        <v>0</v>
      </c>
      <c r="AW31" s="72">
        <f t="shared" ca="1" si="66"/>
        <v>0</v>
      </c>
      <c r="AX31" s="72">
        <f t="shared" ca="1" si="66"/>
        <v>0</v>
      </c>
      <c r="AY31" s="72">
        <f t="shared" ca="1" si="67"/>
        <v>0</v>
      </c>
      <c r="AZ31" s="72">
        <f t="shared" ca="1" si="67"/>
        <v>0</v>
      </c>
      <c r="BA31" s="72">
        <f t="shared" ca="1" si="67"/>
        <v>0</v>
      </c>
      <c r="BB31" s="72">
        <f t="shared" ca="1" si="67"/>
        <v>0</v>
      </c>
      <c r="BC31" s="72">
        <f t="shared" ca="1" si="67"/>
        <v>0</v>
      </c>
      <c r="BD31" s="72">
        <f t="shared" ca="1" si="67"/>
        <v>0</v>
      </c>
      <c r="BE31" s="72">
        <f t="shared" ca="1" si="67"/>
        <v>0</v>
      </c>
      <c r="BF31" s="72">
        <f t="shared" ca="1" si="67"/>
        <v>0</v>
      </c>
      <c r="BG31" s="72">
        <f t="shared" ca="1" si="67"/>
        <v>0</v>
      </c>
      <c r="BH31" s="72">
        <f t="shared" ca="1" si="67"/>
        <v>0</v>
      </c>
      <c r="BI31" s="72">
        <f t="shared" ca="1" si="67"/>
        <v>0</v>
      </c>
      <c r="BJ31" s="72">
        <f t="shared" ca="1" si="4"/>
        <v>0</v>
      </c>
      <c r="BK31" s="72">
        <f t="shared" ca="1" si="68"/>
        <v>99</v>
      </c>
      <c r="BL31" s="318" t="str">
        <f t="shared" ca="1" si="25"/>
        <v/>
      </c>
      <c r="BM31" s="280">
        <f t="shared" ca="1" si="69"/>
        <v>0</v>
      </c>
      <c r="BN31" s="280">
        <f t="shared" ca="1" si="70"/>
        <v>0</v>
      </c>
      <c r="BO31" s="281" t="str">
        <f t="shared" ca="1" si="28"/>
        <v/>
      </c>
      <c r="BP31" s="283"/>
      <c r="BQ31" s="273">
        <f t="shared" ca="1" si="5"/>
        <v>0</v>
      </c>
      <c r="BR31" s="273">
        <f t="shared" ca="1" si="6"/>
        <v>0</v>
      </c>
      <c r="BS31" s="273">
        <f t="shared" ca="1" si="7"/>
        <v>1</v>
      </c>
      <c r="BT31" s="274">
        <f t="shared" ca="1" si="8"/>
        <v>1.1547000000000001</v>
      </c>
      <c r="BU31" s="275">
        <f t="shared" ca="1" si="29"/>
        <v>0</v>
      </c>
      <c r="BV31" s="273">
        <f t="shared" ca="1" si="9"/>
        <v>0</v>
      </c>
      <c r="BW31" s="273">
        <f t="shared" ca="1" si="10"/>
        <v>0</v>
      </c>
      <c r="BX31" s="273">
        <f t="shared" ca="1" si="11"/>
        <v>1</v>
      </c>
      <c r="BY31" s="274">
        <f t="shared" ca="1" si="12"/>
        <v>1.1547000000000001</v>
      </c>
      <c r="BZ31" s="275">
        <f t="shared" ca="1" si="71"/>
        <v>0</v>
      </c>
      <c r="CA31" s="273" t="e">
        <f t="shared" ca="1" si="13"/>
        <v>#DIV/0!</v>
      </c>
      <c r="CB31" s="273" t="e">
        <f t="shared" ca="1" si="14"/>
        <v>#DIV/0!</v>
      </c>
      <c r="CC31" s="273" t="e">
        <f t="shared" ca="1" si="15"/>
        <v>#DIV/0!</v>
      </c>
      <c r="CD31" s="274" t="e">
        <f t="shared" ca="1" si="16"/>
        <v>#DIV/0!</v>
      </c>
      <c r="CE31" s="275">
        <f t="shared" ca="1" si="31"/>
        <v>-1</v>
      </c>
      <c r="CF31" s="273" t="e">
        <f t="shared" ca="1" si="17"/>
        <v>#DIV/0!</v>
      </c>
      <c r="CG31" s="273" t="e">
        <f t="shared" ca="1" si="18"/>
        <v>#DIV/0!</v>
      </c>
      <c r="CH31" s="273" t="e">
        <f t="shared" ca="1" si="19"/>
        <v>#DIV/0!</v>
      </c>
      <c r="CI31" s="274" t="e">
        <f t="shared" ca="1" si="20"/>
        <v>#DIV/0!</v>
      </c>
      <c r="CJ31" s="275">
        <f t="shared" ca="1" si="32"/>
        <v>-1</v>
      </c>
      <c r="CK31" s="319">
        <f t="shared" ca="1" si="33"/>
        <v>0</v>
      </c>
      <c r="CL31" s="319">
        <f t="shared" ca="1" si="34"/>
        <v>0</v>
      </c>
      <c r="CM31" s="319">
        <f t="shared" ca="1" si="35"/>
        <v>0</v>
      </c>
      <c r="CN31" s="306" t="e">
        <f t="shared" ca="1" si="36"/>
        <v>#DIV/0!</v>
      </c>
      <c r="CO31" s="273" t="e">
        <f t="shared" ca="1" si="37"/>
        <v>#DIV/0!</v>
      </c>
      <c r="CP31" s="273" t="e">
        <f t="shared" ca="1" si="38"/>
        <v>#DIV/0!</v>
      </c>
      <c r="CQ31" s="274" t="e">
        <f t="shared" ca="1" si="21"/>
        <v>#DIV/0!</v>
      </c>
      <c r="CR31" s="275">
        <f t="shared" ca="1" si="39"/>
        <v>-1</v>
      </c>
      <c r="CS31" s="273" t="e">
        <f t="shared" ca="1" si="40"/>
        <v>#DIV/0!</v>
      </c>
      <c r="CT31" s="273" t="e">
        <f t="shared" ca="1" si="41"/>
        <v>#DIV/0!</v>
      </c>
      <c r="CU31" s="273" t="e">
        <f t="shared" ca="1" si="42"/>
        <v>#DIV/0!</v>
      </c>
      <c r="CV31" s="274" t="e">
        <f t="shared" ca="1" si="22"/>
        <v>#DIV/0!</v>
      </c>
      <c r="CW31" s="275">
        <f t="shared" ca="1" si="43"/>
        <v>-1</v>
      </c>
      <c r="CX31" s="276"/>
      <c r="CY31" s="277">
        <f t="shared" ca="1" si="44"/>
        <v>-99</v>
      </c>
      <c r="CZ31" s="278">
        <f t="shared" ca="1" si="45"/>
        <v>-99</v>
      </c>
      <c r="DA31" s="277">
        <f t="shared" ca="1" si="46"/>
        <v>-99</v>
      </c>
      <c r="DB31" s="277">
        <f t="shared" ca="1" si="47"/>
        <v>-99</v>
      </c>
      <c r="DC31" s="279" t="e">
        <f t="shared" ca="1" si="48"/>
        <v>#NUM!</v>
      </c>
      <c r="DD31" s="341">
        <f t="shared" ca="1" si="49"/>
        <v>-999</v>
      </c>
      <c r="DE31" s="279">
        <f t="shared" ca="1" si="23"/>
        <v>-999</v>
      </c>
      <c r="DF31" s="341">
        <f t="shared" ca="1" si="50"/>
        <v>96.296399999999991</v>
      </c>
      <c r="DG31" s="335" t="e">
        <f t="shared" ca="1" si="51"/>
        <v>#DIV/0!</v>
      </c>
      <c r="DH31" s="329" t="e">
        <f t="shared" ca="1" si="52"/>
        <v>#DIV/0!</v>
      </c>
      <c r="DI31" s="329" t="e">
        <f t="shared" ca="1" si="53"/>
        <v>#DIV/0!</v>
      </c>
      <c r="DJ31" s="330">
        <f t="shared" ca="1" si="54"/>
        <v>-1</v>
      </c>
      <c r="DK31" s="331">
        <f t="shared" ca="1" si="55"/>
        <v>-1</v>
      </c>
      <c r="DL31" s="335" t="e">
        <f t="shared" ca="1" si="56"/>
        <v>#DIV/0!</v>
      </c>
      <c r="DM31" s="329" t="e">
        <f t="shared" ca="1" si="57"/>
        <v>#DIV/0!</v>
      </c>
      <c r="DN31" s="329" t="e">
        <f t="shared" ca="1" si="58"/>
        <v>#DIV/0!</v>
      </c>
      <c r="DO31" s="330">
        <f ca="1">IF(ISERROR(DL31),-1,Tgrid!$A$46+0.5774*DN31+1.1547*DL31)</f>
        <v>-1</v>
      </c>
      <c r="DP31" s="331">
        <f t="shared" ca="1" si="59"/>
        <v>-1</v>
      </c>
      <c r="DQ31" s="336" t="e">
        <f t="shared" ca="1" si="60"/>
        <v>#DIV/0!</v>
      </c>
      <c r="DR31" s="337" t="e">
        <f t="shared" ca="1" si="61"/>
        <v>#DIV/0!</v>
      </c>
      <c r="DS31" s="330">
        <f ca="1">IF(ISERROR(DQ31),-1,0.5*Tgrid!$B$42+0.5774*(2+DQ31-DR31))</f>
        <v>-1</v>
      </c>
      <c r="DT31" s="331">
        <f ca="1">IF(ISERROR(DQ31),-1,2+Tgrid!$B$54-DQ31-DR31)</f>
        <v>-1</v>
      </c>
    </row>
    <row r="32" spans="1:124" s="54" customFormat="1" ht="13.5" customHeight="1" x14ac:dyDescent="0.25">
      <c r="A32" s="365" t="s">
        <v>267</v>
      </c>
      <c r="B32" s="234"/>
      <c r="C32" s="234"/>
      <c r="D32" s="21"/>
      <c r="E32" s="234"/>
      <c r="F32" s="234"/>
      <c r="G32" s="234"/>
      <c r="H32" s="366">
        <v>32</v>
      </c>
      <c r="I32" s="323"/>
      <c r="J32" s="367"/>
      <c r="K32" s="367"/>
      <c r="L32" s="367"/>
      <c r="M32" s="367"/>
      <c r="N32" s="367"/>
      <c r="O32" s="367"/>
      <c r="P32" s="367"/>
      <c r="Q32" s="367">
        <v>4</v>
      </c>
      <c r="R32" s="367"/>
      <c r="S32" s="367"/>
      <c r="T32" s="367"/>
      <c r="U32" s="367"/>
      <c r="V32" s="367"/>
      <c r="W32" s="367"/>
      <c r="X32" s="367"/>
      <c r="Y32" s="367"/>
      <c r="Z32" s="367"/>
      <c r="AA32" s="367"/>
      <c r="AB32" s="367"/>
      <c r="AC32" s="367"/>
      <c r="AD32" s="115"/>
      <c r="AE32" s="115"/>
      <c r="AF32" s="227"/>
      <c r="AG32" s="116"/>
      <c r="AH32" s="318">
        <f t="shared" ca="1" si="0"/>
        <v>0</v>
      </c>
      <c r="AI32" s="72">
        <f t="shared" ca="1" si="65"/>
        <v>0</v>
      </c>
      <c r="AJ32" s="72">
        <f t="shared" ca="1" si="65"/>
        <v>0</v>
      </c>
      <c r="AK32" s="72">
        <f t="shared" ca="1" si="65"/>
        <v>0</v>
      </c>
      <c r="AL32" s="72">
        <f t="shared" ca="1" si="65"/>
        <v>32</v>
      </c>
      <c r="AM32" s="72">
        <f t="shared" ca="1" si="65"/>
        <v>0</v>
      </c>
      <c r="AN32" s="72">
        <f t="shared" ca="1" si="65"/>
        <v>0</v>
      </c>
      <c r="AO32" s="72">
        <f t="shared" ca="1" si="66"/>
        <v>0</v>
      </c>
      <c r="AP32" s="72">
        <f t="shared" ca="1" si="66"/>
        <v>0</v>
      </c>
      <c r="AQ32" s="72">
        <f t="shared" ca="1" si="66"/>
        <v>0</v>
      </c>
      <c r="AR32" s="72">
        <f t="shared" ca="1" si="66"/>
        <v>0</v>
      </c>
      <c r="AS32" s="72">
        <f t="shared" ca="1" si="66"/>
        <v>0</v>
      </c>
      <c r="AT32" s="72">
        <f t="shared" ca="1" si="66"/>
        <v>0</v>
      </c>
      <c r="AU32" s="72">
        <f t="shared" ca="1" si="66"/>
        <v>4</v>
      </c>
      <c r="AV32" s="72">
        <f t="shared" ca="1" si="66"/>
        <v>0</v>
      </c>
      <c r="AW32" s="72">
        <f t="shared" ca="1" si="66"/>
        <v>0</v>
      </c>
      <c r="AX32" s="72">
        <f t="shared" ca="1" si="66"/>
        <v>0</v>
      </c>
      <c r="AY32" s="72">
        <f t="shared" ca="1" si="67"/>
        <v>0</v>
      </c>
      <c r="AZ32" s="72">
        <f t="shared" ca="1" si="67"/>
        <v>0</v>
      </c>
      <c r="BA32" s="72">
        <f t="shared" ca="1" si="67"/>
        <v>0</v>
      </c>
      <c r="BB32" s="72">
        <f t="shared" ca="1" si="67"/>
        <v>0</v>
      </c>
      <c r="BC32" s="72">
        <f t="shared" ca="1" si="67"/>
        <v>0</v>
      </c>
      <c r="BD32" s="72">
        <f t="shared" ca="1" si="67"/>
        <v>0</v>
      </c>
      <c r="BE32" s="72">
        <f t="shared" ca="1" si="67"/>
        <v>0</v>
      </c>
      <c r="BF32" s="72">
        <f t="shared" ca="1" si="67"/>
        <v>0</v>
      </c>
      <c r="BG32" s="72">
        <f t="shared" ca="1" si="67"/>
        <v>0</v>
      </c>
      <c r="BH32" s="72">
        <f t="shared" ca="1" si="67"/>
        <v>0</v>
      </c>
      <c r="BI32" s="72">
        <f t="shared" ca="1" si="67"/>
        <v>0</v>
      </c>
      <c r="BJ32" s="72">
        <f t="shared" ca="1" si="4"/>
        <v>0</v>
      </c>
      <c r="BK32" s="72">
        <f t="shared" ca="1" si="68"/>
        <v>99</v>
      </c>
      <c r="BL32" s="318" t="str">
        <f t="shared" ca="1" si="25"/>
        <v/>
      </c>
      <c r="BM32" s="280">
        <f t="shared" ca="1" si="69"/>
        <v>0</v>
      </c>
      <c r="BN32" s="280">
        <f t="shared" ca="1" si="70"/>
        <v>0</v>
      </c>
      <c r="BO32" s="281" t="str">
        <f t="shared" ca="1" si="28"/>
        <v/>
      </c>
      <c r="BP32" s="283"/>
      <c r="BQ32" s="273">
        <f t="shared" ca="1" si="5"/>
        <v>0</v>
      </c>
      <c r="BR32" s="273">
        <f t="shared" ca="1" si="6"/>
        <v>0</v>
      </c>
      <c r="BS32" s="273">
        <f t="shared" ca="1" si="7"/>
        <v>1</v>
      </c>
      <c r="BT32" s="274">
        <f t="shared" ca="1" si="8"/>
        <v>1.1547000000000001</v>
      </c>
      <c r="BU32" s="275">
        <f t="shared" ca="1" si="29"/>
        <v>0</v>
      </c>
      <c r="BV32" s="273">
        <f t="shared" ca="1" si="9"/>
        <v>0</v>
      </c>
      <c r="BW32" s="273">
        <f t="shared" ca="1" si="10"/>
        <v>0</v>
      </c>
      <c r="BX32" s="273">
        <f t="shared" ca="1" si="11"/>
        <v>1</v>
      </c>
      <c r="BY32" s="274">
        <f t="shared" ca="1" si="12"/>
        <v>1.1547000000000001</v>
      </c>
      <c r="BZ32" s="275">
        <f t="shared" ca="1" si="71"/>
        <v>0</v>
      </c>
      <c r="CA32" s="273" t="e">
        <f t="shared" ca="1" si="13"/>
        <v>#DIV/0!</v>
      </c>
      <c r="CB32" s="273" t="e">
        <f t="shared" ca="1" si="14"/>
        <v>#DIV/0!</v>
      </c>
      <c r="CC32" s="273" t="e">
        <f t="shared" ca="1" si="15"/>
        <v>#DIV/0!</v>
      </c>
      <c r="CD32" s="274" t="e">
        <f t="shared" ca="1" si="16"/>
        <v>#DIV/0!</v>
      </c>
      <c r="CE32" s="275">
        <f t="shared" ca="1" si="31"/>
        <v>-1</v>
      </c>
      <c r="CF32" s="273" t="e">
        <f t="shared" ca="1" si="17"/>
        <v>#DIV/0!</v>
      </c>
      <c r="CG32" s="273" t="e">
        <f t="shared" ca="1" si="18"/>
        <v>#DIV/0!</v>
      </c>
      <c r="CH32" s="273" t="e">
        <f t="shared" ca="1" si="19"/>
        <v>#DIV/0!</v>
      </c>
      <c r="CI32" s="274" t="e">
        <f t="shared" ca="1" si="20"/>
        <v>#DIV/0!</v>
      </c>
      <c r="CJ32" s="275">
        <f t="shared" ca="1" si="32"/>
        <v>-1</v>
      </c>
      <c r="CK32" s="319">
        <f t="shared" ca="1" si="33"/>
        <v>0</v>
      </c>
      <c r="CL32" s="319">
        <f t="shared" ca="1" si="34"/>
        <v>0</v>
      </c>
      <c r="CM32" s="319">
        <f t="shared" ca="1" si="35"/>
        <v>0</v>
      </c>
      <c r="CN32" s="306" t="e">
        <f t="shared" ca="1" si="36"/>
        <v>#DIV/0!</v>
      </c>
      <c r="CO32" s="273" t="e">
        <f t="shared" ca="1" si="37"/>
        <v>#DIV/0!</v>
      </c>
      <c r="CP32" s="273" t="e">
        <f t="shared" ca="1" si="38"/>
        <v>#DIV/0!</v>
      </c>
      <c r="CQ32" s="274" t="e">
        <f t="shared" ca="1" si="21"/>
        <v>#DIV/0!</v>
      </c>
      <c r="CR32" s="275">
        <f t="shared" ca="1" si="39"/>
        <v>-1</v>
      </c>
      <c r="CS32" s="273" t="e">
        <f t="shared" ca="1" si="40"/>
        <v>#DIV/0!</v>
      </c>
      <c r="CT32" s="273" t="e">
        <f t="shared" ca="1" si="41"/>
        <v>#DIV/0!</v>
      </c>
      <c r="CU32" s="273" t="e">
        <f t="shared" ca="1" si="42"/>
        <v>#DIV/0!</v>
      </c>
      <c r="CV32" s="274" t="e">
        <f t="shared" ca="1" si="22"/>
        <v>#DIV/0!</v>
      </c>
      <c r="CW32" s="275">
        <f t="shared" ca="1" si="43"/>
        <v>-1</v>
      </c>
      <c r="CX32" s="276"/>
      <c r="CY32" s="277">
        <f t="shared" ca="1" si="44"/>
        <v>-99</v>
      </c>
      <c r="CZ32" s="278">
        <f t="shared" ca="1" si="45"/>
        <v>-99</v>
      </c>
      <c r="DA32" s="277">
        <f t="shared" ca="1" si="46"/>
        <v>-99</v>
      </c>
      <c r="DB32" s="277">
        <f t="shared" ca="1" si="47"/>
        <v>-99</v>
      </c>
      <c r="DC32" s="279" t="e">
        <f t="shared" ca="1" si="48"/>
        <v>#NUM!</v>
      </c>
      <c r="DD32" s="341">
        <f t="shared" ca="1" si="49"/>
        <v>-999</v>
      </c>
      <c r="DE32" s="279">
        <f t="shared" ca="1" si="23"/>
        <v>-999</v>
      </c>
      <c r="DF32" s="341">
        <f t="shared" ca="1" si="50"/>
        <v>133.9776</v>
      </c>
      <c r="DG32" s="335" t="e">
        <f t="shared" ca="1" si="51"/>
        <v>#DIV/0!</v>
      </c>
      <c r="DH32" s="329" t="e">
        <f t="shared" ca="1" si="52"/>
        <v>#DIV/0!</v>
      </c>
      <c r="DI32" s="329" t="e">
        <f t="shared" ca="1" si="53"/>
        <v>#DIV/0!</v>
      </c>
      <c r="DJ32" s="330">
        <f t="shared" ca="1" si="54"/>
        <v>-1</v>
      </c>
      <c r="DK32" s="331">
        <f t="shared" ca="1" si="55"/>
        <v>-1</v>
      </c>
      <c r="DL32" s="335" t="e">
        <f t="shared" ca="1" si="56"/>
        <v>#DIV/0!</v>
      </c>
      <c r="DM32" s="329" t="e">
        <f t="shared" ca="1" si="57"/>
        <v>#DIV/0!</v>
      </c>
      <c r="DN32" s="329" t="e">
        <f t="shared" ca="1" si="58"/>
        <v>#DIV/0!</v>
      </c>
      <c r="DO32" s="330">
        <f ca="1">IF(ISERROR(DL32),-1,Tgrid!$A$46+0.5774*DN32+1.1547*DL32)</f>
        <v>-1</v>
      </c>
      <c r="DP32" s="331">
        <f t="shared" ca="1" si="59"/>
        <v>-1</v>
      </c>
      <c r="DQ32" s="336" t="e">
        <f t="shared" ca="1" si="60"/>
        <v>#DIV/0!</v>
      </c>
      <c r="DR32" s="337" t="e">
        <f t="shared" ca="1" si="61"/>
        <v>#DIV/0!</v>
      </c>
      <c r="DS32" s="330">
        <f ca="1">IF(ISERROR(DQ32),-1,0.5*Tgrid!$B$42+0.5774*(2+DQ32-DR32))</f>
        <v>-1</v>
      </c>
      <c r="DT32" s="331">
        <f ca="1">IF(ISERROR(DQ32),-1,2+Tgrid!$B$54-DQ32-DR32)</f>
        <v>-1</v>
      </c>
    </row>
    <row r="33" spans="1:124" s="54" customFormat="1" ht="12.75" customHeight="1" x14ac:dyDescent="0.25">
      <c r="A33" s="365" t="s">
        <v>268</v>
      </c>
      <c r="B33" s="234"/>
      <c r="C33" s="234"/>
      <c r="D33" s="21"/>
      <c r="E33" s="234"/>
      <c r="F33" s="234"/>
      <c r="G33" s="234"/>
      <c r="H33" s="366">
        <v>55</v>
      </c>
      <c r="I33" s="323"/>
      <c r="J33" s="367"/>
      <c r="K33" s="367"/>
      <c r="L33" s="367"/>
      <c r="M33" s="367"/>
      <c r="N33" s="367"/>
      <c r="O33" s="367"/>
      <c r="P33" s="367"/>
      <c r="Q33" s="367">
        <v>85</v>
      </c>
      <c r="R33" s="367"/>
      <c r="S33" s="367"/>
      <c r="T33" s="367"/>
      <c r="U33" s="367"/>
      <c r="V33" s="367"/>
      <c r="W33" s="367"/>
      <c r="X33" s="367"/>
      <c r="Y33" s="367"/>
      <c r="Z33" s="367"/>
      <c r="AA33" s="367"/>
      <c r="AB33" s="367"/>
      <c r="AC33" s="367"/>
      <c r="AD33" s="118"/>
      <c r="AE33" s="119"/>
      <c r="AF33" s="227"/>
      <c r="AG33" s="116"/>
      <c r="AH33" s="318">
        <f t="shared" ca="1" si="0"/>
        <v>0</v>
      </c>
      <c r="AI33" s="72">
        <f t="shared" ca="1" si="65"/>
        <v>0</v>
      </c>
      <c r="AJ33" s="72">
        <f t="shared" ca="1" si="65"/>
        <v>0</v>
      </c>
      <c r="AK33" s="72">
        <f t="shared" ca="1" si="65"/>
        <v>0</v>
      </c>
      <c r="AL33" s="72">
        <f t="shared" ca="1" si="65"/>
        <v>55</v>
      </c>
      <c r="AM33" s="72">
        <f t="shared" ca="1" si="65"/>
        <v>0</v>
      </c>
      <c r="AN33" s="72">
        <f t="shared" ca="1" si="65"/>
        <v>0</v>
      </c>
      <c r="AO33" s="72">
        <f t="shared" ca="1" si="66"/>
        <v>0</v>
      </c>
      <c r="AP33" s="72">
        <f t="shared" ca="1" si="66"/>
        <v>0</v>
      </c>
      <c r="AQ33" s="72">
        <f t="shared" ca="1" si="66"/>
        <v>0</v>
      </c>
      <c r="AR33" s="72">
        <f t="shared" ca="1" si="66"/>
        <v>0</v>
      </c>
      <c r="AS33" s="72">
        <f t="shared" ca="1" si="66"/>
        <v>0</v>
      </c>
      <c r="AT33" s="72">
        <f t="shared" ca="1" si="66"/>
        <v>0</v>
      </c>
      <c r="AU33" s="72">
        <f t="shared" ca="1" si="66"/>
        <v>85</v>
      </c>
      <c r="AV33" s="72">
        <f t="shared" ca="1" si="66"/>
        <v>0</v>
      </c>
      <c r="AW33" s="72">
        <f t="shared" ca="1" si="66"/>
        <v>0</v>
      </c>
      <c r="AX33" s="72">
        <f t="shared" ca="1" si="66"/>
        <v>0</v>
      </c>
      <c r="AY33" s="72">
        <f t="shared" ca="1" si="67"/>
        <v>0</v>
      </c>
      <c r="AZ33" s="72">
        <f t="shared" ca="1" si="67"/>
        <v>0</v>
      </c>
      <c r="BA33" s="72">
        <f t="shared" ca="1" si="67"/>
        <v>0</v>
      </c>
      <c r="BB33" s="72">
        <f t="shared" ca="1" si="67"/>
        <v>0</v>
      </c>
      <c r="BC33" s="72">
        <f t="shared" ca="1" si="67"/>
        <v>0</v>
      </c>
      <c r="BD33" s="72">
        <f t="shared" ca="1" si="67"/>
        <v>0</v>
      </c>
      <c r="BE33" s="72">
        <f t="shared" ca="1" si="67"/>
        <v>0</v>
      </c>
      <c r="BF33" s="72">
        <f t="shared" ca="1" si="67"/>
        <v>0</v>
      </c>
      <c r="BG33" s="72">
        <f t="shared" ca="1" si="67"/>
        <v>0</v>
      </c>
      <c r="BH33" s="72">
        <f t="shared" ca="1" si="67"/>
        <v>0</v>
      </c>
      <c r="BI33" s="72">
        <f t="shared" ca="1" si="67"/>
        <v>0</v>
      </c>
      <c r="BJ33" s="72">
        <f t="shared" ca="1" si="4"/>
        <v>0</v>
      </c>
      <c r="BK33" s="72">
        <f t="shared" ca="1" si="68"/>
        <v>99</v>
      </c>
      <c r="BL33" s="318" t="str">
        <f t="shared" ca="1" si="25"/>
        <v/>
      </c>
      <c r="BM33" s="280">
        <f t="shared" ca="1" si="69"/>
        <v>0</v>
      </c>
      <c r="BN33" s="280">
        <f t="shared" ca="1" si="70"/>
        <v>0</v>
      </c>
      <c r="BO33" s="281" t="str">
        <f t="shared" ca="1" si="28"/>
        <v/>
      </c>
      <c r="BP33" s="283"/>
      <c r="BQ33" s="273">
        <f t="shared" ca="1" si="5"/>
        <v>0</v>
      </c>
      <c r="BR33" s="273">
        <f t="shared" ca="1" si="6"/>
        <v>0</v>
      </c>
      <c r="BS33" s="273">
        <f t="shared" ca="1" si="7"/>
        <v>1</v>
      </c>
      <c r="BT33" s="274">
        <f t="shared" ca="1" si="8"/>
        <v>1.1547000000000001</v>
      </c>
      <c r="BU33" s="275">
        <f t="shared" ca="1" si="29"/>
        <v>0</v>
      </c>
      <c r="BV33" s="273">
        <f t="shared" ca="1" si="9"/>
        <v>0</v>
      </c>
      <c r="BW33" s="273">
        <f t="shared" ca="1" si="10"/>
        <v>0</v>
      </c>
      <c r="BX33" s="273">
        <f t="shared" ca="1" si="11"/>
        <v>1</v>
      </c>
      <c r="BY33" s="274">
        <f t="shared" ca="1" si="12"/>
        <v>1.1547000000000001</v>
      </c>
      <c r="BZ33" s="275">
        <f t="shared" ca="1" si="71"/>
        <v>0</v>
      </c>
      <c r="CA33" s="273" t="e">
        <f t="shared" ca="1" si="13"/>
        <v>#DIV/0!</v>
      </c>
      <c r="CB33" s="273" t="e">
        <f t="shared" ca="1" si="14"/>
        <v>#DIV/0!</v>
      </c>
      <c r="CC33" s="273" t="e">
        <f t="shared" ca="1" si="15"/>
        <v>#DIV/0!</v>
      </c>
      <c r="CD33" s="274" t="e">
        <f t="shared" ca="1" si="16"/>
        <v>#DIV/0!</v>
      </c>
      <c r="CE33" s="275">
        <f t="shared" ca="1" si="31"/>
        <v>-1</v>
      </c>
      <c r="CF33" s="273" t="e">
        <f t="shared" ca="1" si="17"/>
        <v>#DIV/0!</v>
      </c>
      <c r="CG33" s="273" t="e">
        <f t="shared" ca="1" si="18"/>
        <v>#DIV/0!</v>
      </c>
      <c r="CH33" s="273" t="e">
        <f t="shared" ca="1" si="19"/>
        <v>#DIV/0!</v>
      </c>
      <c r="CI33" s="274" t="e">
        <f t="shared" ca="1" si="20"/>
        <v>#DIV/0!</v>
      </c>
      <c r="CJ33" s="275">
        <f t="shared" ca="1" si="32"/>
        <v>-1</v>
      </c>
      <c r="CK33" s="319">
        <f t="shared" ca="1" si="33"/>
        <v>0</v>
      </c>
      <c r="CL33" s="319">
        <f t="shared" ca="1" si="34"/>
        <v>0</v>
      </c>
      <c r="CM33" s="319">
        <f t="shared" ca="1" si="35"/>
        <v>0</v>
      </c>
      <c r="CN33" s="306" t="e">
        <f t="shared" ca="1" si="36"/>
        <v>#DIV/0!</v>
      </c>
      <c r="CO33" s="273" t="e">
        <f t="shared" ca="1" si="37"/>
        <v>#DIV/0!</v>
      </c>
      <c r="CP33" s="273" t="e">
        <f t="shared" ca="1" si="38"/>
        <v>#DIV/0!</v>
      </c>
      <c r="CQ33" s="274" t="e">
        <f t="shared" ca="1" si="21"/>
        <v>#DIV/0!</v>
      </c>
      <c r="CR33" s="275">
        <f t="shared" ca="1" si="39"/>
        <v>-1</v>
      </c>
      <c r="CS33" s="273" t="e">
        <f t="shared" ca="1" si="40"/>
        <v>#DIV/0!</v>
      </c>
      <c r="CT33" s="273" t="e">
        <f t="shared" ca="1" si="41"/>
        <v>#DIV/0!</v>
      </c>
      <c r="CU33" s="273" t="e">
        <f t="shared" ca="1" si="42"/>
        <v>#DIV/0!</v>
      </c>
      <c r="CV33" s="274" t="e">
        <f t="shared" ca="1" si="22"/>
        <v>#DIV/0!</v>
      </c>
      <c r="CW33" s="275">
        <f t="shared" ca="1" si="43"/>
        <v>-1</v>
      </c>
      <c r="CX33" s="276"/>
      <c r="CY33" s="277">
        <f t="shared" ca="1" si="44"/>
        <v>-99</v>
      </c>
      <c r="CZ33" s="278">
        <f t="shared" ca="1" si="45"/>
        <v>-99</v>
      </c>
      <c r="DA33" s="277">
        <f t="shared" ca="1" si="46"/>
        <v>-99</v>
      </c>
      <c r="DB33" s="277">
        <f t="shared" ca="1" si="47"/>
        <v>-99</v>
      </c>
      <c r="DC33" s="279" t="e">
        <f t="shared" ca="1" si="48"/>
        <v>#NUM!</v>
      </c>
      <c r="DD33" s="341">
        <f t="shared" ca="1" si="49"/>
        <v>-999</v>
      </c>
      <c r="DE33" s="279">
        <f t="shared" ca="1" si="23"/>
        <v>-999</v>
      </c>
      <c r="DF33" s="341">
        <f t="shared" ca="1" si="50"/>
        <v>230.67911509782869</v>
      </c>
      <c r="DG33" s="335" t="e">
        <f t="shared" ca="1" si="51"/>
        <v>#DIV/0!</v>
      </c>
      <c r="DH33" s="329" t="e">
        <f t="shared" ca="1" si="52"/>
        <v>#DIV/0!</v>
      </c>
      <c r="DI33" s="329" t="e">
        <f t="shared" ca="1" si="53"/>
        <v>#DIV/0!</v>
      </c>
      <c r="DJ33" s="330">
        <f t="shared" ca="1" si="54"/>
        <v>-1</v>
      </c>
      <c r="DK33" s="331">
        <f t="shared" ca="1" si="55"/>
        <v>-1</v>
      </c>
      <c r="DL33" s="335" t="e">
        <f t="shared" ca="1" si="56"/>
        <v>#DIV/0!</v>
      </c>
      <c r="DM33" s="329" t="e">
        <f t="shared" ca="1" si="57"/>
        <v>#DIV/0!</v>
      </c>
      <c r="DN33" s="329" t="e">
        <f t="shared" ca="1" si="58"/>
        <v>#DIV/0!</v>
      </c>
      <c r="DO33" s="330">
        <f ca="1">IF(ISERROR(DL33),-1,Tgrid!$A$46+0.5774*DN33+1.1547*DL33)</f>
        <v>-1</v>
      </c>
      <c r="DP33" s="331">
        <f t="shared" ca="1" si="59"/>
        <v>-1</v>
      </c>
      <c r="DQ33" s="336" t="e">
        <f t="shared" ca="1" si="60"/>
        <v>#DIV/0!</v>
      </c>
      <c r="DR33" s="337" t="e">
        <f t="shared" ca="1" si="61"/>
        <v>#DIV/0!</v>
      </c>
      <c r="DS33" s="330">
        <f ca="1">IF(ISERROR(DQ33),-1,0.5*Tgrid!$B$42+0.5774*(2+DQ33-DR33))</f>
        <v>-1</v>
      </c>
      <c r="DT33" s="331">
        <f ca="1">IF(ISERROR(DQ33),-1,2+Tgrid!$B$54-DQ33-DR33)</f>
        <v>-1</v>
      </c>
    </row>
    <row r="34" spans="1:124" s="54" customFormat="1" ht="15" x14ac:dyDescent="0.25">
      <c r="A34" s="365" t="s">
        <v>269</v>
      </c>
      <c r="B34" s="89"/>
      <c r="C34" s="114"/>
      <c r="D34" s="21"/>
      <c r="E34" s="89"/>
      <c r="F34" s="21"/>
      <c r="G34" s="21"/>
      <c r="H34" s="366">
        <v>60</v>
      </c>
      <c r="I34" s="323"/>
      <c r="J34" s="367"/>
      <c r="K34" s="367"/>
      <c r="L34" s="367"/>
      <c r="M34" s="367"/>
      <c r="N34" s="367"/>
      <c r="O34" s="367"/>
      <c r="P34" s="367"/>
      <c r="Q34" s="367">
        <v>2.8</v>
      </c>
      <c r="R34" s="367"/>
      <c r="S34" s="367"/>
      <c r="T34" s="367"/>
      <c r="U34" s="367"/>
      <c r="V34" s="367"/>
      <c r="W34" s="367"/>
      <c r="X34" s="367"/>
      <c r="Y34" s="367"/>
      <c r="Z34" s="367"/>
      <c r="AA34" s="367"/>
      <c r="AB34" s="367"/>
      <c r="AC34" s="367"/>
      <c r="AD34" s="115"/>
      <c r="AE34" s="115"/>
      <c r="AF34" s="227"/>
      <c r="AG34" s="116"/>
      <c r="AH34" s="318">
        <f t="shared" ca="1" si="0"/>
        <v>0</v>
      </c>
      <c r="AI34" s="72">
        <f t="shared" ca="1" si="65"/>
        <v>0</v>
      </c>
      <c r="AJ34" s="72">
        <f t="shared" ca="1" si="65"/>
        <v>0</v>
      </c>
      <c r="AK34" s="72">
        <f t="shared" ca="1" si="65"/>
        <v>0</v>
      </c>
      <c r="AL34" s="72">
        <f t="shared" ca="1" si="65"/>
        <v>60</v>
      </c>
      <c r="AM34" s="72">
        <f t="shared" ca="1" si="65"/>
        <v>0</v>
      </c>
      <c r="AN34" s="72">
        <f t="shared" ca="1" si="65"/>
        <v>0</v>
      </c>
      <c r="AO34" s="72">
        <f t="shared" ca="1" si="66"/>
        <v>0</v>
      </c>
      <c r="AP34" s="72">
        <f t="shared" ca="1" si="66"/>
        <v>0</v>
      </c>
      <c r="AQ34" s="72">
        <f t="shared" ca="1" si="66"/>
        <v>0</v>
      </c>
      <c r="AR34" s="72">
        <f t="shared" ca="1" si="66"/>
        <v>0</v>
      </c>
      <c r="AS34" s="72">
        <f t="shared" ca="1" si="66"/>
        <v>0</v>
      </c>
      <c r="AT34" s="72">
        <f t="shared" ca="1" si="66"/>
        <v>0</v>
      </c>
      <c r="AU34" s="72">
        <f t="shared" ca="1" si="66"/>
        <v>2.8</v>
      </c>
      <c r="AV34" s="72">
        <f t="shared" ca="1" si="66"/>
        <v>0</v>
      </c>
      <c r="AW34" s="72">
        <f t="shared" ca="1" si="66"/>
        <v>0</v>
      </c>
      <c r="AX34" s="72">
        <f t="shared" ca="1" si="66"/>
        <v>0</v>
      </c>
      <c r="AY34" s="72">
        <f t="shared" ca="1" si="67"/>
        <v>0</v>
      </c>
      <c r="AZ34" s="72">
        <f t="shared" ca="1" si="67"/>
        <v>0</v>
      </c>
      <c r="BA34" s="72">
        <f t="shared" ca="1" si="67"/>
        <v>0</v>
      </c>
      <c r="BB34" s="72">
        <f t="shared" ca="1" si="67"/>
        <v>0</v>
      </c>
      <c r="BC34" s="72">
        <f t="shared" ca="1" si="67"/>
        <v>0</v>
      </c>
      <c r="BD34" s="72">
        <f t="shared" ca="1" si="67"/>
        <v>0</v>
      </c>
      <c r="BE34" s="72">
        <f t="shared" ca="1" si="67"/>
        <v>0</v>
      </c>
      <c r="BF34" s="72">
        <f t="shared" ca="1" si="67"/>
        <v>0</v>
      </c>
      <c r="BG34" s="72">
        <f t="shared" ca="1" si="67"/>
        <v>0</v>
      </c>
      <c r="BH34" s="72">
        <f t="shared" ca="1" si="67"/>
        <v>0</v>
      </c>
      <c r="BI34" s="72">
        <f t="shared" ca="1" si="67"/>
        <v>0</v>
      </c>
      <c r="BJ34" s="72">
        <f t="shared" ca="1" si="4"/>
        <v>0</v>
      </c>
      <c r="BK34" s="72">
        <f t="shared" ca="1" si="68"/>
        <v>99</v>
      </c>
      <c r="BL34" s="318" t="str">
        <f t="shared" ca="1" si="25"/>
        <v/>
      </c>
      <c r="BM34" s="280">
        <f t="shared" ca="1" si="69"/>
        <v>0</v>
      </c>
      <c r="BN34" s="280">
        <f t="shared" ca="1" si="70"/>
        <v>0</v>
      </c>
      <c r="BO34" s="281" t="str">
        <f t="shared" ca="1" si="28"/>
        <v/>
      </c>
      <c r="BP34" s="283"/>
      <c r="BQ34" s="273">
        <f t="shared" ca="1" si="5"/>
        <v>0</v>
      </c>
      <c r="BR34" s="273">
        <f t="shared" ca="1" si="6"/>
        <v>0</v>
      </c>
      <c r="BS34" s="273">
        <f t="shared" ca="1" si="7"/>
        <v>1</v>
      </c>
      <c r="BT34" s="274">
        <f t="shared" ca="1" si="8"/>
        <v>1.1547000000000001</v>
      </c>
      <c r="BU34" s="275">
        <f t="shared" ca="1" si="29"/>
        <v>0</v>
      </c>
      <c r="BV34" s="273">
        <f t="shared" ca="1" si="9"/>
        <v>0</v>
      </c>
      <c r="BW34" s="273">
        <f t="shared" ca="1" si="10"/>
        <v>0</v>
      </c>
      <c r="BX34" s="273">
        <f t="shared" ca="1" si="11"/>
        <v>1</v>
      </c>
      <c r="BY34" s="274">
        <f t="shared" ca="1" si="12"/>
        <v>1.1547000000000001</v>
      </c>
      <c r="BZ34" s="275">
        <f t="shared" ca="1" si="71"/>
        <v>0</v>
      </c>
      <c r="CA34" s="273" t="e">
        <f t="shared" ca="1" si="13"/>
        <v>#DIV/0!</v>
      </c>
      <c r="CB34" s="273" t="e">
        <f t="shared" ca="1" si="14"/>
        <v>#DIV/0!</v>
      </c>
      <c r="CC34" s="273" t="e">
        <f t="shared" ca="1" si="15"/>
        <v>#DIV/0!</v>
      </c>
      <c r="CD34" s="274" t="e">
        <f t="shared" ca="1" si="16"/>
        <v>#DIV/0!</v>
      </c>
      <c r="CE34" s="275">
        <f t="shared" ca="1" si="31"/>
        <v>-1</v>
      </c>
      <c r="CF34" s="273" t="e">
        <f t="shared" ca="1" si="17"/>
        <v>#DIV/0!</v>
      </c>
      <c r="CG34" s="273" t="e">
        <f t="shared" ca="1" si="18"/>
        <v>#DIV/0!</v>
      </c>
      <c r="CH34" s="273" t="e">
        <f t="shared" ca="1" si="19"/>
        <v>#DIV/0!</v>
      </c>
      <c r="CI34" s="274" t="e">
        <f t="shared" ca="1" si="20"/>
        <v>#DIV/0!</v>
      </c>
      <c r="CJ34" s="275">
        <f t="shared" ca="1" si="32"/>
        <v>-1</v>
      </c>
      <c r="CK34" s="319">
        <f t="shared" ca="1" si="33"/>
        <v>0</v>
      </c>
      <c r="CL34" s="319">
        <f t="shared" ca="1" si="34"/>
        <v>0</v>
      </c>
      <c r="CM34" s="319">
        <f t="shared" ca="1" si="35"/>
        <v>0</v>
      </c>
      <c r="CN34" s="306" t="e">
        <f t="shared" ca="1" si="36"/>
        <v>#DIV/0!</v>
      </c>
      <c r="CO34" s="273" t="e">
        <f t="shared" ca="1" si="37"/>
        <v>#DIV/0!</v>
      </c>
      <c r="CP34" s="273" t="e">
        <f t="shared" ca="1" si="38"/>
        <v>#DIV/0!</v>
      </c>
      <c r="CQ34" s="274" t="e">
        <f t="shared" ca="1" si="21"/>
        <v>#DIV/0!</v>
      </c>
      <c r="CR34" s="275">
        <f t="shared" ca="1" si="39"/>
        <v>-1</v>
      </c>
      <c r="CS34" s="273" t="e">
        <f t="shared" ca="1" si="40"/>
        <v>#DIV/0!</v>
      </c>
      <c r="CT34" s="273" t="e">
        <f t="shared" ca="1" si="41"/>
        <v>#DIV/0!</v>
      </c>
      <c r="CU34" s="273" t="e">
        <f t="shared" ca="1" si="42"/>
        <v>#DIV/0!</v>
      </c>
      <c r="CV34" s="274" t="e">
        <f t="shared" ca="1" si="22"/>
        <v>#DIV/0!</v>
      </c>
      <c r="CW34" s="275">
        <f t="shared" ca="1" si="43"/>
        <v>-1</v>
      </c>
      <c r="CX34" s="276"/>
      <c r="CY34" s="277">
        <f t="shared" ca="1" si="44"/>
        <v>-99</v>
      </c>
      <c r="CZ34" s="278">
        <f t="shared" ca="1" si="45"/>
        <v>-99</v>
      </c>
      <c r="DA34" s="277">
        <f t="shared" ca="1" si="46"/>
        <v>-99</v>
      </c>
      <c r="DB34" s="277">
        <f t="shared" ca="1" si="47"/>
        <v>-99</v>
      </c>
      <c r="DC34" s="279" t="e">
        <f t="shared" ca="1" si="48"/>
        <v>#NUM!</v>
      </c>
      <c r="DD34" s="341">
        <f t="shared" ca="1" si="49"/>
        <v>-999</v>
      </c>
      <c r="DE34" s="279">
        <f t="shared" ca="1" si="23"/>
        <v>-999</v>
      </c>
      <c r="DF34" s="341">
        <f t="shared" ca="1" si="50"/>
        <v>251.91480730250453</v>
      </c>
      <c r="DG34" s="335" t="e">
        <f t="shared" ca="1" si="51"/>
        <v>#DIV/0!</v>
      </c>
      <c r="DH34" s="329" t="e">
        <f t="shared" ca="1" si="52"/>
        <v>#DIV/0!</v>
      </c>
      <c r="DI34" s="329" t="e">
        <f t="shared" ca="1" si="53"/>
        <v>#DIV/0!</v>
      </c>
      <c r="DJ34" s="330">
        <f t="shared" ca="1" si="54"/>
        <v>-1</v>
      </c>
      <c r="DK34" s="331">
        <f t="shared" ca="1" si="55"/>
        <v>-1</v>
      </c>
      <c r="DL34" s="335" t="e">
        <f t="shared" ca="1" si="56"/>
        <v>#DIV/0!</v>
      </c>
      <c r="DM34" s="329" t="e">
        <f t="shared" ca="1" si="57"/>
        <v>#DIV/0!</v>
      </c>
      <c r="DN34" s="329" t="e">
        <f t="shared" ca="1" si="58"/>
        <v>#DIV/0!</v>
      </c>
      <c r="DO34" s="330">
        <f ca="1">IF(ISERROR(DL34),-1,Tgrid!$A$46+0.5774*DN34+1.1547*DL34)</f>
        <v>-1</v>
      </c>
      <c r="DP34" s="331">
        <f t="shared" ca="1" si="59"/>
        <v>-1</v>
      </c>
      <c r="DQ34" s="336" t="e">
        <f t="shared" ca="1" si="60"/>
        <v>#DIV/0!</v>
      </c>
      <c r="DR34" s="337" t="e">
        <f t="shared" ca="1" si="61"/>
        <v>#DIV/0!</v>
      </c>
      <c r="DS34" s="330">
        <f ca="1">IF(ISERROR(DQ34),-1,0.5*Tgrid!$B$42+0.5774*(2+DQ34-DR34))</f>
        <v>-1</v>
      </c>
      <c r="DT34" s="331">
        <f ca="1">IF(ISERROR(DQ34),-1,2+Tgrid!$B$54-DQ34-DR34)</f>
        <v>-1</v>
      </c>
    </row>
    <row r="35" spans="1:124" s="7" customFormat="1" ht="15" x14ac:dyDescent="0.25">
      <c r="A35" s="365" t="s">
        <v>270</v>
      </c>
      <c r="B35" s="89"/>
      <c r="C35" s="114"/>
      <c r="D35" s="21"/>
      <c r="E35" s="89"/>
      <c r="F35" s="218"/>
      <c r="G35" s="117"/>
      <c r="H35" s="366">
        <v>95</v>
      </c>
      <c r="I35" s="323"/>
      <c r="J35" s="367"/>
      <c r="K35" s="367"/>
      <c r="L35" s="367"/>
      <c r="M35" s="367"/>
      <c r="N35" s="367"/>
      <c r="O35" s="367"/>
      <c r="P35" s="367"/>
      <c r="Q35" s="367">
        <v>88</v>
      </c>
      <c r="R35" s="367"/>
      <c r="S35" s="367"/>
      <c r="T35" s="367"/>
      <c r="U35" s="367"/>
      <c r="V35" s="367"/>
      <c r="W35" s="367"/>
      <c r="X35" s="367"/>
      <c r="Y35" s="367"/>
      <c r="Z35" s="367"/>
      <c r="AA35" s="367"/>
      <c r="AB35" s="367"/>
      <c r="AC35" s="367"/>
      <c r="AD35" s="118"/>
      <c r="AE35" s="119"/>
      <c r="AF35" s="227"/>
      <c r="AG35" s="116"/>
      <c r="AH35" s="318">
        <f t="shared" ca="1" si="0"/>
        <v>0</v>
      </c>
      <c r="AI35" s="72">
        <f t="shared" ca="1" si="65"/>
        <v>0</v>
      </c>
      <c r="AJ35" s="72">
        <f t="shared" ca="1" si="65"/>
        <v>0</v>
      </c>
      <c r="AK35" s="72">
        <f t="shared" ca="1" si="65"/>
        <v>0</v>
      </c>
      <c r="AL35" s="72">
        <f t="shared" ca="1" si="65"/>
        <v>95</v>
      </c>
      <c r="AM35" s="72">
        <f t="shared" ca="1" si="65"/>
        <v>0</v>
      </c>
      <c r="AN35" s="72">
        <f t="shared" ca="1" si="65"/>
        <v>0</v>
      </c>
      <c r="AO35" s="72">
        <f t="shared" ca="1" si="66"/>
        <v>0</v>
      </c>
      <c r="AP35" s="72">
        <f t="shared" ca="1" si="66"/>
        <v>0</v>
      </c>
      <c r="AQ35" s="72">
        <f t="shared" ca="1" si="66"/>
        <v>0</v>
      </c>
      <c r="AR35" s="72">
        <f t="shared" ca="1" si="66"/>
        <v>0</v>
      </c>
      <c r="AS35" s="72">
        <f t="shared" ca="1" si="66"/>
        <v>0</v>
      </c>
      <c r="AT35" s="72">
        <f t="shared" ca="1" si="66"/>
        <v>0</v>
      </c>
      <c r="AU35" s="72">
        <f t="shared" ca="1" si="66"/>
        <v>88</v>
      </c>
      <c r="AV35" s="72">
        <f t="shared" ca="1" si="66"/>
        <v>0</v>
      </c>
      <c r="AW35" s="72">
        <f t="shared" ca="1" si="66"/>
        <v>0</v>
      </c>
      <c r="AX35" s="72">
        <f t="shared" ca="1" si="66"/>
        <v>0</v>
      </c>
      <c r="AY35" s="72">
        <f t="shared" ca="1" si="67"/>
        <v>0</v>
      </c>
      <c r="AZ35" s="72">
        <f t="shared" ca="1" si="67"/>
        <v>0</v>
      </c>
      <c r="BA35" s="72">
        <f t="shared" ca="1" si="67"/>
        <v>0</v>
      </c>
      <c r="BB35" s="72">
        <f t="shared" ca="1" si="67"/>
        <v>0</v>
      </c>
      <c r="BC35" s="72">
        <f t="shared" ca="1" si="67"/>
        <v>0</v>
      </c>
      <c r="BD35" s="72">
        <f t="shared" ca="1" si="67"/>
        <v>0</v>
      </c>
      <c r="BE35" s="72">
        <f t="shared" ca="1" si="67"/>
        <v>0</v>
      </c>
      <c r="BF35" s="72">
        <f t="shared" ca="1" si="67"/>
        <v>0</v>
      </c>
      <c r="BG35" s="72">
        <f t="shared" ca="1" si="67"/>
        <v>0</v>
      </c>
      <c r="BH35" s="72">
        <f t="shared" ca="1" si="67"/>
        <v>0</v>
      </c>
      <c r="BI35" s="72">
        <f t="shared" ca="1" si="67"/>
        <v>0</v>
      </c>
      <c r="BJ35" s="72">
        <f t="shared" ca="1" si="4"/>
        <v>0</v>
      </c>
      <c r="BK35" s="72">
        <f t="shared" ca="1" si="68"/>
        <v>99</v>
      </c>
      <c r="BL35" s="318" t="str">
        <f t="shared" ca="1" si="25"/>
        <v/>
      </c>
      <c r="BM35" s="280">
        <f t="shared" ca="1" si="69"/>
        <v>0</v>
      </c>
      <c r="BN35" s="280">
        <f t="shared" ca="1" si="70"/>
        <v>0</v>
      </c>
      <c r="BO35" s="281" t="str">
        <f t="shared" ca="1" si="28"/>
        <v/>
      </c>
      <c r="BP35" s="283"/>
      <c r="BQ35" s="273">
        <f t="shared" ca="1" si="5"/>
        <v>0</v>
      </c>
      <c r="BR35" s="273">
        <f t="shared" ca="1" si="6"/>
        <v>0</v>
      </c>
      <c r="BS35" s="273">
        <f t="shared" ca="1" si="7"/>
        <v>1</v>
      </c>
      <c r="BT35" s="274">
        <f ca="1">0.5774*BQ35+1.1547*BS35</f>
        <v>1.1547000000000001</v>
      </c>
      <c r="BU35" s="275">
        <f t="shared" ca="1" si="29"/>
        <v>0</v>
      </c>
      <c r="BV35" s="273">
        <f t="shared" ca="1" si="9"/>
        <v>0</v>
      </c>
      <c r="BW35" s="273">
        <f t="shared" ca="1" si="10"/>
        <v>0</v>
      </c>
      <c r="BX35" s="273">
        <f t="shared" ca="1" si="11"/>
        <v>1</v>
      </c>
      <c r="BY35" s="274">
        <f ca="1">0.5774*BV35+1.1547*BX35</f>
        <v>1.1547000000000001</v>
      </c>
      <c r="BZ35" s="275">
        <f t="shared" ca="1" si="71"/>
        <v>0</v>
      </c>
      <c r="CA35" s="273" t="e">
        <f t="shared" ca="1" si="13"/>
        <v>#DIV/0!</v>
      </c>
      <c r="CB35" s="273" t="e">
        <f t="shared" ca="1" si="14"/>
        <v>#DIV/0!</v>
      </c>
      <c r="CC35" s="273" t="e">
        <f t="shared" ca="1" si="15"/>
        <v>#DIV/0!</v>
      </c>
      <c r="CD35" s="274" t="e">
        <f ca="1">0.5774*CA35+1.1547*CC35</f>
        <v>#DIV/0!</v>
      </c>
      <c r="CE35" s="275">
        <f t="shared" ca="1" si="31"/>
        <v>-1</v>
      </c>
      <c r="CF35" s="273" t="e">
        <f t="shared" ca="1" si="17"/>
        <v>#DIV/0!</v>
      </c>
      <c r="CG35" s="273" t="e">
        <f t="shared" ca="1" si="18"/>
        <v>#DIV/0!</v>
      </c>
      <c r="CH35" s="273" t="e">
        <f t="shared" ca="1" si="19"/>
        <v>#DIV/0!</v>
      </c>
      <c r="CI35" s="274" t="e">
        <f ca="1">0.5774*CF35+1.1547*CH35</f>
        <v>#DIV/0!</v>
      </c>
      <c r="CJ35" s="275">
        <f t="shared" ca="1" si="32"/>
        <v>-1</v>
      </c>
      <c r="CK35" s="319">
        <f t="shared" ca="1" si="33"/>
        <v>0</v>
      </c>
      <c r="CL35" s="319">
        <f t="shared" ca="1" si="34"/>
        <v>0</v>
      </c>
      <c r="CM35" s="319">
        <f t="shared" ca="1" si="35"/>
        <v>0</v>
      </c>
      <c r="CN35" s="306" t="e">
        <f t="shared" ca="1" si="36"/>
        <v>#DIV/0!</v>
      </c>
      <c r="CO35" s="273" t="e">
        <f t="shared" ca="1" si="37"/>
        <v>#DIV/0!</v>
      </c>
      <c r="CP35" s="273" t="e">
        <f t="shared" ca="1" si="38"/>
        <v>#DIV/0!</v>
      </c>
      <c r="CQ35" s="274" t="e">
        <f ca="1">0.5774*CN35+1.1547*CP35</f>
        <v>#DIV/0!</v>
      </c>
      <c r="CR35" s="275">
        <f t="shared" ca="1" si="39"/>
        <v>-1</v>
      </c>
      <c r="CS35" s="273" t="e">
        <f t="shared" ca="1" si="40"/>
        <v>#DIV/0!</v>
      </c>
      <c r="CT35" s="273" t="e">
        <f t="shared" ca="1" si="41"/>
        <v>#DIV/0!</v>
      </c>
      <c r="CU35" s="273" t="e">
        <f t="shared" ca="1" si="42"/>
        <v>#DIV/0!</v>
      </c>
      <c r="CV35" s="274" t="e">
        <f ca="1">0.5774*CS35+1.1547*CU35</f>
        <v>#DIV/0!</v>
      </c>
      <c r="CW35" s="275">
        <f t="shared" ca="1" si="43"/>
        <v>-1</v>
      </c>
      <c r="CX35" s="276"/>
      <c r="CY35" s="277">
        <f t="shared" ca="1" si="44"/>
        <v>-99</v>
      </c>
      <c r="CZ35" s="278">
        <f t="shared" ca="1" si="45"/>
        <v>-99</v>
      </c>
      <c r="DA35" s="277">
        <f t="shared" ca="1" si="46"/>
        <v>-99</v>
      </c>
      <c r="DB35" s="277">
        <f t="shared" ca="1" si="47"/>
        <v>-99</v>
      </c>
      <c r="DC35" s="279" t="e">
        <f t="shared" ca="1" si="48"/>
        <v>#NUM!</v>
      </c>
      <c r="DD35" s="341">
        <f t="shared" ca="1" si="49"/>
        <v>-999</v>
      </c>
      <c r="DE35" s="279">
        <f t="shared" ca="1" si="23"/>
        <v>-999</v>
      </c>
      <c r="DF35" s="341">
        <f t="shared" ca="1" si="50"/>
        <v>398.97292612758031</v>
      </c>
      <c r="DG35" s="335" t="e">
        <f t="shared" ca="1" si="51"/>
        <v>#DIV/0!</v>
      </c>
      <c r="DH35" s="329" t="e">
        <f t="shared" ca="1" si="52"/>
        <v>#DIV/0!</v>
      </c>
      <c r="DI35" s="329" t="e">
        <f t="shared" ca="1" si="53"/>
        <v>#DIV/0!</v>
      </c>
      <c r="DJ35" s="330">
        <f t="shared" ca="1" si="54"/>
        <v>-1</v>
      </c>
      <c r="DK35" s="331">
        <f t="shared" ca="1" si="55"/>
        <v>-1</v>
      </c>
      <c r="DL35" s="335" t="e">
        <f t="shared" ca="1" si="56"/>
        <v>#DIV/0!</v>
      </c>
      <c r="DM35" s="329" t="e">
        <f t="shared" ca="1" si="57"/>
        <v>#DIV/0!</v>
      </c>
      <c r="DN35" s="329" t="e">
        <f t="shared" ca="1" si="58"/>
        <v>#DIV/0!</v>
      </c>
      <c r="DO35" s="330">
        <f ca="1">IF(ISERROR(DL35),-1,Tgrid!$A$46+0.5774*DN35+1.1547*DL35)</f>
        <v>-1</v>
      </c>
      <c r="DP35" s="331">
        <f t="shared" ca="1" si="59"/>
        <v>-1</v>
      </c>
      <c r="DQ35" s="336" t="e">
        <f t="shared" ca="1" si="60"/>
        <v>#DIV/0!</v>
      </c>
      <c r="DR35" s="337" t="e">
        <f t="shared" ca="1" si="61"/>
        <v>#DIV/0!</v>
      </c>
      <c r="DS35" s="330">
        <f ca="1">IF(ISERROR(DQ35),-1,0.5*Tgrid!$B$42+0.5774*(2+DQ35-DR35))</f>
        <v>-1</v>
      </c>
      <c r="DT35" s="331">
        <f ca="1">IF(ISERROR(DQ35),-1,2+Tgrid!$B$54-DQ35-DR35)</f>
        <v>-1</v>
      </c>
    </row>
    <row r="36" spans="1:124" s="7" customFormat="1" ht="15" x14ac:dyDescent="0.25">
      <c r="A36" s="365" t="s">
        <v>271</v>
      </c>
      <c r="B36" s="89"/>
      <c r="C36" s="114"/>
      <c r="D36" s="21"/>
      <c r="E36" s="89"/>
      <c r="F36" s="21"/>
      <c r="G36" s="21"/>
      <c r="H36" s="366">
        <v>48</v>
      </c>
      <c r="I36" s="323"/>
      <c r="J36" s="367"/>
      <c r="K36" s="367"/>
      <c r="L36" s="367"/>
      <c r="M36" s="367"/>
      <c r="N36" s="367"/>
      <c r="O36" s="367"/>
      <c r="P36" s="367"/>
      <c r="Q36" s="367">
        <v>1.3</v>
      </c>
      <c r="R36" s="367"/>
      <c r="S36" s="367"/>
      <c r="T36" s="367"/>
      <c r="U36" s="367"/>
      <c r="V36" s="367"/>
      <c r="W36" s="367"/>
      <c r="X36" s="367"/>
      <c r="Y36" s="367"/>
      <c r="Z36" s="367"/>
      <c r="AA36" s="367"/>
      <c r="AB36" s="367"/>
      <c r="AC36" s="367"/>
      <c r="AD36" s="115"/>
      <c r="AE36" s="115"/>
      <c r="AF36" s="227"/>
      <c r="AG36" s="116"/>
      <c r="AH36" s="318">
        <f t="shared" ca="1" si="0"/>
        <v>0</v>
      </c>
      <c r="AI36" s="72">
        <f t="shared" ca="1" si="65"/>
        <v>0</v>
      </c>
      <c r="AJ36" s="72">
        <f t="shared" ca="1" si="65"/>
        <v>0</v>
      </c>
      <c r="AK36" s="72">
        <f t="shared" ca="1" si="65"/>
        <v>0</v>
      </c>
      <c r="AL36" s="72">
        <f t="shared" ca="1" si="65"/>
        <v>48</v>
      </c>
      <c r="AM36" s="72">
        <f t="shared" ca="1" si="65"/>
        <v>0</v>
      </c>
      <c r="AN36" s="72">
        <f t="shared" ca="1" si="65"/>
        <v>0</v>
      </c>
      <c r="AO36" s="72">
        <f t="shared" ca="1" si="66"/>
        <v>0</v>
      </c>
      <c r="AP36" s="72">
        <f t="shared" ca="1" si="66"/>
        <v>0</v>
      </c>
      <c r="AQ36" s="72">
        <f t="shared" ca="1" si="66"/>
        <v>0</v>
      </c>
      <c r="AR36" s="72">
        <f t="shared" ca="1" si="66"/>
        <v>0</v>
      </c>
      <c r="AS36" s="72">
        <f t="shared" ca="1" si="66"/>
        <v>0</v>
      </c>
      <c r="AT36" s="72">
        <f t="shared" ca="1" si="66"/>
        <v>0</v>
      </c>
      <c r="AU36" s="72">
        <f t="shared" ca="1" si="66"/>
        <v>1.3</v>
      </c>
      <c r="AV36" s="72">
        <f t="shared" ca="1" si="66"/>
        <v>0</v>
      </c>
      <c r="AW36" s="72">
        <f t="shared" ca="1" si="66"/>
        <v>0</v>
      </c>
      <c r="AX36" s="72">
        <f t="shared" ca="1" si="66"/>
        <v>0</v>
      </c>
      <c r="AY36" s="72">
        <f t="shared" ca="1" si="67"/>
        <v>0</v>
      </c>
      <c r="AZ36" s="72">
        <f t="shared" ca="1" si="67"/>
        <v>0</v>
      </c>
      <c r="BA36" s="72">
        <f t="shared" ca="1" si="67"/>
        <v>0</v>
      </c>
      <c r="BB36" s="72">
        <f t="shared" ca="1" si="67"/>
        <v>0</v>
      </c>
      <c r="BC36" s="72">
        <f t="shared" ca="1" si="67"/>
        <v>0</v>
      </c>
      <c r="BD36" s="72">
        <f t="shared" ca="1" si="67"/>
        <v>0</v>
      </c>
      <c r="BE36" s="72">
        <f t="shared" ca="1" si="67"/>
        <v>0</v>
      </c>
      <c r="BF36" s="72">
        <f t="shared" ca="1" si="67"/>
        <v>0</v>
      </c>
      <c r="BG36" s="72">
        <f t="shared" ca="1" si="67"/>
        <v>0</v>
      </c>
      <c r="BH36" s="72">
        <f t="shared" ca="1" si="67"/>
        <v>0</v>
      </c>
      <c r="BI36" s="72">
        <f t="shared" ca="1" si="67"/>
        <v>0</v>
      </c>
      <c r="BJ36" s="72">
        <f t="shared" ca="1" si="4"/>
        <v>0</v>
      </c>
      <c r="BK36" s="72">
        <f t="shared" ca="1" si="68"/>
        <v>99</v>
      </c>
      <c r="BL36" s="318" t="str">
        <f t="shared" ca="1" si="25"/>
        <v/>
      </c>
      <c r="BM36" s="280">
        <f t="shared" ca="1" si="69"/>
        <v>0</v>
      </c>
      <c r="BN36" s="280">
        <f t="shared" ca="1" si="70"/>
        <v>0</v>
      </c>
      <c r="BO36" s="281" t="str">
        <f t="shared" ca="1" si="28"/>
        <v/>
      </c>
      <c r="BP36" s="283"/>
      <c r="BQ36" s="273">
        <f t="shared" ca="1" si="5"/>
        <v>0</v>
      </c>
      <c r="BR36" s="273">
        <f t="shared" ca="1" si="6"/>
        <v>0</v>
      </c>
      <c r="BS36" s="273">
        <f t="shared" ca="1" si="7"/>
        <v>1</v>
      </c>
      <c r="BT36" s="274">
        <f ca="1">0.5774*BQ36+1.1547*BS36</f>
        <v>1.1547000000000001</v>
      </c>
      <c r="BU36" s="275">
        <f t="shared" ca="1" si="29"/>
        <v>0</v>
      </c>
      <c r="BV36" s="273">
        <f t="shared" ca="1" si="9"/>
        <v>0</v>
      </c>
      <c r="BW36" s="273">
        <f t="shared" ca="1" si="10"/>
        <v>0</v>
      </c>
      <c r="BX36" s="273">
        <f t="shared" ca="1" si="11"/>
        <v>1</v>
      </c>
      <c r="BY36" s="274">
        <f ca="1">0.5774*BV36+1.1547*BX36</f>
        <v>1.1547000000000001</v>
      </c>
      <c r="BZ36" s="275">
        <f t="shared" ca="1" si="71"/>
        <v>0</v>
      </c>
      <c r="CA36" s="273" t="e">
        <f t="shared" ca="1" si="13"/>
        <v>#DIV/0!</v>
      </c>
      <c r="CB36" s="273" t="e">
        <f t="shared" ca="1" si="14"/>
        <v>#DIV/0!</v>
      </c>
      <c r="CC36" s="273" t="e">
        <f t="shared" ca="1" si="15"/>
        <v>#DIV/0!</v>
      </c>
      <c r="CD36" s="274" t="e">
        <f ca="1">0.5774*CA36+1.1547*CC36</f>
        <v>#DIV/0!</v>
      </c>
      <c r="CE36" s="275">
        <f t="shared" ca="1" si="31"/>
        <v>-1</v>
      </c>
      <c r="CF36" s="273" t="e">
        <f t="shared" ca="1" si="17"/>
        <v>#DIV/0!</v>
      </c>
      <c r="CG36" s="273" t="e">
        <f t="shared" ca="1" si="18"/>
        <v>#DIV/0!</v>
      </c>
      <c r="CH36" s="273" t="e">
        <f t="shared" ca="1" si="19"/>
        <v>#DIV/0!</v>
      </c>
      <c r="CI36" s="274" t="e">
        <f ca="1">0.5774*CF36+1.1547*CH36</f>
        <v>#DIV/0!</v>
      </c>
      <c r="CJ36" s="275">
        <f t="shared" ca="1" si="32"/>
        <v>-1</v>
      </c>
      <c r="CK36" s="319">
        <f t="shared" ca="1" si="33"/>
        <v>0</v>
      </c>
      <c r="CL36" s="319">
        <f t="shared" ca="1" si="34"/>
        <v>0</v>
      </c>
      <c r="CM36" s="319">
        <f t="shared" ca="1" si="35"/>
        <v>0</v>
      </c>
      <c r="CN36" s="306" t="e">
        <f t="shared" ca="1" si="36"/>
        <v>#DIV/0!</v>
      </c>
      <c r="CO36" s="273" t="e">
        <f t="shared" ca="1" si="37"/>
        <v>#DIV/0!</v>
      </c>
      <c r="CP36" s="273" t="e">
        <f t="shared" ca="1" si="38"/>
        <v>#DIV/0!</v>
      </c>
      <c r="CQ36" s="274" t="e">
        <f ca="1">0.5774*CN36+1.1547*CP36</f>
        <v>#DIV/0!</v>
      </c>
      <c r="CR36" s="275">
        <f t="shared" ca="1" si="39"/>
        <v>-1</v>
      </c>
      <c r="CS36" s="273" t="e">
        <f t="shared" ca="1" si="40"/>
        <v>#DIV/0!</v>
      </c>
      <c r="CT36" s="273" t="e">
        <f t="shared" ca="1" si="41"/>
        <v>#DIV/0!</v>
      </c>
      <c r="CU36" s="273" t="e">
        <f t="shared" ca="1" si="42"/>
        <v>#DIV/0!</v>
      </c>
      <c r="CV36" s="274" t="e">
        <f ca="1">0.5774*CS36+1.1547*CU36</f>
        <v>#DIV/0!</v>
      </c>
      <c r="CW36" s="275">
        <f t="shared" ca="1" si="43"/>
        <v>-1</v>
      </c>
      <c r="CX36" s="276"/>
      <c r="CY36" s="277">
        <f t="shared" ca="1" si="44"/>
        <v>-99</v>
      </c>
      <c r="CZ36" s="278">
        <f t="shared" ca="1" si="45"/>
        <v>-99</v>
      </c>
      <c r="DA36" s="277">
        <f t="shared" ca="1" si="46"/>
        <v>-99</v>
      </c>
      <c r="DB36" s="277">
        <f t="shared" ca="1" si="47"/>
        <v>-99</v>
      </c>
      <c r="DC36" s="279" t="e">
        <f t="shared" ca="1" si="48"/>
        <v>#NUM!</v>
      </c>
      <c r="DD36" s="341">
        <f t="shared" ca="1" si="49"/>
        <v>-999</v>
      </c>
      <c r="DE36" s="279">
        <f t="shared" ca="1" si="23"/>
        <v>-999</v>
      </c>
      <c r="DF36" s="341">
        <f t="shared" ca="1" si="50"/>
        <v>200.96639999999999</v>
      </c>
      <c r="DG36" s="335" t="e">
        <f t="shared" ca="1" si="51"/>
        <v>#DIV/0!</v>
      </c>
      <c r="DH36" s="329" t="e">
        <f t="shared" ca="1" si="52"/>
        <v>#DIV/0!</v>
      </c>
      <c r="DI36" s="329" t="e">
        <f t="shared" ca="1" si="53"/>
        <v>#DIV/0!</v>
      </c>
      <c r="DJ36" s="330">
        <f t="shared" ca="1" si="54"/>
        <v>-1</v>
      </c>
      <c r="DK36" s="331">
        <f t="shared" ca="1" si="55"/>
        <v>-1</v>
      </c>
      <c r="DL36" s="335" t="e">
        <f t="shared" ca="1" si="56"/>
        <v>#DIV/0!</v>
      </c>
      <c r="DM36" s="329" t="e">
        <f t="shared" ca="1" si="57"/>
        <v>#DIV/0!</v>
      </c>
      <c r="DN36" s="329" t="e">
        <f t="shared" ca="1" si="58"/>
        <v>#DIV/0!</v>
      </c>
      <c r="DO36" s="330">
        <f ca="1">IF(ISERROR(DL36),-1,Tgrid!$A$46+0.5774*DN36+1.1547*DL36)</f>
        <v>-1</v>
      </c>
      <c r="DP36" s="331">
        <f t="shared" ca="1" si="59"/>
        <v>-1</v>
      </c>
      <c r="DQ36" s="336" t="e">
        <f t="shared" ca="1" si="60"/>
        <v>#DIV/0!</v>
      </c>
      <c r="DR36" s="337" t="e">
        <f t="shared" ca="1" si="61"/>
        <v>#DIV/0!</v>
      </c>
      <c r="DS36" s="330">
        <f ca="1">IF(ISERROR(DQ36),-1,0.5*Tgrid!$B$42+0.5774*(2+DQ36-DR36))</f>
        <v>-1</v>
      </c>
      <c r="DT36" s="331">
        <f ca="1">IF(ISERROR(DQ36),-1,2+Tgrid!$B$54-DQ36-DR36)</f>
        <v>-1</v>
      </c>
    </row>
    <row r="37" spans="1:124" s="7" customFormat="1" ht="15" x14ac:dyDescent="0.25">
      <c r="A37" s="365" t="s">
        <v>243</v>
      </c>
      <c r="B37" s="22"/>
      <c r="C37" s="22"/>
      <c r="D37" s="21"/>
      <c r="E37" s="22"/>
      <c r="F37" s="22"/>
      <c r="G37" s="22"/>
      <c r="H37" s="366">
        <v>38</v>
      </c>
      <c r="I37" s="22"/>
      <c r="J37" s="367"/>
      <c r="K37" s="367"/>
      <c r="L37" s="367">
        <v>505</v>
      </c>
      <c r="M37" s="367">
        <v>35</v>
      </c>
      <c r="N37" s="367">
        <v>79</v>
      </c>
      <c r="O37" s="367"/>
      <c r="P37" s="367">
        <v>22</v>
      </c>
      <c r="Q37" s="367"/>
      <c r="R37" s="367">
        <v>417</v>
      </c>
      <c r="S37" s="367">
        <v>1.5</v>
      </c>
      <c r="T37" s="367">
        <v>46</v>
      </c>
      <c r="U37" s="367"/>
      <c r="V37" s="367"/>
      <c r="W37" s="367"/>
      <c r="X37" s="367"/>
      <c r="Y37" s="367"/>
      <c r="Z37" s="367"/>
      <c r="AA37" s="367">
        <v>1.05</v>
      </c>
      <c r="AB37" s="367"/>
      <c r="AC37" s="367">
        <v>1.1399999999999999</v>
      </c>
      <c r="AD37" s="22"/>
      <c r="AE37" s="22"/>
      <c r="AF37" s="22"/>
      <c r="AG37" s="22"/>
      <c r="AH37" s="72">
        <f t="shared" ca="1" si="0"/>
        <v>0</v>
      </c>
      <c r="AI37" s="237">
        <f t="shared" ca="1" si="65"/>
        <v>0</v>
      </c>
      <c r="AJ37" s="237">
        <f t="shared" ca="1" si="65"/>
        <v>0</v>
      </c>
      <c r="AK37" s="237">
        <f t="shared" ca="1" si="65"/>
        <v>0</v>
      </c>
      <c r="AL37" s="237">
        <f t="shared" ca="1" si="65"/>
        <v>38</v>
      </c>
      <c r="AM37" s="237">
        <f t="shared" ca="1" si="65"/>
        <v>0</v>
      </c>
      <c r="AN37" s="237">
        <f t="shared" ca="1" si="65"/>
        <v>0</v>
      </c>
      <c r="AO37" s="237">
        <f t="shared" ca="1" si="66"/>
        <v>0</v>
      </c>
      <c r="AP37" s="237">
        <f t="shared" ca="1" si="66"/>
        <v>505</v>
      </c>
      <c r="AQ37" s="237">
        <f t="shared" ca="1" si="66"/>
        <v>35</v>
      </c>
      <c r="AR37" s="237">
        <f t="shared" ca="1" si="66"/>
        <v>79</v>
      </c>
      <c r="AS37" s="237">
        <f t="shared" ca="1" si="66"/>
        <v>0</v>
      </c>
      <c r="AT37" s="237">
        <f t="shared" ca="1" si="66"/>
        <v>22</v>
      </c>
      <c r="AU37" s="237">
        <f t="shared" ca="1" si="66"/>
        <v>0</v>
      </c>
      <c r="AV37" s="237">
        <f t="shared" ca="1" si="66"/>
        <v>417</v>
      </c>
      <c r="AW37" s="237">
        <f t="shared" ca="1" si="66"/>
        <v>1.5</v>
      </c>
      <c r="AX37" s="237">
        <f t="shared" ca="1" si="66"/>
        <v>46</v>
      </c>
      <c r="AY37" s="237">
        <f t="shared" ca="1" si="67"/>
        <v>0</v>
      </c>
      <c r="AZ37" s="237">
        <f t="shared" ca="1" si="67"/>
        <v>0</v>
      </c>
      <c r="BA37" s="237">
        <f t="shared" ca="1" si="67"/>
        <v>0</v>
      </c>
      <c r="BB37" s="237">
        <f t="shared" ca="1" si="67"/>
        <v>0</v>
      </c>
      <c r="BC37" s="237">
        <f t="shared" ca="1" si="67"/>
        <v>0</v>
      </c>
      <c r="BD37" s="237">
        <f t="shared" ca="1" si="67"/>
        <v>0</v>
      </c>
      <c r="BE37" s="237">
        <f t="shared" ca="1" si="67"/>
        <v>1.05</v>
      </c>
      <c r="BF37" s="237">
        <f t="shared" ca="1" si="67"/>
        <v>0</v>
      </c>
      <c r="BG37" s="237">
        <f t="shared" ca="1" si="67"/>
        <v>1.1399999999999999</v>
      </c>
      <c r="BH37" s="237">
        <f t="shared" ca="1" si="67"/>
        <v>0</v>
      </c>
      <c r="BI37" s="237">
        <f t="shared" ca="1" si="67"/>
        <v>0</v>
      </c>
      <c r="BJ37" s="237">
        <f t="shared" ca="1" si="4"/>
        <v>0</v>
      </c>
      <c r="BK37" s="237">
        <f t="shared" ca="1" si="68"/>
        <v>99</v>
      </c>
      <c r="BL37" s="237" t="str">
        <f t="shared" ca="1" si="25"/>
        <v/>
      </c>
      <c r="BM37" s="237"/>
      <c r="BN37" s="237"/>
      <c r="BO37" s="237"/>
      <c r="BP37" s="237"/>
      <c r="BQ37" s="237">
        <f t="shared" ca="1" si="5"/>
        <v>0.91749174917491749</v>
      </c>
      <c r="BR37" s="237">
        <f t="shared" ca="1" si="6"/>
        <v>8.2508250825082508E-2</v>
      </c>
      <c r="BS37" s="237">
        <f t="shared" ca="1" si="7"/>
        <v>0</v>
      </c>
      <c r="BT37" s="237">
        <f ca="1">0.5774*BQ37+1.1547*BS37</f>
        <v>0.52975973597359738</v>
      </c>
      <c r="BU37" s="237">
        <f ca="1">IF(ISERROR(BQ37),-1,BQ37)</f>
        <v>0.91749174917491749</v>
      </c>
      <c r="BV37" s="237">
        <f t="shared" ca="1" si="9"/>
        <v>1</v>
      </c>
      <c r="BW37" s="237">
        <f t="shared" ca="1" si="10"/>
        <v>0</v>
      </c>
      <c r="BX37" s="237">
        <f t="shared" ca="1" si="11"/>
        <v>0</v>
      </c>
      <c r="BY37" s="237">
        <f ca="1">0.5774*BV37+1.1547*BX37</f>
        <v>0.57740000000000002</v>
      </c>
      <c r="BZ37" s="237">
        <f t="shared" ca="1" si="71"/>
        <v>1</v>
      </c>
      <c r="CA37" s="237" t="e">
        <f t="shared" ca="1" si="13"/>
        <v>#DIV/0!</v>
      </c>
      <c r="CB37" s="237" t="e">
        <f t="shared" ca="1" si="14"/>
        <v>#DIV/0!</v>
      </c>
      <c r="CC37" s="237" t="e">
        <f t="shared" ca="1" si="15"/>
        <v>#DIV/0!</v>
      </c>
      <c r="CD37" s="237" t="e">
        <f ca="1">0.5774*CA37+1.1547*CC37</f>
        <v>#DIV/0!</v>
      </c>
      <c r="CE37" s="237">
        <f ca="1">IF(ISERROR(CA37),-1,CA37)</f>
        <v>-1</v>
      </c>
      <c r="CF37" s="237">
        <f t="shared" ca="1" si="17"/>
        <v>0.90064794816414684</v>
      </c>
      <c r="CG37" s="237">
        <f t="shared" ca="1" si="18"/>
        <v>9.9352051835853133E-2</v>
      </c>
      <c r="CH37" s="237">
        <f t="shared" ca="1" si="19"/>
        <v>0</v>
      </c>
      <c r="CI37" s="237">
        <f ca="1">0.5774*CF37+1.1547*CH37</f>
        <v>0.52003412526997839</v>
      </c>
      <c r="CJ37" s="237">
        <f ca="1">IF(ISERROR(CF37),-1,CF37)</f>
        <v>0.90064794816414684</v>
      </c>
      <c r="CK37" s="237">
        <f t="shared" ca="1" si="33"/>
        <v>0</v>
      </c>
      <c r="CL37" s="237">
        <f t="shared" ca="1" si="34"/>
        <v>0</v>
      </c>
      <c r="CM37" s="237">
        <f t="shared" ca="1" si="35"/>
        <v>0</v>
      </c>
      <c r="CN37" s="237" t="e">
        <f t="shared" ca="1" si="36"/>
        <v>#DIV/0!</v>
      </c>
      <c r="CO37" s="237" t="e">
        <f t="shared" ca="1" si="37"/>
        <v>#DIV/0!</v>
      </c>
      <c r="CP37" s="237" t="e">
        <f t="shared" ca="1" si="38"/>
        <v>#DIV/0!</v>
      </c>
      <c r="CQ37" s="237" t="e">
        <f ca="1">0.5774*CN37+1.1547*CP37</f>
        <v>#DIV/0!</v>
      </c>
      <c r="CR37" s="237">
        <f ca="1">IF(ISERROR(CN37),-1,CN37)</f>
        <v>-1</v>
      </c>
      <c r="CS37" s="237">
        <f t="shared" ca="1" si="40"/>
        <v>0.59064327485380119</v>
      </c>
      <c r="CT37" s="237">
        <f t="shared" ca="1" si="41"/>
        <v>0.40935672514619881</v>
      </c>
      <c r="CU37" s="237">
        <f t="shared" ca="1" si="42"/>
        <v>0</v>
      </c>
      <c r="CV37" s="237">
        <f ca="1">0.5774*CS37+1.1547*CU37</f>
        <v>0.34103742690058481</v>
      </c>
      <c r="CW37" s="237">
        <f ca="1">IF(ISERROR(CS37),-1,CS37)</f>
        <v>0.59064327485380119</v>
      </c>
      <c r="CX37" s="237"/>
      <c r="CY37" s="237">
        <f t="shared" ca="1" si="44"/>
        <v>-99</v>
      </c>
      <c r="CZ37" s="237">
        <f t="shared" ca="1" si="45"/>
        <v>1.19050899741011</v>
      </c>
      <c r="DA37" s="237">
        <f t="shared" ca="1" si="46"/>
        <v>0</v>
      </c>
      <c r="DB37" s="237">
        <f t="shared" ca="1" si="47"/>
        <v>0.40935672514619881</v>
      </c>
      <c r="DC37" s="237">
        <f t="shared" ca="1" si="48"/>
        <v>67.382820243657847</v>
      </c>
      <c r="DD37" s="237">
        <f t="shared" ca="1" si="49"/>
        <v>417</v>
      </c>
      <c r="DE37" s="237">
        <f t="shared" ca="1" si="23"/>
        <v>283.16162575116073</v>
      </c>
      <c r="DF37" s="7">
        <f t="shared" ca="1" si="50"/>
        <v>159.0984</v>
      </c>
      <c r="DG37" s="7">
        <f t="shared" ca="1" si="51"/>
        <v>0.85293168510570039</v>
      </c>
      <c r="DH37" s="7">
        <f t="shared" ca="1" si="52"/>
        <v>0.14706831489429967</v>
      </c>
      <c r="DI37" s="7">
        <f t="shared" ca="1" si="53"/>
        <v>0</v>
      </c>
      <c r="DJ37" s="7">
        <f t="shared" ca="1" si="54"/>
        <v>0.98488021679155224</v>
      </c>
      <c r="DK37" s="7">
        <f t="shared" ca="1" si="55"/>
        <v>0</v>
      </c>
      <c r="DL37" s="7">
        <f t="shared" ca="1" si="56"/>
        <v>0.92471518218671223</v>
      </c>
      <c r="DM37" s="7">
        <f t="shared" ca="1" si="57"/>
        <v>0</v>
      </c>
      <c r="DN37" s="7">
        <f t="shared" ca="1" si="58"/>
        <v>7.5284817813287816E-2</v>
      </c>
      <c r="DO37" s="7">
        <f ca="1">IF(ISERROR(DL37),-1,Tgrid!$A$46+0.5774*DN37+1.1547*DL37)</f>
        <v>2.465938074676389</v>
      </c>
      <c r="DP37" s="7">
        <f t="shared" ca="1" si="59"/>
        <v>7.5284817813287816E-2</v>
      </c>
      <c r="DQ37" s="7">
        <f t="shared" ca="1" si="60"/>
        <v>0.85293168510570039</v>
      </c>
      <c r="DR37" s="7">
        <f t="shared" ca="1" si="61"/>
        <v>0</v>
      </c>
      <c r="DS37" s="7">
        <f ca="1">IF(ISERROR(DQ37),-1,0.5*Tgrid!$B$42+0.5774*(2+DQ37-DR37))</f>
        <v>1.7472827549800316</v>
      </c>
      <c r="DT37" s="7">
        <f ca="1">IF(ISERROR(DQ37),-1,2+Tgrid!$B$54-DQ37-DR37)</f>
        <v>1.3202683148942995</v>
      </c>
    </row>
    <row r="38" spans="1:124" s="7" customFormat="1" ht="15" x14ac:dyDescent="0.25">
      <c r="A38" s="365" t="s">
        <v>244</v>
      </c>
      <c r="B38" s="22"/>
      <c r="C38" s="22"/>
      <c r="D38" s="22"/>
      <c r="E38" s="22"/>
      <c r="F38" s="22"/>
      <c r="G38" s="22"/>
      <c r="H38" s="366">
        <v>56</v>
      </c>
      <c r="I38" s="22"/>
      <c r="J38" s="367"/>
      <c r="K38" s="367"/>
      <c r="L38" s="367">
        <v>77</v>
      </c>
      <c r="M38" s="367">
        <v>4</v>
      </c>
      <c r="N38" s="367">
        <v>3</v>
      </c>
      <c r="O38" s="367"/>
      <c r="P38" s="367">
        <v>54</v>
      </c>
      <c r="Q38" s="367"/>
      <c r="R38" s="367">
        <v>13</v>
      </c>
      <c r="S38" s="367">
        <v>0.4</v>
      </c>
      <c r="T38" s="367">
        <v>23</v>
      </c>
      <c r="U38" s="367"/>
      <c r="V38" s="367"/>
      <c r="W38" s="367"/>
      <c r="X38" s="367"/>
      <c r="Y38" s="367"/>
      <c r="Z38" s="367"/>
      <c r="AA38" s="367"/>
      <c r="AB38" s="367"/>
      <c r="AC38" s="367">
        <v>0.08</v>
      </c>
      <c r="AD38" s="22"/>
      <c r="AE38" s="22"/>
      <c r="AF38" s="22"/>
      <c r="AG38" s="22"/>
      <c r="AH38" s="72" t="str">
        <f ca="1">IF(ISBLANK(INDIRECT(AH$5&amp;(CELL("row", AH38)))),"",INDIRECT(AH$5&amp;(CELL("row", AH38))))</f>
        <v/>
      </c>
      <c r="AI38" s="237"/>
      <c r="AJ38" s="237"/>
      <c r="AK38" s="237"/>
      <c r="AL38" s="237"/>
      <c r="AM38" s="237"/>
      <c r="AN38" s="237"/>
      <c r="AO38" s="237"/>
      <c r="AP38" s="237"/>
      <c r="AQ38" s="237"/>
      <c r="AR38" s="237"/>
      <c r="AS38" s="237"/>
      <c r="AT38" s="237"/>
      <c r="AU38" s="237"/>
      <c r="AV38" s="237"/>
      <c r="AW38" s="237"/>
      <c r="AX38" s="237"/>
      <c r="AY38" s="237"/>
      <c r="AZ38" s="237"/>
      <c r="BA38" s="237"/>
      <c r="BB38" s="237"/>
      <c r="BC38" s="237"/>
      <c r="BD38" s="237"/>
      <c r="BE38" s="237"/>
      <c r="BF38" s="237"/>
      <c r="BG38" s="237"/>
      <c r="BH38" s="237"/>
      <c r="BI38" s="237"/>
      <c r="BJ38" s="237"/>
      <c r="BK38" s="237"/>
      <c r="BL38" s="237"/>
      <c r="BM38" s="237"/>
      <c r="BN38" s="237"/>
      <c r="BO38" s="237"/>
      <c r="BP38" s="237"/>
      <c r="BQ38" s="237"/>
      <c r="BR38" s="237"/>
      <c r="BS38" s="237"/>
      <c r="BT38" s="237"/>
      <c r="BU38" s="237"/>
      <c r="BV38" s="237"/>
      <c r="BW38" s="237"/>
      <c r="BX38" s="237"/>
      <c r="BY38" s="237"/>
      <c r="BZ38" s="237"/>
      <c r="CA38" s="237"/>
      <c r="CB38" s="237"/>
      <c r="CC38" s="237"/>
      <c r="CD38" s="237"/>
      <c r="CE38" s="237"/>
      <c r="CF38" s="237"/>
      <c r="CG38" s="237"/>
      <c r="CH38" s="237"/>
      <c r="CI38" s="237"/>
      <c r="CJ38" s="237"/>
      <c r="CK38" s="237"/>
      <c r="CL38" s="237"/>
      <c r="CM38" s="237"/>
      <c r="CN38" s="237"/>
      <c r="CO38" s="237"/>
      <c r="CP38" s="237"/>
      <c r="CQ38" s="237"/>
      <c r="CR38" s="237"/>
      <c r="CS38" s="237"/>
      <c r="CT38" s="237"/>
      <c r="CU38" s="237"/>
      <c r="CV38" s="237"/>
      <c r="CW38" s="237"/>
      <c r="CX38" s="237"/>
      <c r="CY38" s="237"/>
      <c r="CZ38" s="237"/>
      <c r="DA38" s="237"/>
      <c r="DB38" s="237"/>
      <c r="DC38" s="237"/>
      <c r="DD38" s="237"/>
      <c r="DE38" s="237"/>
    </row>
    <row r="39" spans="1:124" s="7" customFormat="1" ht="15" x14ac:dyDescent="0.25">
      <c r="A39" s="365" t="s">
        <v>245</v>
      </c>
      <c r="B39" s="22"/>
      <c r="C39" s="22"/>
      <c r="D39" s="22"/>
      <c r="E39" s="22"/>
      <c r="F39" s="22"/>
      <c r="G39" s="22"/>
      <c r="H39" s="366">
        <v>51</v>
      </c>
      <c r="I39" s="22"/>
      <c r="J39" s="367"/>
      <c r="K39" s="367"/>
      <c r="L39" s="367">
        <v>308</v>
      </c>
      <c r="M39" s="367">
        <v>14</v>
      </c>
      <c r="N39" s="367">
        <v>30</v>
      </c>
      <c r="O39" s="367"/>
      <c r="P39" s="367">
        <v>104</v>
      </c>
      <c r="Q39" s="367"/>
      <c r="R39" s="367">
        <v>61</v>
      </c>
      <c r="S39" s="367">
        <v>9</v>
      </c>
      <c r="T39" s="367">
        <v>578</v>
      </c>
      <c r="U39" s="367"/>
      <c r="V39" s="367"/>
      <c r="W39" s="367"/>
      <c r="X39" s="367"/>
      <c r="Y39" s="367"/>
      <c r="Z39" s="367"/>
      <c r="AA39" s="367"/>
      <c r="AB39" s="367"/>
      <c r="AC39" s="367"/>
      <c r="AD39" s="22"/>
      <c r="AE39" s="22"/>
      <c r="AF39" s="22"/>
      <c r="AG39" s="22"/>
      <c r="AH39" s="72" t="str">
        <f ca="1">IF(ISBLANK(INDIRECT(AH$5&amp;(CELL("row", AH39)))),"",INDIRECT(AH$5&amp;(CELL("row", AH39))))</f>
        <v/>
      </c>
      <c r="AI39" s="237"/>
      <c r="AJ39" s="237"/>
      <c r="AK39" s="237"/>
      <c r="AL39" s="237"/>
      <c r="AM39" s="237"/>
      <c r="AN39" s="237"/>
      <c r="AO39" s="237"/>
      <c r="AP39" s="237"/>
      <c r="AQ39" s="237"/>
      <c r="AR39" s="237"/>
      <c r="AS39" s="237"/>
      <c r="AT39" s="237"/>
      <c r="AU39" s="237"/>
      <c r="AV39" s="237"/>
      <c r="AW39" s="237"/>
      <c r="AX39" s="237"/>
      <c r="AY39" s="237"/>
      <c r="AZ39" s="237"/>
      <c r="BA39" s="237"/>
      <c r="BB39" s="237"/>
      <c r="BC39" s="237"/>
      <c r="BD39" s="237"/>
      <c r="BE39" s="237"/>
      <c r="BF39" s="237"/>
      <c r="BG39" s="237"/>
      <c r="BH39" s="237"/>
      <c r="BI39" s="237"/>
      <c r="BJ39" s="237"/>
      <c r="BK39" s="237"/>
      <c r="BL39" s="237"/>
      <c r="BM39" s="237"/>
      <c r="BN39" s="237"/>
      <c r="BO39" s="237"/>
      <c r="BP39" s="237"/>
      <c r="BQ39" s="237"/>
      <c r="BR39" s="237"/>
      <c r="BS39" s="237"/>
      <c r="BT39" s="237"/>
      <c r="BU39" s="237"/>
      <c r="BV39" s="237"/>
      <c r="BW39" s="237"/>
      <c r="BX39" s="237"/>
      <c r="BY39" s="237"/>
      <c r="BZ39" s="237"/>
      <c r="CA39" s="237"/>
      <c r="CB39" s="237"/>
      <c r="CC39" s="237"/>
      <c r="CD39" s="237"/>
      <c r="CE39" s="237"/>
      <c r="CF39" s="237"/>
      <c r="CG39" s="237"/>
      <c r="CH39" s="237"/>
      <c r="CI39" s="237"/>
      <c r="CJ39" s="237"/>
      <c r="CK39" s="237"/>
      <c r="CL39" s="237"/>
      <c r="CM39" s="237"/>
      <c r="CN39" s="237"/>
      <c r="CO39" s="237"/>
      <c r="CP39" s="237"/>
      <c r="CQ39" s="237"/>
      <c r="CR39" s="237"/>
      <c r="CS39" s="237"/>
      <c r="CT39" s="237"/>
      <c r="CU39" s="237"/>
      <c r="CV39" s="237"/>
      <c r="CW39" s="237"/>
      <c r="CX39" s="237"/>
      <c r="CY39" s="237"/>
      <c r="CZ39" s="237"/>
      <c r="DA39" s="237"/>
      <c r="DB39" s="237"/>
      <c r="DC39" s="237"/>
      <c r="DD39" s="237"/>
      <c r="DE39" s="237"/>
    </row>
    <row r="40" spans="1:124" s="7" customFormat="1" ht="15" x14ac:dyDescent="0.25">
      <c r="A40" s="365" t="s">
        <v>272</v>
      </c>
      <c r="B40" s="22"/>
      <c r="C40" s="22"/>
      <c r="D40" s="22"/>
      <c r="E40" s="22"/>
      <c r="F40" s="22"/>
      <c r="G40" s="22"/>
      <c r="H40" s="366"/>
      <c r="I40" s="22"/>
      <c r="J40" s="367"/>
      <c r="K40" s="367"/>
      <c r="L40" s="367">
        <v>285</v>
      </c>
      <c r="M40" s="367">
        <v>7.6</v>
      </c>
      <c r="N40" s="367">
        <v>23</v>
      </c>
      <c r="O40" s="367"/>
      <c r="P40" s="367">
        <v>120</v>
      </c>
      <c r="Q40" s="367"/>
      <c r="R40" s="367"/>
      <c r="S40" s="367"/>
      <c r="T40" s="367"/>
      <c r="U40" s="367"/>
      <c r="V40" s="367"/>
      <c r="W40" s="367"/>
      <c r="X40" s="367"/>
      <c r="Y40" s="367"/>
      <c r="Z40" s="367"/>
      <c r="AA40" s="367"/>
      <c r="AB40" s="367"/>
      <c r="AC40" s="367">
        <v>-0.02</v>
      </c>
      <c r="AD40" s="22"/>
      <c r="AE40" s="22"/>
      <c r="AF40" s="22"/>
      <c r="AG40" s="22"/>
      <c r="AH40" s="72" t="str">
        <f ca="1">IF(ISBLANK(INDIRECT(AH$5&amp;(CELL("row", AH40)))),"",INDIRECT(AH$5&amp;(CELL("row", AH40))))</f>
        <v/>
      </c>
      <c r="AI40" s="237"/>
      <c r="AJ40" s="237"/>
      <c r="AK40" s="237"/>
      <c r="AL40" s="237"/>
      <c r="AM40" s="237"/>
      <c r="AN40" s="237"/>
      <c r="AO40" s="237"/>
      <c r="AP40" s="237"/>
      <c r="AQ40" s="237"/>
      <c r="AR40" s="237"/>
      <c r="AS40" s="237"/>
      <c r="AT40" s="237"/>
      <c r="AU40" s="237"/>
      <c r="AV40" s="237"/>
      <c r="AW40" s="237"/>
      <c r="AX40" s="237"/>
      <c r="AY40" s="237"/>
      <c r="AZ40" s="237"/>
      <c r="BA40" s="237"/>
      <c r="BB40" s="237"/>
      <c r="BC40" s="237"/>
      <c r="BD40" s="237"/>
      <c r="BE40" s="237"/>
      <c r="BF40" s="237"/>
      <c r="BG40" s="237"/>
      <c r="BH40" s="237"/>
      <c r="BI40" s="237"/>
      <c r="BJ40" s="237"/>
      <c r="BK40" s="237"/>
      <c r="BL40" s="237"/>
      <c r="BM40" s="237"/>
      <c r="BN40" s="237"/>
      <c r="BO40" s="237"/>
      <c r="BP40" s="237"/>
      <c r="BQ40" s="237"/>
      <c r="BR40" s="237"/>
      <c r="BS40" s="237"/>
      <c r="BT40" s="237"/>
      <c r="BU40" s="237"/>
      <c r="BV40" s="237"/>
      <c r="BW40" s="237"/>
      <c r="BX40" s="237"/>
      <c r="BY40" s="237"/>
      <c r="BZ40" s="237"/>
      <c r="CA40" s="237"/>
      <c r="CB40" s="237"/>
      <c r="CC40" s="237"/>
      <c r="CD40" s="237"/>
      <c r="CE40" s="237"/>
      <c r="CF40" s="237"/>
      <c r="CG40" s="237"/>
      <c r="CH40" s="237"/>
      <c r="CI40" s="237"/>
      <c r="CJ40" s="237"/>
      <c r="CK40" s="237"/>
      <c r="CL40" s="237"/>
      <c r="CM40" s="237"/>
      <c r="CN40" s="237"/>
      <c r="CO40" s="237"/>
      <c r="CP40" s="237"/>
      <c r="CQ40" s="237"/>
      <c r="CR40" s="237"/>
      <c r="CS40" s="237"/>
      <c r="CT40" s="237"/>
      <c r="CU40" s="237"/>
      <c r="CV40" s="237"/>
      <c r="CW40" s="237"/>
      <c r="CX40" s="237"/>
      <c r="CY40" s="237"/>
      <c r="CZ40" s="237"/>
      <c r="DA40" s="237"/>
      <c r="DB40" s="237"/>
      <c r="DC40" s="237"/>
      <c r="DD40" s="237"/>
      <c r="DE40" s="237"/>
    </row>
    <row r="41" spans="1:124" s="7" customFormat="1" ht="15" x14ac:dyDescent="0.25">
      <c r="A41" s="365" t="s">
        <v>273</v>
      </c>
      <c r="B41" s="22"/>
      <c r="C41" s="22"/>
      <c r="D41" s="22"/>
      <c r="E41" s="22"/>
      <c r="F41" s="22"/>
      <c r="G41" s="22"/>
      <c r="H41" s="366">
        <v>28</v>
      </c>
      <c r="I41" s="22"/>
      <c r="J41" s="367"/>
      <c r="K41" s="367"/>
      <c r="L41" s="367"/>
      <c r="M41" s="367"/>
      <c r="N41" s="367"/>
      <c r="O41" s="367"/>
      <c r="P41" s="367"/>
      <c r="Q41" s="367">
        <v>1</v>
      </c>
      <c r="R41" s="367"/>
      <c r="S41" s="367"/>
      <c r="T41" s="367"/>
      <c r="U41" s="367"/>
      <c r="V41" s="367"/>
      <c r="W41" s="367"/>
      <c r="X41" s="367"/>
      <c r="Y41" s="367"/>
      <c r="Z41" s="367"/>
      <c r="AA41" s="367"/>
      <c r="AB41" s="367"/>
      <c r="AC41" s="367"/>
      <c r="AD41" s="22"/>
      <c r="AE41" s="22"/>
      <c r="AF41" s="22"/>
      <c r="AG41" s="22"/>
      <c r="AH41" s="72" t="str">
        <f ca="1">IF(ISBLANK(INDIRECT(AH$5&amp;(CELL("row", AH41)))),"",INDIRECT(AH$5&amp;(CELL("row", AH41))))</f>
        <v/>
      </c>
      <c r="AI41" s="237"/>
      <c r="AJ41" s="237"/>
      <c r="AK41" s="237"/>
      <c r="AL41" s="237"/>
      <c r="AM41" s="237"/>
      <c r="AN41" s="237"/>
      <c r="AO41" s="237"/>
      <c r="AP41" s="237"/>
      <c r="AQ41" s="237"/>
      <c r="AR41" s="237"/>
      <c r="AS41" s="237"/>
      <c r="AT41" s="237"/>
      <c r="AU41" s="237"/>
      <c r="AV41" s="237"/>
      <c r="AW41" s="237"/>
      <c r="AX41" s="237"/>
      <c r="AY41" s="237"/>
      <c r="AZ41" s="237"/>
      <c r="BA41" s="237"/>
      <c r="BB41" s="237"/>
      <c r="BC41" s="237"/>
      <c r="BD41" s="237"/>
      <c r="BE41" s="237"/>
      <c r="BF41" s="237"/>
      <c r="BG41" s="237"/>
      <c r="BH41" s="237"/>
      <c r="BI41" s="237"/>
      <c r="BJ41" s="237"/>
      <c r="BK41" s="237"/>
      <c r="BL41" s="237"/>
      <c r="BM41" s="237"/>
      <c r="BN41" s="237"/>
      <c r="BO41" s="237"/>
      <c r="BP41" s="237"/>
      <c r="BQ41" s="237"/>
      <c r="BR41" s="237"/>
      <c r="BS41" s="237"/>
      <c r="BT41" s="237"/>
      <c r="BU41" s="237"/>
      <c r="BV41" s="237"/>
      <c r="BW41" s="237"/>
      <c r="BX41" s="237"/>
      <c r="BY41" s="237"/>
      <c r="BZ41" s="237"/>
      <c r="CA41" s="237"/>
      <c r="CB41" s="237"/>
      <c r="CC41" s="237"/>
      <c r="CD41" s="237"/>
      <c r="CE41" s="237"/>
      <c r="CF41" s="237"/>
      <c r="CG41" s="237"/>
      <c r="CH41" s="237"/>
      <c r="CI41" s="237"/>
      <c r="CJ41" s="237"/>
      <c r="CK41" s="237"/>
      <c r="CL41" s="237"/>
      <c r="CM41" s="237"/>
      <c r="CN41" s="237"/>
      <c r="CO41" s="237"/>
      <c r="CP41" s="237"/>
      <c r="CQ41" s="237"/>
      <c r="CR41" s="237"/>
      <c r="CS41" s="237"/>
      <c r="CT41" s="237"/>
      <c r="CU41" s="237"/>
      <c r="CV41" s="237"/>
      <c r="CW41" s="237"/>
      <c r="CX41" s="237"/>
      <c r="CY41" s="237"/>
      <c r="CZ41" s="237"/>
      <c r="DA41" s="237"/>
      <c r="DB41" s="237"/>
      <c r="DC41" s="237"/>
      <c r="DD41" s="237"/>
      <c r="DE41" s="237"/>
    </row>
    <row r="42" spans="1:124" s="7" customFormat="1" ht="15" x14ac:dyDescent="0.25">
      <c r="A42" s="365" t="s">
        <v>274</v>
      </c>
      <c r="B42" s="22"/>
      <c r="C42" s="22"/>
      <c r="D42" s="22"/>
      <c r="E42" s="22"/>
      <c r="F42" s="22"/>
      <c r="G42" s="22"/>
      <c r="H42" s="366">
        <v>44</v>
      </c>
      <c r="I42" s="22"/>
      <c r="J42" s="367"/>
      <c r="K42" s="367"/>
      <c r="L42" s="367"/>
      <c r="M42" s="367"/>
      <c r="N42" s="367"/>
      <c r="O42" s="367"/>
      <c r="P42" s="367"/>
      <c r="Q42" s="367">
        <v>0.1</v>
      </c>
      <c r="R42" s="367"/>
      <c r="S42" s="367"/>
      <c r="T42" s="367"/>
      <c r="U42" s="367"/>
      <c r="V42" s="367"/>
      <c r="W42" s="367"/>
      <c r="X42" s="367"/>
      <c r="Y42" s="367"/>
      <c r="Z42" s="367"/>
      <c r="AA42" s="367"/>
      <c r="AB42" s="367"/>
      <c r="AC42" s="367"/>
      <c r="AD42" s="22"/>
      <c r="AE42" s="22"/>
      <c r="AF42" s="22"/>
      <c r="AG42" s="22"/>
      <c r="AH42" s="237"/>
      <c r="AI42" s="237"/>
      <c r="AJ42" s="237"/>
      <c r="AK42" s="237"/>
      <c r="AL42" s="237"/>
      <c r="AM42" s="237"/>
      <c r="AN42" s="237"/>
      <c r="AO42" s="237"/>
      <c r="AP42" s="237"/>
      <c r="AQ42" s="237"/>
      <c r="AR42" s="237"/>
      <c r="AS42" s="237"/>
      <c r="AT42" s="237"/>
      <c r="AU42" s="237"/>
      <c r="AV42" s="237"/>
      <c r="AW42" s="237"/>
      <c r="AX42" s="237"/>
      <c r="AY42" s="237"/>
      <c r="AZ42" s="237"/>
      <c r="BA42" s="237"/>
      <c r="BB42" s="237"/>
      <c r="BC42" s="237"/>
      <c r="BD42" s="237"/>
      <c r="BE42" s="237"/>
      <c r="BF42" s="237"/>
      <c r="BG42" s="237"/>
      <c r="BH42" s="237"/>
      <c r="BI42" s="237"/>
      <c r="BJ42" s="237"/>
      <c r="BK42" s="237"/>
      <c r="BL42" s="237"/>
      <c r="BM42" s="237"/>
      <c r="BN42" s="237"/>
      <c r="BO42" s="237"/>
      <c r="BP42" s="237"/>
      <c r="BQ42" s="237"/>
      <c r="BR42" s="237"/>
      <c r="BS42" s="237"/>
      <c r="BT42" s="237"/>
      <c r="BU42" s="237"/>
      <c r="BV42" s="237"/>
      <c r="BW42" s="237"/>
      <c r="BX42" s="237"/>
      <c r="BY42" s="237"/>
      <c r="BZ42" s="237"/>
      <c r="CA42" s="237"/>
      <c r="CB42" s="237"/>
      <c r="CC42" s="237"/>
      <c r="CD42" s="237"/>
      <c r="CE42" s="237"/>
      <c r="CF42" s="237"/>
      <c r="CG42" s="237"/>
      <c r="CH42" s="237"/>
      <c r="CI42" s="237"/>
      <c r="CJ42" s="237"/>
      <c r="CK42" s="237"/>
      <c r="CL42" s="237"/>
      <c r="CM42" s="237"/>
      <c r="CN42" s="237"/>
      <c r="CO42" s="237"/>
      <c r="CP42" s="237"/>
      <c r="CQ42" s="237"/>
      <c r="CR42" s="237"/>
      <c r="CS42" s="237"/>
      <c r="CT42" s="237"/>
      <c r="CU42" s="237"/>
      <c r="CV42" s="237"/>
      <c r="CW42" s="237"/>
      <c r="CX42" s="237"/>
      <c r="CY42" s="237"/>
      <c r="CZ42" s="237"/>
      <c r="DA42" s="237"/>
      <c r="DB42" s="237"/>
      <c r="DC42" s="237"/>
      <c r="DD42" s="237"/>
      <c r="DE42" s="237"/>
    </row>
    <row r="43" spans="1:124" s="7" customFormat="1" ht="15" x14ac:dyDescent="0.25">
      <c r="A43" s="365" t="s">
        <v>275</v>
      </c>
      <c r="B43" s="22"/>
      <c r="C43" s="22"/>
      <c r="D43" s="22"/>
      <c r="E43" s="22"/>
      <c r="F43" s="22"/>
      <c r="G43" s="22"/>
      <c r="H43" s="366">
        <v>30</v>
      </c>
      <c r="I43" s="22"/>
      <c r="J43" s="367"/>
      <c r="K43" s="367"/>
      <c r="L43" s="367"/>
      <c r="M43" s="367"/>
      <c r="N43" s="367"/>
      <c r="O43" s="367"/>
      <c r="P43" s="367"/>
      <c r="Q43" s="367">
        <v>14.8</v>
      </c>
      <c r="R43" s="367"/>
      <c r="S43" s="367"/>
      <c r="T43" s="367"/>
      <c r="U43" s="367"/>
      <c r="V43" s="367"/>
      <c r="W43" s="367"/>
      <c r="X43" s="367"/>
      <c r="Y43" s="367"/>
      <c r="Z43" s="367"/>
      <c r="AA43" s="367"/>
      <c r="AB43" s="367"/>
      <c r="AC43" s="367"/>
      <c r="AD43" s="22"/>
      <c r="AE43" s="22"/>
      <c r="AF43" s="22"/>
      <c r="AG43" s="22"/>
      <c r="AH43" s="237"/>
      <c r="AI43" s="237"/>
      <c r="AJ43" s="237"/>
      <c r="AK43" s="237"/>
      <c r="AL43" s="237"/>
      <c r="AM43" s="237"/>
      <c r="AN43" s="237"/>
      <c r="AO43" s="237"/>
      <c r="AP43" s="237"/>
      <c r="AQ43" s="237"/>
      <c r="AR43" s="237"/>
      <c r="AS43" s="237"/>
      <c r="AT43" s="237"/>
      <c r="AU43" s="237"/>
      <c r="AV43" s="237"/>
      <c r="AW43" s="237"/>
      <c r="AX43" s="237"/>
      <c r="AY43" s="237"/>
      <c r="AZ43" s="237"/>
      <c r="BA43" s="237"/>
      <c r="BB43" s="237"/>
      <c r="BC43" s="237"/>
      <c r="BD43" s="237"/>
      <c r="BE43" s="237"/>
      <c r="BF43" s="237"/>
      <c r="BG43" s="237"/>
      <c r="BH43" s="237"/>
      <c r="BI43" s="237"/>
      <c r="BJ43" s="237"/>
      <c r="BK43" s="237"/>
      <c r="BL43" s="237"/>
      <c r="BM43" s="237"/>
      <c r="BN43" s="237"/>
      <c r="BO43" s="237"/>
      <c r="BP43" s="237"/>
      <c r="BQ43" s="237"/>
      <c r="BR43" s="237"/>
      <c r="BS43" s="237"/>
      <c r="BT43" s="237"/>
      <c r="BU43" s="237"/>
      <c r="BV43" s="237"/>
      <c r="BW43" s="237"/>
      <c r="BX43" s="237"/>
      <c r="BY43" s="237"/>
      <c r="BZ43" s="237"/>
      <c r="CA43" s="237"/>
      <c r="CB43" s="237"/>
      <c r="CC43" s="237"/>
      <c r="CD43" s="237"/>
      <c r="CE43" s="237"/>
      <c r="CF43" s="237"/>
      <c r="CG43" s="237"/>
      <c r="CH43" s="237"/>
      <c r="CI43" s="237"/>
      <c r="CJ43" s="237"/>
      <c r="CK43" s="237"/>
      <c r="CL43" s="237"/>
      <c r="CM43" s="237"/>
      <c r="CN43" s="237"/>
      <c r="CO43" s="237"/>
      <c r="CP43" s="237"/>
      <c r="CQ43" s="237"/>
      <c r="CR43" s="237"/>
      <c r="CS43" s="237"/>
      <c r="CT43" s="237"/>
      <c r="CU43" s="237"/>
      <c r="CV43" s="237"/>
      <c r="CW43" s="237"/>
      <c r="CX43" s="237"/>
      <c r="CY43" s="237"/>
      <c r="CZ43" s="237"/>
      <c r="DA43" s="237"/>
      <c r="DB43" s="237"/>
      <c r="DC43" s="237"/>
      <c r="DD43" s="237"/>
      <c r="DE43" s="237"/>
    </row>
    <row r="44" spans="1:124" s="7" customFormat="1" ht="15" x14ac:dyDescent="0.25">
      <c r="A44" s="365" t="s">
        <v>276</v>
      </c>
      <c r="B44" s="22"/>
      <c r="C44" s="22"/>
      <c r="D44" s="22"/>
      <c r="E44" s="22"/>
      <c r="F44" s="22"/>
      <c r="G44" s="22"/>
      <c r="H44" s="366">
        <v>68</v>
      </c>
      <c r="I44" s="22"/>
      <c r="J44" s="367"/>
      <c r="K44" s="367"/>
      <c r="L44" s="367"/>
      <c r="M44" s="367"/>
      <c r="N44" s="367"/>
      <c r="O44" s="367"/>
      <c r="P44" s="367"/>
      <c r="Q44" s="367">
        <v>11.4</v>
      </c>
      <c r="R44" s="367"/>
      <c r="S44" s="367"/>
      <c r="T44" s="367"/>
      <c r="U44" s="367"/>
      <c r="V44" s="367"/>
      <c r="W44" s="367"/>
      <c r="X44" s="367"/>
      <c r="Y44" s="367"/>
      <c r="Z44" s="367"/>
      <c r="AA44" s="367"/>
      <c r="AB44" s="367"/>
      <c r="AC44" s="367"/>
      <c r="AD44" s="22"/>
      <c r="AE44" s="22"/>
      <c r="AF44" s="22"/>
      <c r="AG44" s="22"/>
      <c r="AH44" s="237"/>
      <c r="AI44" s="237"/>
      <c r="AJ44" s="237"/>
      <c r="AK44" s="237"/>
      <c r="AL44" s="237"/>
      <c r="AM44" s="237"/>
      <c r="AN44" s="237"/>
      <c r="AO44" s="237"/>
      <c r="AP44" s="237"/>
      <c r="AQ44" s="237"/>
      <c r="AR44" s="237"/>
      <c r="AS44" s="237"/>
      <c r="AT44" s="237"/>
      <c r="AU44" s="237"/>
      <c r="AV44" s="237"/>
      <c r="AW44" s="237"/>
      <c r="AX44" s="237"/>
      <c r="AY44" s="237"/>
      <c r="AZ44" s="237"/>
      <c r="BA44" s="237"/>
      <c r="BB44" s="237"/>
      <c r="BC44" s="237"/>
      <c r="BD44" s="237"/>
      <c r="BE44" s="237"/>
      <c r="BF44" s="237"/>
      <c r="BG44" s="237"/>
      <c r="BH44" s="237"/>
      <c r="BI44" s="237"/>
      <c r="BJ44" s="237"/>
      <c r="BK44" s="237"/>
      <c r="BL44" s="237"/>
      <c r="BM44" s="237"/>
      <c r="BN44" s="237"/>
      <c r="BO44" s="237"/>
      <c r="BP44" s="237"/>
      <c r="BQ44" s="237"/>
      <c r="BR44" s="237"/>
      <c r="BS44" s="237"/>
      <c r="BT44" s="237"/>
      <c r="BU44" s="237"/>
      <c r="BV44" s="237"/>
      <c r="BW44" s="237"/>
      <c r="BX44" s="237"/>
      <c r="BY44" s="237"/>
      <c r="BZ44" s="237"/>
      <c r="CA44" s="237"/>
      <c r="CB44" s="237"/>
      <c r="CC44" s="237"/>
      <c r="CD44" s="237"/>
      <c r="CE44" s="237"/>
      <c r="CF44" s="237"/>
      <c r="CG44" s="237"/>
      <c r="CH44" s="237"/>
      <c r="CI44" s="237"/>
      <c r="CJ44" s="237"/>
      <c r="CK44" s="237"/>
      <c r="CL44" s="237"/>
      <c r="CM44" s="237"/>
      <c r="CN44" s="237"/>
      <c r="CO44" s="237"/>
      <c r="CP44" s="237"/>
      <c r="CQ44" s="237"/>
      <c r="CR44" s="237"/>
      <c r="CS44" s="237"/>
      <c r="CT44" s="237"/>
      <c r="CU44" s="237"/>
      <c r="CV44" s="237"/>
      <c r="CW44" s="237"/>
      <c r="CX44" s="237"/>
      <c r="CY44" s="237"/>
      <c r="CZ44" s="237"/>
      <c r="DA44" s="237"/>
      <c r="DB44" s="237"/>
      <c r="DC44" s="237"/>
      <c r="DD44" s="237"/>
      <c r="DE44" s="237"/>
    </row>
    <row r="45" spans="1:124" s="7" customFormat="1" ht="15" x14ac:dyDescent="0.25">
      <c r="A45" s="365" t="s">
        <v>277</v>
      </c>
      <c r="B45" s="22"/>
      <c r="C45" s="22"/>
      <c r="D45" s="22"/>
      <c r="E45" s="22"/>
      <c r="F45" s="22"/>
      <c r="G45" s="22"/>
      <c r="H45" s="366">
        <v>88</v>
      </c>
      <c r="I45" s="22"/>
      <c r="J45" s="367"/>
      <c r="K45" s="367"/>
      <c r="L45" s="367"/>
      <c r="M45" s="367"/>
      <c r="N45" s="367"/>
      <c r="O45" s="367"/>
      <c r="P45" s="367"/>
      <c r="Q45" s="367">
        <v>10</v>
      </c>
      <c r="R45" s="367"/>
      <c r="S45" s="367"/>
      <c r="T45" s="367"/>
      <c r="U45" s="367"/>
      <c r="V45" s="367"/>
      <c r="W45" s="367"/>
      <c r="X45" s="367"/>
      <c r="Y45" s="367"/>
      <c r="Z45" s="367"/>
      <c r="AA45" s="367"/>
      <c r="AB45" s="367"/>
      <c r="AC45" s="367"/>
      <c r="AD45" s="22"/>
      <c r="AE45" s="22"/>
      <c r="AF45" s="22"/>
      <c r="AG45" s="22"/>
      <c r="AH45" s="237"/>
      <c r="AI45" s="237"/>
      <c r="AJ45" s="237"/>
      <c r="AK45" s="237"/>
      <c r="AL45" s="237"/>
      <c r="AM45" s="237"/>
      <c r="AN45" s="237"/>
      <c r="AO45" s="237"/>
      <c r="AP45" s="237"/>
      <c r="AQ45" s="237"/>
      <c r="AR45" s="237"/>
      <c r="AS45" s="237"/>
      <c r="AT45" s="237"/>
      <c r="AU45" s="237"/>
      <c r="AV45" s="237"/>
      <c r="AW45" s="237"/>
      <c r="AX45" s="237"/>
      <c r="AY45" s="237"/>
      <c r="AZ45" s="237"/>
      <c r="BA45" s="237"/>
      <c r="BB45" s="237"/>
      <c r="BC45" s="237"/>
      <c r="BD45" s="237"/>
      <c r="BE45" s="237"/>
      <c r="BF45" s="237"/>
      <c r="BG45" s="237"/>
      <c r="BH45" s="237"/>
      <c r="BI45" s="237"/>
      <c r="BJ45" s="237"/>
      <c r="BK45" s="237"/>
      <c r="BL45" s="237"/>
      <c r="BM45" s="237"/>
      <c r="BN45" s="237"/>
      <c r="BO45" s="237"/>
      <c r="BP45" s="237"/>
      <c r="BQ45" s="237"/>
      <c r="BR45" s="237"/>
      <c r="BS45" s="237"/>
      <c r="BT45" s="237"/>
      <c r="BU45" s="237"/>
      <c r="BV45" s="237"/>
      <c r="BW45" s="237"/>
      <c r="BX45" s="237"/>
      <c r="BY45" s="237"/>
      <c r="BZ45" s="237"/>
      <c r="CA45" s="237"/>
      <c r="CB45" s="237"/>
      <c r="CC45" s="237"/>
      <c r="CD45" s="237"/>
      <c r="CE45" s="237"/>
      <c r="CF45" s="237"/>
      <c r="CG45" s="237"/>
      <c r="CH45" s="237"/>
      <c r="CI45" s="237"/>
      <c r="CJ45" s="237"/>
      <c r="CK45" s="237"/>
      <c r="CL45" s="237"/>
      <c r="CM45" s="237"/>
      <c r="CN45" s="237"/>
      <c r="CO45" s="237"/>
      <c r="CP45" s="237"/>
      <c r="CQ45" s="237"/>
      <c r="CR45" s="237"/>
      <c r="CS45" s="237"/>
      <c r="CT45" s="237"/>
      <c r="CU45" s="237"/>
      <c r="CV45" s="237"/>
      <c r="CW45" s="237"/>
      <c r="CX45" s="237"/>
      <c r="CY45" s="237"/>
      <c r="CZ45" s="237"/>
      <c r="DA45" s="237"/>
      <c r="DB45" s="237"/>
      <c r="DC45" s="237"/>
      <c r="DD45" s="237"/>
      <c r="DE45" s="237"/>
    </row>
    <row r="46" spans="1:124" s="7" customFormat="1" ht="15" x14ac:dyDescent="0.25">
      <c r="A46" s="365" t="s">
        <v>278</v>
      </c>
      <c r="B46" s="22"/>
      <c r="C46" s="22"/>
      <c r="D46" s="22"/>
      <c r="E46" s="22"/>
      <c r="F46" s="22"/>
      <c r="G46" s="22"/>
      <c r="H46" s="366">
        <v>46.3</v>
      </c>
      <c r="I46" s="22"/>
      <c r="J46" s="367"/>
      <c r="K46" s="367"/>
      <c r="L46" s="367"/>
      <c r="M46" s="367"/>
      <c r="N46" s="367"/>
      <c r="O46" s="367"/>
      <c r="P46" s="367"/>
      <c r="Q46" s="367">
        <v>37.4</v>
      </c>
      <c r="R46" s="367"/>
      <c r="S46" s="367"/>
      <c r="T46" s="367"/>
      <c r="U46" s="367"/>
      <c r="V46" s="367"/>
      <c r="W46" s="367"/>
      <c r="X46" s="367"/>
      <c r="Y46" s="367"/>
      <c r="Z46" s="367"/>
      <c r="AA46" s="367"/>
      <c r="AB46" s="367"/>
      <c r="AC46" s="367"/>
      <c r="AD46" s="22"/>
      <c r="AE46" s="22"/>
      <c r="AF46" s="22"/>
      <c r="AG46" s="22"/>
      <c r="AH46" s="237"/>
      <c r="AI46" s="237"/>
      <c r="AJ46" s="237"/>
      <c r="AK46" s="237"/>
      <c r="AL46" s="237"/>
      <c r="AM46" s="237"/>
      <c r="AN46" s="237"/>
      <c r="AO46" s="237"/>
      <c r="AP46" s="237"/>
      <c r="AQ46" s="237"/>
      <c r="AR46" s="237"/>
      <c r="AS46" s="237"/>
      <c r="AT46" s="237"/>
      <c r="AU46" s="237"/>
      <c r="AV46" s="237"/>
      <c r="AW46" s="237"/>
      <c r="AX46" s="237"/>
      <c r="AY46" s="237"/>
      <c r="AZ46" s="237"/>
      <c r="BA46" s="237"/>
      <c r="BB46" s="237"/>
      <c r="BC46" s="237"/>
      <c r="BD46" s="237"/>
      <c r="BE46" s="237"/>
      <c r="BF46" s="237"/>
      <c r="BG46" s="237"/>
      <c r="BH46" s="237"/>
      <c r="BI46" s="237"/>
      <c r="BJ46" s="237"/>
      <c r="BK46" s="237"/>
      <c r="BL46" s="237"/>
      <c r="BM46" s="237"/>
      <c r="BN46" s="237"/>
      <c r="BO46" s="237"/>
      <c r="BP46" s="237"/>
      <c r="BQ46" s="237"/>
      <c r="BR46" s="237"/>
      <c r="BS46" s="237"/>
      <c r="BT46" s="237"/>
      <c r="BU46" s="237"/>
      <c r="BV46" s="237"/>
      <c r="BW46" s="237"/>
      <c r="BX46" s="237"/>
      <c r="BY46" s="237"/>
      <c r="BZ46" s="237"/>
      <c r="CA46" s="237"/>
      <c r="CB46" s="237"/>
      <c r="CC46" s="237"/>
      <c r="CD46" s="237"/>
      <c r="CE46" s="237"/>
      <c r="CF46" s="237"/>
      <c r="CG46" s="237"/>
      <c r="CH46" s="237"/>
      <c r="CI46" s="237"/>
      <c r="CJ46" s="237"/>
      <c r="CK46" s="237"/>
      <c r="CL46" s="237"/>
      <c r="CM46" s="237"/>
      <c r="CN46" s="237"/>
      <c r="CO46" s="237"/>
      <c r="CP46" s="237"/>
      <c r="CQ46" s="237"/>
      <c r="CR46" s="237"/>
      <c r="CS46" s="237"/>
      <c r="CT46" s="237"/>
      <c r="CU46" s="237"/>
      <c r="CV46" s="237"/>
      <c r="CW46" s="237"/>
      <c r="CX46" s="237"/>
      <c r="CY46" s="237"/>
      <c r="CZ46" s="237"/>
      <c r="DA46" s="237"/>
      <c r="DB46" s="237"/>
      <c r="DC46" s="237"/>
      <c r="DD46" s="237"/>
      <c r="DE46" s="237"/>
    </row>
    <row r="47" spans="1:124" s="7" customFormat="1" ht="15" x14ac:dyDescent="0.25">
      <c r="A47" s="365" t="s">
        <v>279</v>
      </c>
      <c r="B47" s="22"/>
      <c r="C47" s="22"/>
      <c r="D47" s="22"/>
      <c r="E47" s="22"/>
      <c r="F47" s="22"/>
      <c r="G47" s="22"/>
      <c r="H47" s="366">
        <v>46</v>
      </c>
      <c r="I47" s="22"/>
      <c r="J47" s="367"/>
      <c r="K47" s="367"/>
      <c r="L47" s="367"/>
      <c r="M47" s="367"/>
      <c r="N47" s="367"/>
      <c r="O47" s="367"/>
      <c r="P47" s="367"/>
      <c r="Q47" s="367">
        <v>1.8</v>
      </c>
      <c r="R47" s="367"/>
      <c r="S47" s="367"/>
      <c r="T47" s="367"/>
      <c r="U47" s="367"/>
      <c r="V47" s="367"/>
      <c r="W47" s="367"/>
      <c r="X47" s="367"/>
      <c r="Y47" s="367"/>
      <c r="Z47" s="367"/>
      <c r="AA47" s="367"/>
      <c r="AB47" s="367"/>
      <c r="AC47" s="367"/>
      <c r="AD47" s="22"/>
      <c r="AE47" s="22"/>
      <c r="AF47" s="22"/>
      <c r="AG47" s="22"/>
      <c r="AH47" s="237"/>
      <c r="AI47" s="237"/>
      <c r="AJ47" s="237"/>
      <c r="AK47" s="237"/>
      <c r="AL47" s="237"/>
      <c r="AM47" s="237"/>
      <c r="AN47" s="237"/>
      <c r="AO47" s="237"/>
      <c r="AP47" s="237"/>
      <c r="AQ47" s="237"/>
      <c r="AR47" s="237"/>
      <c r="AS47" s="237"/>
      <c r="AT47" s="237"/>
      <c r="AU47" s="237"/>
      <c r="AV47" s="237"/>
      <c r="AW47" s="237"/>
      <c r="AX47" s="237"/>
      <c r="AY47" s="237"/>
      <c r="AZ47" s="237"/>
      <c r="BA47" s="237"/>
      <c r="BB47" s="237"/>
      <c r="BC47" s="237"/>
      <c r="BD47" s="237"/>
      <c r="BE47" s="237"/>
      <c r="BF47" s="237"/>
      <c r="BG47" s="237"/>
      <c r="BH47" s="237"/>
      <c r="BI47" s="237"/>
      <c r="BJ47" s="237"/>
      <c r="BK47" s="237"/>
      <c r="BL47" s="237"/>
      <c r="BM47" s="237"/>
      <c r="BN47" s="237"/>
      <c r="BO47" s="237"/>
      <c r="BP47" s="237"/>
      <c r="BQ47" s="237"/>
      <c r="BR47" s="237"/>
      <c r="BS47" s="237"/>
      <c r="BT47" s="237"/>
      <c r="BU47" s="237"/>
      <c r="BV47" s="237"/>
      <c r="BW47" s="237"/>
      <c r="BX47" s="237"/>
      <c r="BY47" s="237"/>
      <c r="BZ47" s="237"/>
      <c r="CA47" s="237"/>
      <c r="CB47" s="237"/>
      <c r="CC47" s="237"/>
      <c r="CD47" s="237"/>
      <c r="CE47" s="237"/>
      <c r="CF47" s="237"/>
      <c r="CG47" s="237"/>
      <c r="CH47" s="237"/>
      <c r="CI47" s="237"/>
      <c r="CJ47" s="237"/>
      <c r="CK47" s="237"/>
      <c r="CL47" s="237"/>
      <c r="CM47" s="237"/>
      <c r="CN47" s="237"/>
      <c r="CO47" s="237"/>
      <c r="CP47" s="237"/>
      <c r="CQ47" s="237"/>
      <c r="CR47" s="237"/>
      <c r="CS47" s="237"/>
      <c r="CT47" s="237"/>
      <c r="CU47" s="237"/>
      <c r="CV47" s="237"/>
      <c r="CW47" s="237"/>
      <c r="CX47" s="237"/>
      <c r="CY47" s="237"/>
      <c r="CZ47" s="237"/>
      <c r="DA47" s="237"/>
      <c r="DB47" s="237"/>
      <c r="DC47" s="237"/>
      <c r="DD47" s="237"/>
      <c r="DE47" s="237"/>
    </row>
    <row r="48" spans="1:124" s="7" customFormat="1" ht="15" x14ac:dyDescent="0.25">
      <c r="A48" s="365" t="s">
        <v>280</v>
      </c>
      <c r="B48" s="22"/>
      <c r="C48" s="22"/>
      <c r="D48" s="22"/>
      <c r="E48" s="22"/>
      <c r="F48" s="22"/>
      <c r="G48" s="22"/>
      <c r="H48" s="366">
        <v>32</v>
      </c>
      <c r="I48" s="22"/>
      <c r="J48" s="367"/>
      <c r="K48" s="367"/>
      <c r="L48" s="367"/>
      <c r="M48" s="367"/>
      <c r="N48" s="367"/>
      <c r="O48" s="367"/>
      <c r="P48" s="367"/>
      <c r="Q48" s="367">
        <v>1.8</v>
      </c>
      <c r="R48" s="367"/>
      <c r="S48" s="367"/>
      <c r="T48" s="367"/>
      <c r="U48" s="367"/>
      <c r="V48" s="367"/>
      <c r="W48" s="367"/>
      <c r="X48" s="367"/>
      <c r="Y48" s="367"/>
      <c r="Z48" s="367"/>
      <c r="AA48" s="367"/>
      <c r="AB48" s="367"/>
      <c r="AC48" s="367"/>
      <c r="AD48" s="22"/>
      <c r="AE48" s="22"/>
      <c r="AF48" s="22"/>
      <c r="AG48" s="22"/>
      <c r="AH48" s="237"/>
      <c r="AI48" s="237"/>
      <c r="AJ48" s="237"/>
      <c r="AK48" s="237"/>
      <c r="AL48" s="237"/>
      <c r="AM48" s="237"/>
      <c r="AN48" s="237"/>
      <c r="AO48" s="237"/>
      <c r="AP48" s="237"/>
      <c r="AQ48" s="237"/>
      <c r="AR48" s="237"/>
      <c r="AS48" s="237"/>
      <c r="AT48" s="237"/>
      <c r="AU48" s="237"/>
      <c r="AV48" s="237"/>
      <c r="AW48" s="237"/>
      <c r="AX48" s="237"/>
      <c r="AY48" s="237"/>
      <c r="AZ48" s="237"/>
      <c r="BA48" s="237"/>
      <c r="BB48" s="237"/>
      <c r="BC48" s="237"/>
      <c r="BD48" s="237"/>
      <c r="BE48" s="237"/>
      <c r="BF48" s="237"/>
      <c r="BG48" s="237"/>
      <c r="BH48" s="237"/>
      <c r="BI48" s="237"/>
      <c r="BJ48" s="237"/>
      <c r="BK48" s="237"/>
      <c r="BL48" s="237"/>
      <c r="BM48" s="237"/>
      <c r="BN48" s="237"/>
      <c r="BO48" s="237"/>
      <c r="BP48" s="237"/>
      <c r="BQ48" s="237"/>
      <c r="BR48" s="237"/>
      <c r="BS48" s="237"/>
      <c r="BT48" s="237"/>
      <c r="BU48" s="237"/>
      <c r="BV48" s="237"/>
      <c r="BW48" s="237"/>
      <c r="BX48" s="237"/>
      <c r="BY48" s="237"/>
      <c r="BZ48" s="237"/>
      <c r="CA48" s="237"/>
      <c r="CB48" s="237"/>
      <c r="CC48" s="237"/>
      <c r="CD48" s="237"/>
      <c r="CE48" s="237"/>
      <c r="CF48" s="237"/>
      <c r="CG48" s="237"/>
      <c r="CH48" s="237"/>
      <c r="CI48" s="237"/>
      <c r="CJ48" s="237"/>
      <c r="CK48" s="237"/>
      <c r="CL48" s="237"/>
      <c r="CM48" s="237"/>
      <c r="CN48" s="237"/>
      <c r="CO48" s="237"/>
      <c r="CP48" s="237"/>
      <c r="CQ48" s="237"/>
      <c r="CR48" s="237"/>
      <c r="CS48" s="237"/>
      <c r="CT48" s="237"/>
      <c r="CU48" s="237"/>
      <c r="CV48" s="237"/>
      <c r="CW48" s="237"/>
      <c r="CX48" s="237"/>
      <c r="CY48" s="237"/>
      <c r="CZ48" s="237"/>
      <c r="DA48" s="237"/>
      <c r="DB48" s="237"/>
      <c r="DC48" s="237"/>
      <c r="DD48" s="237"/>
      <c r="DE48" s="237"/>
    </row>
    <row r="49" spans="1:33" ht="15" x14ac:dyDescent="0.25">
      <c r="A49" s="365" t="s">
        <v>281</v>
      </c>
      <c r="B49" s="235"/>
      <c r="C49" s="235"/>
      <c r="D49" s="235"/>
      <c r="E49" s="235"/>
      <c r="F49" s="235"/>
      <c r="G49" s="235"/>
      <c r="H49" s="366">
        <v>23</v>
      </c>
      <c r="I49" s="235"/>
      <c r="J49" s="367"/>
      <c r="K49" s="367"/>
      <c r="L49" s="367"/>
      <c r="M49" s="367"/>
      <c r="N49" s="367"/>
      <c r="O49" s="367"/>
      <c r="P49" s="367"/>
      <c r="Q49" s="367">
        <v>11</v>
      </c>
      <c r="R49" s="367"/>
      <c r="S49" s="367"/>
      <c r="T49" s="367"/>
      <c r="U49" s="367"/>
      <c r="V49" s="367"/>
      <c r="W49" s="367"/>
      <c r="X49" s="367"/>
      <c r="Y49" s="367"/>
      <c r="Z49" s="367"/>
      <c r="AA49" s="367"/>
      <c r="AB49" s="367"/>
      <c r="AC49" s="367"/>
      <c r="AD49" s="235"/>
      <c r="AE49" s="235"/>
      <c r="AF49" s="235"/>
      <c r="AG49" s="235"/>
    </row>
    <row r="50" spans="1:33" ht="15" x14ac:dyDescent="0.25">
      <c r="A50" s="365" t="s">
        <v>282</v>
      </c>
      <c r="B50" s="235"/>
      <c r="C50" s="235"/>
      <c r="D50" s="235"/>
      <c r="E50" s="235"/>
      <c r="F50" s="235"/>
      <c r="G50" s="235"/>
      <c r="H50" s="366">
        <v>49</v>
      </c>
      <c r="I50" s="235"/>
      <c r="J50" s="367"/>
      <c r="K50" s="367"/>
      <c r="L50" s="367"/>
      <c r="M50" s="367"/>
      <c r="N50" s="367"/>
      <c r="O50" s="367"/>
      <c r="P50" s="367"/>
      <c r="Q50" s="367">
        <v>0.9</v>
      </c>
      <c r="R50" s="367"/>
      <c r="S50" s="367"/>
      <c r="T50" s="367"/>
      <c r="U50" s="367"/>
      <c r="V50" s="367"/>
      <c r="W50" s="367"/>
      <c r="X50" s="367"/>
      <c r="Y50" s="367"/>
      <c r="Z50" s="367"/>
      <c r="AA50" s="367"/>
      <c r="AB50" s="367"/>
      <c r="AC50" s="367"/>
      <c r="AD50" s="235"/>
      <c r="AE50" s="235"/>
      <c r="AF50" s="235"/>
      <c r="AG50" s="235"/>
    </row>
    <row r="51" spans="1:33" ht="15" x14ac:dyDescent="0.25">
      <c r="A51" s="365" t="s">
        <v>283</v>
      </c>
      <c r="B51" s="235"/>
      <c r="C51" s="235"/>
      <c r="D51" s="235"/>
      <c r="E51" s="235"/>
      <c r="F51" s="235"/>
      <c r="G51" s="235"/>
      <c r="H51" s="366">
        <v>21</v>
      </c>
      <c r="I51" s="235"/>
      <c r="J51" s="367"/>
      <c r="K51" s="367"/>
      <c r="L51" s="367"/>
      <c r="M51" s="367"/>
      <c r="N51" s="367"/>
      <c r="O51" s="367"/>
      <c r="P51" s="367"/>
      <c r="Q51" s="367">
        <v>1</v>
      </c>
      <c r="R51" s="367"/>
      <c r="S51" s="367"/>
      <c r="T51" s="367"/>
      <c r="U51" s="367"/>
      <c r="V51" s="367"/>
      <c r="W51" s="367"/>
      <c r="X51" s="367"/>
      <c r="Y51" s="367"/>
      <c r="Z51" s="367"/>
      <c r="AA51" s="367"/>
      <c r="AB51" s="367"/>
      <c r="AC51" s="367"/>
      <c r="AD51" s="235"/>
      <c r="AE51" s="235"/>
      <c r="AF51" s="235"/>
      <c r="AG51" s="235"/>
    </row>
    <row r="52" spans="1:33" ht="15" x14ac:dyDescent="0.25">
      <c r="A52" s="365" t="s">
        <v>284</v>
      </c>
      <c r="B52" s="235"/>
      <c r="C52" s="235"/>
      <c r="D52" s="235"/>
      <c r="E52" s="235"/>
      <c r="F52" s="235"/>
      <c r="G52" s="235"/>
      <c r="H52" s="366">
        <v>43</v>
      </c>
      <c r="I52" s="235"/>
      <c r="J52" s="367"/>
      <c r="K52" s="367"/>
      <c r="L52" s="367"/>
      <c r="M52" s="367"/>
      <c r="N52" s="367"/>
      <c r="O52" s="367"/>
      <c r="P52" s="367"/>
      <c r="Q52" s="367">
        <v>3</v>
      </c>
      <c r="R52" s="367"/>
      <c r="S52" s="367"/>
      <c r="T52" s="367"/>
      <c r="U52" s="367"/>
      <c r="V52" s="367"/>
      <c r="W52" s="367"/>
      <c r="X52" s="367"/>
      <c r="Y52" s="367"/>
      <c r="Z52" s="367"/>
      <c r="AA52" s="367"/>
      <c r="AB52" s="367"/>
      <c r="AC52" s="367"/>
      <c r="AD52" s="235"/>
      <c r="AE52" s="235"/>
      <c r="AF52" s="235"/>
      <c r="AG52" s="235"/>
    </row>
    <row r="53" spans="1:33" ht="15" x14ac:dyDescent="0.25">
      <c r="A53" s="365" t="s">
        <v>285</v>
      </c>
      <c r="B53" s="235"/>
      <c r="C53" s="235"/>
      <c r="D53" s="235"/>
      <c r="E53" s="235"/>
      <c r="F53" s="235"/>
      <c r="G53" s="235"/>
      <c r="H53" s="366">
        <v>28</v>
      </c>
      <c r="I53" s="235"/>
      <c r="J53" s="367"/>
      <c r="K53" s="367"/>
      <c r="L53" s="367"/>
      <c r="M53" s="367"/>
      <c r="N53" s="367"/>
      <c r="O53" s="367"/>
      <c r="P53" s="367"/>
      <c r="Q53" s="367">
        <v>0.6</v>
      </c>
      <c r="R53" s="367"/>
      <c r="S53" s="367"/>
      <c r="T53" s="367"/>
      <c r="U53" s="367"/>
      <c r="V53" s="367"/>
      <c r="W53" s="367"/>
      <c r="X53" s="367"/>
      <c r="Y53" s="367"/>
      <c r="Z53" s="367"/>
      <c r="AA53" s="367"/>
      <c r="AB53" s="367"/>
      <c r="AC53" s="367"/>
      <c r="AD53" s="235"/>
      <c r="AE53" s="235"/>
      <c r="AF53" s="235"/>
      <c r="AG53" s="235"/>
    </row>
    <row r="54" spans="1:33" ht="15" x14ac:dyDescent="0.25">
      <c r="A54" s="365" t="s">
        <v>285</v>
      </c>
      <c r="B54" s="235"/>
      <c r="C54" s="235"/>
      <c r="D54" s="235"/>
      <c r="E54" s="235"/>
      <c r="F54" s="235"/>
      <c r="G54" s="235"/>
      <c r="H54" s="366">
        <v>41</v>
      </c>
      <c r="I54" s="235"/>
      <c r="J54" s="367"/>
      <c r="K54" s="367"/>
      <c r="L54" s="367"/>
      <c r="M54" s="367"/>
      <c r="N54" s="367"/>
      <c r="O54" s="367"/>
      <c r="P54" s="367"/>
      <c r="Q54" s="367">
        <v>8.1</v>
      </c>
      <c r="R54" s="367"/>
      <c r="S54" s="367"/>
      <c r="T54" s="367"/>
      <c r="U54" s="367"/>
      <c r="V54" s="367"/>
      <c r="W54" s="367"/>
      <c r="X54" s="367"/>
      <c r="Y54" s="367"/>
      <c r="Z54" s="367"/>
      <c r="AA54" s="367"/>
      <c r="AB54" s="367"/>
      <c r="AC54" s="367"/>
      <c r="AD54" s="235"/>
      <c r="AE54" s="235"/>
      <c r="AF54" s="235"/>
      <c r="AG54" s="235"/>
    </row>
    <row r="55" spans="1:33" ht="15" x14ac:dyDescent="0.25">
      <c r="A55" s="365" t="s">
        <v>285</v>
      </c>
      <c r="B55" s="235"/>
      <c r="C55" s="235"/>
      <c r="D55" s="235"/>
      <c r="E55" s="235"/>
      <c r="F55" s="235"/>
      <c r="G55" s="235"/>
      <c r="H55" s="366">
        <v>42</v>
      </c>
      <c r="I55" s="235"/>
      <c r="J55" s="367"/>
      <c r="K55" s="367"/>
      <c r="L55" s="367"/>
      <c r="M55" s="367"/>
      <c r="N55" s="367"/>
      <c r="O55" s="367"/>
      <c r="P55" s="367"/>
      <c r="Q55" s="367">
        <v>4.2</v>
      </c>
      <c r="R55" s="235"/>
      <c r="S55" s="235"/>
      <c r="T55" s="235"/>
      <c r="U55" s="235"/>
      <c r="V55" s="235"/>
      <c r="W55" s="235"/>
      <c r="X55" s="235"/>
      <c r="Y55" s="235"/>
      <c r="Z55" s="235"/>
      <c r="AA55" s="235"/>
      <c r="AB55" s="235"/>
      <c r="AC55" s="235"/>
      <c r="AD55" s="235"/>
      <c r="AE55" s="235"/>
      <c r="AF55" s="235"/>
      <c r="AG55" s="235"/>
    </row>
    <row r="56" spans="1:33" ht="15" x14ac:dyDescent="0.25">
      <c r="A56" s="365" t="s">
        <v>285</v>
      </c>
      <c r="B56" s="235"/>
      <c r="C56" s="235"/>
      <c r="D56" s="235"/>
      <c r="E56" s="235"/>
      <c r="F56" s="235"/>
      <c r="G56" s="235"/>
      <c r="H56" s="366"/>
      <c r="I56" s="235"/>
      <c r="J56" s="367"/>
      <c r="K56" s="367"/>
      <c r="L56" s="367"/>
      <c r="M56" s="367"/>
      <c r="N56" s="367"/>
      <c r="O56" s="367"/>
      <c r="P56" s="367"/>
      <c r="Q56" s="367">
        <v>2.7</v>
      </c>
      <c r="R56" s="235"/>
      <c r="S56" s="235"/>
      <c r="T56" s="235"/>
      <c r="U56" s="235"/>
      <c r="V56" s="235"/>
      <c r="W56" s="235"/>
      <c r="X56" s="235"/>
      <c r="Y56" s="235"/>
      <c r="Z56" s="235"/>
      <c r="AA56" s="235"/>
      <c r="AB56" s="235"/>
      <c r="AC56" s="235"/>
      <c r="AD56" s="235"/>
      <c r="AE56" s="235"/>
      <c r="AF56" s="235"/>
      <c r="AG56" s="235"/>
    </row>
    <row r="57" spans="1:33" ht="15" x14ac:dyDescent="0.25">
      <c r="A57" s="365" t="s">
        <v>286</v>
      </c>
      <c r="B57" s="235"/>
      <c r="C57" s="235"/>
      <c r="D57" s="235"/>
      <c r="E57" s="235"/>
      <c r="F57" s="235"/>
      <c r="G57" s="235"/>
      <c r="H57" s="366">
        <v>22</v>
      </c>
      <c r="I57" s="235"/>
      <c r="J57" s="367"/>
      <c r="K57" s="367"/>
      <c r="L57" s="367"/>
      <c r="M57" s="367"/>
      <c r="N57" s="367"/>
      <c r="O57" s="367"/>
      <c r="P57" s="367"/>
      <c r="Q57" s="367">
        <v>59</v>
      </c>
      <c r="R57" s="235"/>
      <c r="S57" s="235"/>
      <c r="T57" s="235"/>
      <c r="U57" s="235"/>
      <c r="V57" s="235"/>
      <c r="W57" s="235"/>
      <c r="X57" s="235"/>
      <c r="Y57" s="235"/>
      <c r="Z57" s="235"/>
      <c r="AA57" s="235"/>
      <c r="AB57" s="235"/>
      <c r="AC57" s="235"/>
      <c r="AD57" s="235"/>
      <c r="AE57" s="235"/>
      <c r="AF57" s="235"/>
      <c r="AG57" s="235"/>
    </row>
    <row r="58" spans="1:33" ht="15" x14ac:dyDescent="0.25">
      <c r="A58" s="365" t="s">
        <v>287</v>
      </c>
      <c r="B58" s="235"/>
      <c r="C58" s="235"/>
      <c r="D58" s="235"/>
      <c r="E58" s="235"/>
      <c r="F58" s="235"/>
      <c r="G58" s="235"/>
      <c r="H58" s="366">
        <v>35</v>
      </c>
      <c r="I58" s="235"/>
      <c r="J58" s="367"/>
      <c r="K58" s="367"/>
      <c r="L58" s="367"/>
      <c r="M58" s="367"/>
      <c r="N58" s="367"/>
      <c r="O58" s="367"/>
      <c r="P58" s="367"/>
      <c r="Q58" s="367">
        <v>0.1</v>
      </c>
      <c r="R58" s="235"/>
      <c r="S58" s="235"/>
      <c r="T58" s="235"/>
      <c r="U58" s="235"/>
      <c r="V58" s="235"/>
      <c r="W58" s="235"/>
      <c r="X58" s="235"/>
      <c r="Y58" s="235"/>
      <c r="Z58" s="235"/>
      <c r="AA58" s="235"/>
      <c r="AB58" s="235"/>
      <c r="AC58" s="235"/>
      <c r="AD58" s="235"/>
      <c r="AE58" s="235"/>
      <c r="AF58" s="235"/>
      <c r="AG58" s="235"/>
    </row>
    <row r="59" spans="1:33" ht="15" x14ac:dyDescent="0.25">
      <c r="A59" s="365" t="s">
        <v>288</v>
      </c>
      <c r="B59" s="235"/>
      <c r="C59" s="235"/>
      <c r="D59" s="235"/>
      <c r="E59" s="235"/>
      <c r="F59" s="235"/>
      <c r="G59" s="235"/>
      <c r="H59" s="366">
        <v>84</v>
      </c>
      <c r="I59" s="235"/>
      <c r="J59" s="367"/>
      <c r="K59" s="367"/>
      <c r="L59" s="367"/>
      <c r="M59" s="367"/>
      <c r="N59" s="367"/>
      <c r="O59" s="367"/>
      <c r="P59" s="367"/>
      <c r="Q59" s="367">
        <v>0.1</v>
      </c>
      <c r="R59" s="235"/>
      <c r="S59" s="235"/>
      <c r="T59" s="235"/>
      <c r="U59" s="235"/>
      <c r="V59" s="235"/>
      <c r="W59" s="235"/>
      <c r="X59" s="235"/>
      <c r="Y59" s="235"/>
      <c r="Z59" s="235"/>
      <c r="AA59" s="235"/>
      <c r="AB59" s="235"/>
      <c r="AC59" s="235"/>
      <c r="AD59" s="235"/>
      <c r="AE59" s="235"/>
      <c r="AF59" s="235"/>
      <c r="AG59" s="235"/>
    </row>
    <row r="60" spans="1:33" ht="15" x14ac:dyDescent="0.25">
      <c r="A60" s="365" t="s">
        <v>289</v>
      </c>
      <c r="B60" s="235"/>
      <c r="C60" s="235"/>
      <c r="D60" s="235"/>
      <c r="E60" s="235"/>
      <c r="F60" s="235"/>
      <c r="G60" s="235"/>
      <c r="H60" s="366">
        <v>23</v>
      </c>
      <c r="I60" s="235"/>
      <c r="J60" s="367"/>
      <c r="K60" s="367"/>
      <c r="L60" s="367"/>
      <c r="M60" s="367"/>
      <c r="N60" s="367"/>
      <c r="O60" s="367"/>
      <c r="P60" s="367"/>
      <c r="Q60" s="367">
        <v>2.4</v>
      </c>
      <c r="R60" s="235"/>
      <c r="S60" s="235"/>
      <c r="T60" s="235"/>
      <c r="U60" s="235"/>
      <c r="V60" s="235"/>
      <c r="W60" s="235"/>
      <c r="X60" s="235"/>
      <c r="Y60" s="235"/>
      <c r="Z60" s="235"/>
      <c r="AA60" s="235"/>
      <c r="AB60" s="235"/>
      <c r="AC60" s="235"/>
      <c r="AD60" s="235"/>
      <c r="AE60" s="235"/>
      <c r="AF60" s="235"/>
      <c r="AG60" s="235"/>
    </row>
    <row r="61" spans="1:33" ht="15" x14ac:dyDescent="0.25">
      <c r="A61" s="365" t="s">
        <v>290</v>
      </c>
      <c r="B61" s="235"/>
      <c r="C61" s="235"/>
      <c r="D61" s="235"/>
      <c r="E61" s="235"/>
      <c r="F61" s="235"/>
      <c r="G61" s="235"/>
      <c r="H61" s="366">
        <v>42</v>
      </c>
      <c r="I61" s="235"/>
      <c r="J61" s="367"/>
      <c r="K61" s="367"/>
      <c r="L61" s="367"/>
      <c r="M61" s="367"/>
      <c r="N61" s="367"/>
      <c r="O61" s="367"/>
      <c r="P61" s="367"/>
      <c r="Q61" s="367">
        <v>2</v>
      </c>
      <c r="R61" s="235"/>
      <c r="S61" s="235"/>
      <c r="T61" s="235"/>
      <c r="U61" s="235"/>
      <c r="V61" s="235"/>
      <c r="W61" s="235"/>
      <c r="X61" s="235"/>
      <c r="Y61" s="235"/>
      <c r="Z61" s="235"/>
      <c r="AA61" s="235"/>
      <c r="AB61" s="235"/>
      <c r="AC61" s="235"/>
      <c r="AD61" s="235"/>
      <c r="AE61" s="235"/>
      <c r="AF61" s="235"/>
      <c r="AG61" s="235"/>
    </row>
    <row r="62" spans="1:33" ht="15" x14ac:dyDescent="0.25">
      <c r="A62" s="365" t="s">
        <v>291</v>
      </c>
      <c r="B62" s="235"/>
      <c r="C62" s="235"/>
      <c r="D62" s="235"/>
      <c r="E62" s="235"/>
      <c r="F62" s="235"/>
      <c r="G62" s="235"/>
      <c r="H62" s="366">
        <v>38</v>
      </c>
      <c r="I62" s="235"/>
      <c r="J62" s="367"/>
      <c r="K62" s="367"/>
      <c r="L62" s="367"/>
      <c r="M62" s="367"/>
      <c r="N62" s="367"/>
      <c r="O62" s="367"/>
      <c r="P62" s="367"/>
      <c r="Q62" s="367">
        <v>69</v>
      </c>
      <c r="R62" s="235"/>
      <c r="S62" s="235"/>
      <c r="T62" s="235"/>
      <c r="U62" s="235"/>
      <c r="V62" s="235"/>
      <c r="W62" s="235"/>
      <c r="X62" s="235"/>
      <c r="Y62" s="235"/>
      <c r="Z62" s="235"/>
      <c r="AA62" s="235"/>
      <c r="AB62" s="235"/>
      <c r="AC62" s="235"/>
      <c r="AD62" s="235"/>
      <c r="AE62" s="235"/>
      <c r="AF62" s="235"/>
      <c r="AG62" s="235"/>
    </row>
    <row r="63" spans="1:33" ht="15" x14ac:dyDescent="0.25">
      <c r="A63" s="365" t="s">
        <v>292</v>
      </c>
      <c r="H63" s="366">
        <v>21</v>
      </c>
      <c r="J63" s="367"/>
      <c r="K63" s="367"/>
      <c r="L63" s="367"/>
      <c r="M63" s="367"/>
      <c r="N63" s="367"/>
      <c r="O63" s="367"/>
      <c r="P63" s="367"/>
      <c r="Q63" s="367">
        <v>191</v>
      </c>
    </row>
    <row r="64" spans="1:33" ht="15" x14ac:dyDescent="0.25">
      <c r="A64" s="365" t="s">
        <v>293</v>
      </c>
      <c r="H64" s="366">
        <v>30</v>
      </c>
      <c r="J64" s="367"/>
      <c r="K64" s="367"/>
      <c r="L64" s="367"/>
      <c r="M64" s="367"/>
      <c r="N64" s="367"/>
      <c r="O64" s="367"/>
      <c r="P64" s="367"/>
      <c r="Q64" s="367">
        <v>1</v>
      </c>
    </row>
    <row r="65" spans="1:17" ht="15" x14ac:dyDescent="0.25">
      <c r="A65" s="365" t="s">
        <v>294</v>
      </c>
      <c r="H65" s="366">
        <v>34</v>
      </c>
      <c r="J65" s="367"/>
      <c r="K65" s="367"/>
      <c r="L65" s="367"/>
      <c r="M65" s="367"/>
      <c r="N65" s="367"/>
      <c r="O65" s="367"/>
      <c r="P65" s="367"/>
      <c r="Q65" s="367">
        <v>3.8</v>
      </c>
    </row>
    <row r="66" spans="1:17" ht="15" x14ac:dyDescent="0.25">
      <c r="A66" s="365" t="s">
        <v>295</v>
      </c>
      <c r="H66" s="366">
        <v>27</v>
      </c>
      <c r="J66" s="367"/>
      <c r="K66" s="367"/>
      <c r="L66" s="367"/>
      <c r="M66" s="367"/>
      <c r="N66" s="367"/>
      <c r="O66" s="367"/>
      <c r="P66" s="367"/>
      <c r="Q66" s="367">
        <v>5.6</v>
      </c>
    </row>
    <row r="67" spans="1:17" ht="15" x14ac:dyDescent="0.25">
      <c r="A67" s="365" t="s">
        <v>296</v>
      </c>
      <c r="H67" s="366">
        <v>23</v>
      </c>
      <c r="J67" s="367"/>
      <c r="K67" s="367"/>
      <c r="L67" s="367"/>
      <c r="M67" s="367"/>
      <c r="N67" s="367"/>
      <c r="O67" s="367"/>
      <c r="P67" s="367"/>
      <c r="Q67" s="367">
        <v>8.1999999999999993</v>
      </c>
    </row>
    <row r="68" spans="1:17" ht="15" x14ac:dyDescent="0.25">
      <c r="A68" s="365" t="s">
        <v>297</v>
      </c>
      <c r="H68" s="366">
        <v>21</v>
      </c>
      <c r="J68" s="367"/>
      <c r="K68" s="367"/>
      <c r="L68" s="367"/>
      <c r="M68" s="367"/>
      <c r="N68" s="367"/>
      <c r="O68" s="367"/>
      <c r="P68" s="367"/>
      <c r="Q68" s="367">
        <v>0.8</v>
      </c>
    </row>
    <row r="69" spans="1:17" ht="15" x14ac:dyDescent="0.25">
      <c r="A69" s="365" t="s">
        <v>297</v>
      </c>
      <c r="H69" s="366">
        <v>23</v>
      </c>
      <c r="J69" s="367"/>
      <c r="K69" s="367"/>
      <c r="L69" s="367"/>
      <c r="M69" s="367"/>
      <c r="N69" s="367"/>
      <c r="O69" s="367"/>
      <c r="P69" s="367"/>
      <c r="Q69" s="367">
        <v>0.1</v>
      </c>
    </row>
    <row r="70" spans="1:17" ht="15" x14ac:dyDescent="0.25">
      <c r="A70" s="365" t="s">
        <v>298</v>
      </c>
      <c r="H70" s="366">
        <v>29</v>
      </c>
      <c r="J70" s="367"/>
      <c r="K70" s="367"/>
      <c r="L70" s="367"/>
      <c r="M70" s="367"/>
      <c r="N70" s="367"/>
      <c r="O70" s="367"/>
      <c r="P70" s="367"/>
      <c r="Q70" s="367">
        <v>48.6</v>
      </c>
    </row>
    <row r="71" spans="1:17" ht="15" x14ac:dyDescent="0.25">
      <c r="A71" s="365" t="s">
        <v>299</v>
      </c>
      <c r="H71" s="366">
        <v>40</v>
      </c>
      <c r="J71" s="367"/>
      <c r="K71" s="367"/>
      <c r="L71" s="367"/>
      <c r="M71" s="367"/>
      <c r="N71" s="367"/>
      <c r="O71" s="367"/>
      <c r="P71" s="367"/>
      <c r="Q71" s="367">
        <v>38</v>
      </c>
    </row>
    <row r="72" spans="1:17" ht="15" x14ac:dyDescent="0.25">
      <c r="A72" s="365" t="s">
        <v>300</v>
      </c>
      <c r="H72" s="366">
        <v>50</v>
      </c>
      <c r="J72" s="367"/>
      <c r="K72" s="367"/>
      <c r="L72" s="367"/>
      <c r="M72" s="367"/>
      <c r="N72" s="367"/>
      <c r="O72" s="367"/>
      <c r="P72" s="367"/>
      <c r="Q72" s="367">
        <v>1.4</v>
      </c>
    </row>
    <row r="73" spans="1:17" ht="15" x14ac:dyDescent="0.25">
      <c r="A73" s="365" t="s">
        <v>301</v>
      </c>
      <c r="H73" s="366">
        <v>40</v>
      </c>
      <c r="J73" s="367"/>
      <c r="K73" s="367"/>
      <c r="L73" s="367"/>
      <c r="M73" s="367"/>
      <c r="N73" s="367"/>
      <c r="O73" s="367"/>
      <c r="P73" s="367"/>
      <c r="Q73" s="367">
        <v>0.5</v>
      </c>
    </row>
    <row r="74" spans="1:17" ht="15" x14ac:dyDescent="0.25">
      <c r="A74" s="365" t="s">
        <v>302</v>
      </c>
      <c r="H74" s="366">
        <v>43</v>
      </c>
      <c r="J74" s="367"/>
      <c r="K74" s="367"/>
      <c r="L74" s="367"/>
      <c r="M74" s="367"/>
      <c r="N74" s="367"/>
      <c r="O74" s="367"/>
      <c r="P74" s="367"/>
      <c r="Q74" s="367">
        <v>1.9</v>
      </c>
    </row>
    <row r="75" spans="1:17" ht="15" x14ac:dyDescent="0.25">
      <c r="A75" s="365" t="s">
        <v>303</v>
      </c>
      <c r="H75" s="366">
        <v>39</v>
      </c>
      <c r="J75" s="367"/>
      <c r="K75" s="367"/>
      <c r="L75" s="367"/>
      <c r="M75" s="367"/>
      <c r="N75" s="367"/>
      <c r="O75" s="367"/>
      <c r="P75" s="367"/>
      <c r="Q75" s="367">
        <v>2.8</v>
      </c>
    </row>
    <row r="76" spans="1:17" ht="15" x14ac:dyDescent="0.25">
      <c r="A76" s="365" t="s">
        <v>304</v>
      </c>
      <c r="H76" s="366">
        <v>42</v>
      </c>
      <c r="J76" s="367"/>
      <c r="K76" s="367"/>
      <c r="L76" s="367"/>
      <c r="M76" s="367"/>
      <c r="N76" s="367"/>
      <c r="O76" s="367"/>
      <c r="P76" s="367"/>
      <c r="Q76" s="367">
        <v>9.1999999999999993</v>
      </c>
    </row>
    <row r="77" spans="1:17" ht="15" x14ac:dyDescent="0.25">
      <c r="A77" s="365" t="s">
        <v>305</v>
      </c>
      <c r="H77" s="366">
        <v>21</v>
      </c>
      <c r="J77" s="367"/>
      <c r="K77" s="367"/>
      <c r="L77" s="367"/>
      <c r="M77" s="367"/>
      <c r="N77" s="367"/>
      <c r="O77" s="367"/>
      <c r="P77" s="367"/>
      <c r="Q77" s="367">
        <v>20</v>
      </c>
    </row>
    <row r="78" spans="1:17" ht="15" x14ac:dyDescent="0.25">
      <c r="A78" s="365" t="s">
        <v>306</v>
      </c>
      <c r="H78" s="366">
        <v>40</v>
      </c>
      <c r="J78" s="367"/>
      <c r="K78" s="367"/>
      <c r="L78" s="367"/>
      <c r="M78" s="367"/>
      <c r="N78" s="367"/>
      <c r="O78" s="367"/>
      <c r="P78" s="367"/>
      <c r="Q78" s="367">
        <v>1.2</v>
      </c>
    </row>
    <row r="79" spans="1:17" ht="15" x14ac:dyDescent="0.25">
      <c r="A79" s="365" t="s">
        <v>307</v>
      </c>
      <c r="H79" s="366">
        <v>57</v>
      </c>
      <c r="J79" s="367"/>
      <c r="K79" s="367"/>
      <c r="L79" s="367"/>
      <c r="M79" s="367"/>
      <c r="N79" s="367"/>
      <c r="O79" s="367"/>
      <c r="P79" s="367"/>
      <c r="Q79" s="367">
        <v>0.3</v>
      </c>
    </row>
    <row r="80" spans="1:17" ht="15" x14ac:dyDescent="0.25">
      <c r="A80" s="365" t="s">
        <v>308</v>
      </c>
      <c r="H80" s="366">
        <v>38</v>
      </c>
      <c r="J80" s="367"/>
      <c r="K80" s="367"/>
      <c r="L80" s="367"/>
      <c r="M80" s="367"/>
      <c r="N80" s="367"/>
      <c r="O80" s="367"/>
      <c r="P80" s="367"/>
      <c r="Q80" s="367">
        <v>2.8</v>
      </c>
    </row>
    <row r="81" spans="1:17" ht="15" x14ac:dyDescent="0.25">
      <c r="A81" s="365" t="s">
        <v>309</v>
      </c>
      <c r="H81" s="366">
        <v>21</v>
      </c>
      <c r="J81" s="367"/>
      <c r="K81" s="367"/>
      <c r="L81" s="367"/>
      <c r="M81" s="367"/>
      <c r="N81" s="367"/>
      <c r="O81" s="367"/>
      <c r="P81" s="367"/>
      <c r="Q81" s="367">
        <v>15.6</v>
      </c>
    </row>
    <row r="82" spans="1:17" ht="15" x14ac:dyDescent="0.25">
      <c r="A82" s="365" t="s">
        <v>310</v>
      </c>
      <c r="H82" s="366">
        <v>56</v>
      </c>
      <c r="J82" s="367"/>
      <c r="K82" s="367"/>
      <c r="L82" s="367"/>
      <c r="M82" s="367"/>
      <c r="N82" s="367"/>
      <c r="O82" s="367"/>
      <c r="P82" s="367"/>
      <c r="Q82" s="367">
        <v>14.8</v>
      </c>
    </row>
    <row r="83" spans="1:17" ht="15" x14ac:dyDescent="0.25">
      <c r="A83" s="365" t="s">
        <v>311</v>
      </c>
      <c r="H83" s="366">
        <v>23</v>
      </c>
      <c r="J83" s="367"/>
      <c r="K83" s="367"/>
      <c r="L83" s="367"/>
      <c r="M83" s="367"/>
      <c r="N83" s="367"/>
      <c r="O83" s="367"/>
      <c r="P83" s="367"/>
      <c r="Q83" s="367">
        <v>1.2</v>
      </c>
    </row>
    <row r="84" spans="1:17" ht="15" x14ac:dyDescent="0.25">
      <c r="A84" s="365" t="s">
        <v>312</v>
      </c>
      <c r="H84" s="366">
        <v>27</v>
      </c>
      <c r="J84" s="367"/>
      <c r="K84" s="367"/>
      <c r="L84" s="367"/>
      <c r="M84" s="367"/>
      <c r="N84" s="367"/>
      <c r="O84" s="367"/>
      <c r="P84" s="367"/>
      <c r="Q84" s="367">
        <v>617</v>
      </c>
    </row>
    <row r="85" spans="1:17" ht="15" x14ac:dyDescent="0.25">
      <c r="A85" s="365" t="s">
        <v>313</v>
      </c>
      <c r="H85" s="366">
        <v>38</v>
      </c>
      <c r="J85" s="367"/>
      <c r="K85" s="367"/>
      <c r="L85" s="367"/>
      <c r="M85" s="367"/>
      <c r="N85" s="367"/>
      <c r="O85" s="367"/>
      <c r="P85" s="367"/>
      <c r="Q85" s="367">
        <v>0.6</v>
      </c>
    </row>
    <row r="86" spans="1:17" ht="15" x14ac:dyDescent="0.25">
      <c r="A86" s="365" t="s">
        <v>314</v>
      </c>
      <c r="H86" s="366">
        <v>43</v>
      </c>
      <c r="J86" s="367"/>
      <c r="K86" s="367"/>
      <c r="L86" s="367"/>
      <c r="M86" s="367"/>
      <c r="N86" s="367"/>
      <c r="O86" s="367"/>
      <c r="P86" s="367"/>
      <c r="Q86" s="367">
        <v>22</v>
      </c>
    </row>
    <row r="87" spans="1:17" ht="15" x14ac:dyDescent="0.25">
      <c r="A87" s="365" t="s">
        <v>315</v>
      </c>
      <c r="H87" s="366">
        <v>34</v>
      </c>
      <c r="J87" s="367"/>
      <c r="K87" s="367"/>
      <c r="L87" s="367"/>
      <c r="M87" s="367"/>
      <c r="N87" s="367"/>
      <c r="O87" s="367"/>
      <c r="P87" s="367"/>
      <c r="Q87" s="367">
        <v>8.6</v>
      </c>
    </row>
    <row r="88" spans="1:17" ht="15" x14ac:dyDescent="0.25">
      <c r="A88" s="365" t="s">
        <v>316</v>
      </c>
      <c r="H88" s="366">
        <v>90</v>
      </c>
      <c r="J88" s="367"/>
      <c r="K88" s="367"/>
      <c r="L88" s="367"/>
      <c r="M88" s="367"/>
      <c r="N88" s="367"/>
      <c r="O88" s="367"/>
      <c r="P88" s="367"/>
      <c r="Q88" s="367">
        <v>3.2</v>
      </c>
    </row>
    <row r="89" spans="1:17" ht="15" x14ac:dyDescent="0.25">
      <c r="A89" s="365" t="s">
        <v>317</v>
      </c>
      <c r="H89" s="366">
        <v>92</v>
      </c>
      <c r="J89" s="367"/>
      <c r="K89" s="367"/>
      <c r="L89" s="367"/>
      <c r="M89" s="367"/>
      <c r="N89" s="367"/>
      <c r="O89" s="367"/>
      <c r="P89" s="367"/>
      <c r="Q89" s="367">
        <v>3.8</v>
      </c>
    </row>
    <row r="90" spans="1:17" ht="15" x14ac:dyDescent="0.25">
      <c r="A90" s="365" t="s">
        <v>318</v>
      </c>
      <c r="H90" s="366">
        <v>58</v>
      </c>
      <c r="J90" s="367"/>
      <c r="K90" s="367"/>
      <c r="L90" s="367"/>
      <c r="M90" s="367"/>
      <c r="N90" s="367"/>
      <c r="O90" s="367"/>
      <c r="P90" s="367"/>
      <c r="Q90" s="367">
        <v>0.7</v>
      </c>
    </row>
    <row r="91" spans="1:17" ht="15" x14ac:dyDescent="0.25">
      <c r="A91" s="365" t="s">
        <v>319</v>
      </c>
      <c r="H91" s="366">
        <v>31</v>
      </c>
      <c r="J91" s="367"/>
      <c r="K91" s="367"/>
      <c r="L91" s="367"/>
      <c r="M91" s="367"/>
      <c r="N91" s="367"/>
      <c r="O91" s="367"/>
      <c r="P91" s="367"/>
      <c r="Q91" s="367">
        <v>1</v>
      </c>
    </row>
    <row r="92" spans="1:17" ht="15" x14ac:dyDescent="0.25">
      <c r="A92" s="365" t="s">
        <v>320</v>
      </c>
      <c r="H92" s="366">
        <v>23</v>
      </c>
      <c r="J92" s="367"/>
      <c r="K92" s="367"/>
      <c r="L92" s="367"/>
      <c r="M92" s="367"/>
      <c r="N92" s="367"/>
      <c r="O92" s="367"/>
      <c r="P92" s="367"/>
      <c r="Q92" s="367">
        <v>24</v>
      </c>
    </row>
    <row r="93" spans="1:17" ht="15" x14ac:dyDescent="0.25">
      <c r="A93" s="365" t="s">
        <v>321</v>
      </c>
      <c r="H93" s="366">
        <v>70</v>
      </c>
      <c r="J93" s="367"/>
      <c r="K93" s="367"/>
      <c r="L93" s="367"/>
      <c r="M93" s="367"/>
      <c r="N93" s="367"/>
      <c r="O93" s="367"/>
      <c r="P93" s="367"/>
      <c r="Q93" s="367">
        <v>60</v>
      </c>
    </row>
    <row r="94" spans="1:17" ht="15" x14ac:dyDescent="0.25">
      <c r="A94" s="365" t="s">
        <v>322</v>
      </c>
      <c r="H94" s="366">
        <v>24</v>
      </c>
      <c r="J94" s="367"/>
      <c r="K94" s="367"/>
      <c r="L94" s="367"/>
      <c r="M94" s="367"/>
      <c r="N94" s="367"/>
      <c r="O94" s="367"/>
      <c r="P94" s="367"/>
      <c r="Q94" s="367">
        <v>7.3</v>
      </c>
    </row>
    <row r="95" spans="1:17" ht="15" x14ac:dyDescent="0.25">
      <c r="A95" s="365" t="s">
        <v>323</v>
      </c>
      <c r="H95" s="366">
        <v>29</v>
      </c>
      <c r="J95" s="367"/>
      <c r="K95" s="367"/>
      <c r="L95" s="367"/>
      <c r="M95" s="367"/>
      <c r="N95" s="367"/>
      <c r="O95" s="367"/>
      <c r="P95" s="367"/>
      <c r="Q95" s="367">
        <v>1</v>
      </c>
    </row>
    <row r="96" spans="1:17" ht="15" x14ac:dyDescent="0.25">
      <c r="A96" s="365" t="s">
        <v>324</v>
      </c>
      <c r="H96" s="366">
        <v>26</v>
      </c>
      <c r="J96" s="367"/>
      <c r="K96" s="367"/>
      <c r="L96" s="367"/>
      <c r="M96" s="367"/>
      <c r="N96" s="367"/>
      <c r="O96" s="367"/>
      <c r="P96" s="367"/>
      <c r="Q96" s="367">
        <v>0.4</v>
      </c>
    </row>
    <row r="97" spans="1:17" ht="15" x14ac:dyDescent="0.25">
      <c r="A97" s="365" t="s">
        <v>325</v>
      </c>
      <c r="H97" s="366">
        <v>30</v>
      </c>
      <c r="J97" s="367"/>
      <c r="K97" s="367"/>
      <c r="L97" s="367"/>
      <c r="M97" s="367"/>
      <c r="N97" s="367"/>
      <c r="O97" s="367"/>
      <c r="P97" s="367"/>
      <c r="Q97" s="367">
        <v>0.4</v>
      </c>
    </row>
    <row r="98" spans="1:17" ht="15" x14ac:dyDescent="0.25">
      <c r="A98" s="365" t="s">
        <v>326</v>
      </c>
      <c r="H98" s="366">
        <v>60</v>
      </c>
      <c r="J98" s="367"/>
      <c r="K98" s="367"/>
      <c r="L98" s="367"/>
      <c r="M98" s="367"/>
      <c r="N98" s="367"/>
      <c r="O98" s="367"/>
      <c r="P98" s="367"/>
      <c r="Q98" s="367">
        <v>0.3</v>
      </c>
    </row>
    <row r="99" spans="1:17" ht="15" x14ac:dyDescent="0.25">
      <c r="A99" s="365" t="s">
        <v>327</v>
      </c>
      <c r="H99" s="366">
        <v>42</v>
      </c>
      <c r="J99" s="367"/>
      <c r="K99" s="367"/>
      <c r="L99" s="367"/>
      <c r="M99" s="367"/>
      <c r="N99" s="367"/>
      <c r="O99" s="367"/>
      <c r="P99" s="367"/>
      <c r="Q99" s="367">
        <v>7.7</v>
      </c>
    </row>
    <row r="100" spans="1:17" ht="15" x14ac:dyDescent="0.25">
      <c r="A100" s="365" t="s">
        <v>328</v>
      </c>
      <c r="H100" s="366">
        <v>47</v>
      </c>
      <c r="J100" s="367"/>
      <c r="K100" s="367"/>
      <c r="L100" s="367"/>
      <c r="M100" s="367"/>
      <c r="N100" s="367"/>
      <c r="O100" s="367"/>
      <c r="P100" s="367"/>
      <c r="Q100" s="367">
        <v>4.4000000000000004</v>
      </c>
    </row>
    <row r="101" spans="1:17" ht="15" x14ac:dyDescent="0.25">
      <c r="A101" s="365" t="s">
        <v>329</v>
      </c>
      <c r="H101" s="366">
        <v>100</v>
      </c>
      <c r="J101" s="367"/>
      <c r="K101" s="367"/>
      <c r="L101" s="367"/>
      <c r="M101" s="367"/>
      <c r="N101" s="367"/>
      <c r="O101" s="367"/>
      <c r="P101" s="367"/>
      <c r="Q101" s="367">
        <v>3.1</v>
      </c>
    </row>
    <row r="102" spans="1:17" ht="15" x14ac:dyDescent="0.25">
      <c r="A102" s="365" t="s">
        <v>330</v>
      </c>
      <c r="H102" s="366">
        <v>40</v>
      </c>
      <c r="J102" s="367"/>
      <c r="K102" s="367"/>
      <c r="L102" s="367"/>
      <c r="M102" s="367"/>
      <c r="N102" s="367"/>
      <c r="O102" s="367"/>
      <c r="P102" s="367"/>
      <c r="Q102" s="367">
        <v>11</v>
      </c>
    </row>
    <row r="103" spans="1:17" ht="15" x14ac:dyDescent="0.25">
      <c r="A103" s="365" t="s">
        <v>331</v>
      </c>
      <c r="H103" s="366">
        <v>20</v>
      </c>
      <c r="J103" s="367"/>
      <c r="K103" s="367"/>
      <c r="L103" s="367"/>
      <c r="M103" s="367"/>
      <c r="N103" s="367"/>
      <c r="O103" s="367"/>
      <c r="P103" s="367"/>
      <c r="Q103" s="367">
        <v>331</v>
      </c>
    </row>
    <row r="104" spans="1:17" ht="15" x14ac:dyDescent="0.25">
      <c r="A104" s="365" t="s">
        <v>332</v>
      </c>
      <c r="H104" s="366">
        <v>82</v>
      </c>
      <c r="J104" s="367"/>
      <c r="K104" s="367"/>
      <c r="L104" s="367"/>
      <c r="M104" s="367"/>
      <c r="N104" s="367"/>
      <c r="O104" s="367"/>
      <c r="P104" s="367"/>
      <c r="Q104" s="367">
        <v>9.9</v>
      </c>
    </row>
    <row r="105" spans="1:17" ht="15" x14ac:dyDescent="0.25">
      <c r="A105" s="365" t="s">
        <v>333</v>
      </c>
      <c r="H105" s="366">
        <v>29</v>
      </c>
      <c r="J105" s="367"/>
      <c r="K105" s="367"/>
      <c r="L105" s="367"/>
      <c r="M105" s="367"/>
      <c r="N105" s="367"/>
      <c r="O105" s="367"/>
      <c r="P105" s="367"/>
      <c r="Q105" s="367">
        <v>1</v>
      </c>
    </row>
    <row r="106" spans="1:17" ht="15" x14ac:dyDescent="0.25">
      <c r="A106" s="365" t="s">
        <v>334</v>
      </c>
      <c r="H106" s="366">
        <v>43</v>
      </c>
      <c r="J106" s="367"/>
      <c r="K106" s="367"/>
      <c r="L106" s="367"/>
      <c r="M106" s="367"/>
      <c r="N106" s="367"/>
      <c r="O106" s="367"/>
      <c r="P106" s="367"/>
      <c r="Q106" s="367">
        <v>0.6</v>
      </c>
    </row>
    <row r="107" spans="1:17" ht="15" x14ac:dyDescent="0.25">
      <c r="A107" s="365" t="s">
        <v>334</v>
      </c>
      <c r="H107" s="366">
        <v>98</v>
      </c>
      <c r="J107" s="367"/>
      <c r="K107" s="367"/>
      <c r="L107" s="367"/>
      <c r="M107" s="367"/>
      <c r="N107" s="367"/>
      <c r="O107" s="367"/>
      <c r="P107" s="367"/>
      <c r="Q107" s="367">
        <v>5.7</v>
      </c>
    </row>
    <row r="108" spans="1:17" ht="15" x14ac:dyDescent="0.25">
      <c r="A108" s="365" t="s">
        <v>297</v>
      </c>
      <c r="H108" s="366"/>
      <c r="J108" s="367"/>
      <c r="K108" s="367"/>
      <c r="L108" s="367"/>
      <c r="M108" s="367"/>
      <c r="N108" s="367"/>
      <c r="O108" s="367"/>
      <c r="P108" s="367"/>
      <c r="Q108" s="367">
        <v>0.3</v>
      </c>
    </row>
    <row r="109" spans="1:17" ht="15" x14ac:dyDescent="0.25">
      <c r="A109" s="365" t="s">
        <v>335</v>
      </c>
      <c r="H109" s="366">
        <v>34</v>
      </c>
      <c r="J109" s="367"/>
      <c r="K109" s="367"/>
      <c r="L109" s="367"/>
      <c r="M109" s="367"/>
      <c r="N109" s="367"/>
      <c r="O109" s="367"/>
      <c r="P109" s="367"/>
      <c r="Q109" s="367">
        <v>0.4</v>
      </c>
    </row>
    <row r="110" spans="1:17" ht="15" x14ac:dyDescent="0.25">
      <c r="A110" s="365" t="s">
        <v>335</v>
      </c>
      <c r="H110" s="366">
        <v>43</v>
      </c>
      <c r="J110" s="367"/>
      <c r="K110" s="367"/>
      <c r="L110" s="367"/>
      <c r="M110" s="367"/>
      <c r="N110" s="367"/>
      <c r="O110" s="367"/>
      <c r="P110" s="367"/>
      <c r="Q110" s="367">
        <v>0.3</v>
      </c>
    </row>
    <row r="111" spans="1:17" ht="15" x14ac:dyDescent="0.25">
      <c r="A111" s="365" t="s">
        <v>336</v>
      </c>
      <c r="H111" s="366">
        <v>86</v>
      </c>
      <c r="J111" s="367"/>
      <c r="K111" s="367"/>
      <c r="L111" s="367"/>
      <c r="M111" s="367"/>
      <c r="N111" s="367"/>
      <c r="O111" s="367"/>
      <c r="P111" s="367"/>
      <c r="Q111" s="367">
        <v>130</v>
      </c>
    </row>
    <row r="112" spans="1:17" ht="15" x14ac:dyDescent="0.25">
      <c r="A112" s="365" t="s">
        <v>337</v>
      </c>
      <c r="H112" s="366">
        <v>50</v>
      </c>
      <c r="J112" s="367"/>
      <c r="K112" s="367"/>
      <c r="L112" s="367"/>
      <c r="M112" s="367"/>
      <c r="N112" s="367"/>
      <c r="O112" s="367"/>
      <c r="P112" s="367"/>
      <c r="Q112" s="367">
        <v>1.6</v>
      </c>
    </row>
    <row r="113" spans="1:17" ht="15" x14ac:dyDescent="0.25">
      <c r="A113" s="365" t="s">
        <v>338</v>
      </c>
      <c r="H113" s="366">
        <v>26</v>
      </c>
      <c r="J113" s="367"/>
      <c r="K113" s="367"/>
      <c r="L113" s="367"/>
      <c r="M113" s="367"/>
      <c r="N113" s="367"/>
      <c r="O113" s="367"/>
      <c r="P113" s="367"/>
      <c r="Q113" s="367">
        <v>0.2</v>
      </c>
    </row>
    <row r="114" spans="1:17" ht="15" x14ac:dyDescent="0.25">
      <c r="A114" s="365" t="s">
        <v>339</v>
      </c>
      <c r="H114" s="366">
        <v>27</v>
      </c>
      <c r="J114" s="367"/>
      <c r="K114" s="367"/>
      <c r="L114" s="367"/>
      <c r="M114" s="367"/>
      <c r="N114" s="367"/>
      <c r="O114" s="367"/>
      <c r="P114" s="367"/>
      <c r="Q114" s="367">
        <v>0.4</v>
      </c>
    </row>
    <row r="115" spans="1:17" ht="15" x14ac:dyDescent="0.25">
      <c r="A115" s="365" t="s">
        <v>340</v>
      </c>
      <c r="H115" s="366">
        <v>29</v>
      </c>
      <c r="J115" s="367"/>
      <c r="K115" s="367"/>
      <c r="L115" s="367"/>
      <c r="M115" s="367"/>
      <c r="N115" s="367"/>
      <c r="O115" s="367"/>
      <c r="P115" s="367"/>
      <c r="Q115" s="367">
        <v>8.3000000000000007</v>
      </c>
    </row>
    <row r="116" spans="1:17" ht="15" x14ac:dyDescent="0.25">
      <c r="A116" s="365" t="s">
        <v>341</v>
      </c>
      <c r="H116" s="366">
        <v>37</v>
      </c>
      <c r="J116" s="367"/>
      <c r="K116" s="367"/>
      <c r="L116" s="367"/>
      <c r="M116" s="367"/>
      <c r="N116" s="367"/>
      <c r="O116" s="367"/>
      <c r="P116" s="367"/>
      <c r="Q116" s="367">
        <v>3.7</v>
      </c>
    </row>
    <row r="117" spans="1:17" ht="15" x14ac:dyDescent="0.25">
      <c r="A117" s="365" t="s">
        <v>342</v>
      </c>
      <c r="H117" s="366">
        <v>55.6</v>
      </c>
      <c r="J117" s="367"/>
      <c r="K117" s="367"/>
      <c r="L117" s="367"/>
      <c r="M117" s="367"/>
      <c r="N117" s="367"/>
      <c r="O117" s="367"/>
      <c r="P117" s="367"/>
      <c r="Q117" s="367">
        <v>285</v>
      </c>
    </row>
    <row r="118" spans="1:17" ht="15" x14ac:dyDescent="0.25">
      <c r="A118" s="365" t="s">
        <v>343</v>
      </c>
      <c r="H118" s="366">
        <v>42</v>
      </c>
      <c r="J118" s="367"/>
      <c r="K118" s="367"/>
      <c r="L118" s="367"/>
      <c r="M118" s="367"/>
      <c r="N118" s="367"/>
      <c r="O118" s="367"/>
      <c r="P118" s="367"/>
      <c r="Q118" s="367">
        <v>6.6</v>
      </c>
    </row>
    <row r="119" spans="1:17" ht="15" x14ac:dyDescent="0.25">
      <c r="A119" s="365" t="s">
        <v>344</v>
      </c>
      <c r="H119" s="366">
        <v>40</v>
      </c>
      <c r="J119" s="367"/>
      <c r="K119" s="367"/>
      <c r="L119" s="367"/>
      <c r="M119" s="367"/>
      <c r="N119" s="367"/>
      <c r="O119" s="367"/>
      <c r="P119" s="367"/>
      <c r="Q119" s="367">
        <v>0.4</v>
      </c>
    </row>
    <row r="120" spans="1:17" ht="15" x14ac:dyDescent="0.25">
      <c r="A120" s="365" t="s">
        <v>345</v>
      </c>
      <c r="H120" s="366">
        <v>33</v>
      </c>
      <c r="J120" s="367"/>
      <c r="K120" s="367"/>
      <c r="L120" s="367"/>
      <c r="M120" s="367"/>
      <c r="N120" s="367"/>
      <c r="O120" s="367"/>
      <c r="P120" s="367"/>
      <c r="Q120" s="367">
        <v>80</v>
      </c>
    </row>
    <row r="121" spans="1:17" ht="15" x14ac:dyDescent="0.25">
      <c r="A121" s="365" t="s">
        <v>346</v>
      </c>
      <c r="H121" s="366">
        <v>41</v>
      </c>
      <c r="J121" s="367"/>
      <c r="K121" s="367"/>
      <c r="L121" s="367"/>
      <c r="M121" s="367"/>
      <c r="N121" s="367"/>
      <c r="O121" s="367"/>
      <c r="P121" s="367"/>
      <c r="Q121" s="367">
        <v>0.1</v>
      </c>
    </row>
    <row r="122" spans="1:17" ht="15" x14ac:dyDescent="0.25">
      <c r="A122" s="365" t="s">
        <v>347</v>
      </c>
      <c r="H122" s="366">
        <v>56</v>
      </c>
      <c r="J122" s="367"/>
      <c r="K122" s="367"/>
      <c r="L122" s="367"/>
      <c r="M122" s="367"/>
      <c r="N122" s="367"/>
      <c r="O122" s="367"/>
      <c r="P122" s="367"/>
      <c r="Q122" s="367">
        <v>6</v>
      </c>
    </row>
    <row r="123" spans="1:17" ht="15" x14ac:dyDescent="0.25">
      <c r="A123" s="365" t="s">
        <v>348</v>
      </c>
      <c r="H123" s="366">
        <v>37</v>
      </c>
      <c r="J123" s="367"/>
      <c r="K123" s="367"/>
      <c r="L123" s="367"/>
      <c r="M123" s="367"/>
      <c r="N123" s="367"/>
      <c r="O123" s="367"/>
      <c r="P123" s="367"/>
      <c r="Q123" s="367">
        <v>0.8</v>
      </c>
    </row>
    <row r="124" spans="1:17" ht="15" x14ac:dyDescent="0.25">
      <c r="A124" s="365" t="s">
        <v>349</v>
      </c>
      <c r="H124" s="366">
        <v>95</v>
      </c>
      <c r="J124" s="367"/>
      <c r="K124" s="367"/>
      <c r="L124" s="367"/>
      <c r="M124" s="367"/>
      <c r="N124" s="367"/>
      <c r="O124" s="367"/>
      <c r="P124" s="367"/>
      <c r="Q124" s="367">
        <v>4</v>
      </c>
    </row>
    <row r="125" spans="1:17" ht="15" x14ac:dyDescent="0.25">
      <c r="A125" s="365" t="s">
        <v>350</v>
      </c>
      <c r="H125" s="366">
        <v>90</v>
      </c>
      <c r="J125" s="367"/>
      <c r="K125" s="367"/>
      <c r="L125" s="367"/>
      <c r="M125" s="367"/>
      <c r="N125" s="367"/>
      <c r="O125" s="367"/>
      <c r="P125" s="367"/>
      <c r="Q125" s="367">
        <v>3.2</v>
      </c>
    </row>
    <row r="126" spans="1:17" ht="15" x14ac:dyDescent="0.25">
      <c r="A126" s="365" t="s">
        <v>351</v>
      </c>
      <c r="H126" s="366">
        <v>24</v>
      </c>
      <c r="J126" s="367"/>
      <c r="K126" s="367"/>
      <c r="L126" s="367"/>
      <c r="M126" s="367"/>
      <c r="N126" s="367"/>
      <c r="O126" s="367"/>
      <c r="P126" s="367"/>
      <c r="Q126" s="367">
        <v>0.4</v>
      </c>
    </row>
    <row r="127" spans="1:17" ht="15" x14ac:dyDescent="0.25">
      <c r="A127" s="365" t="s">
        <v>352</v>
      </c>
      <c r="H127" s="366">
        <v>21.3</v>
      </c>
      <c r="J127" s="367"/>
      <c r="K127" s="367"/>
      <c r="L127" s="367"/>
      <c r="M127" s="367"/>
      <c r="N127" s="367"/>
      <c r="O127" s="367"/>
      <c r="P127" s="367"/>
      <c r="Q127" s="367">
        <v>171</v>
      </c>
    </row>
    <row r="128" spans="1:17" ht="15" x14ac:dyDescent="0.25">
      <c r="A128" s="365" t="s">
        <v>353</v>
      </c>
      <c r="H128" s="366">
        <v>32</v>
      </c>
      <c r="J128" s="367"/>
      <c r="K128" s="367"/>
      <c r="L128" s="367"/>
      <c r="M128" s="367"/>
      <c r="N128" s="367"/>
      <c r="O128" s="367"/>
      <c r="P128" s="367"/>
      <c r="Q128" s="367">
        <v>0.3</v>
      </c>
    </row>
    <row r="129" spans="1:30" ht="15" x14ac:dyDescent="0.25">
      <c r="A129" s="365" t="s">
        <v>354</v>
      </c>
      <c r="H129" s="366">
        <v>98</v>
      </c>
      <c r="J129" s="367"/>
      <c r="K129" s="367"/>
      <c r="L129" s="367"/>
      <c r="M129" s="367"/>
      <c r="N129" s="367"/>
      <c r="O129" s="367"/>
      <c r="P129" s="367"/>
      <c r="Q129" s="367">
        <v>5.6</v>
      </c>
    </row>
    <row r="130" spans="1:30" ht="15" x14ac:dyDescent="0.25">
      <c r="A130" s="365" t="s">
        <v>355</v>
      </c>
      <c r="H130" s="366">
        <v>26</v>
      </c>
      <c r="J130" s="367"/>
      <c r="K130" s="367"/>
      <c r="L130" s="367"/>
      <c r="M130" s="367"/>
      <c r="N130" s="367"/>
      <c r="O130" s="367"/>
      <c r="P130" s="367"/>
      <c r="Q130" s="367">
        <v>1.6</v>
      </c>
    </row>
    <row r="131" spans="1:30" ht="15" x14ac:dyDescent="0.25">
      <c r="A131" s="365" t="s">
        <v>356</v>
      </c>
      <c r="H131" s="366">
        <v>69</v>
      </c>
      <c r="J131" s="367"/>
      <c r="K131" s="367"/>
      <c r="L131" s="367"/>
      <c r="M131" s="367"/>
      <c r="N131" s="367"/>
      <c r="O131" s="367"/>
      <c r="P131" s="367"/>
      <c r="Q131" s="367">
        <v>240</v>
      </c>
    </row>
    <row r="132" spans="1:30" ht="15" x14ac:dyDescent="0.25">
      <c r="A132" s="365" t="s">
        <v>357</v>
      </c>
      <c r="H132" s="366">
        <v>24</v>
      </c>
      <c r="J132" s="367"/>
      <c r="K132" s="367"/>
      <c r="L132" s="367"/>
      <c r="M132" s="367"/>
      <c r="N132" s="367"/>
      <c r="O132" s="367"/>
      <c r="P132" s="367"/>
      <c r="Q132" s="367">
        <v>3</v>
      </c>
    </row>
    <row r="133" spans="1:30" ht="15" x14ac:dyDescent="0.25">
      <c r="A133" s="365" t="s">
        <v>358</v>
      </c>
      <c r="H133" s="366">
        <v>21</v>
      </c>
      <c r="J133" s="367"/>
      <c r="K133" s="367"/>
      <c r="L133" s="367"/>
      <c r="M133" s="367"/>
      <c r="N133" s="367"/>
      <c r="O133" s="367"/>
      <c r="P133" s="367"/>
      <c r="Q133" s="367">
        <v>103</v>
      </c>
    </row>
    <row r="134" spans="1:30" ht="15" x14ac:dyDescent="0.25">
      <c r="A134" s="365" t="s">
        <v>359</v>
      </c>
      <c r="H134" s="366">
        <v>22</v>
      </c>
      <c r="J134" s="367"/>
      <c r="K134" s="367"/>
      <c r="L134" s="367"/>
      <c r="M134" s="367"/>
      <c r="N134" s="367"/>
      <c r="O134" s="367"/>
      <c r="P134" s="367"/>
      <c r="Q134" s="367">
        <v>14</v>
      </c>
    </row>
    <row r="135" spans="1:30" ht="15" x14ac:dyDescent="0.25">
      <c r="A135" s="365" t="s">
        <v>360</v>
      </c>
      <c r="H135" s="366">
        <v>55</v>
      </c>
      <c r="J135" s="367"/>
      <c r="K135" s="367"/>
      <c r="L135" s="367"/>
      <c r="M135" s="367"/>
      <c r="N135" s="367"/>
      <c r="O135" s="367"/>
      <c r="P135" s="367"/>
      <c r="Q135" s="367">
        <v>2.7</v>
      </c>
      <c r="R135" s="367"/>
      <c r="S135" s="367"/>
      <c r="T135" s="367"/>
      <c r="U135" s="367"/>
      <c r="V135" s="367"/>
      <c r="W135" s="367"/>
      <c r="X135" s="367"/>
      <c r="Y135" s="367"/>
      <c r="Z135" s="367"/>
      <c r="AA135" s="367"/>
      <c r="AB135" s="367"/>
      <c r="AC135" s="367"/>
      <c r="AD135" s="367"/>
    </row>
    <row r="136" spans="1:30" ht="15" x14ac:dyDescent="0.25">
      <c r="A136" s="365" t="s">
        <v>361</v>
      </c>
      <c r="H136" s="366">
        <v>62</v>
      </c>
      <c r="J136" s="367"/>
      <c r="K136" s="367"/>
      <c r="L136" s="367"/>
      <c r="M136" s="367"/>
      <c r="N136" s="367"/>
      <c r="O136" s="367"/>
      <c r="P136" s="367"/>
      <c r="Q136" s="367">
        <v>7.6</v>
      </c>
      <c r="R136" s="367"/>
      <c r="S136" s="367"/>
      <c r="T136" s="367"/>
      <c r="U136" s="367"/>
      <c r="V136" s="367"/>
      <c r="W136" s="367"/>
      <c r="X136" s="367"/>
      <c r="Y136" s="367"/>
      <c r="Z136" s="367"/>
      <c r="AA136" s="367"/>
      <c r="AB136" s="367"/>
      <c r="AC136" s="367"/>
      <c r="AD136" s="367"/>
    </row>
    <row r="137" spans="1:30" ht="15" x14ac:dyDescent="0.25">
      <c r="A137" s="365" t="s">
        <v>362</v>
      </c>
      <c r="H137" s="366">
        <v>41</v>
      </c>
      <c r="J137" s="367"/>
      <c r="K137" s="367"/>
      <c r="L137" s="367"/>
      <c r="M137" s="367"/>
      <c r="N137" s="367"/>
      <c r="O137" s="367"/>
      <c r="P137" s="367"/>
      <c r="Q137" s="367">
        <v>7.6</v>
      </c>
      <c r="R137" s="367"/>
      <c r="S137" s="367"/>
      <c r="T137" s="367"/>
      <c r="U137" s="367"/>
      <c r="V137" s="367"/>
      <c r="W137" s="367"/>
      <c r="X137" s="367"/>
      <c r="Y137" s="367"/>
      <c r="Z137" s="367"/>
      <c r="AA137" s="367"/>
      <c r="AB137" s="367"/>
      <c r="AC137" s="367"/>
      <c r="AD137" s="367"/>
    </row>
    <row r="138" spans="1:30" ht="15" x14ac:dyDescent="0.25">
      <c r="A138" s="365" t="s">
        <v>363</v>
      </c>
      <c r="H138" s="366">
        <v>73.5</v>
      </c>
      <c r="J138" s="367"/>
      <c r="K138" s="367"/>
      <c r="L138" s="367"/>
      <c r="M138" s="367"/>
      <c r="N138" s="367"/>
      <c r="O138" s="367"/>
      <c r="P138" s="367"/>
      <c r="Q138" s="367">
        <v>4.3</v>
      </c>
      <c r="R138" s="367"/>
      <c r="S138" s="367"/>
      <c r="T138" s="367"/>
      <c r="U138" s="367"/>
      <c r="V138" s="367"/>
      <c r="W138" s="367"/>
      <c r="X138" s="367"/>
      <c r="Y138" s="367"/>
      <c r="Z138" s="367"/>
      <c r="AA138" s="367"/>
      <c r="AB138" s="367"/>
      <c r="AC138" s="367"/>
      <c r="AD138" s="367"/>
    </row>
    <row r="139" spans="1:30" ht="15" x14ac:dyDescent="0.25">
      <c r="A139" s="365" t="s">
        <v>364</v>
      </c>
      <c r="H139" s="366">
        <v>27</v>
      </c>
      <c r="J139" s="367"/>
      <c r="K139" s="367"/>
      <c r="L139" s="367"/>
      <c r="M139" s="367"/>
      <c r="N139" s="367"/>
      <c r="O139" s="367"/>
      <c r="P139" s="367"/>
      <c r="Q139" s="367">
        <v>0.4</v>
      </c>
      <c r="R139" s="367"/>
      <c r="S139" s="367"/>
      <c r="T139" s="367"/>
      <c r="U139" s="367"/>
      <c r="V139" s="367"/>
      <c r="W139" s="367"/>
      <c r="X139" s="367"/>
      <c r="Y139" s="367"/>
      <c r="Z139" s="367"/>
      <c r="AA139" s="367"/>
      <c r="AB139" s="367"/>
      <c r="AC139" s="367"/>
      <c r="AD139" s="367"/>
    </row>
    <row r="140" spans="1:30" ht="15" x14ac:dyDescent="0.25">
      <c r="A140" s="365" t="s">
        <v>365</v>
      </c>
      <c r="H140" s="366">
        <v>42</v>
      </c>
      <c r="J140" s="367"/>
      <c r="K140" s="367"/>
      <c r="L140" s="367"/>
      <c r="M140" s="367"/>
      <c r="N140" s="367"/>
      <c r="O140" s="367"/>
      <c r="P140" s="367"/>
      <c r="Q140" s="367">
        <v>2.4</v>
      </c>
      <c r="R140" s="367"/>
      <c r="S140" s="367"/>
      <c r="T140" s="367"/>
      <c r="U140" s="367"/>
      <c r="V140" s="367"/>
      <c r="W140" s="367"/>
      <c r="X140" s="367"/>
      <c r="Y140" s="367"/>
      <c r="Z140" s="367"/>
      <c r="AA140" s="367"/>
      <c r="AB140" s="367"/>
      <c r="AC140" s="367"/>
      <c r="AD140" s="367"/>
    </row>
    <row r="141" spans="1:30" ht="15" x14ac:dyDescent="0.25">
      <c r="A141" s="365" t="s">
        <v>366</v>
      </c>
      <c r="H141" s="366">
        <v>36</v>
      </c>
      <c r="J141" s="367"/>
      <c r="K141" s="367"/>
      <c r="L141" s="367"/>
      <c r="M141" s="367"/>
      <c r="N141" s="367"/>
      <c r="O141" s="367"/>
      <c r="P141" s="367"/>
      <c r="Q141" s="367">
        <v>410</v>
      </c>
      <c r="R141" s="367"/>
      <c r="S141" s="367"/>
      <c r="T141" s="367"/>
      <c r="U141" s="367"/>
      <c r="V141" s="367"/>
      <c r="W141" s="367"/>
      <c r="X141" s="367"/>
      <c r="Y141" s="367"/>
      <c r="Z141" s="367"/>
      <c r="AA141" s="367"/>
      <c r="AB141" s="367"/>
      <c r="AC141" s="367"/>
      <c r="AD141" s="367"/>
    </row>
    <row r="142" spans="1:30" ht="15" x14ac:dyDescent="0.25">
      <c r="A142" s="365" t="s">
        <v>367</v>
      </c>
      <c r="H142" s="366">
        <v>16.100000000000001</v>
      </c>
      <c r="J142" s="367"/>
      <c r="K142" s="367"/>
      <c r="L142" s="367"/>
      <c r="M142" s="367"/>
      <c r="N142" s="367"/>
      <c r="O142" s="367"/>
      <c r="P142" s="367"/>
      <c r="Q142" s="367">
        <v>288</v>
      </c>
      <c r="R142" s="367"/>
      <c r="S142" s="367"/>
      <c r="T142" s="367"/>
      <c r="U142" s="367"/>
      <c r="V142" s="367"/>
      <c r="W142" s="367"/>
      <c r="X142" s="367"/>
      <c r="Y142" s="367"/>
      <c r="Z142" s="367"/>
      <c r="AA142" s="367"/>
      <c r="AB142" s="367"/>
      <c r="AC142" s="367"/>
      <c r="AD142" s="367"/>
    </row>
    <row r="143" spans="1:30" ht="15" x14ac:dyDescent="0.25">
      <c r="A143" s="365" t="s">
        <v>368</v>
      </c>
      <c r="H143" s="366">
        <v>8.9</v>
      </c>
      <c r="J143" s="367"/>
      <c r="K143" s="367"/>
      <c r="L143" s="367"/>
      <c r="M143" s="367"/>
      <c r="N143" s="367"/>
      <c r="O143" s="367"/>
      <c r="P143" s="367"/>
      <c r="Q143" s="367">
        <v>17</v>
      </c>
      <c r="R143" s="367"/>
      <c r="S143" s="367"/>
      <c r="T143" s="367"/>
      <c r="U143" s="367"/>
      <c r="V143" s="367"/>
      <c r="W143" s="367"/>
      <c r="X143" s="367"/>
      <c r="Y143" s="367"/>
      <c r="Z143" s="367"/>
      <c r="AA143" s="367"/>
      <c r="AB143" s="367"/>
      <c r="AC143" s="367"/>
      <c r="AD143" s="367"/>
    </row>
    <row r="144" spans="1:30" ht="15" x14ac:dyDescent="0.25">
      <c r="A144" s="365" t="s">
        <v>369</v>
      </c>
      <c r="H144" s="366">
        <v>22</v>
      </c>
      <c r="J144" s="367"/>
      <c r="K144" s="367"/>
      <c r="L144" s="367"/>
      <c r="M144" s="367"/>
      <c r="N144" s="367"/>
      <c r="O144" s="367"/>
      <c r="P144" s="367"/>
      <c r="Q144" s="367">
        <v>5.0999999999999996</v>
      </c>
      <c r="R144" s="367"/>
      <c r="S144" s="367"/>
      <c r="T144" s="367"/>
      <c r="U144" s="367"/>
      <c r="V144" s="367"/>
      <c r="W144" s="367"/>
      <c r="X144" s="367"/>
      <c r="Y144" s="367"/>
      <c r="Z144" s="367"/>
      <c r="AA144" s="367"/>
      <c r="AB144" s="367"/>
      <c r="AC144" s="367"/>
      <c r="AD144" s="367"/>
    </row>
    <row r="145" spans="1:30" ht="15" x14ac:dyDescent="0.25">
      <c r="A145" s="365" t="s">
        <v>370</v>
      </c>
      <c r="H145" s="366">
        <v>43</v>
      </c>
      <c r="J145" s="367"/>
      <c r="K145" s="367">
        <v>0.04</v>
      </c>
      <c r="L145" s="367"/>
      <c r="M145" s="367"/>
      <c r="N145" s="367"/>
      <c r="O145" s="367"/>
      <c r="P145" s="367"/>
      <c r="Q145" s="367">
        <v>4.5</v>
      </c>
      <c r="R145" s="367"/>
      <c r="S145" s="367"/>
      <c r="T145" s="367"/>
      <c r="U145" s="367"/>
      <c r="V145" s="367"/>
      <c r="W145" s="367"/>
      <c r="X145" s="367"/>
      <c r="Y145" s="367"/>
      <c r="Z145" s="367">
        <v>-0.1</v>
      </c>
      <c r="AA145" s="367"/>
      <c r="AB145" s="367"/>
      <c r="AC145" s="367"/>
      <c r="AD145" s="367">
        <v>-0.02</v>
      </c>
    </row>
    <row r="146" spans="1:30" ht="15" x14ac:dyDescent="0.25">
      <c r="A146" s="365" t="s">
        <v>371</v>
      </c>
      <c r="H146" s="366"/>
      <c r="J146" s="367"/>
      <c r="K146" s="367"/>
      <c r="L146" s="367"/>
      <c r="M146" s="367"/>
      <c r="N146" s="367"/>
      <c r="O146" s="367"/>
      <c r="P146" s="367"/>
      <c r="Q146" s="367"/>
      <c r="R146" s="367"/>
      <c r="S146" s="367"/>
      <c r="T146" s="367"/>
      <c r="U146" s="367"/>
      <c r="V146" s="367"/>
      <c r="W146" s="367"/>
      <c r="X146" s="367">
        <v>0.43</v>
      </c>
      <c r="Y146" s="367"/>
      <c r="Z146" s="367"/>
      <c r="AA146" s="367"/>
      <c r="AB146" s="367"/>
      <c r="AC146" s="367"/>
      <c r="AD146" s="367"/>
    </row>
    <row r="147" spans="1:30" ht="15" x14ac:dyDescent="0.25">
      <c r="A147" s="365" t="s">
        <v>372</v>
      </c>
      <c r="H147" s="366">
        <v>33</v>
      </c>
      <c r="J147" s="367"/>
      <c r="K147" s="367">
        <v>-0.01</v>
      </c>
      <c r="L147" s="367"/>
      <c r="M147" s="367"/>
      <c r="N147" s="367"/>
      <c r="O147" s="367"/>
      <c r="P147" s="367"/>
      <c r="Q147" s="367">
        <v>-0.05</v>
      </c>
      <c r="R147" s="367"/>
      <c r="S147" s="367"/>
      <c r="T147" s="367"/>
      <c r="U147" s="367"/>
      <c r="V147" s="367"/>
      <c r="W147" s="367"/>
      <c r="X147" s="367"/>
      <c r="Y147" s="367"/>
      <c r="Z147" s="367">
        <v>-0.05</v>
      </c>
      <c r="AA147" s="367"/>
      <c r="AB147" s="367"/>
      <c r="AC147" s="367"/>
      <c r="AD147" s="367"/>
    </row>
    <row r="148" spans="1:30" ht="15" x14ac:dyDescent="0.25">
      <c r="A148" s="365" t="s">
        <v>373</v>
      </c>
      <c r="H148" s="366">
        <v>32</v>
      </c>
      <c r="J148" s="367"/>
      <c r="K148" s="367">
        <v>0.02</v>
      </c>
      <c r="L148" s="367"/>
      <c r="M148" s="367"/>
      <c r="N148" s="367"/>
      <c r="O148" s="367"/>
      <c r="P148" s="367"/>
      <c r="Q148" s="367">
        <v>0.61</v>
      </c>
      <c r="R148" s="367"/>
      <c r="S148" s="367"/>
      <c r="T148" s="367"/>
      <c r="U148" s="367"/>
      <c r="V148" s="367"/>
      <c r="W148" s="367"/>
      <c r="X148" s="367">
        <v>-5.0000000000000001E-3</v>
      </c>
      <c r="Y148" s="367"/>
      <c r="Z148" s="367">
        <v>-0.1</v>
      </c>
      <c r="AA148" s="367"/>
      <c r="AB148" s="367"/>
      <c r="AC148" s="367"/>
      <c r="AD148" s="367">
        <v>-0.01</v>
      </c>
    </row>
    <row r="149" spans="1:30" ht="15" x14ac:dyDescent="0.25">
      <c r="A149" s="365" t="s">
        <v>374</v>
      </c>
      <c r="H149" s="366">
        <v>92</v>
      </c>
      <c r="J149" s="367"/>
      <c r="K149" s="367"/>
      <c r="L149" s="367"/>
      <c r="M149" s="367"/>
      <c r="N149" s="367"/>
      <c r="O149" s="367"/>
      <c r="P149" s="367"/>
      <c r="Q149" s="367">
        <v>3.8</v>
      </c>
      <c r="R149" s="367"/>
      <c r="S149" s="367"/>
      <c r="T149" s="367"/>
      <c r="U149" s="367"/>
      <c r="V149" s="367"/>
      <c r="W149" s="367"/>
      <c r="X149" s="367">
        <v>0.2</v>
      </c>
      <c r="Y149" s="367"/>
      <c r="Z149" s="367">
        <v>-0.05</v>
      </c>
      <c r="AA149" s="367"/>
      <c r="AB149" s="367"/>
      <c r="AC149" s="367"/>
      <c r="AD149" s="367">
        <v>-0.01</v>
      </c>
    </row>
    <row r="150" spans="1:30" ht="15" x14ac:dyDescent="0.25">
      <c r="A150" s="365" t="s">
        <v>375</v>
      </c>
      <c r="H150" s="366">
        <v>96</v>
      </c>
      <c r="J150" s="367"/>
      <c r="K150" s="367">
        <v>0.08</v>
      </c>
      <c r="L150" s="367"/>
      <c r="M150" s="367"/>
      <c r="N150" s="367"/>
      <c r="O150" s="367"/>
      <c r="P150" s="367"/>
      <c r="Q150" s="367">
        <v>3.8</v>
      </c>
      <c r="R150" s="367"/>
      <c r="S150" s="367"/>
      <c r="T150" s="367"/>
      <c r="U150" s="367"/>
      <c r="V150" s="367"/>
      <c r="W150" s="367"/>
      <c r="X150" s="367"/>
      <c r="Y150" s="367"/>
      <c r="Z150" s="367">
        <v>-0.05</v>
      </c>
      <c r="AA150" s="367"/>
      <c r="AB150" s="367"/>
      <c r="AC150" s="367"/>
      <c r="AD150" s="367">
        <v>-0.01</v>
      </c>
    </row>
    <row r="151" spans="1:30" ht="15" x14ac:dyDescent="0.25">
      <c r="A151" s="365" t="s">
        <v>376</v>
      </c>
      <c r="H151" s="366">
        <v>79</v>
      </c>
      <c r="J151" s="367"/>
      <c r="K151" s="367">
        <v>0.1</v>
      </c>
      <c r="L151" s="367"/>
      <c r="M151" s="367"/>
      <c r="N151" s="367"/>
      <c r="O151" s="367"/>
      <c r="P151" s="367"/>
      <c r="Q151" s="367">
        <v>2.5</v>
      </c>
      <c r="R151" s="367"/>
      <c r="S151" s="367"/>
      <c r="T151" s="367"/>
      <c r="U151" s="367"/>
      <c r="V151" s="367"/>
      <c r="W151" s="367"/>
      <c r="X151" s="367"/>
      <c r="Y151" s="367"/>
      <c r="Z151" s="367">
        <v>-0.1</v>
      </c>
      <c r="AA151" s="367"/>
      <c r="AB151" s="367"/>
      <c r="AC151" s="367"/>
      <c r="AD151" s="367">
        <v>-0.01</v>
      </c>
    </row>
    <row r="152" spans="1:30" ht="15" x14ac:dyDescent="0.25">
      <c r="A152" s="365" t="s">
        <v>377</v>
      </c>
      <c r="H152" s="366">
        <v>81</v>
      </c>
      <c r="J152" s="367"/>
      <c r="K152" s="367">
        <v>0.27</v>
      </c>
      <c r="L152" s="367"/>
      <c r="M152" s="367"/>
      <c r="N152" s="367"/>
      <c r="O152" s="367"/>
      <c r="P152" s="367"/>
      <c r="Q152" s="367">
        <v>2.8</v>
      </c>
      <c r="R152" s="367"/>
      <c r="S152" s="367"/>
      <c r="T152" s="367"/>
      <c r="U152" s="367"/>
      <c r="V152" s="367"/>
      <c r="W152" s="367"/>
      <c r="X152" s="367"/>
      <c r="Y152" s="367"/>
      <c r="Z152" s="367">
        <v>-0.1</v>
      </c>
      <c r="AA152" s="367"/>
      <c r="AB152" s="367"/>
      <c r="AC152" s="367"/>
      <c r="AD152" s="367">
        <v>-5.0000000000000001E-3</v>
      </c>
    </row>
    <row r="153" spans="1:30" ht="15" x14ac:dyDescent="0.25">
      <c r="A153" s="365" t="s">
        <v>378</v>
      </c>
      <c r="H153" s="366">
        <v>27</v>
      </c>
      <c r="J153" s="367"/>
      <c r="K153" s="367">
        <v>-0.01</v>
      </c>
      <c r="L153" s="367"/>
      <c r="M153" s="367"/>
      <c r="N153" s="367"/>
      <c r="O153" s="367"/>
      <c r="P153" s="367"/>
      <c r="Q153" s="367">
        <v>0.06</v>
      </c>
      <c r="R153" s="367"/>
      <c r="S153" s="367"/>
      <c r="T153" s="367"/>
      <c r="U153" s="367"/>
      <c r="V153" s="367"/>
      <c r="W153" s="367"/>
      <c r="X153" s="367"/>
      <c r="Y153" s="367"/>
      <c r="Z153" s="367">
        <v>-0.05</v>
      </c>
      <c r="AA153" s="367"/>
      <c r="AB153" s="367"/>
      <c r="AC153" s="367"/>
      <c r="AD153" s="367"/>
    </row>
    <row r="154" spans="1:30" ht="15" x14ac:dyDescent="0.25">
      <c r="A154" s="365" t="s">
        <v>378</v>
      </c>
      <c r="H154" s="366">
        <v>23</v>
      </c>
      <c r="J154" s="367"/>
      <c r="K154" s="367">
        <v>-0.01</v>
      </c>
      <c r="L154" s="367"/>
      <c r="M154" s="367"/>
      <c r="N154" s="367"/>
      <c r="O154" s="367"/>
      <c r="P154" s="367"/>
      <c r="Q154" s="367">
        <v>-0.1</v>
      </c>
      <c r="R154" s="367"/>
      <c r="S154" s="367"/>
      <c r="T154" s="367"/>
      <c r="U154" s="367"/>
      <c r="V154" s="367"/>
      <c r="W154" s="367"/>
      <c r="X154" s="367"/>
      <c r="Y154" s="367"/>
      <c r="Z154" s="367">
        <v>-0.05</v>
      </c>
      <c r="AA154" s="367"/>
      <c r="AB154" s="367"/>
      <c r="AC154" s="367"/>
      <c r="AD154" s="367"/>
    </row>
    <row r="155" spans="1:30" ht="15" x14ac:dyDescent="0.25">
      <c r="A155" s="365" t="s">
        <v>379</v>
      </c>
      <c r="H155" s="366">
        <v>25</v>
      </c>
      <c r="J155" s="367"/>
      <c r="K155" s="367">
        <v>0.02</v>
      </c>
      <c r="L155" s="367"/>
      <c r="M155" s="367"/>
      <c r="N155" s="367"/>
      <c r="O155" s="367"/>
      <c r="P155" s="367"/>
      <c r="Q155" s="367">
        <v>1.3</v>
      </c>
      <c r="R155" s="367"/>
      <c r="S155" s="367"/>
      <c r="T155" s="367"/>
      <c r="U155" s="367"/>
      <c r="V155" s="367"/>
      <c r="W155" s="367"/>
      <c r="X155" s="367"/>
      <c r="Y155" s="367"/>
      <c r="Z155" s="367">
        <v>-0.1</v>
      </c>
      <c r="AA155" s="367"/>
      <c r="AB155" s="367"/>
      <c r="AC155" s="367"/>
      <c r="AD155" s="367">
        <v>-5.0000000000000001E-3</v>
      </c>
    </row>
    <row r="156" spans="1:30" ht="15" x14ac:dyDescent="0.25">
      <c r="A156" s="365" t="s">
        <v>380</v>
      </c>
      <c r="H156" s="366">
        <v>41</v>
      </c>
      <c r="J156" s="367"/>
      <c r="K156" s="367"/>
      <c r="L156" s="367"/>
      <c r="M156" s="367"/>
      <c r="N156" s="367"/>
      <c r="O156" s="367"/>
      <c r="P156" s="367"/>
      <c r="Q156" s="367">
        <v>3.4</v>
      </c>
      <c r="R156" s="367"/>
      <c r="S156" s="367"/>
      <c r="T156" s="367"/>
      <c r="U156" s="367"/>
      <c r="V156" s="367"/>
      <c r="W156" s="367"/>
      <c r="X156" s="367"/>
      <c r="Y156" s="367"/>
      <c r="Z156" s="367"/>
      <c r="AA156" s="367"/>
      <c r="AB156" s="367"/>
      <c r="AC156" s="367"/>
      <c r="AD156" s="367"/>
    </row>
    <row r="157" spans="1:30" ht="15" x14ac:dyDescent="0.25">
      <c r="A157" s="365" t="s">
        <v>381</v>
      </c>
      <c r="H157" s="366"/>
      <c r="J157" s="367"/>
      <c r="K157" s="367"/>
      <c r="L157" s="367"/>
      <c r="M157" s="367"/>
      <c r="N157" s="367"/>
      <c r="O157" s="367"/>
      <c r="P157" s="367"/>
      <c r="Q157" s="367">
        <v>110</v>
      </c>
      <c r="R157" s="367"/>
      <c r="S157" s="367"/>
      <c r="T157" s="367"/>
      <c r="U157" s="367"/>
      <c r="V157" s="367"/>
      <c r="W157" s="367"/>
      <c r="X157" s="367"/>
      <c r="Y157" s="367"/>
      <c r="Z157" s="367"/>
      <c r="AA157" s="367"/>
      <c r="AB157" s="367"/>
      <c r="AC157" s="367"/>
      <c r="AD157" s="367">
        <v>0.3</v>
      </c>
    </row>
    <row r="158" spans="1:30" ht="15" x14ac:dyDescent="0.25">
      <c r="A158" s="365" t="s">
        <v>382</v>
      </c>
      <c r="H158" s="366">
        <v>34</v>
      </c>
      <c r="J158" s="367"/>
      <c r="K158" s="367">
        <v>0.02</v>
      </c>
      <c r="L158" s="367"/>
      <c r="M158" s="367"/>
      <c r="N158" s="367"/>
      <c r="O158" s="367"/>
      <c r="P158" s="367"/>
      <c r="Q158" s="367">
        <v>0.61</v>
      </c>
      <c r="R158" s="367"/>
      <c r="S158" s="367"/>
      <c r="T158" s="367"/>
      <c r="U158" s="367"/>
      <c r="V158" s="367"/>
      <c r="W158" s="367"/>
      <c r="X158" s="367"/>
      <c r="Y158" s="367"/>
      <c r="Z158" s="367">
        <v>-0.05</v>
      </c>
      <c r="AA158" s="367"/>
      <c r="AB158" s="367"/>
      <c r="AC158" s="367"/>
      <c r="AD158" s="367"/>
    </row>
    <row r="159" spans="1:30" ht="15" x14ac:dyDescent="0.25">
      <c r="A159" s="365" t="s">
        <v>383</v>
      </c>
      <c r="H159" s="366"/>
      <c r="J159" s="367"/>
      <c r="K159" s="367"/>
      <c r="L159" s="367"/>
      <c r="M159" s="367"/>
      <c r="N159" s="367"/>
      <c r="O159" s="367"/>
      <c r="P159" s="367"/>
      <c r="Q159" s="367">
        <v>5.0999999999999996</v>
      </c>
      <c r="R159" s="367"/>
      <c r="S159" s="367"/>
      <c r="T159" s="367"/>
      <c r="U159" s="367"/>
      <c r="V159" s="367"/>
      <c r="W159" s="367"/>
      <c r="X159" s="367"/>
      <c r="Y159" s="367"/>
      <c r="Z159" s="367"/>
      <c r="AA159" s="367"/>
      <c r="AB159" s="367"/>
      <c r="AC159" s="367"/>
      <c r="AD159" s="367"/>
    </row>
    <row r="160" spans="1:30" ht="15" x14ac:dyDescent="0.25">
      <c r="A160" s="365" t="s">
        <v>384</v>
      </c>
      <c r="H160" s="366">
        <v>15</v>
      </c>
      <c r="J160" s="367"/>
      <c r="K160" s="367">
        <v>-0.02</v>
      </c>
      <c r="L160" s="367"/>
      <c r="M160" s="367"/>
      <c r="N160" s="367"/>
      <c r="O160" s="367"/>
      <c r="P160" s="367"/>
      <c r="Q160" s="367">
        <v>-0.02</v>
      </c>
      <c r="R160" s="367"/>
      <c r="S160" s="367"/>
      <c r="T160" s="367"/>
      <c r="U160" s="367"/>
      <c r="V160" s="367"/>
      <c r="W160" s="367"/>
      <c r="X160" s="367"/>
      <c r="Y160" s="367"/>
      <c r="Z160" s="367">
        <v>-0.1</v>
      </c>
      <c r="AA160" s="367"/>
      <c r="AB160" s="367"/>
      <c r="AC160" s="367"/>
      <c r="AD160" s="367"/>
    </row>
    <row r="161" spans="1:30" ht="15" x14ac:dyDescent="0.25">
      <c r="A161" s="365" t="s">
        <v>385</v>
      </c>
      <c r="H161" s="366">
        <v>60</v>
      </c>
      <c r="J161" s="367"/>
      <c r="K161" s="367">
        <v>2.5</v>
      </c>
      <c r="L161" s="367"/>
      <c r="M161" s="367"/>
      <c r="N161" s="367"/>
      <c r="O161" s="367"/>
      <c r="P161" s="367"/>
      <c r="Q161" s="367">
        <v>13</v>
      </c>
      <c r="R161" s="367"/>
      <c r="S161" s="367"/>
      <c r="T161" s="367"/>
      <c r="U161" s="367"/>
      <c r="V161" s="367"/>
      <c r="W161" s="367"/>
      <c r="X161" s="367">
        <v>0.34</v>
      </c>
      <c r="Y161" s="367"/>
      <c r="Z161" s="367">
        <v>0.45</v>
      </c>
      <c r="AA161" s="367"/>
      <c r="AB161" s="367"/>
      <c r="AC161" s="367"/>
      <c r="AD161" s="367">
        <v>-0.02</v>
      </c>
    </row>
    <row r="162" spans="1:30" ht="15" x14ac:dyDescent="0.25">
      <c r="A162" s="365" t="s">
        <v>386</v>
      </c>
      <c r="H162" s="366">
        <v>38</v>
      </c>
      <c r="J162" s="367"/>
      <c r="K162" s="367">
        <v>-0.1</v>
      </c>
      <c r="L162" s="367"/>
      <c r="M162" s="367"/>
      <c r="N162" s="367"/>
      <c r="O162" s="367"/>
      <c r="P162" s="367"/>
      <c r="Q162" s="367">
        <v>16</v>
      </c>
      <c r="R162" s="367"/>
      <c r="S162" s="367"/>
      <c r="T162" s="367"/>
      <c r="U162" s="367"/>
      <c r="V162" s="367"/>
      <c r="W162" s="367"/>
      <c r="X162" s="367"/>
      <c r="Y162" s="367"/>
      <c r="Z162" s="367"/>
      <c r="AA162" s="367"/>
      <c r="AB162" s="367"/>
      <c r="AC162" s="367"/>
      <c r="AD162" s="367"/>
    </row>
    <row r="163" spans="1:30" ht="15" x14ac:dyDescent="0.25">
      <c r="A163" s="365" t="s">
        <v>387</v>
      </c>
      <c r="H163" s="366">
        <v>43</v>
      </c>
      <c r="J163" s="367"/>
      <c r="K163" s="367">
        <v>1.2</v>
      </c>
      <c r="L163" s="367"/>
      <c r="M163" s="367"/>
      <c r="N163" s="367"/>
      <c r="O163" s="367"/>
      <c r="P163" s="367"/>
      <c r="Q163" s="367">
        <v>39</v>
      </c>
      <c r="R163" s="367"/>
      <c r="S163" s="367"/>
      <c r="T163" s="367"/>
      <c r="U163" s="367"/>
      <c r="V163" s="367"/>
      <c r="W163" s="367"/>
      <c r="X163" s="367"/>
      <c r="Y163" s="367"/>
      <c r="Z163" s="367">
        <v>-0.1</v>
      </c>
      <c r="AA163" s="367"/>
      <c r="AB163" s="367"/>
      <c r="AC163" s="367"/>
      <c r="AD163" s="367">
        <v>0.06</v>
      </c>
    </row>
    <row r="164" spans="1:30" ht="15" x14ac:dyDescent="0.25">
      <c r="A164" s="365" t="s">
        <v>388</v>
      </c>
      <c r="H164" s="366">
        <v>57</v>
      </c>
      <c r="J164" s="367"/>
      <c r="K164" s="367">
        <v>0.18</v>
      </c>
      <c r="L164" s="367"/>
      <c r="M164" s="367"/>
      <c r="N164" s="367"/>
      <c r="O164" s="367"/>
      <c r="P164" s="367"/>
      <c r="Q164" s="367">
        <v>0.3</v>
      </c>
      <c r="R164" s="367"/>
      <c r="S164" s="367"/>
      <c r="T164" s="367"/>
      <c r="U164" s="367"/>
      <c r="V164" s="367"/>
      <c r="W164" s="367"/>
      <c r="X164" s="367"/>
      <c r="Y164" s="367"/>
      <c r="Z164" s="367">
        <v>-0.1</v>
      </c>
      <c r="AA164" s="367"/>
      <c r="AB164" s="367"/>
      <c r="AC164" s="367"/>
      <c r="AD164" s="367">
        <v>-0.02</v>
      </c>
    </row>
    <row r="165" spans="1:30" ht="15" x14ac:dyDescent="0.25">
      <c r="A165" s="365" t="s">
        <v>389</v>
      </c>
      <c r="H165" s="366">
        <v>135</v>
      </c>
      <c r="J165" s="367"/>
      <c r="K165" s="367">
        <v>2.7</v>
      </c>
      <c r="L165" s="367"/>
      <c r="M165" s="367"/>
      <c r="N165" s="367"/>
      <c r="O165" s="367"/>
      <c r="P165" s="367"/>
      <c r="Q165" s="367">
        <v>13</v>
      </c>
      <c r="R165" s="367"/>
      <c r="S165" s="367"/>
      <c r="T165" s="367"/>
      <c r="U165" s="367"/>
      <c r="V165" s="367"/>
      <c r="W165" s="367"/>
      <c r="X165" s="367"/>
      <c r="Y165" s="367"/>
      <c r="Z165" s="367"/>
      <c r="AA165" s="367"/>
      <c r="AB165" s="367"/>
      <c r="AC165" s="367"/>
      <c r="AD165" s="367"/>
    </row>
    <row r="166" spans="1:30" ht="15" x14ac:dyDescent="0.25">
      <c r="A166" s="365" t="s">
        <v>390</v>
      </c>
      <c r="H166" s="366">
        <v>2</v>
      </c>
      <c r="J166" s="367"/>
      <c r="K166" s="367">
        <v>2.8</v>
      </c>
      <c r="L166" s="367"/>
      <c r="M166" s="367"/>
      <c r="N166" s="367"/>
      <c r="O166" s="367"/>
      <c r="P166" s="367"/>
      <c r="Q166" s="367">
        <v>15</v>
      </c>
      <c r="R166" s="367"/>
      <c r="S166" s="367"/>
      <c r="T166" s="367"/>
      <c r="U166" s="367"/>
      <c r="V166" s="367"/>
      <c r="W166" s="367"/>
      <c r="X166" s="367">
        <v>2.2000000000000002</v>
      </c>
      <c r="Y166" s="367"/>
      <c r="Z166" s="367">
        <v>0.6</v>
      </c>
      <c r="AA166" s="367"/>
      <c r="AB166" s="367"/>
      <c r="AC166" s="367"/>
      <c r="AD166" s="367">
        <v>-0.02</v>
      </c>
    </row>
    <row r="167" spans="1:30" ht="15" x14ac:dyDescent="0.25">
      <c r="A167" s="365" t="s">
        <v>391</v>
      </c>
      <c r="H167" s="366">
        <v>93</v>
      </c>
      <c r="J167" s="367"/>
      <c r="K167" s="367">
        <v>1.2</v>
      </c>
      <c r="L167" s="367"/>
      <c r="M167" s="367"/>
      <c r="N167" s="367"/>
      <c r="O167" s="367"/>
      <c r="P167" s="367"/>
      <c r="Q167" s="367">
        <v>13</v>
      </c>
      <c r="R167" s="367"/>
      <c r="S167" s="367"/>
      <c r="T167" s="367"/>
      <c r="U167" s="367"/>
      <c r="V167" s="367"/>
      <c r="W167" s="367"/>
      <c r="X167" s="367"/>
      <c r="Y167" s="367"/>
      <c r="Z167" s="367">
        <v>0.3</v>
      </c>
      <c r="AA167" s="367"/>
      <c r="AB167" s="367"/>
      <c r="AC167" s="367"/>
      <c r="AD167" s="367">
        <v>3.5999999999999997E-2</v>
      </c>
    </row>
    <row r="168" spans="1:30" ht="15" x14ac:dyDescent="0.25">
      <c r="A168" s="365" t="s">
        <v>391</v>
      </c>
      <c r="H168" s="366">
        <v>84</v>
      </c>
      <c r="J168" s="367"/>
      <c r="K168" s="367">
        <v>1.8</v>
      </c>
      <c r="L168" s="367"/>
      <c r="M168" s="367"/>
      <c r="N168" s="367"/>
      <c r="O168" s="367"/>
      <c r="P168" s="367"/>
      <c r="Q168" s="367">
        <v>9.6</v>
      </c>
      <c r="R168" s="367"/>
      <c r="S168" s="367"/>
      <c r="T168" s="367"/>
      <c r="U168" s="367"/>
      <c r="V168" s="367"/>
      <c r="W168" s="367"/>
      <c r="X168" s="367"/>
      <c r="Y168" s="367"/>
      <c r="Z168" s="367">
        <v>0.3</v>
      </c>
      <c r="AA168" s="367"/>
      <c r="AB168" s="367"/>
      <c r="AC168" s="367"/>
      <c r="AD168" s="367">
        <v>0.1</v>
      </c>
    </row>
    <row r="169" spans="1:30" ht="15" x14ac:dyDescent="0.25">
      <c r="A169" s="365" t="s">
        <v>392</v>
      </c>
      <c r="H169" s="366">
        <v>31</v>
      </c>
      <c r="J169" s="367"/>
      <c r="K169" s="367">
        <v>0.44</v>
      </c>
      <c r="L169" s="367"/>
      <c r="M169" s="367"/>
      <c r="N169" s="367"/>
      <c r="O169" s="367"/>
      <c r="P169" s="367"/>
      <c r="Q169" s="367">
        <v>15</v>
      </c>
      <c r="R169" s="367"/>
      <c r="S169" s="367"/>
      <c r="T169" s="367"/>
      <c r="U169" s="367"/>
      <c r="V169" s="367"/>
      <c r="W169" s="367"/>
      <c r="X169" s="367">
        <v>-0.01</v>
      </c>
      <c r="Y169" s="367"/>
      <c r="Z169" s="367">
        <v>-0.1</v>
      </c>
      <c r="AA169" s="367"/>
      <c r="AB169" s="367"/>
      <c r="AC169" s="367"/>
      <c r="AD169" s="367">
        <v>0.66</v>
      </c>
    </row>
    <row r="170" spans="1:30" ht="15" x14ac:dyDescent="0.25">
      <c r="A170" s="365" t="s">
        <v>393</v>
      </c>
      <c r="H170" s="366">
        <v>32</v>
      </c>
      <c r="J170" s="367"/>
      <c r="K170" s="367">
        <v>0.42</v>
      </c>
      <c r="L170" s="367"/>
      <c r="M170" s="367"/>
      <c r="N170" s="367"/>
      <c r="O170" s="367"/>
      <c r="P170" s="367"/>
      <c r="Q170" s="367">
        <v>14</v>
      </c>
      <c r="R170" s="367"/>
      <c r="S170" s="367"/>
      <c r="T170" s="367"/>
      <c r="U170" s="367"/>
      <c r="V170" s="367"/>
      <c r="W170" s="367"/>
      <c r="X170" s="367"/>
      <c r="Y170" s="367"/>
      <c r="Z170" s="367">
        <v>-0.1</v>
      </c>
      <c r="AA170" s="367"/>
      <c r="AB170" s="367"/>
      <c r="AC170" s="367"/>
      <c r="AD170" s="367">
        <v>0.62</v>
      </c>
    </row>
    <row r="171" spans="1:30" ht="15" x14ac:dyDescent="0.25">
      <c r="A171" s="365" t="s">
        <v>394</v>
      </c>
      <c r="H171" s="366">
        <v>26</v>
      </c>
      <c r="J171" s="367"/>
      <c r="K171" s="367">
        <v>-0.01</v>
      </c>
      <c r="L171" s="367"/>
      <c r="M171" s="367"/>
      <c r="N171" s="367"/>
      <c r="O171" s="367"/>
      <c r="P171" s="367"/>
      <c r="Q171" s="367">
        <v>-0.1</v>
      </c>
      <c r="R171" s="367"/>
      <c r="S171" s="367"/>
      <c r="T171" s="367"/>
      <c r="U171" s="367"/>
      <c r="V171" s="367"/>
      <c r="W171" s="367"/>
      <c r="X171" s="367"/>
      <c r="Y171" s="367"/>
      <c r="Z171" s="367">
        <v>-0.05</v>
      </c>
      <c r="AA171" s="367"/>
      <c r="AB171" s="367"/>
      <c r="AC171" s="367"/>
      <c r="AD171" s="367"/>
    </row>
    <row r="172" spans="1:30" ht="15" x14ac:dyDescent="0.25">
      <c r="A172" s="365" t="s">
        <v>393</v>
      </c>
      <c r="H172" s="366"/>
      <c r="J172" s="367"/>
      <c r="K172" s="367">
        <v>0.3</v>
      </c>
      <c r="L172" s="367"/>
      <c r="M172" s="367"/>
      <c r="N172" s="367"/>
      <c r="O172" s="367"/>
      <c r="P172" s="367"/>
      <c r="Q172" s="367">
        <v>13</v>
      </c>
      <c r="R172" s="367"/>
      <c r="S172" s="367"/>
      <c r="T172" s="367"/>
      <c r="U172" s="367"/>
      <c r="V172" s="367"/>
      <c r="W172" s="367"/>
      <c r="X172" s="367">
        <v>0.01</v>
      </c>
      <c r="Y172" s="367"/>
      <c r="Z172" s="367"/>
      <c r="AA172" s="367"/>
      <c r="AB172" s="367"/>
      <c r="AC172" s="367"/>
      <c r="AD172" s="367"/>
    </row>
    <row r="173" spans="1:30" ht="15" x14ac:dyDescent="0.25">
      <c r="A173" s="365" t="s">
        <v>395</v>
      </c>
      <c r="H173" s="366">
        <v>43</v>
      </c>
      <c r="J173" s="367"/>
      <c r="K173" s="367">
        <v>0.65</v>
      </c>
      <c r="L173" s="367"/>
      <c r="M173" s="367"/>
      <c r="N173" s="367"/>
      <c r="O173" s="367"/>
      <c r="P173" s="367"/>
      <c r="Q173" s="367">
        <v>2</v>
      </c>
      <c r="R173" s="367"/>
      <c r="S173" s="367"/>
      <c r="T173" s="367"/>
      <c r="U173" s="367"/>
      <c r="V173" s="367"/>
      <c r="W173" s="367"/>
      <c r="X173" s="367"/>
      <c r="Y173" s="367"/>
      <c r="Z173" s="367">
        <v>-0.1</v>
      </c>
      <c r="AA173" s="367"/>
      <c r="AB173" s="367"/>
      <c r="AC173" s="367"/>
      <c r="AD173" s="367">
        <v>-0.02</v>
      </c>
    </row>
    <row r="174" spans="1:30" ht="15" x14ac:dyDescent="0.25">
      <c r="A174" s="365" t="s">
        <v>396</v>
      </c>
      <c r="H174" s="366">
        <v>60</v>
      </c>
      <c r="J174" s="367"/>
      <c r="K174" s="367">
        <v>0.84</v>
      </c>
      <c r="L174" s="367"/>
      <c r="M174" s="367"/>
      <c r="N174" s="367"/>
      <c r="O174" s="367"/>
      <c r="P174" s="367"/>
      <c r="Q174" s="367">
        <v>1.1000000000000001</v>
      </c>
      <c r="R174" s="367"/>
      <c r="S174" s="367"/>
      <c r="T174" s="367"/>
      <c r="U174" s="367"/>
      <c r="V174" s="367"/>
      <c r="W174" s="367"/>
      <c r="X174" s="367"/>
      <c r="Y174" s="367"/>
      <c r="Z174" s="367">
        <v>0.1</v>
      </c>
      <c r="AA174" s="367"/>
      <c r="AB174" s="367"/>
      <c r="AC174" s="367"/>
      <c r="AD174" s="367">
        <v>0.03</v>
      </c>
    </row>
    <row r="175" spans="1:30" ht="15" x14ac:dyDescent="0.25">
      <c r="A175" s="365" t="s">
        <v>397</v>
      </c>
      <c r="H175" s="366">
        <v>51</v>
      </c>
      <c r="J175" s="367"/>
      <c r="K175" s="367">
        <v>0.05</v>
      </c>
      <c r="L175" s="367"/>
      <c r="M175" s="367"/>
      <c r="N175" s="367"/>
      <c r="O175" s="367"/>
      <c r="P175" s="367"/>
      <c r="Q175" s="367">
        <v>0.46</v>
      </c>
      <c r="R175" s="367"/>
      <c r="S175" s="367"/>
      <c r="T175" s="367"/>
      <c r="U175" s="367"/>
      <c r="V175" s="367"/>
      <c r="W175" s="367"/>
      <c r="X175" s="367"/>
      <c r="Y175" s="367"/>
      <c r="Z175" s="367">
        <v>-0.1</v>
      </c>
      <c r="AA175" s="367"/>
      <c r="AB175" s="367"/>
      <c r="AC175" s="367"/>
      <c r="AD175" s="367">
        <v>-0.02</v>
      </c>
    </row>
    <row r="176" spans="1:30" ht="15" x14ac:dyDescent="0.25">
      <c r="A176" s="365" t="s">
        <v>398</v>
      </c>
      <c r="H176" s="366">
        <v>92</v>
      </c>
      <c r="J176" s="367"/>
      <c r="K176" s="367"/>
      <c r="L176" s="367"/>
      <c r="M176" s="367"/>
      <c r="N176" s="367"/>
      <c r="O176" s="367"/>
      <c r="P176" s="367"/>
      <c r="Q176" s="367">
        <v>10</v>
      </c>
      <c r="R176" s="367"/>
      <c r="S176" s="367"/>
      <c r="T176" s="367"/>
      <c r="U176" s="367"/>
      <c r="V176" s="367"/>
      <c r="W176" s="367"/>
      <c r="X176" s="367"/>
      <c r="Y176" s="367"/>
      <c r="Z176" s="367"/>
      <c r="AA176" s="367"/>
      <c r="AB176" s="367"/>
      <c r="AC176" s="367"/>
      <c r="AD176" s="367"/>
    </row>
    <row r="177" spans="1:30" ht="15" x14ac:dyDescent="0.25">
      <c r="A177" s="365" t="s">
        <v>399</v>
      </c>
      <c r="H177" s="366">
        <v>92</v>
      </c>
      <c r="J177" s="367"/>
      <c r="K177" s="367"/>
      <c r="L177" s="367"/>
      <c r="M177" s="367"/>
      <c r="N177" s="367"/>
      <c r="O177" s="367"/>
      <c r="P177" s="367"/>
      <c r="Q177" s="367">
        <v>9.6</v>
      </c>
      <c r="R177" s="367"/>
      <c r="S177" s="367"/>
      <c r="T177" s="367"/>
      <c r="U177" s="367"/>
      <c r="V177" s="367"/>
      <c r="W177" s="367"/>
      <c r="X177" s="367"/>
      <c r="Y177" s="367"/>
      <c r="Z177" s="367"/>
      <c r="AA177" s="367"/>
      <c r="AB177" s="367"/>
      <c r="AC177" s="367"/>
      <c r="AD177" s="367"/>
    </row>
    <row r="178" spans="1:30" ht="15" x14ac:dyDescent="0.25">
      <c r="A178" s="365" t="s">
        <v>400</v>
      </c>
      <c r="H178" s="366">
        <v>27</v>
      </c>
      <c r="J178" s="367"/>
      <c r="K178" s="367">
        <v>0.32</v>
      </c>
      <c r="L178" s="367"/>
      <c r="M178" s="367"/>
      <c r="N178" s="367"/>
      <c r="O178" s="367"/>
      <c r="P178" s="367"/>
      <c r="Q178" s="367">
        <v>7</v>
      </c>
      <c r="R178" s="367"/>
      <c r="S178" s="367"/>
      <c r="T178" s="367"/>
      <c r="U178" s="367"/>
      <c r="V178" s="367"/>
      <c r="W178" s="367"/>
      <c r="X178" s="367"/>
      <c r="Y178" s="367"/>
      <c r="Z178" s="367"/>
      <c r="AA178" s="367"/>
      <c r="AB178" s="367">
        <v>-0.3</v>
      </c>
      <c r="AC178" s="367"/>
      <c r="AD178" s="367">
        <v>0.01</v>
      </c>
    </row>
    <row r="179" spans="1:30" ht="15" x14ac:dyDescent="0.25">
      <c r="A179" s="365" t="s">
        <v>397</v>
      </c>
      <c r="H179" s="366">
        <v>50</v>
      </c>
      <c r="J179" s="367"/>
      <c r="K179" s="367">
        <v>0.06</v>
      </c>
      <c r="L179" s="367"/>
      <c r="M179" s="367"/>
      <c r="N179" s="367"/>
      <c r="O179" s="367"/>
      <c r="P179" s="367"/>
      <c r="Q179" s="367">
        <v>0.49</v>
      </c>
      <c r="R179" s="367"/>
      <c r="S179" s="367"/>
      <c r="T179" s="367"/>
      <c r="U179" s="367"/>
      <c r="V179" s="367"/>
      <c r="W179" s="367"/>
      <c r="X179" s="367">
        <v>0.05</v>
      </c>
      <c r="Y179" s="367"/>
      <c r="Z179" s="367"/>
      <c r="AA179" s="367"/>
      <c r="AB179" s="367"/>
      <c r="AC179" s="367"/>
      <c r="AD179" s="367"/>
    </row>
    <row r="180" spans="1:30" ht="15" x14ac:dyDescent="0.25">
      <c r="A180" s="365" t="s">
        <v>401</v>
      </c>
      <c r="H180" s="366">
        <v>37</v>
      </c>
      <c r="J180" s="367"/>
      <c r="K180" s="367">
        <v>0.06</v>
      </c>
      <c r="L180" s="367"/>
      <c r="M180" s="367"/>
      <c r="N180" s="367"/>
      <c r="O180" s="367"/>
      <c r="P180" s="367"/>
      <c r="Q180" s="367">
        <v>1.6</v>
      </c>
      <c r="R180" s="367"/>
      <c r="S180" s="367"/>
      <c r="T180" s="367"/>
      <c r="U180" s="367"/>
      <c r="V180" s="367"/>
      <c r="W180" s="367"/>
      <c r="X180" s="367"/>
      <c r="Y180" s="367"/>
      <c r="Z180" s="367">
        <v>-0.05</v>
      </c>
      <c r="AA180" s="367"/>
      <c r="AB180" s="367"/>
      <c r="AC180" s="367"/>
      <c r="AD180" s="367">
        <v>-0.01</v>
      </c>
    </row>
    <row r="181" spans="1:30" ht="15" x14ac:dyDescent="0.25">
      <c r="A181" s="365" t="s">
        <v>402</v>
      </c>
      <c r="H181" s="366">
        <v>31</v>
      </c>
      <c r="J181" s="367"/>
      <c r="K181" s="367">
        <v>0.03</v>
      </c>
      <c r="L181" s="367"/>
      <c r="M181" s="367"/>
      <c r="N181" s="367"/>
      <c r="O181" s="367"/>
      <c r="P181" s="367"/>
      <c r="Q181" s="367">
        <v>7.6</v>
      </c>
      <c r="R181" s="367"/>
      <c r="S181" s="367"/>
      <c r="T181" s="367"/>
      <c r="U181" s="367"/>
      <c r="V181" s="367"/>
      <c r="W181" s="367"/>
      <c r="X181" s="367"/>
      <c r="Y181" s="367"/>
      <c r="Z181" s="367"/>
      <c r="AA181" s="367"/>
      <c r="AB181" s="367">
        <v>-0.3</v>
      </c>
      <c r="AC181" s="367"/>
      <c r="AD181" s="367">
        <v>-0.01</v>
      </c>
    </row>
    <row r="182" spans="1:30" ht="15" x14ac:dyDescent="0.25">
      <c r="A182" s="365" t="s">
        <v>403</v>
      </c>
      <c r="H182" s="366">
        <v>42</v>
      </c>
      <c r="J182" s="367"/>
      <c r="K182" s="367">
        <v>-0.01</v>
      </c>
      <c r="L182" s="367"/>
      <c r="M182" s="367"/>
      <c r="N182" s="367"/>
      <c r="O182" s="367"/>
      <c r="P182" s="367"/>
      <c r="Q182" s="367">
        <v>0.8</v>
      </c>
      <c r="R182" s="367"/>
      <c r="S182" s="367"/>
      <c r="T182" s="367"/>
      <c r="U182" s="367"/>
      <c r="V182" s="367"/>
      <c r="W182" s="367"/>
      <c r="X182" s="367"/>
      <c r="Y182" s="367"/>
      <c r="Z182" s="367">
        <v>-0.1</v>
      </c>
      <c r="AA182" s="367"/>
      <c r="AB182" s="367"/>
      <c r="AC182" s="367"/>
      <c r="AD182" s="367">
        <v>-5.0000000000000001E-3</v>
      </c>
    </row>
    <row r="183" spans="1:30" ht="15" x14ac:dyDescent="0.25">
      <c r="A183" s="365" t="s">
        <v>404</v>
      </c>
      <c r="H183" s="366">
        <v>93</v>
      </c>
      <c r="J183" s="367"/>
      <c r="K183" s="367">
        <v>2.8</v>
      </c>
      <c r="L183" s="367"/>
      <c r="M183" s="367"/>
      <c r="N183" s="367"/>
      <c r="O183" s="367"/>
      <c r="P183" s="367"/>
      <c r="Q183" s="367"/>
      <c r="R183" s="367"/>
      <c r="S183" s="367"/>
      <c r="T183" s="367"/>
      <c r="U183" s="367"/>
      <c r="V183" s="367"/>
      <c r="W183" s="367"/>
      <c r="X183" s="367"/>
      <c r="Y183" s="367"/>
      <c r="Z183" s="367">
        <v>0.4</v>
      </c>
      <c r="AA183" s="367"/>
      <c r="AB183" s="367"/>
      <c r="AC183" s="367"/>
      <c r="AD183" s="367">
        <v>-0.01</v>
      </c>
    </row>
    <row r="184" spans="1:30" ht="15" x14ac:dyDescent="0.25">
      <c r="A184" s="365" t="s">
        <v>405</v>
      </c>
      <c r="H184" s="366"/>
      <c r="J184" s="367"/>
      <c r="K184" s="367">
        <v>1.6</v>
      </c>
      <c r="L184" s="367"/>
      <c r="M184" s="367"/>
      <c r="N184" s="367"/>
      <c r="O184" s="367"/>
      <c r="P184" s="367"/>
      <c r="Q184" s="367">
        <v>400</v>
      </c>
      <c r="R184" s="367"/>
      <c r="S184" s="367"/>
      <c r="T184" s="367"/>
      <c r="U184" s="367"/>
      <c r="V184" s="367"/>
      <c r="W184" s="367"/>
      <c r="X184" s="367">
        <v>0.02</v>
      </c>
      <c r="Y184" s="367"/>
      <c r="Z184" s="367"/>
      <c r="AA184" s="367"/>
      <c r="AB184" s="367"/>
      <c r="AC184" s="367"/>
      <c r="AD184" s="367">
        <v>0.02</v>
      </c>
    </row>
    <row r="185" spans="1:30" ht="15" x14ac:dyDescent="0.25">
      <c r="A185" s="365" t="s">
        <v>406</v>
      </c>
      <c r="H185" s="366">
        <v>39</v>
      </c>
      <c r="J185" s="367"/>
      <c r="K185" s="367">
        <v>4.8</v>
      </c>
      <c r="L185" s="367"/>
      <c r="M185" s="367"/>
      <c r="N185" s="367"/>
      <c r="O185" s="367"/>
      <c r="P185" s="367"/>
      <c r="Q185" s="367">
        <v>300</v>
      </c>
      <c r="R185" s="367"/>
      <c r="S185" s="367"/>
      <c r="T185" s="367"/>
      <c r="U185" s="367"/>
      <c r="V185" s="367"/>
      <c r="W185" s="367"/>
      <c r="X185" s="367"/>
      <c r="Y185" s="367"/>
      <c r="Z185" s="367"/>
      <c r="AA185" s="367"/>
      <c r="AB185" s="367"/>
      <c r="AC185" s="367"/>
      <c r="AD185" s="367">
        <v>0.05</v>
      </c>
    </row>
    <row r="186" spans="1:30" ht="15" x14ac:dyDescent="0.25">
      <c r="A186" s="365" t="s">
        <v>407</v>
      </c>
      <c r="H186" s="366">
        <v>38</v>
      </c>
      <c r="J186" s="367"/>
      <c r="K186" s="367">
        <v>4.5999999999999996</v>
      </c>
      <c r="L186" s="367"/>
      <c r="M186" s="367"/>
      <c r="N186" s="367"/>
      <c r="O186" s="367"/>
      <c r="P186" s="367"/>
      <c r="Q186" s="367">
        <v>290</v>
      </c>
      <c r="R186" s="367"/>
      <c r="S186" s="367"/>
      <c r="T186" s="367"/>
      <c r="U186" s="367"/>
      <c r="V186" s="367"/>
      <c r="W186" s="367"/>
      <c r="X186" s="367"/>
      <c r="Y186" s="367"/>
      <c r="Z186" s="367"/>
      <c r="AA186" s="367"/>
      <c r="AB186" s="367"/>
      <c r="AC186" s="367"/>
      <c r="AD186" s="367">
        <v>0.06</v>
      </c>
    </row>
    <row r="187" spans="1:30" ht="15" x14ac:dyDescent="0.25">
      <c r="A187" s="365" t="s">
        <v>408</v>
      </c>
      <c r="H187" s="366"/>
      <c r="J187" s="367"/>
      <c r="K187" s="367"/>
      <c r="L187" s="367"/>
      <c r="M187" s="367"/>
      <c r="N187" s="367"/>
      <c r="O187" s="367"/>
      <c r="P187" s="367"/>
      <c r="Q187" s="367">
        <v>0.65</v>
      </c>
      <c r="R187" s="367"/>
      <c r="S187" s="367"/>
      <c r="T187" s="367"/>
      <c r="U187" s="367"/>
      <c r="V187" s="367"/>
      <c r="W187" s="367"/>
      <c r="X187" s="367"/>
      <c r="Y187" s="367"/>
      <c r="Z187" s="367"/>
      <c r="AA187" s="367"/>
      <c r="AB187" s="367"/>
      <c r="AC187" s="367"/>
      <c r="AD187" s="367"/>
    </row>
    <row r="188" spans="1:30" ht="15" x14ac:dyDescent="0.25">
      <c r="A188" s="365" t="s">
        <v>409</v>
      </c>
      <c r="H188" s="366">
        <v>23</v>
      </c>
      <c r="J188" s="367"/>
      <c r="K188" s="367">
        <v>0.15</v>
      </c>
      <c r="L188" s="367"/>
      <c r="M188" s="367"/>
      <c r="N188" s="367"/>
      <c r="O188" s="367"/>
      <c r="P188" s="367"/>
      <c r="Q188" s="367">
        <v>1.3</v>
      </c>
      <c r="R188" s="367"/>
      <c r="S188" s="367"/>
      <c r="T188" s="367"/>
      <c r="U188" s="367"/>
      <c r="V188" s="367"/>
      <c r="W188" s="367"/>
      <c r="X188" s="367">
        <v>1E-3</v>
      </c>
      <c r="Y188" s="367"/>
      <c r="Z188" s="367"/>
      <c r="AA188" s="367"/>
      <c r="AB188" s="367"/>
      <c r="AC188" s="367"/>
      <c r="AD188" s="367">
        <v>0.32</v>
      </c>
    </row>
    <row r="189" spans="1:30" ht="15" x14ac:dyDescent="0.25">
      <c r="A189" s="365" t="s">
        <v>410</v>
      </c>
      <c r="H189" s="366"/>
      <c r="J189" s="367"/>
      <c r="K189" s="367">
        <v>-3.0000000000000001E-3</v>
      </c>
      <c r="L189" s="367"/>
      <c r="M189" s="367"/>
      <c r="N189" s="367"/>
      <c r="O189" s="367"/>
      <c r="P189" s="367"/>
      <c r="Q189" s="367"/>
      <c r="R189" s="367"/>
      <c r="S189" s="367"/>
      <c r="T189" s="367"/>
      <c r="U189" s="367"/>
      <c r="V189" s="367"/>
      <c r="W189" s="367"/>
      <c r="X189" s="367">
        <v>8.9999999999999993E-3</v>
      </c>
      <c r="Y189" s="367"/>
      <c r="Z189" s="367">
        <v>-0.5</v>
      </c>
      <c r="AA189" s="367"/>
      <c r="AB189" s="367"/>
      <c r="AC189" s="367"/>
      <c r="AD189" s="367">
        <v>3.0000000000000001E-3</v>
      </c>
    </row>
    <row r="190" spans="1:30" ht="15" x14ac:dyDescent="0.25">
      <c r="A190" s="365" t="s">
        <v>411</v>
      </c>
      <c r="H190" s="366">
        <v>30</v>
      </c>
      <c r="J190" s="367"/>
      <c r="K190" s="367">
        <v>5.6</v>
      </c>
      <c r="L190" s="367"/>
      <c r="M190" s="367"/>
      <c r="N190" s="367"/>
      <c r="O190" s="367"/>
      <c r="P190" s="367"/>
      <c r="Q190" s="367"/>
      <c r="R190" s="367"/>
      <c r="S190" s="367"/>
      <c r="T190" s="367"/>
      <c r="U190" s="367"/>
      <c r="V190" s="367"/>
      <c r="W190" s="367"/>
      <c r="X190" s="367"/>
      <c r="Y190" s="367"/>
      <c r="Z190" s="367"/>
      <c r="AA190" s="367"/>
      <c r="AB190" s="367"/>
      <c r="AC190" s="367"/>
      <c r="AD190" s="367"/>
    </row>
    <row r="191" spans="1:30" ht="15" x14ac:dyDescent="0.25">
      <c r="A191" s="365" t="s">
        <v>412</v>
      </c>
      <c r="H191" s="366">
        <v>42</v>
      </c>
      <c r="J191" s="367"/>
      <c r="K191" s="367">
        <v>16</v>
      </c>
      <c r="L191" s="367"/>
      <c r="M191" s="367"/>
      <c r="N191" s="367"/>
      <c r="O191" s="367"/>
      <c r="P191" s="367"/>
      <c r="Q191" s="367">
        <v>61</v>
      </c>
      <c r="R191" s="367"/>
      <c r="S191" s="367"/>
      <c r="T191" s="367"/>
      <c r="U191" s="367"/>
      <c r="V191" s="367"/>
      <c r="W191" s="367"/>
      <c r="X191" s="367"/>
      <c r="Y191" s="367"/>
      <c r="Z191" s="367"/>
      <c r="AA191" s="367"/>
      <c r="AB191" s="367"/>
      <c r="AC191" s="367"/>
      <c r="AD191" s="367">
        <v>1.5</v>
      </c>
    </row>
    <row r="192" spans="1:30" ht="15" x14ac:dyDescent="0.25">
      <c r="A192" s="365" t="s">
        <v>413</v>
      </c>
      <c r="H192" s="366">
        <v>35</v>
      </c>
      <c r="J192" s="367"/>
      <c r="K192" s="367">
        <v>0.1</v>
      </c>
      <c r="L192" s="367"/>
      <c r="M192" s="367"/>
      <c r="N192" s="367"/>
      <c r="O192" s="367"/>
      <c r="P192" s="367"/>
      <c r="Q192" s="367">
        <v>45</v>
      </c>
      <c r="R192" s="367"/>
      <c r="S192" s="367"/>
      <c r="T192" s="367"/>
      <c r="U192" s="367"/>
      <c r="V192" s="367"/>
      <c r="W192" s="367"/>
      <c r="X192" s="367"/>
      <c r="Y192" s="367"/>
      <c r="Z192" s="367">
        <v>-0.05</v>
      </c>
      <c r="AA192" s="367"/>
      <c r="AB192" s="367"/>
      <c r="AC192" s="367"/>
      <c r="AD192" s="367">
        <v>-0.01</v>
      </c>
    </row>
    <row r="193" spans="1:30" ht="15" x14ac:dyDescent="0.25">
      <c r="A193" s="365" t="s">
        <v>414</v>
      </c>
      <c r="H193" s="366">
        <v>50</v>
      </c>
      <c r="J193" s="367"/>
      <c r="K193" s="367">
        <v>0.2</v>
      </c>
      <c r="L193" s="367"/>
      <c r="M193" s="367"/>
      <c r="N193" s="367"/>
      <c r="O193" s="367"/>
      <c r="P193" s="367"/>
      <c r="Q193" s="367">
        <v>1.6</v>
      </c>
      <c r="R193" s="367"/>
      <c r="S193" s="367"/>
      <c r="T193" s="367"/>
      <c r="U193" s="367"/>
      <c r="V193" s="367"/>
      <c r="W193" s="367"/>
      <c r="X193" s="367"/>
      <c r="Y193" s="367"/>
      <c r="Z193" s="367">
        <v>-0.1</v>
      </c>
      <c r="AA193" s="367"/>
      <c r="AB193" s="367"/>
      <c r="AC193" s="367"/>
      <c r="AD193" s="367">
        <v>-5.0000000000000001E-3</v>
      </c>
    </row>
    <row r="194" spans="1:30" ht="15" x14ac:dyDescent="0.25">
      <c r="A194" s="365" t="s">
        <v>415</v>
      </c>
      <c r="H194" s="366">
        <v>24</v>
      </c>
      <c r="J194" s="367"/>
      <c r="K194" s="367">
        <v>0.01</v>
      </c>
      <c r="L194" s="367"/>
      <c r="M194" s="367"/>
      <c r="N194" s="367"/>
      <c r="O194" s="367"/>
      <c r="P194" s="367"/>
      <c r="Q194" s="367"/>
      <c r="R194" s="367"/>
      <c r="S194" s="367"/>
      <c r="T194" s="367"/>
      <c r="U194" s="367"/>
      <c r="V194" s="367"/>
      <c r="W194" s="367"/>
      <c r="X194" s="367"/>
      <c r="Y194" s="367"/>
      <c r="Z194" s="367"/>
      <c r="AA194" s="367"/>
      <c r="AB194" s="367"/>
      <c r="AC194" s="367"/>
      <c r="AD194" s="367"/>
    </row>
    <row r="195" spans="1:30" ht="15" x14ac:dyDescent="0.25">
      <c r="A195" s="365" t="s">
        <v>416</v>
      </c>
      <c r="H195" s="366">
        <v>23</v>
      </c>
      <c r="J195" s="367"/>
      <c r="K195" s="367"/>
      <c r="L195" s="367"/>
      <c r="M195" s="367"/>
      <c r="N195" s="367"/>
      <c r="O195" s="367"/>
      <c r="P195" s="367"/>
      <c r="Q195" s="367">
        <v>10</v>
      </c>
      <c r="R195" s="367"/>
      <c r="S195" s="367"/>
      <c r="T195" s="367"/>
      <c r="U195" s="367"/>
      <c r="V195" s="367"/>
      <c r="W195" s="367"/>
      <c r="X195" s="367"/>
      <c r="Y195" s="367"/>
      <c r="Z195" s="367"/>
      <c r="AA195" s="367"/>
      <c r="AB195" s="367">
        <v>2.1</v>
      </c>
      <c r="AC195" s="367"/>
      <c r="AD195" s="367">
        <v>0.02</v>
      </c>
    </row>
    <row r="196" spans="1:30" ht="15" x14ac:dyDescent="0.25">
      <c r="A196" s="365" t="s">
        <v>417</v>
      </c>
      <c r="H196" s="366"/>
      <c r="J196" s="367"/>
      <c r="K196" s="367">
        <v>-3.0000000000000001E-3</v>
      </c>
      <c r="L196" s="367"/>
      <c r="M196" s="367"/>
      <c r="N196" s="367"/>
      <c r="O196" s="367"/>
      <c r="P196" s="367"/>
      <c r="Q196" s="367"/>
      <c r="R196" s="367"/>
      <c r="S196" s="367"/>
      <c r="T196" s="367"/>
      <c r="U196" s="367"/>
      <c r="V196" s="367"/>
      <c r="W196" s="367"/>
      <c r="X196" s="367"/>
      <c r="Y196" s="367"/>
      <c r="Z196" s="367">
        <v>-0.5</v>
      </c>
      <c r="AA196" s="367"/>
      <c r="AB196" s="367"/>
      <c r="AC196" s="367"/>
      <c r="AD196" s="367">
        <v>2E-3</v>
      </c>
    </row>
    <row r="197" spans="1:30" ht="15" x14ac:dyDescent="0.25">
      <c r="A197" s="365" t="s">
        <v>418</v>
      </c>
      <c r="H197" s="366">
        <v>61</v>
      </c>
      <c r="J197" s="367"/>
      <c r="K197" s="367">
        <v>1.3</v>
      </c>
      <c r="L197" s="367"/>
      <c r="M197" s="367"/>
      <c r="N197" s="367"/>
      <c r="O197" s="367"/>
      <c r="P197" s="367"/>
      <c r="Q197" s="367">
        <v>8.1999999999999993</v>
      </c>
      <c r="R197" s="367"/>
      <c r="S197" s="367"/>
      <c r="T197" s="367"/>
      <c r="U197" s="367"/>
      <c r="V197" s="367"/>
      <c r="W197" s="367"/>
      <c r="X197" s="367">
        <v>0.98</v>
      </c>
      <c r="Y197" s="367"/>
      <c r="Z197" s="367">
        <v>0.2</v>
      </c>
      <c r="AA197" s="367"/>
      <c r="AB197" s="367"/>
      <c r="AC197" s="367"/>
      <c r="AD197" s="367">
        <v>0.18</v>
      </c>
    </row>
    <row r="198" spans="1:30" ht="15" x14ac:dyDescent="0.25">
      <c r="A198" s="365" t="s">
        <v>419</v>
      </c>
      <c r="H198" s="366">
        <v>52</v>
      </c>
      <c r="J198" s="367"/>
      <c r="K198" s="367">
        <v>0.53</v>
      </c>
      <c r="L198" s="367"/>
      <c r="M198" s="367"/>
      <c r="N198" s="367"/>
      <c r="O198" s="367"/>
      <c r="P198" s="367"/>
      <c r="Q198" s="367"/>
      <c r="R198" s="367"/>
      <c r="S198" s="367"/>
      <c r="T198" s="367"/>
      <c r="U198" s="367"/>
      <c r="V198" s="367"/>
      <c r="W198" s="367"/>
      <c r="X198" s="367">
        <v>6.0000000000000001E-3</v>
      </c>
      <c r="Y198" s="367"/>
      <c r="Z198" s="367">
        <v>-0.5</v>
      </c>
      <c r="AA198" s="367"/>
      <c r="AB198" s="367">
        <v>3.6</v>
      </c>
      <c r="AC198" s="367"/>
      <c r="AD198" s="367">
        <v>6.0000000000000001E-3</v>
      </c>
    </row>
    <row r="199" spans="1:30" ht="15" x14ac:dyDescent="0.25">
      <c r="A199" s="365" t="s">
        <v>420</v>
      </c>
      <c r="H199" s="366"/>
      <c r="J199" s="367"/>
      <c r="K199" s="367"/>
      <c r="L199" s="367"/>
      <c r="M199" s="367"/>
      <c r="N199" s="367"/>
      <c r="O199" s="367"/>
      <c r="P199" s="367"/>
      <c r="Q199" s="367">
        <v>90</v>
      </c>
      <c r="R199" s="367"/>
      <c r="S199" s="367"/>
      <c r="T199" s="367"/>
      <c r="U199" s="367"/>
      <c r="V199" s="367"/>
      <c r="W199" s="367"/>
      <c r="X199" s="367"/>
      <c r="Y199" s="367"/>
      <c r="Z199" s="367"/>
      <c r="AA199" s="367"/>
      <c r="AB199" s="367"/>
      <c r="AC199" s="367"/>
      <c r="AD199" s="367"/>
    </row>
    <row r="200" spans="1:30" ht="15" x14ac:dyDescent="0.25">
      <c r="A200" s="365" t="s">
        <v>421</v>
      </c>
      <c r="H200" s="366"/>
      <c r="J200" s="367"/>
      <c r="K200" s="367"/>
      <c r="L200" s="367"/>
      <c r="M200" s="367"/>
      <c r="N200" s="367"/>
      <c r="O200" s="367"/>
      <c r="P200" s="367"/>
      <c r="Q200" s="367"/>
      <c r="R200" s="367"/>
      <c r="S200" s="367"/>
      <c r="T200" s="367"/>
      <c r="U200" s="367"/>
      <c r="V200" s="367"/>
      <c r="W200" s="367"/>
      <c r="X200" s="367">
        <v>0.92</v>
      </c>
      <c r="Y200" s="367"/>
      <c r="Z200" s="367"/>
      <c r="AA200" s="367"/>
      <c r="AB200" s="367"/>
      <c r="AC200" s="367"/>
      <c r="AD200" s="367"/>
    </row>
    <row r="201" spans="1:30" ht="15" x14ac:dyDescent="0.25">
      <c r="A201" s="365" t="s">
        <v>422</v>
      </c>
      <c r="H201" s="366">
        <v>25</v>
      </c>
      <c r="J201" s="367"/>
      <c r="K201" s="367">
        <v>0.26</v>
      </c>
      <c r="L201" s="367"/>
      <c r="M201" s="367"/>
      <c r="N201" s="367"/>
      <c r="O201" s="367"/>
      <c r="P201" s="367"/>
      <c r="Q201" s="367">
        <v>7.1</v>
      </c>
      <c r="R201" s="367"/>
      <c r="S201" s="367"/>
      <c r="T201" s="367"/>
      <c r="U201" s="367"/>
      <c r="V201" s="367"/>
      <c r="W201" s="367"/>
      <c r="X201" s="367">
        <v>5</v>
      </c>
      <c r="Y201" s="367"/>
      <c r="Z201" s="367"/>
      <c r="AA201" s="367"/>
      <c r="AB201" s="367">
        <v>0.5</v>
      </c>
      <c r="AC201" s="367"/>
      <c r="AD201" s="367">
        <v>-0.01</v>
      </c>
    </row>
    <row r="202" spans="1:30" ht="15" x14ac:dyDescent="0.25">
      <c r="A202" s="365" t="s">
        <v>423</v>
      </c>
      <c r="H202" s="366">
        <v>29</v>
      </c>
      <c r="J202" s="367"/>
      <c r="K202" s="367">
        <v>1.2</v>
      </c>
      <c r="L202" s="367"/>
      <c r="M202" s="367"/>
      <c r="N202" s="367"/>
      <c r="O202" s="367"/>
      <c r="P202" s="367"/>
      <c r="Q202" s="367">
        <v>9.1999999999999993</v>
      </c>
      <c r="R202" s="367"/>
      <c r="S202" s="367"/>
      <c r="T202" s="367"/>
      <c r="U202" s="367"/>
      <c r="V202" s="367"/>
      <c r="W202" s="367"/>
      <c r="X202" s="367"/>
      <c r="Y202" s="367"/>
      <c r="Z202" s="367"/>
      <c r="AA202" s="367"/>
      <c r="AB202" s="367">
        <v>-0.3</v>
      </c>
      <c r="AC202" s="367"/>
      <c r="AD202" s="367">
        <v>23</v>
      </c>
    </row>
    <row r="203" spans="1:30" ht="15" x14ac:dyDescent="0.25">
      <c r="A203" s="365" t="s">
        <v>424</v>
      </c>
      <c r="H203" s="366">
        <v>34</v>
      </c>
      <c r="J203" s="367"/>
      <c r="K203" s="367">
        <v>0.08</v>
      </c>
      <c r="L203" s="367"/>
      <c r="M203" s="367"/>
      <c r="N203" s="367"/>
      <c r="O203" s="367"/>
      <c r="P203" s="367"/>
      <c r="Q203" s="367">
        <v>0.4</v>
      </c>
      <c r="R203" s="367"/>
      <c r="S203" s="367"/>
      <c r="T203" s="367"/>
      <c r="U203" s="367"/>
      <c r="V203" s="367"/>
      <c r="W203" s="367"/>
      <c r="X203" s="367"/>
      <c r="Y203" s="367"/>
      <c r="Z203" s="367"/>
      <c r="AA203" s="367"/>
      <c r="AB203" s="367"/>
      <c r="AC203" s="367"/>
      <c r="AD203" s="367">
        <v>-0.02</v>
      </c>
    </row>
    <row r="204" spans="1:30" ht="15" x14ac:dyDescent="0.25">
      <c r="A204" s="365" t="s">
        <v>425</v>
      </c>
      <c r="H204" s="366">
        <v>25</v>
      </c>
      <c r="J204" s="367"/>
      <c r="K204" s="367"/>
      <c r="L204" s="367"/>
      <c r="M204" s="367"/>
      <c r="N204" s="367"/>
      <c r="O204" s="367"/>
      <c r="P204" s="367"/>
      <c r="Q204" s="367">
        <v>1.4</v>
      </c>
      <c r="R204" s="367"/>
      <c r="S204" s="367"/>
      <c r="T204" s="367"/>
      <c r="U204" s="367"/>
      <c r="V204" s="367"/>
      <c r="W204" s="367"/>
      <c r="X204" s="367"/>
      <c r="Y204" s="367"/>
      <c r="Z204" s="367"/>
      <c r="AA204" s="367"/>
      <c r="AB204" s="367"/>
      <c r="AC204" s="367"/>
      <c r="AD204" s="367"/>
    </row>
    <row r="205" spans="1:30" ht="15" x14ac:dyDescent="0.25">
      <c r="A205" s="365" t="s">
        <v>426</v>
      </c>
      <c r="H205" s="366">
        <v>234</v>
      </c>
      <c r="J205" s="367"/>
      <c r="K205" s="367">
        <v>233</v>
      </c>
      <c r="L205" s="367"/>
      <c r="M205" s="367"/>
      <c r="N205" s="367"/>
      <c r="O205" s="367"/>
      <c r="P205" s="367"/>
      <c r="Q205" s="367">
        <v>330</v>
      </c>
      <c r="R205" s="367"/>
      <c r="S205" s="367"/>
      <c r="T205" s="367"/>
      <c r="U205" s="367"/>
      <c r="V205" s="367"/>
      <c r="W205" s="367"/>
      <c r="X205" s="367"/>
      <c r="Y205" s="367"/>
      <c r="Z205" s="367"/>
      <c r="AA205" s="367"/>
      <c r="AB205" s="367"/>
      <c r="AC205" s="367"/>
      <c r="AD205" s="367"/>
    </row>
    <row r="206" spans="1:30" ht="15" x14ac:dyDescent="0.25">
      <c r="A206" s="365" t="s">
        <v>427</v>
      </c>
      <c r="H206" s="366">
        <v>52</v>
      </c>
      <c r="J206" s="367"/>
      <c r="K206" s="367">
        <v>0.17</v>
      </c>
      <c r="L206" s="367"/>
      <c r="M206" s="367"/>
      <c r="N206" s="367"/>
      <c r="O206" s="367"/>
      <c r="P206" s="367"/>
      <c r="Q206" s="367">
        <v>0.14000000000000001</v>
      </c>
      <c r="R206" s="367"/>
      <c r="S206" s="367"/>
      <c r="T206" s="367"/>
      <c r="U206" s="367"/>
      <c r="V206" s="367"/>
      <c r="W206" s="367"/>
      <c r="X206" s="367"/>
      <c r="Y206" s="367"/>
      <c r="Z206" s="367">
        <v>0.2</v>
      </c>
      <c r="AA206" s="367"/>
      <c r="AB206" s="367"/>
      <c r="AC206" s="367"/>
      <c r="AD206" s="367">
        <v>7.8</v>
      </c>
    </row>
    <row r="207" spans="1:30" ht="15" x14ac:dyDescent="0.25">
      <c r="A207" s="365" t="s">
        <v>428</v>
      </c>
      <c r="H207" s="366">
        <v>23</v>
      </c>
      <c r="J207" s="367"/>
      <c r="K207" s="367"/>
      <c r="L207" s="367"/>
      <c r="M207" s="367"/>
      <c r="N207" s="367"/>
      <c r="O207" s="367"/>
      <c r="P207" s="367"/>
      <c r="Q207" s="367">
        <v>41</v>
      </c>
      <c r="R207" s="367"/>
      <c r="S207" s="367"/>
      <c r="T207" s="367"/>
      <c r="U207" s="367"/>
      <c r="V207" s="367"/>
      <c r="W207" s="367"/>
      <c r="X207" s="367"/>
      <c r="Y207" s="367"/>
      <c r="Z207" s="367"/>
      <c r="AA207" s="367"/>
      <c r="AB207" s="367"/>
      <c r="AC207" s="367"/>
      <c r="AD207" s="367">
        <v>0.04</v>
      </c>
    </row>
    <row r="208" spans="1:30" ht="15" x14ac:dyDescent="0.25">
      <c r="A208" s="365" t="s">
        <v>429</v>
      </c>
      <c r="H208" s="366">
        <v>95</v>
      </c>
      <c r="J208" s="367"/>
      <c r="K208" s="367">
        <v>-0.1</v>
      </c>
      <c r="L208" s="367"/>
      <c r="M208" s="367"/>
      <c r="N208" s="367"/>
      <c r="O208" s="367"/>
      <c r="P208" s="367"/>
      <c r="Q208" s="367">
        <v>4.7</v>
      </c>
      <c r="R208" s="367"/>
      <c r="S208" s="367"/>
      <c r="T208" s="367"/>
      <c r="U208" s="367"/>
      <c r="V208" s="367"/>
      <c r="W208" s="367"/>
      <c r="X208" s="367"/>
      <c r="Y208" s="367"/>
      <c r="Z208" s="367"/>
      <c r="AA208" s="367"/>
      <c r="AB208" s="367"/>
      <c r="AC208" s="367"/>
      <c r="AD208" s="367"/>
    </row>
    <row r="209" spans="1:30" ht="15" x14ac:dyDescent="0.25">
      <c r="A209" s="365" t="s">
        <v>429</v>
      </c>
      <c r="H209" s="366"/>
      <c r="J209" s="367"/>
      <c r="K209" s="367">
        <v>0.09</v>
      </c>
      <c r="L209" s="367"/>
      <c r="M209" s="367"/>
      <c r="N209" s="367"/>
      <c r="O209" s="367"/>
      <c r="P209" s="367"/>
      <c r="Q209" s="367">
        <v>3.8</v>
      </c>
      <c r="R209" s="367"/>
      <c r="S209" s="367"/>
      <c r="T209" s="367"/>
      <c r="U209" s="367"/>
      <c r="V209" s="367"/>
      <c r="W209" s="367"/>
      <c r="X209" s="367"/>
      <c r="Y209" s="367"/>
      <c r="Z209" s="367">
        <v>0.1</v>
      </c>
      <c r="AA209" s="367"/>
      <c r="AB209" s="367"/>
      <c r="AC209" s="367"/>
      <c r="AD209" s="367">
        <v>-0.01</v>
      </c>
    </row>
    <row r="210" spans="1:30" ht="15" x14ac:dyDescent="0.25">
      <c r="A210" s="365" t="s">
        <v>429</v>
      </c>
      <c r="H210" s="366">
        <v>95</v>
      </c>
      <c r="J210" s="367"/>
      <c r="K210" s="367">
        <v>0.08</v>
      </c>
      <c r="L210" s="367"/>
      <c r="M210" s="367"/>
      <c r="N210" s="367"/>
      <c r="O210" s="367"/>
      <c r="P210" s="367"/>
      <c r="Q210" s="367">
        <v>4</v>
      </c>
      <c r="R210" s="367"/>
      <c r="S210" s="367"/>
      <c r="T210" s="367"/>
      <c r="U210" s="367"/>
      <c r="V210" s="367"/>
      <c r="W210" s="367"/>
      <c r="X210" s="367"/>
      <c r="Y210" s="367"/>
      <c r="Z210" s="367">
        <v>-0.1</v>
      </c>
      <c r="AA210" s="367"/>
      <c r="AB210" s="367"/>
      <c r="AC210" s="367"/>
      <c r="AD210" s="367">
        <v>-0.01</v>
      </c>
    </row>
    <row r="211" spans="1:30" ht="15" x14ac:dyDescent="0.25">
      <c r="A211" s="365" t="s">
        <v>429</v>
      </c>
      <c r="H211" s="366"/>
      <c r="J211" s="367"/>
      <c r="K211" s="367">
        <v>0.3</v>
      </c>
      <c r="L211" s="367"/>
      <c r="M211" s="367"/>
      <c r="N211" s="367"/>
      <c r="O211" s="367"/>
      <c r="P211" s="367"/>
      <c r="Q211" s="367">
        <v>3.7</v>
      </c>
      <c r="R211" s="367"/>
      <c r="S211" s="367"/>
      <c r="T211" s="367"/>
      <c r="U211" s="367"/>
      <c r="V211" s="367"/>
      <c r="W211" s="367"/>
      <c r="X211" s="367"/>
      <c r="Y211" s="367"/>
      <c r="Z211" s="367"/>
      <c r="AA211" s="367"/>
      <c r="AB211" s="367"/>
      <c r="AC211" s="367"/>
      <c r="AD211" s="367"/>
    </row>
    <row r="212" spans="1:30" ht="15" x14ac:dyDescent="0.25">
      <c r="A212" s="365" t="s">
        <v>418</v>
      </c>
      <c r="H212" s="366">
        <v>60</v>
      </c>
      <c r="J212" s="367"/>
      <c r="K212" s="367">
        <v>1.3</v>
      </c>
      <c r="L212" s="367"/>
      <c r="M212" s="367"/>
      <c r="N212" s="367"/>
      <c r="O212" s="367"/>
      <c r="P212" s="367"/>
      <c r="Q212" s="367">
        <v>7.7</v>
      </c>
      <c r="R212" s="367"/>
      <c r="S212" s="367"/>
      <c r="T212" s="367"/>
      <c r="U212" s="367"/>
      <c r="V212" s="367"/>
      <c r="W212" s="367"/>
      <c r="X212" s="367"/>
      <c r="Y212" s="367"/>
      <c r="Z212" s="367">
        <v>0.2</v>
      </c>
      <c r="AA212" s="367"/>
      <c r="AB212" s="367"/>
      <c r="AC212" s="367"/>
      <c r="AD212" s="367"/>
    </row>
    <row r="213" spans="1:30" ht="15" x14ac:dyDescent="0.25">
      <c r="A213" s="365" t="s">
        <v>430</v>
      </c>
      <c r="H213" s="366">
        <v>94</v>
      </c>
      <c r="J213" s="367"/>
      <c r="K213" s="367">
        <v>0.65</v>
      </c>
      <c r="L213" s="367"/>
      <c r="M213" s="367"/>
      <c r="N213" s="367"/>
      <c r="O213" s="367"/>
      <c r="P213" s="367"/>
      <c r="Q213" s="367">
        <v>8.8000000000000007</v>
      </c>
      <c r="R213" s="367"/>
      <c r="S213" s="367"/>
      <c r="T213" s="367"/>
      <c r="U213" s="367"/>
      <c r="V213" s="367"/>
      <c r="W213" s="367"/>
      <c r="X213" s="367"/>
      <c r="Y213" s="367"/>
      <c r="Z213" s="367">
        <v>0.2</v>
      </c>
      <c r="AA213" s="367"/>
      <c r="AB213" s="367"/>
      <c r="AC213" s="367"/>
      <c r="AD213" s="367">
        <v>0.01</v>
      </c>
    </row>
    <row r="214" spans="1:30" ht="15" x14ac:dyDescent="0.25">
      <c r="A214" s="365" t="s">
        <v>431</v>
      </c>
      <c r="H214" s="366">
        <v>45</v>
      </c>
      <c r="J214" s="367"/>
      <c r="K214" s="367">
        <v>0.03</v>
      </c>
      <c r="L214" s="367"/>
      <c r="M214" s="367"/>
      <c r="N214" s="367"/>
      <c r="O214" s="367"/>
      <c r="P214" s="367"/>
      <c r="Q214" s="367">
        <v>0.61</v>
      </c>
      <c r="R214" s="367"/>
      <c r="S214" s="367"/>
      <c r="T214" s="367"/>
      <c r="U214" s="367"/>
      <c r="V214" s="367"/>
      <c r="W214" s="367"/>
      <c r="X214" s="367"/>
      <c r="Y214" s="367"/>
      <c r="Z214" s="367">
        <v>-0.1</v>
      </c>
      <c r="AA214" s="367"/>
      <c r="AB214" s="367"/>
      <c r="AC214" s="367"/>
      <c r="AD214" s="367">
        <v>-0.01</v>
      </c>
    </row>
    <row r="215" spans="1:30" ht="15" x14ac:dyDescent="0.25">
      <c r="A215" s="365" t="s">
        <v>432</v>
      </c>
      <c r="H215" s="366">
        <v>79</v>
      </c>
      <c r="J215" s="367"/>
      <c r="K215" s="367">
        <v>2.8</v>
      </c>
      <c r="L215" s="367"/>
      <c r="M215" s="367"/>
      <c r="N215" s="367"/>
      <c r="O215" s="367"/>
      <c r="P215" s="367"/>
      <c r="Q215" s="367">
        <v>10.6</v>
      </c>
      <c r="R215" s="367"/>
      <c r="S215" s="367"/>
      <c r="T215" s="367"/>
      <c r="U215" s="367"/>
      <c r="V215" s="367"/>
      <c r="W215" s="367"/>
      <c r="X215" s="367">
        <v>0.74</v>
      </c>
      <c r="Y215" s="367"/>
      <c r="Z215" s="367">
        <v>0.3</v>
      </c>
      <c r="AA215" s="367"/>
      <c r="AB215" s="367"/>
      <c r="AC215" s="367"/>
      <c r="AD215" s="367">
        <v>0.24</v>
      </c>
    </row>
    <row r="216" spans="1:30" ht="15" x14ac:dyDescent="0.25">
      <c r="A216" s="365" t="s">
        <v>432</v>
      </c>
      <c r="H216" s="366">
        <v>80</v>
      </c>
      <c r="J216" s="367"/>
      <c r="K216" s="367">
        <v>2.9</v>
      </c>
      <c r="L216" s="367"/>
      <c r="M216" s="367"/>
      <c r="N216" s="367"/>
      <c r="O216" s="367"/>
      <c r="P216" s="367"/>
      <c r="Q216" s="367">
        <v>9.1</v>
      </c>
      <c r="R216" s="367"/>
      <c r="S216" s="367"/>
      <c r="T216" s="367"/>
      <c r="U216" s="367"/>
      <c r="V216" s="367"/>
      <c r="W216" s="367"/>
      <c r="X216" s="367"/>
      <c r="Y216" s="367"/>
      <c r="Z216" s="367">
        <v>0.2</v>
      </c>
      <c r="AA216" s="367"/>
      <c r="AB216" s="367"/>
      <c r="AC216" s="367"/>
      <c r="AD216" s="367">
        <v>0.2</v>
      </c>
    </row>
    <row r="217" spans="1:30" ht="15" x14ac:dyDescent="0.25">
      <c r="A217" s="365" t="s">
        <v>433</v>
      </c>
      <c r="H217" s="366">
        <v>76</v>
      </c>
      <c r="J217" s="367"/>
      <c r="K217" s="367">
        <v>0.08</v>
      </c>
      <c r="L217" s="367"/>
      <c r="M217" s="367"/>
      <c r="N217" s="367"/>
      <c r="O217" s="367"/>
      <c r="P217" s="367"/>
      <c r="Q217" s="367">
        <v>3.7</v>
      </c>
      <c r="R217" s="367"/>
      <c r="S217" s="367"/>
      <c r="T217" s="367"/>
      <c r="U217" s="367"/>
      <c r="V217" s="367"/>
      <c r="W217" s="367"/>
      <c r="X217" s="367"/>
      <c r="Y217" s="367"/>
      <c r="Z217" s="367">
        <v>-0.05</v>
      </c>
      <c r="AA217" s="367"/>
      <c r="AB217" s="367"/>
      <c r="AC217" s="367"/>
      <c r="AD217" s="367">
        <v>-0.01</v>
      </c>
    </row>
    <row r="218" spans="1:30" ht="15" x14ac:dyDescent="0.25">
      <c r="A218" s="365" t="s">
        <v>434</v>
      </c>
      <c r="H218" s="366"/>
      <c r="J218" s="367"/>
      <c r="K218" s="367">
        <v>0.7</v>
      </c>
      <c r="L218" s="367"/>
      <c r="M218" s="367"/>
      <c r="N218" s="367"/>
      <c r="O218" s="367"/>
      <c r="P218" s="367"/>
      <c r="Q218" s="367">
        <v>8.6999999999999993</v>
      </c>
      <c r="R218" s="367"/>
      <c r="S218" s="367"/>
      <c r="T218" s="367"/>
      <c r="U218" s="367"/>
      <c r="V218" s="367"/>
      <c r="W218" s="367"/>
      <c r="X218" s="367"/>
      <c r="Y218" s="367"/>
      <c r="Z218" s="367"/>
      <c r="AA218" s="367"/>
      <c r="AB218" s="367"/>
      <c r="AC218" s="367"/>
      <c r="AD218" s="367"/>
    </row>
    <row r="219" spans="1:30" ht="15" x14ac:dyDescent="0.25">
      <c r="A219" s="365" t="s">
        <v>435</v>
      </c>
      <c r="H219" s="366">
        <v>55</v>
      </c>
      <c r="J219" s="367"/>
      <c r="K219" s="367">
        <v>0.5</v>
      </c>
      <c r="L219" s="367"/>
      <c r="M219" s="367"/>
      <c r="N219" s="367"/>
      <c r="O219" s="367"/>
      <c r="P219" s="367"/>
      <c r="Q219" s="367">
        <v>2.8</v>
      </c>
      <c r="R219" s="367"/>
      <c r="S219" s="367"/>
      <c r="T219" s="367"/>
      <c r="U219" s="367"/>
      <c r="V219" s="367"/>
      <c r="W219" s="367"/>
      <c r="X219" s="367"/>
      <c r="Y219" s="367"/>
      <c r="Z219" s="367">
        <v>-0.1</v>
      </c>
      <c r="AA219" s="367"/>
      <c r="AB219" s="367"/>
      <c r="AC219" s="367"/>
      <c r="AD219" s="367">
        <v>-0.02</v>
      </c>
    </row>
    <row r="220" spans="1:30" ht="15" x14ac:dyDescent="0.25">
      <c r="A220" s="365" t="s">
        <v>436</v>
      </c>
      <c r="H220" s="366">
        <v>27</v>
      </c>
      <c r="J220" s="367"/>
      <c r="K220" s="367">
        <v>0.7</v>
      </c>
      <c r="L220" s="367"/>
      <c r="M220" s="367"/>
      <c r="N220" s="367"/>
      <c r="O220" s="367"/>
      <c r="P220" s="367"/>
      <c r="Q220" s="367">
        <v>21</v>
      </c>
      <c r="R220" s="367"/>
      <c r="S220" s="367"/>
      <c r="T220" s="367"/>
      <c r="U220" s="367"/>
      <c r="V220" s="367"/>
      <c r="W220" s="367"/>
      <c r="X220" s="367"/>
      <c r="Y220" s="367"/>
      <c r="Z220" s="367">
        <v>-0.1</v>
      </c>
      <c r="AA220" s="367"/>
      <c r="AB220" s="367"/>
      <c r="AC220" s="367"/>
      <c r="AD220" s="367">
        <v>0.08</v>
      </c>
    </row>
    <row r="221" spans="1:30" ht="15" x14ac:dyDescent="0.25">
      <c r="A221" s="365" t="s">
        <v>420</v>
      </c>
      <c r="H221" s="366">
        <v>45</v>
      </c>
      <c r="J221" s="367"/>
      <c r="K221" s="367">
        <v>0.53</v>
      </c>
      <c r="L221" s="367"/>
      <c r="M221" s="367"/>
      <c r="N221" s="367"/>
      <c r="O221" s="367"/>
      <c r="P221" s="367"/>
      <c r="Q221" s="367"/>
      <c r="R221" s="367"/>
      <c r="S221" s="367"/>
      <c r="T221" s="367"/>
      <c r="U221" s="367"/>
      <c r="V221" s="367"/>
      <c r="W221" s="367"/>
      <c r="X221" s="367">
        <v>8.0000000000000002E-3</v>
      </c>
      <c r="Y221" s="367"/>
      <c r="Z221" s="367">
        <v>-0.5</v>
      </c>
      <c r="AA221" s="367"/>
      <c r="AB221" s="367">
        <v>3.8</v>
      </c>
      <c r="AC221" s="367"/>
      <c r="AD221" s="367">
        <v>8.0000000000000002E-3</v>
      </c>
    </row>
    <row r="222" spans="1:30" ht="15" x14ac:dyDescent="0.25">
      <c r="A222" s="365" t="s">
        <v>437</v>
      </c>
      <c r="H222" s="366">
        <v>24</v>
      </c>
      <c r="J222" s="367"/>
      <c r="K222" s="367">
        <v>0.66</v>
      </c>
      <c r="L222" s="367"/>
      <c r="M222" s="367"/>
      <c r="N222" s="367"/>
      <c r="O222" s="367"/>
      <c r="P222" s="367"/>
      <c r="Q222" s="367">
        <v>97</v>
      </c>
      <c r="R222" s="367"/>
      <c r="S222" s="367"/>
      <c r="T222" s="367"/>
      <c r="U222" s="367"/>
      <c r="V222" s="367"/>
      <c r="W222" s="367"/>
      <c r="X222" s="367"/>
      <c r="Y222" s="367"/>
      <c r="Z222" s="367"/>
      <c r="AA222" s="367"/>
      <c r="AB222" s="367"/>
      <c r="AC222" s="367"/>
      <c r="AD222" s="367"/>
    </row>
    <row r="223" spans="1:30" ht="15" x14ac:dyDescent="0.25">
      <c r="A223" s="365" t="s">
        <v>438</v>
      </c>
      <c r="H223" s="366">
        <v>20</v>
      </c>
      <c r="J223" s="367"/>
      <c r="K223" s="367"/>
      <c r="L223" s="367"/>
      <c r="M223" s="367"/>
      <c r="N223" s="367"/>
      <c r="O223" s="367"/>
      <c r="P223" s="367"/>
      <c r="Q223" s="367">
        <v>-1</v>
      </c>
      <c r="R223" s="367"/>
      <c r="S223" s="367"/>
      <c r="T223" s="367"/>
      <c r="U223" s="367"/>
      <c r="V223" s="367"/>
      <c r="W223" s="367"/>
      <c r="X223" s="367"/>
      <c r="Y223" s="367"/>
      <c r="Z223" s="367"/>
      <c r="AA223" s="367"/>
      <c r="AB223" s="367"/>
      <c r="AC223" s="367"/>
      <c r="AD223" s="367"/>
    </row>
    <row r="224" spans="1:30" ht="15" x14ac:dyDescent="0.25">
      <c r="A224" s="365" t="s">
        <v>439</v>
      </c>
      <c r="H224" s="366">
        <v>52</v>
      </c>
      <c r="J224" s="367"/>
      <c r="K224" s="367">
        <v>0.05</v>
      </c>
      <c r="L224" s="367"/>
      <c r="M224" s="367"/>
      <c r="N224" s="367"/>
      <c r="O224" s="367"/>
      <c r="P224" s="367"/>
      <c r="Q224" s="367">
        <v>0.28000000000000003</v>
      </c>
      <c r="R224" s="367"/>
      <c r="S224" s="367"/>
      <c r="T224" s="367"/>
      <c r="U224" s="367"/>
      <c r="V224" s="367"/>
      <c r="W224" s="367"/>
      <c r="X224" s="367"/>
      <c r="Y224" s="367"/>
      <c r="Z224" s="367"/>
      <c r="AA224" s="367"/>
      <c r="AB224" s="367"/>
      <c r="AC224" s="367"/>
      <c r="AD224" s="367"/>
    </row>
    <row r="225" spans="1:30" ht="15" x14ac:dyDescent="0.25">
      <c r="A225" s="365" t="s">
        <v>440</v>
      </c>
      <c r="H225" s="366"/>
      <c r="J225" s="367"/>
      <c r="K225" s="367">
        <v>-3.0000000000000001E-3</v>
      </c>
      <c r="L225" s="367"/>
      <c r="M225" s="367"/>
      <c r="N225" s="367"/>
      <c r="O225" s="367"/>
      <c r="P225" s="367"/>
      <c r="Q225" s="367"/>
      <c r="R225" s="367"/>
      <c r="S225" s="367"/>
      <c r="T225" s="367"/>
      <c r="U225" s="367"/>
      <c r="V225" s="367"/>
      <c r="W225" s="367"/>
      <c r="X225" s="367">
        <v>0.03</v>
      </c>
      <c r="Y225" s="367"/>
      <c r="Z225" s="367">
        <v>-0.5</v>
      </c>
      <c r="AA225" s="367"/>
      <c r="AB225" s="367"/>
      <c r="AC225" s="367"/>
      <c r="AD225" s="367">
        <v>2E-3</v>
      </c>
    </row>
    <row r="226" spans="1:30" ht="15" x14ac:dyDescent="0.25">
      <c r="A226" s="365" t="s">
        <v>441</v>
      </c>
      <c r="H226" s="366">
        <v>14</v>
      </c>
      <c r="J226" s="367"/>
      <c r="K226" s="367">
        <v>-0.02</v>
      </c>
      <c r="L226" s="367"/>
      <c r="M226" s="367"/>
      <c r="N226" s="367"/>
      <c r="O226" s="367"/>
      <c r="P226" s="367"/>
      <c r="Q226" s="367">
        <v>-0.02</v>
      </c>
      <c r="R226" s="367"/>
      <c r="S226" s="367"/>
      <c r="T226" s="367"/>
      <c r="U226" s="367"/>
      <c r="V226" s="367"/>
      <c r="W226" s="367"/>
      <c r="X226" s="367"/>
      <c r="Y226" s="367"/>
      <c r="Z226" s="367">
        <v>-0.1</v>
      </c>
      <c r="AA226" s="367"/>
      <c r="AB226" s="367"/>
      <c r="AC226" s="367"/>
      <c r="AD226" s="367">
        <v>-0.02</v>
      </c>
    </row>
    <row r="227" spans="1:30" ht="15" x14ac:dyDescent="0.25">
      <c r="A227" s="365" t="s">
        <v>442</v>
      </c>
      <c r="H227" s="366">
        <v>35</v>
      </c>
      <c r="J227" s="367"/>
      <c r="K227" s="367">
        <v>0.12</v>
      </c>
      <c r="L227" s="367"/>
      <c r="M227" s="367"/>
      <c r="N227" s="367"/>
      <c r="O227" s="367"/>
      <c r="P227" s="367"/>
      <c r="Q227" s="367">
        <v>1.3</v>
      </c>
      <c r="R227" s="367"/>
      <c r="S227" s="367"/>
      <c r="T227" s="367"/>
      <c r="U227" s="367"/>
      <c r="V227" s="367"/>
      <c r="W227" s="367"/>
      <c r="X227" s="367"/>
      <c r="Y227" s="367"/>
      <c r="Z227" s="367"/>
      <c r="AA227" s="367"/>
      <c r="AB227" s="367"/>
      <c r="AC227" s="367"/>
      <c r="AD227" s="367"/>
    </row>
    <row r="228" spans="1:30" ht="15" x14ac:dyDescent="0.25">
      <c r="A228" s="365" t="s">
        <v>443</v>
      </c>
      <c r="H228" s="366">
        <v>21</v>
      </c>
      <c r="J228" s="367"/>
      <c r="K228" s="367">
        <v>3.6</v>
      </c>
      <c r="L228" s="367"/>
      <c r="M228" s="367"/>
      <c r="N228" s="367"/>
      <c r="O228" s="367"/>
      <c r="P228" s="367"/>
      <c r="Q228" s="367">
        <v>160</v>
      </c>
      <c r="R228" s="367"/>
      <c r="S228" s="367"/>
      <c r="T228" s="367"/>
      <c r="U228" s="367"/>
      <c r="V228" s="367"/>
      <c r="W228" s="367"/>
      <c r="X228" s="367"/>
      <c r="Y228" s="367"/>
      <c r="Z228" s="367">
        <v>-0.1</v>
      </c>
      <c r="AA228" s="367"/>
      <c r="AB228" s="367"/>
      <c r="AC228" s="367"/>
      <c r="AD228" s="367">
        <v>0.05</v>
      </c>
    </row>
    <row r="229" spans="1:30" ht="15" x14ac:dyDescent="0.25">
      <c r="A229" s="365" t="s">
        <v>443</v>
      </c>
      <c r="H229" s="366">
        <v>18</v>
      </c>
      <c r="J229" s="367"/>
      <c r="K229" s="367">
        <v>3.9</v>
      </c>
      <c r="L229" s="367"/>
      <c r="M229" s="367"/>
      <c r="N229" s="367"/>
      <c r="O229" s="367"/>
      <c r="P229" s="367"/>
      <c r="Q229" s="367">
        <v>178</v>
      </c>
      <c r="R229" s="367"/>
      <c r="S229" s="367"/>
      <c r="T229" s="367"/>
      <c r="U229" s="367"/>
      <c r="V229" s="367"/>
      <c r="W229" s="367"/>
      <c r="X229" s="367"/>
      <c r="Y229" s="367"/>
      <c r="Z229" s="367"/>
      <c r="AA229" s="367"/>
      <c r="AB229" s="367"/>
      <c r="AC229" s="367"/>
      <c r="AD229" s="367"/>
    </row>
    <row r="230" spans="1:30" ht="15" x14ac:dyDescent="0.25">
      <c r="A230" s="365" t="s">
        <v>444</v>
      </c>
      <c r="H230" s="366">
        <v>64</v>
      </c>
      <c r="J230" s="367"/>
      <c r="K230" s="367">
        <v>0.82</v>
      </c>
      <c r="L230" s="367"/>
      <c r="M230" s="367"/>
      <c r="N230" s="367"/>
      <c r="O230" s="367"/>
      <c r="P230" s="367"/>
      <c r="Q230" s="367">
        <v>3.1</v>
      </c>
      <c r="R230" s="367"/>
      <c r="S230" s="367"/>
      <c r="T230" s="367"/>
      <c r="U230" s="367"/>
      <c r="V230" s="367"/>
      <c r="W230" s="367"/>
      <c r="X230" s="367"/>
      <c r="Y230" s="367"/>
      <c r="Z230" s="367">
        <v>-0.1</v>
      </c>
      <c r="AA230" s="367"/>
      <c r="AB230" s="367"/>
      <c r="AC230" s="367"/>
      <c r="AD230" s="367">
        <v>0.08</v>
      </c>
    </row>
    <row r="231" spans="1:30" ht="15" x14ac:dyDescent="0.25">
      <c r="A231" s="365" t="s">
        <v>444</v>
      </c>
      <c r="H231" s="366">
        <v>66</v>
      </c>
      <c r="J231" s="367"/>
      <c r="K231" s="367">
        <v>0.81</v>
      </c>
      <c r="L231" s="367"/>
      <c r="M231" s="367"/>
      <c r="N231" s="367"/>
      <c r="O231" s="367"/>
      <c r="P231" s="367"/>
      <c r="Q231" s="367">
        <v>2.4</v>
      </c>
      <c r="R231" s="367"/>
      <c r="S231" s="367"/>
      <c r="T231" s="367"/>
      <c r="U231" s="367"/>
      <c r="V231" s="367"/>
      <c r="W231" s="367"/>
      <c r="X231" s="367">
        <v>0.45</v>
      </c>
      <c r="Y231" s="367"/>
      <c r="Z231" s="367"/>
      <c r="AA231" s="367"/>
      <c r="AB231" s="367"/>
      <c r="AC231" s="367"/>
      <c r="AD231" s="367">
        <v>0.08</v>
      </c>
    </row>
    <row r="232" spans="1:30" ht="15" x14ac:dyDescent="0.25">
      <c r="A232" s="365" t="s">
        <v>445</v>
      </c>
      <c r="H232" s="366">
        <v>40</v>
      </c>
      <c r="J232" s="367"/>
      <c r="K232" s="367">
        <v>0.5</v>
      </c>
      <c r="L232" s="367"/>
      <c r="M232" s="367"/>
      <c r="N232" s="367"/>
      <c r="O232" s="367"/>
      <c r="P232" s="367"/>
      <c r="Q232" s="367">
        <v>7.8</v>
      </c>
      <c r="R232" s="367"/>
      <c r="S232" s="367"/>
      <c r="T232" s="367"/>
      <c r="U232" s="367"/>
      <c r="V232" s="367"/>
      <c r="W232" s="367"/>
      <c r="X232" s="367"/>
      <c r="Y232" s="367"/>
      <c r="Z232" s="367">
        <v>0.1</v>
      </c>
      <c r="AA232" s="367"/>
      <c r="AB232" s="367"/>
      <c r="AC232" s="367"/>
      <c r="AD232" s="367">
        <v>0.1</v>
      </c>
    </row>
    <row r="233" spans="1:30" ht="15" x14ac:dyDescent="0.25">
      <c r="A233" s="365" t="s">
        <v>445</v>
      </c>
      <c r="H233" s="366">
        <v>44</v>
      </c>
      <c r="J233" s="367"/>
      <c r="K233" s="367">
        <v>0.48</v>
      </c>
      <c r="L233" s="367"/>
      <c r="M233" s="367"/>
      <c r="N233" s="367"/>
      <c r="O233" s="367"/>
      <c r="P233" s="367"/>
      <c r="Q233" s="367">
        <v>8.1999999999999993</v>
      </c>
      <c r="R233" s="367"/>
      <c r="S233" s="367"/>
      <c r="T233" s="367"/>
      <c r="U233" s="367"/>
      <c r="V233" s="367"/>
      <c r="W233" s="367"/>
      <c r="X233" s="367"/>
      <c r="Y233" s="367"/>
      <c r="Z233" s="367">
        <v>0.2</v>
      </c>
      <c r="AA233" s="367"/>
      <c r="AB233" s="367"/>
      <c r="AC233" s="367"/>
      <c r="AD233" s="367">
        <v>0.06</v>
      </c>
    </row>
    <row r="234" spans="1:30" ht="15" x14ac:dyDescent="0.25">
      <c r="A234" s="365" t="s">
        <v>445</v>
      </c>
      <c r="H234" s="366">
        <v>39</v>
      </c>
      <c r="J234" s="367"/>
      <c r="K234" s="367">
        <v>0.36</v>
      </c>
      <c r="L234" s="367"/>
      <c r="M234" s="367"/>
      <c r="N234" s="367"/>
      <c r="O234" s="367"/>
      <c r="P234" s="367"/>
      <c r="Q234" s="367">
        <v>6.2</v>
      </c>
      <c r="R234" s="367"/>
      <c r="S234" s="367"/>
      <c r="T234" s="367"/>
      <c r="U234" s="367"/>
      <c r="V234" s="367"/>
      <c r="W234" s="367"/>
      <c r="X234" s="367"/>
      <c r="Y234" s="367"/>
      <c r="Z234" s="367">
        <v>0.1</v>
      </c>
      <c r="AA234" s="367"/>
      <c r="AB234" s="367"/>
      <c r="AC234" s="367"/>
      <c r="AD234" s="367">
        <v>7.4999999999999997E-2</v>
      </c>
    </row>
    <row r="235" spans="1:30" ht="15" x14ac:dyDescent="0.25">
      <c r="A235" s="365" t="s">
        <v>446</v>
      </c>
      <c r="H235" s="366">
        <v>48</v>
      </c>
      <c r="J235" s="367"/>
      <c r="K235" s="367">
        <v>0.02</v>
      </c>
      <c r="L235" s="367"/>
      <c r="M235" s="367"/>
      <c r="N235" s="367"/>
      <c r="O235" s="367"/>
      <c r="P235" s="367"/>
      <c r="Q235" s="367">
        <v>1.5</v>
      </c>
      <c r="R235" s="367"/>
      <c r="S235" s="367"/>
      <c r="T235" s="367"/>
      <c r="U235" s="367"/>
      <c r="V235" s="367"/>
      <c r="W235" s="367"/>
      <c r="X235" s="367"/>
      <c r="Y235" s="367"/>
      <c r="Z235" s="367">
        <v>-0.1</v>
      </c>
      <c r="AA235" s="367"/>
      <c r="AB235" s="367"/>
      <c r="AC235" s="367"/>
      <c r="AD235" s="367">
        <v>-0.02</v>
      </c>
    </row>
    <row r="236" spans="1:30" ht="15" x14ac:dyDescent="0.25">
      <c r="A236" s="365" t="s">
        <v>446</v>
      </c>
      <c r="H236" s="366">
        <v>50</v>
      </c>
      <c r="J236" s="367"/>
      <c r="K236" s="367">
        <v>-0.1</v>
      </c>
      <c r="L236" s="367"/>
      <c r="M236" s="367"/>
      <c r="N236" s="367"/>
      <c r="O236" s="367"/>
      <c r="P236" s="367"/>
      <c r="Q236" s="367">
        <v>1.6</v>
      </c>
      <c r="R236" s="367"/>
      <c r="S236" s="367"/>
      <c r="T236" s="367"/>
      <c r="U236" s="367"/>
      <c r="V236" s="367"/>
      <c r="W236" s="367"/>
      <c r="X236" s="367"/>
      <c r="Y236" s="367"/>
      <c r="Z236" s="367"/>
      <c r="AA236" s="367"/>
      <c r="AB236" s="367"/>
      <c r="AC236" s="367"/>
      <c r="AD236" s="367"/>
    </row>
    <row r="237" spans="1:30" ht="15" x14ac:dyDescent="0.25">
      <c r="A237" s="365" t="s">
        <v>447</v>
      </c>
      <c r="H237" s="366">
        <v>94</v>
      </c>
      <c r="J237" s="367"/>
      <c r="K237" s="367">
        <v>2.6</v>
      </c>
      <c r="L237" s="367"/>
      <c r="M237" s="367"/>
      <c r="N237" s="367"/>
      <c r="O237" s="367"/>
      <c r="P237" s="367"/>
      <c r="Q237" s="367">
        <v>10</v>
      </c>
      <c r="R237" s="367"/>
      <c r="S237" s="367"/>
      <c r="T237" s="367"/>
      <c r="U237" s="367"/>
      <c r="V237" s="367"/>
      <c r="W237" s="367"/>
      <c r="X237" s="367"/>
      <c r="Y237" s="367"/>
      <c r="Z237" s="367">
        <v>0.25</v>
      </c>
      <c r="AA237" s="367"/>
      <c r="AB237" s="367"/>
      <c r="AC237" s="367"/>
      <c r="AD237" s="367">
        <v>-0.01</v>
      </c>
    </row>
    <row r="238" spans="1:30" ht="15" x14ac:dyDescent="0.25">
      <c r="A238" s="365" t="s">
        <v>447</v>
      </c>
      <c r="H238" s="366">
        <v>82</v>
      </c>
      <c r="J238" s="367"/>
      <c r="K238" s="367">
        <v>2.5</v>
      </c>
      <c r="L238" s="367"/>
      <c r="M238" s="367"/>
      <c r="N238" s="367"/>
      <c r="O238" s="367"/>
      <c r="P238" s="367"/>
      <c r="Q238" s="367">
        <v>10</v>
      </c>
      <c r="R238" s="367"/>
      <c r="S238" s="367"/>
      <c r="T238" s="367"/>
      <c r="U238" s="367"/>
      <c r="V238" s="367"/>
      <c r="W238" s="367"/>
      <c r="X238" s="367"/>
      <c r="Y238" s="367"/>
      <c r="Z238" s="367">
        <v>0.25</v>
      </c>
      <c r="AA238" s="367"/>
      <c r="AB238" s="367"/>
      <c r="AC238" s="367"/>
      <c r="AD238" s="367">
        <v>0.01</v>
      </c>
    </row>
    <row r="239" spans="1:30" ht="15" x14ac:dyDescent="0.25">
      <c r="A239" s="365" t="s">
        <v>448</v>
      </c>
      <c r="H239" s="366"/>
      <c r="J239" s="367"/>
      <c r="K239" s="367">
        <v>-0.01</v>
      </c>
      <c r="L239" s="367"/>
      <c r="M239" s="367"/>
      <c r="N239" s="367"/>
      <c r="O239" s="367"/>
      <c r="P239" s="367"/>
      <c r="Q239" s="367">
        <v>0.12</v>
      </c>
      <c r="R239" s="367"/>
      <c r="S239" s="367"/>
      <c r="T239" s="367"/>
      <c r="U239" s="367"/>
      <c r="V239" s="367"/>
      <c r="W239" s="367"/>
      <c r="X239" s="367"/>
      <c r="Y239" s="367"/>
      <c r="Z239" s="367">
        <v>-0.1</v>
      </c>
      <c r="AA239" s="367"/>
      <c r="AB239" s="367"/>
      <c r="AC239" s="367"/>
      <c r="AD239" s="367"/>
    </row>
    <row r="240" spans="1:30" ht="15" x14ac:dyDescent="0.25">
      <c r="A240" s="365" t="s">
        <v>449</v>
      </c>
      <c r="H240" s="366">
        <v>80</v>
      </c>
      <c r="J240" s="367"/>
      <c r="K240" s="367">
        <v>2.9</v>
      </c>
      <c r="L240" s="367"/>
      <c r="M240" s="367"/>
      <c r="N240" s="367"/>
      <c r="O240" s="367"/>
      <c r="P240" s="367"/>
      <c r="Q240" s="367"/>
      <c r="R240" s="367"/>
      <c r="S240" s="367"/>
      <c r="T240" s="367"/>
      <c r="U240" s="367"/>
      <c r="V240" s="367"/>
      <c r="W240" s="367"/>
      <c r="X240" s="367"/>
      <c r="Y240" s="367"/>
      <c r="Z240" s="367"/>
      <c r="AA240" s="367"/>
      <c r="AB240" s="367"/>
      <c r="AC240" s="367"/>
      <c r="AD240" s="367"/>
    </row>
    <row r="241" spans="1:30" ht="15" x14ac:dyDescent="0.25">
      <c r="A241" s="365" t="s">
        <v>450</v>
      </c>
      <c r="H241" s="366"/>
      <c r="J241" s="367"/>
      <c r="K241" s="367"/>
      <c r="L241" s="367"/>
      <c r="M241" s="367"/>
      <c r="N241" s="367"/>
      <c r="O241" s="367"/>
      <c r="P241" s="367"/>
      <c r="Q241" s="367"/>
      <c r="R241" s="367"/>
      <c r="S241" s="367"/>
      <c r="T241" s="367"/>
      <c r="U241" s="367"/>
      <c r="V241" s="367"/>
      <c r="W241" s="367"/>
      <c r="X241" s="367"/>
      <c r="Y241" s="367"/>
      <c r="Z241" s="367"/>
      <c r="AA241" s="367"/>
      <c r="AB241" s="367"/>
      <c r="AC241" s="367"/>
      <c r="AD241" s="367"/>
    </row>
    <row r="242" spans="1:30" ht="15" x14ac:dyDescent="0.25">
      <c r="A242" s="365" t="s">
        <v>450</v>
      </c>
      <c r="H242" s="366"/>
      <c r="J242" s="367"/>
      <c r="K242" s="367"/>
      <c r="L242" s="367"/>
      <c r="M242" s="367"/>
      <c r="N242" s="367"/>
      <c r="O242" s="367"/>
      <c r="P242" s="367"/>
      <c r="Q242" s="367">
        <v>11</v>
      </c>
      <c r="R242" s="367"/>
      <c r="S242" s="367"/>
      <c r="T242" s="367"/>
      <c r="U242" s="367"/>
      <c r="V242" s="367"/>
      <c r="W242" s="367"/>
      <c r="X242" s="367"/>
      <c r="Y242" s="367"/>
      <c r="Z242" s="367"/>
      <c r="AA242" s="367"/>
      <c r="AB242" s="367"/>
      <c r="AC242" s="367"/>
      <c r="AD242" s="367"/>
    </row>
    <row r="243" spans="1:30" ht="15" x14ac:dyDescent="0.25">
      <c r="A243" s="365" t="s">
        <v>451</v>
      </c>
      <c r="H243" s="366">
        <v>49</v>
      </c>
      <c r="J243" s="367"/>
      <c r="K243" s="367">
        <v>1.7</v>
      </c>
      <c r="L243" s="367"/>
      <c r="M243" s="367"/>
      <c r="N243" s="367"/>
      <c r="O243" s="367"/>
      <c r="P243" s="367"/>
      <c r="Q243" s="367">
        <v>8.8000000000000007</v>
      </c>
      <c r="R243" s="367"/>
      <c r="S243" s="367"/>
      <c r="T243" s="367"/>
      <c r="U243" s="367"/>
      <c r="V243" s="367"/>
      <c r="W243" s="367"/>
      <c r="X243" s="367">
        <v>0.34</v>
      </c>
      <c r="Y243" s="367"/>
      <c r="Z243" s="367">
        <v>0.05</v>
      </c>
      <c r="AA243" s="367"/>
      <c r="AB243" s="367"/>
      <c r="AC243" s="367"/>
      <c r="AD243" s="367">
        <v>0.08</v>
      </c>
    </row>
    <row r="244" spans="1:30" ht="15" x14ac:dyDescent="0.25">
      <c r="A244" s="365" t="s">
        <v>452</v>
      </c>
      <c r="H244" s="366">
        <v>58</v>
      </c>
      <c r="J244" s="367"/>
      <c r="K244" s="367">
        <v>2</v>
      </c>
      <c r="L244" s="367"/>
      <c r="M244" s="367"/>
      <c r="N244" s="367"/>
      <c r="O244" s="367"/>
      <c r="P244" s="367"/>
      <c r="Q244" s="367">
        <v>7.9</v>
      </c>
      <c r="R244" s="367"/>
      <c r="S244" s="367"/>
      <c r="T244" s="367"/>
      <c r="U244" s="367"/>
      <c r="V244" s="367"/>
      <c r="W244" s="367"/>
      <c r="X244" s="367">
        <v>0.84</v>
      </c>
      <c r="Y244" s="367"/>
      <c r="Z244" s="367">
        <v>0.2</v>
      </c>
      <c r="AA244" s="367"/>
      <c r="AB244" s="367"/>
      <c r="AC244" s="367"/>
      <c r="AD244" s="367">
        <v>-0.02</v>
      </c>
    </row>
    <row r="245" spans="1:30" ht="15" x14ac:dyDescent="0.25">
      <c r="A245" s="365" t="s">
        <v>453</v>
      </c>
      <c r="H245" s="366"/>
      <c r="J245" s="367"/>
      <c r="K245" s="367"/>
      <c r="L245" s="367"/>
      <c r="M245" s="367"/>
      <c r="N245" s="367"/>
      <c r="O245" s="367"/>
      <c r="P245" s="367"/>
      <c r="Q245" s="367"/>
      <c r="R245" s="367"/>
      <c r="S245" s="367"/>
      <c r="T245" s="367"/>
      <c r="U245" s="367"/>
      <c r="V245" s="367"/>
      <c r="W245" s="367"/>
      <c r="X245" s="367">
        <v>0.96</v>
      </c>
      <c r="Y245" s="367"/>
      <c r="Z245" s="367"/>
      <c r="AA245" s="367"/>
      <c r="AB245" s="367"/>
      <c r="AC245" s="367"/>
      <c r="AD245" s="367"/>
    </row>
    <row r="246" spans="1:30" ht="15" x14ac:dyDescent="0.25">
      <c r="A246" s="365" t="s">
        <v>454</v>
      </c>
      <c r="H246" s="366">
        <v>46</v>
      </c>
      <c r="J246" s="367"/>
      <c r="K246" s="367"/>
      <c r="L246" s="367"/>
      <c r="M246" s="367"/>
      <c r="N246" s="367"/>
      <c r="O246" s="367"/>
      <c r="P246" s="367"/>
      <c r="Q246" s="367">
        <v>3.5</v>
      </c>
      <c r="R246" s="367"/>
      <c r="S246" s="367"/>
      <c r="T246" s="367"/>
      <c r="U246" s="367"/>
      <c r="V246" s="367"/>
      <c r="W246" s="367"/>
      <c r="X246" s="367"/>
      <c r="Y246" s="367"/>
      <c r="Z246" s="367"/>
      <c r="AA246" s="367"/>
      <c r="AB246" s="367"/>
      <c r="AC246" s="367"/>
      <c r="AD246" s="367">
        <v>0.2</v>
      </c>
    </row>
    <row r="247" spans="1:30" ht="15" x14ac:dyDescent="0.25">
      <c r="A247" s="365" t="s">
        <v>455</v>
      </c>
      <c r="H247" s="366">
        <v>43</v>
      </c>
      <c r="J247" s="367"/>
      <c r="K247" s="367">
        <v>3.6</v>
      </c>
      <c r="L247" s="367"/>
      <c r="M247" s="367"/>
      <c r="N247" s="367"/>
      <c r="O247" s="367"/>
      <c r="P247" s="367"/>
      <c r="Q247" s="367">
        <v>290</v>
      </c>
      <c r="R247" s="367"/>
      <c r="S247" s="367"/>
      <c r="T247" s="367"/>
      <c r="U247" s="367"/>
      <c r="V247" s="367"/>
      <c r="W247" s="367"/>
      <c r="X247" s="367"/>
      <c r="Y247" s="367"/>
      <c r="Z247" s="367"/>
      <c r="AA247" s="367"/>
      <c r="AB247" s="367"/>
      <c r="AC247" s="367"/>
      <c r="AD247" s="367"/>
    </row>
    <row r="248" spans="1:30" ht="15" x14ac:dyDescent="0.25">
      <c r="A248" s="365" t="s">
        <v>456</v>
      </c>
      <c r="H248" s="366"/>
      <c r="J248" s="367"/>
      <c r="K248" s="367">
        <v>3.0000000000000001E-3</v>
      </c>
      <c r="L248" s="367"/>
      <c r="M248" s="367"/>
      <c r="N248" s="367"/>
      <c r="O248" s="367"/>
      <c r="P248" s="367"/>
      <c r="Q248" s="367">
        <v>0.02</v>
      </c>
      <c r="R248" s="367"/>
      <c r="S248" s="367"/>
      <c r="T248" s="367"/>
      <c r="U248" s="367"/>
      <c r="V248" s="367"/>
      <c r="W248" s="367"/>
      <c r="X248" s="367"/>
      <c r="Y248" s="367"/>
      <c r="Z248" s="367"/>
      <c r="AA248" s="367"/>
      <c r="AB248" s="367"/>
      <c r="AC248" s="367"/>
      <c r="AD248" s="367"/>
    </row>
    <row r="249" spans="1:30" ht="15" x14ac:dyDescent="0.25">
      <c r="A249" s="365" t="s">
        <v>457</v>
      </c>
      <c r="H249" s="366">
        <v>28</v>
      </c>
      <c r="J249" s="367"/>
      <c r="K249" s="367"/>
      <c r="L249" s="367"/>
      <c r="M249" s="367"/>
      <c r="N249" s="367"/>
      <c r="O249" s="367"/>
      <c r="P249" s="367"/>
      <c r="Q249" s="367">
        <v>4.5</v>
      </c>
      <c r="R249" s="367"/>
      <c r="S249" s="367"/>
      <c r="T249" s="367"/>
      <c r="U249" s="367"/>
      <c r="V249" s="367"/>
      <c r="W249" s="367"/>
      <c r="X249" s="367"/>
      <c r="Y249" s="367"/>
      <c r="Z249" s="367"/>
      <c r="AA249" s="367"/>
      <c r="AB249" s="367"/>
      <c r="AC249" s="367"/>
      <c r="AD249" s="367">
        <v>7.0000000000000007E-2</v>
      </c>
    </row>
    <row r="250" spans="1:30" ht="15" x14ac:dyDescent="0.25">
      <c r="A250" s="365" t="s">
        <v>454</v>
      </c>
      <c r="H250" s="366">
        <v>65</v>
      </c>
      <c r="J250" s="367"/>
      <c r="K250" s="367"/>
      <c r="L250" s="367"/>
      <c r="M250" s="367"/>
      <c r="N250" s="367"/>
      <c r="O250" s="367"/>
      <c r="P250" s="367"/>
      <c r="Q250" s="367">
        <v>10</v>
      </c>
      <c r="R250" s="367"/>
      <c r="S250" s="367"/>
      <c r="T250" s="367"/>
      <c r="U250" s="367"/>
      <c r="V250" s="367"/>
      <c r="W250" s="367"/>
      <c r="X250" s="367"/>
      <c r="Y250" s="367"/>
      <c r="Z250" s="367"/>
      <c r="AA250" s="367"/>
      <c r="AB250" s="367"/>
      <c r="AC250" s="367"/>
      <c r="AD250" s="367"/>
    </row>
    <row r="251" spans="1:30" ht="15" x14ac:dyDescent="0.25">
      <c r="A251" s="365" t="s">
        <v>454</v>
      </c>
      <c r="H251" s="366">
        <v>84</v>
      </c>
      <c r="J251" s="367"/>
      <c r="K251" s="367"/>
      <c r="L251" s="367"/>
      <c r="M251" s="367"/>
      <c r="N251" s="367"/>
      <c r="O251" s="367"/>
      <c r="P251" s="367"/>
      <c r="Q251" s="367">
        <v>12</v>
      </c>
      <c r="R251" s="367"/>
      <c r="S251" s="367"/>
      <c r="T251" s="367"/>
      <c r="U251" s="367"/>
      <c r="V251" s="367"/>
      <c r="W251" s="367"/>
      <c r="X251" s="367"/>
      <c r="Y251" s="367"/>
      <c r="Z251" s="367"/>
      <c r="AA251" s="367"/>
      <c r="AB251" s="367"/>
      <c r="AC251" s="367"/>
      <c r="AD251" s="367"/>
    </row>
    <row r="252" spans="1:30" ht="15" x14ac:dyDescent="0.25">
      <c r="A252" s="365" t="s">
        <v>458</v>
      </c>
      <c r="H252" s="366"/>
      <c r="J252" s="367"/>
      <c r="K252" s="367">
        <v>2</v>
      </c>
      <c r="L252" s="367"/>
      <c r="M252" s="367"/>
      <c r="N252" s="367"/>
      <c r="O252" s="367"/>
      <c r="P252" s="367"/>
      <c r="Q252" s="367">
        <v>8.1999999999999993</v>
      </c>
      <c r="R252" s="367"/>
      <c r="S252" s="367"/>
      <c r="T252" s="367"/>
      <c r="U252" s="367"/>
      <c r="V252" s="367"/>
      <c r="W252" s="367"/>
      <c r="X252" s="367"/>
      <c r="Y252" s="367"/>
      <c r="Z252" s="367"/>
      <c r="AA252" s="367"/>
      <c r="AB252" s="367"/>
      <c r="AC252" s="367"/>
      <c r="AD252" s="367"/>
    </row>
    <row r="253" spans="1:30" ht="15" x14ac:dyDescent="0.25">
      <c r="A253" s="365" t="s">
        <v>459</v>
      </c>
      <c r="H253" s="366">
        <v>41</v>
      </c>
      <c r="J253" s="367"/>
      <c r="K253" s="367">
        <v>1.6</v>
      </c>
      <c r="L253" s="367"/>
      <c r="M253" s="367"/>
      <c r="N253" s="367"/>
      <c r="O253" s="367"/>
      <c r="P253" s="367"/>
      <c r="Q253" s="367">
        <v>8.1</v>
      </c>
      <c r="R253" s="367"/>
      <c r="S253" s="367"/>
      <c r="T253" s="367"/>
      <c r="U253" s="367"/>
      <c r="V253" s="367"/>
      <c r="W253" s="367"/>
      <c r="X253" s="367">
        <v>0.36</v>
      </c>
      <c r="Y253" s="367"/>
      <c r="Z253" s="367">
        <v>0.1</v>
      </c>
      <c r="AA253" s="367"/>
      <c r="AB253" s="367"/>
      <c r="AC253" s="367"/>
      <c r="AD253" s="367">
        <v>8.5000000000000006E-2</v>
      </c>
    </row>
    <row r="254" spans="1:30" ht="15" x14ac:dyDescent="0.25">
      <c r="A254" s="365" t="s">
        <v>460</v>
      </c>
      <c r="H254" s="366">
        <v>20</v>
      </c>
      <c r="J254" s="367"/>
      <c r="K254" s="367"/>
      <c r="L254" s="367"/>
      <c r="M254" s="367"/>
      <c r="N254" s="367"/>
      <c r="O254" s="367"/>
      <c r="P254" s="367"/>
      <c r="Q254" s="367">
        <v>-1</v>
      </c>
      <c r="R254" s="367"/>
      <c r="S254" s="367"/>
      <c r="T254" s="367"/>
      <c r="U254" s="367"/>
      <c r="V254" s="367"/>
      <c r="W254" s="367"/>
      <c r="X254" s="367"/>
      <c r="Y254" s="367"/>
      <c r="Z254" s="367"/>
      <c r="AA254" s="367"/>
      <c r="AB254" s="367"/>
      <c r="AC254" s="367"/>
      <c r="AD254" s="367"/>
    </row>
    <row r="255" spans="1:30" ht="15" x14ac:dyDescent="0.25">
      <c r="A255" s="365" t="s">
        <v>460</v>
      </c>
      <c r="H255" s="366">
        <v>64</v>
      </c>
      <c r="J255" s="367"/>
      <c r="K255" s="367"/>
      <c r="L255" s="367"/>
      <c r="M255" s="367"/>
      <c r="N255" s="367"/>
      <c r="O255" s="367"/>
      <c r="P255" s="367"/>
      <c r="Q255" s="367">
        <v>14</v>
      </c>
      <c r="R255" s="367"/>
      <c r="S255" s="367"/>
      <c r="T255" s="367"/>
      <c r="U255" s="367"/>
      <c r="V255" s="367"/>
      <c r="W255" s="367"/>
      <c r="X255" s="367"/>
      <c r="Y255" s="367"/>
      <c r="Z255" s="367"/>
      <c r="AA255" s="367"/>
      <c r="AB255" s="367"/>
      <c r="AC255" s="367"/>
      <c r="AD255" s="367"/>
    </row>
    <row r="256" spans="1:30" ht="15" x14ac:dyDescent="0.25">
      <c r="A256" s="365" t="s">
        <v>460</v>
      </c>
      <c r="H256" s="366">
        <v>45</v>
      </c>
      <c r="J256" s="367"/>
      <c r="K256" s="367"/>
      <c r="L256" s="367"/>
      <c r="M256" s="367"/>
      <c r="N256" s="367"/>
      <c r="O256" s="367"/>
      <c r="P256" s="367"/>
      <c r="Q256" s="367">
        <v>11</v>
      </c>
      <c r="R256" s="367"/>
      <c r="S256" s="367"/>
      <c r="T256" s="367"/>
      <c r="U256" s="367"/>
      <c r="V256" s="367"/>
      <c r="W256" s="367"/>
      <c r="X256" s="367"/>
      <c r="Y256" s="367"/>
      <c r="Z256" s="367"/>
      <c r="AA256" s="367"/>
      <c r="AB256" s="367"/>
      <c r="AC256" s="367"/>
      <c r="AD256" s="367"/>
    </row>
    <row r="257" spans="1:30" ht="15" x14ac:dyDescent="0.25">
      <c r="A257" s="365" t="s">
        <v>460</v>
      </c>
      <c r="H257" s="366">
        <v>39</v>
      </c>
      <c r="J257" s="367"/>
      <c r="K257" s="367"/>
      <c r="L257" s="367"/>
      <c r="M257" s="367"/>
      <c r="N257" s="367"/>
      <c r="O257" s="367"/>
      <c r="P257" s="367"/>
      <c r="Q257" s="367">
        <v>11</v>
      </c>
      <c r="R257" s="367"/>
      <c r="S257" s="367"/>
      <c r="T257" s="367"/>
      <c r="U257" s="367"/>
      <c r="V257" s="367"/>
      <c r="W257" s="367"/>
      <c r="X257" s="367"/>
      <c r="Y257" s="367"/>
      <c r="Z257" s="367"/>
      <c r="AA257" s="367"/>
      <c r="AB257" s="367"/>
      <c r="AC257" s="367"/>
      <c r="AD257" s="367"/>
    </row>
    <row r="258" spans="1:30" ht="15" x14ac:dyDescent="0.25">
      <c r="A258" s="365" t="s">
        <v>460</v>
      </c>
      <c r="H258" s="366">
        <v>34</v>
      </c>
      <c r="J258" s="367"/>
      <c r="K258" s="367"/>
      <c r="L258" s="367"/>
      <c r="M258" s="367"/>
      <c r="N258" s="367"/>
      <c r="O258" s="367"/>
      <c r="P258" s="367"/>
      <c r="Q258" s="367">
        <v>11</v>
      </c>
      <c r="R258" s="367"/>
      <c r="S258" s="367"/>
      <c r="T258" s="367"/>
      <c r="U258" s="367"/>
      <c r="V258" s="367"/>
      <c r="W258" s="367"/>
      <c r="X258" s="367"/>
      <c r="Y258" s="367"/>
      <c r="Z258" s="367"/>
      <c r="AA258" s="367"/>
      <c r="AB258" s="367"/>
      <c r="AC258" s="367"/>
      <c r="AD258" s="367"/>
    </row>
    <row r="259" spans="1:30" ht="15" x14ac:dyDescent="0.25">
      <c r="A259" s="365" t="s">
        <v>460</v>
      </c>
      <c r="H259" s="366">
        <v>32</v>
      </c>
      <c r="J259" s="367"/>
      <c r="K259" s="367"/>
      <c r="L259" s="367"/>
      <c r="M259" s="367"/>
      <c r="N259" s="367"/>
      <c r="O259" s="367"/>
      <c r="P259" s="367"/>
      <c r="Q259" s="367"/>
      <c r="R259" s="367"/>
      <c r="S259" s="367"/>
      <c r="T259" s="367"/>
      <c r="U259" s="367"/>
      <c r="V259" s="367"/>
      <c r="W259" s="367"/>
      <c r="X259" s="367"/>
      <c r="Y259" s="367"/>
      <c r="Z259" s="367"/>
      <c r="AA259" s="367"/>
      <c r="AB259" s="367"/>
      <c r="AC259" s="367"/>
      <c r="AD259" s="367"/>
    </row>
    <row r="260" spans="1:30" ht="15" x14ac:dyDescent="0.25">
      <c r="A260" s="365" t="s">
        <v>461</v>
      </c>
      <c r="H260" s="366"/>
      <c r="J260" s="367"/>
      <c r="K260" s="367">
        <v>2.2999999999999998</v>
      </c>
      <c r="L260" s="367"/>
      <c r="M260" s="367"/>
      <c r="N260" s="367"/>
      <c r="O260" s="367"/>
      <c r="P260" s="367"/>
      <c r="Q260" s="367"/>
      <c r="R260" s="367"/>
      <c r="S260" s="367"/>
      <c r="T260" s="367"/>
      <c r="U260" s="367"/>
      <c r="V260" s="367"/>
      <c r="W260" s="367"/>
      <c r="X260" s="367"/>
      <c r="Y260" s="367"/>
      <c r="Z260" s="367">
        <v>0.2</v>
      </c>
      <c r="AA260" s="367"/>
      <c r="AB260" s="367"/>
      <c r="AC260" s="367"/>
      <c r="AD260" s="367"/>
    </row>
    <row r="261" spans="1:30" ht="15" x14ac:dyDescent="0.25">
      <c r="A261" s="365" t="s">
        <v>461</v>
      </c>
      <c r="H261" s="366">
        <v>90</v>
      </c>
      <c r="J261" s="367"/>
      <c r="K261" s="367">
        <v>2.2999999999999998</v>
      </c>
      <c r="L261" s="367"/>
      <c r="M261" s="367"/>
      <c r="N261" s="367"/>
      <c r="O261" s="367"/>
      <c r="P261" s="367"/>
      <c r="Q261" s="367">
        <v>10.5</v>
      </c>
      <c r="R261" s="367"/>
      <c r="S261" s="367"/>
      <c r="T261" s="367"/>
      <c r="U261" s="367"/>
      <c r="V261" s="367"/>
      <c r="W261" s="367"/>
      <c r="X261" s="367"/>
      <c r="Y261" s="367"/>
      <c r="Z261" s="367">
        <v>0.2</v>
      </c>
      <c r="AA261" s="367"/>
      <c r="AB261" s="367"/>
      <c r="AC261" s="367"/>
      <c r="AD261" s="367">
        <v>-0.01</v>
      </c>
    </row>
    <row r="262" spans="1:30" ht="15" x14ac:dyDescent="0.25">
      <c r="A262" s="365" t="s">
        <v>462</v>
      </c>
      <c r="H262" s="366"/>
      <c r="J262" s="367"/>
      <c r="K262" s="367">
        <v>2.4</v>
      </c>
      <c r="L262" s="367"/>
      <c r="M262" s="367"/>
      <c r="N262" s="367"/>
      <c r="O262" s="367"/>
      <c r="P262" s="367"/>
      <c r="Q262" s="367"/>
      <c r="R262" s="367"/>
      <c r="S262" s="367"/>
      <c r="T262" s="367"/>
      <c r="U262" s="367"/>
      <c r="V262" s="367"/>
      <c r="W262" s="367"/>
      <c r="X262" s="367"/>
      <c r="Y262" s="367"/>
      <c r="Z262" s="367">
        <v>0.1</v>
      </c>
      <c r="AA262" s="367"/>
      <c r="AB262" s="367"/>
      <c r="AC262" s="367"/>
      <c r="AD262" s="367"/>
    </row>
    <row r="263" spans="1:30" ht="15" x14ac:dyDescent="0.25">
      <c r="A263" s="365" t="s">
        <v>462</v>
      </c>
      <c r="H263" s="366">
        <v>90</v>
      </c>
      <c r="J263" s="367"/>
      <c r="K263" s="367">
        <v>2.2999999999999998</v>
      </c>
      <c r="L263" s="367"/>
      <c r="M263" s="367"/>
      <c r="N263" s="367"/>
      <c r="O263" s="367"/>
      <c r="P263" s="367"/>
      <c r="Q263" s="367">
        <v>10.3</v>
      </c>
      <c r="R263" s="367"/>
      <c r="S263" s="367"/>
      <c r="T263" s="367"/>
      <c r="U263" s="367"/>
      <c r="V263" s="367"/>
      <c r="W263" s="367"/>
      <c r="X263" s="367"/>
      <c r="Y263" s="367"/>
      <c r="Z263" s="367">
        <v>0.2</v>
      </c>
      <c r="AA263" s="367"/>
      <c r="AB263" s="367"/>
      <c r="AC263" s="367"/>
      <c r="AD263" s="367">
        <v>-0.01</v>
      </c>
    </row>
    <row r="264" spans="1:30" ht="15" x14ac:dyDescent="0.25">
      <c r="A264" s="365" t="s">
        <v>387</v>
      </c>
      <c r="H264" s="366">
        <v>37</v>
      </c>
      <c r="J264" s="367"/>
      <c r="K264" s="367"/>
      <c r="L264" s="367"/>
      <c r="M264" s="367"/>
      <c r="N264" s="367"/>
      <c r="O264" s="367"/>
      <c r="P264" s="367"/>
      <c r="Q264" s="367">
        <v>39</v>
      </c>
      <c r="R264" s="367"/>
      <c r="S264" s="367"/>
      <c r="T264" s="367"/>
      <c r="U264" s="367"/>
      <c r="V264" s="367"/>
      <c r="W264" s="367"/>
      <c r="X264" s="367"/>
      <c r="Y264" s="367"/>
      <c r="Z264" s="367"/>
      <c r="AA264" s="367"/>
      <c r="AB264" s="367"/>
      <c r="AC264" s="367"/>
      <c r="AD264" s="367"/>
    </row>
    <row r="265" spans="1:30" ht="15" x14ac:dyDescent="0.25">
      <c r="A265" s="365" t="s">
        <v>463</v>
      </c>
      <c r="H265" s="366">
        <v>24</v>
      </c>
      <c r="J265" s="367"/>
      <c r="K265" s="367">
        <v>1.3</v>
      </c>
      <c r="L265" s="367"/>
      <c r="M265" s="367"/>
      <c r="N265" s="367"/>
      <c r="O265" s="367"/>
      <c r="P265" s="367"/>
      <c r="Q265" s="367">
        <v>48</v>
      </c>
      <c r="R265" s="367"/>
      <c r="S265" s="367"/>
      <c r="T265" s="367"/>
      <c r="U265" s="367"/>
      <c r="V265" s="367"/>
      <c r="W265" s="367"/>
      <c r="X265" s="367"/>
      <c r="Y265" s="367"/>
      <c r="Z265" s="367"/>
      <c r="AA265" s="367"/>
      <c r="AB265" s="367"/>
      <c r="AC265" s="367"/>
      <c r="AD265" s="367"/>
    </row>
    <row r="266" spans="1:30" ht="15" x14ac:dyDescent="0.25">
      <c r="A266" s="365" t="s">
        <v>464</v>
      </c>
      <c r="H266" s="366">
        <v>42</v>
      </c>
      <c r="J266" s="367"/>
      <c r="K266" s="367">
        <v>1.2</v>
      </c>
      <c r="L266" s="367"/>
      <c r="M266" s="367"/>
      <c r="N266" s="367"/>
      <c r="O266" s="367"/>
      <c r="P266" s="367"/>
      <c r="Q266" s="367">
        <v>45</v>
      </c>
      <c r="R266" s="367"/>
      <c r="S266" s="367"/>
      <c r="T266" s="367"/>
      <c r="U266" s="367"/>
      <c r="V266" s="367"/>
      <c r="W266" s="367"/>
      <c r="X266" s="367"/>
      <c r="Y266" s="367"/>
      <c r="Z266" s="367"/>
      <c r="AA266" s="367"/>
      <c r="AB266" s="367"/>
      <c r="AC266" s="367"/>
      <c r="AD266" s="367">
        <v>0.08</v>
      </c>
    </row>
    <row r="267" spans="1:30" ht="15" x14ac:dyDescent="0.25">
      <c r="A267" s="365" t="s">
        <v>465</v>
      </c>
      <c r="H267" s="366"/>
      <c r="J267" s="367"/>
      <c r="K267" s="367">
        <v>319</v>
      </c>
      <c r="L267" s="367"/>
      <c r="M267" s="367"/>
      <c r="N267" s="367"/>
      <c r="O267" s="367"/>
      <c r="P267" s="367"/>
      <c r="Q267" s="367">
        <v>490</v>
      </c>
      <c r="R267" s="367"/>
      <c r="S267" s="367"/>
      <c r="T267" s="367"/>
      <c r="U267" s="367"/>
      <c r="V267" s="367"/>
      <c r="W267" s="367"/>
      <c r="X267" s="367"/>
      <c r="Y267" s="367"/>
      <c r="Z267" s="367"/>
      <c r="AA267" s="367"/>
      <c r="AB267" s="367"/>
      <c r="AC267" s="367"/>
      <c r="AD267" s="367"/>
    </row>
    <row r="268" spans="1:30" ht="15" x14ac:dyDescent="0.25">
      <c r="A268" s="365" t="s">
        <v>466</v>
      </c>
      <c r="H268" s="366">
        <v>58</v>
      </c>
      <c r="J268" s="367"/>
      <c r="K268" s="367">
        <v>0.12</v>
      </c>
      <c r="L268" s="367"/>
      <c r="M268" s="367"/>
      <c r="N268" s="367"/>
      <c r="O268" s="367"/>
      <c r="P268" s="367"/>
      <c r="Q268" s="367">
        <v>12.8</v>
      </c>
      <c r="R268" s="367"/>
      <c r="S268" s="367"/>
      <c r="T268" s="367"/>
      <c r="U268" s="367"/>
      <c r="V268" s="367"/>
      <c r="W268" s="367"/>
      <c r="X268" s="367"/>
      <c r="Y268" s="367"/>
      <c r="Z268" s="367">
        <v>-0.1</v>
      </c>
      <c r="AA268" s="367"/>
      <c r="AB268" s="367"/>
      <c r="AC268" s="367"/>
      <c r="AD268" s="367">
        <v>-0.01</v>
      </c>
    </row>
    <row r="269" spans="1:30" ht="15" x14ac:dyDescent="0.25">
      <c r="A269" s="365" t="s">
        <v>466</v>
      </c>
      <c r="H269" s="366">
        <v>58</v>
      </c>
      <c r="J269" s="367"/>
      <c r="K269" s="367"/>
      <c r="L269" s="367"/>
      <c r="M269" s="367"/>
      <c r="N269" s="367"/>
      <c r="O269" s="367"/>
      <c r="P269" s="367"/>
      <c r="Q269" s="367"/>
      <c r="R269" s="367"/>
      <c r="S269" s="367"/>
      <c r="T269" s="367"/>
      <c r="U269" s="367"/>
      <c r="V269" s="367"/>
      <c r="W269" s="367"/>
      <c r="X269" s="367"/>
      <c r="Y269" s="367"/>
      <c r="Z269" s="367"/>
      <c r="AA269" s="367"/>
      <c r="AB269" s="367"/>
      <c r="AC269" s="367"/>
      <c r="AD269" s="367"/>
    </row>
    <row r="270" spans="1:30" ht="15" x14ac:dyDescent="0.25">
      <c r="A270" s="365" t="s">
        <v>467</v>
      </c>
      <c r="H270" s="366"/>
      <c r="J270" s="367"/>
      <c r="K270" s="367">
        <v>40</v>
      </c>
      <c r="L270" s="367"/>
      <c r="M270" s="367"/>
      <c r="N270" s="367"/>
      <c r="O270" s="367"/>
      <c r="P270" s="367"/>
      <c r="Q270" s="367">
        <v>100</v>
      </c>
      <c r="R270" s="367"/>
      <c r="S270" s="367"/>
      <c r="T270" s="367"/>
      <c r="U270" s="367"/>
      <c r="V270" s="367"/>
      <c r="W270" s="367"/>
      <c r="X270" s="367">
        <v>0.16</v>
      </c>
      <c r="Y270" s="367"/>
      <c r="Z270" s="367"/>
      <c r="AA270" s="367"/>
      <c r="AB270" s="367">
        <v>3</v>
      </c>
      <c r="AC270" s="367"/>
      <c r="AD270" s="367">
        <v>6.4</v>
      </c>
    </row>
    <row r="271" spans="1:30" ht="15" x14ac:dyDescent="0.25">
      <c r="A271" s="365" t="s">
        <v>468</v>
      </c>
      <c r="H271" s="366"/>
      <c r="J271" s="367"/>
      <c r="K271" s="367">
        <v>215</v>
      </c>
      <c r="L271" s="367"/>
      <c r="M271" s="367"/>
      <c r="N271" s="367"/>
      <c r="O271" s="367"/>
      <c r="P271" s="367"/>
      <c r="Q271" s="367">
        <v>390</v>
      </c>
      <c r="R271" s="367"/>
      <c r="S271" s="367"/>
      <c r="T271" s="367"/>
      <c r="U271" s="367"/>
      <c r="V271" s="367"/>
      <c r="W271" s="367"/>
      <c r="X271" s="367"/>
      <c r="Y271" s="367"/>
      <c r="Z271" s="367"/>
      <c r="AA271" s="367"/>
      <c r="AB271" s="367">
        <v>235</v>
      </c>
      <c r="AC271" s="367"/>
      <c r="AD271" s="367">
        <v>1560</v>
      </c>
    </row>
    <row r="272" spans="1:30" ht="15" x14ac:dyDescent="0.25">
      <c r="A272" s="365" t="s">
        <v>469</v>
      </c>
      <c r="H272" s="366">
        <v>74</v>
      </c>
      <c r="J272" s="367"/>
      <c r="K272" s="367">
        <v>3.8</v>
      </c>
      <c r="L272" s="367"/>
      <c r="M272" s="367"/>
      <c r="N272" s="367"/>
      <c r="O272" s="367"/>
      <c r="P272" s="367"/>
      <c r="Q272" s="367">
        <v>4.7</v>
      </c>
      <c r="R272" s="367"/>
      <c r="S272" s="367"/>
      <c r="T272" s="367"/>
      <c r="U272" s="367"/>
      <c r="V272" s="367"/>
      <c r="W272" s="367"/>
      <c r="X272" s="367"/>
      <c r="Y272" s="367"/>
      <c r="Z272" s="367">
        <v>-0.1</v>
      </c>
      <c r="AA272" s="367"/>
      <c r="AB272" s="367"/>
      <c r="AC272" s="367"/>
      <c r="AD272" s="367"/>
    </row>
    <row r="273" spans="1:30" ht="15" x14ac:dyDescent="0.25">
      <c r="A273" s="365" t="s">
        <v>470</v>
      </c>
      <c r="H273" s="366"/>
      <c r="J273" s="367"/>
      <c r="K273" s="367"/>
      <c r="L273" s="367"/>
      <c r="M273" s="367"/>
      <c r="N273" s="367"/>
      <c r="O273" s="367"/>
      <c r="P273" s="367"/>
      <c r="Q273" s="367">
        <v>5.2</v>
      </c>
      <c r="R273" s="367"/>
      <c r="S273" s="367"/>
      <c r="T273" s="367"/>
      <c r="U273" s="367"/>
      <c r="V273" s="367"/>
      <c r="W273" s="367"/>
      <c r="X273" s="367"/>
      <c r="Y273" s="367"/>
      <c r="Z273" s="367"/>
      <c r="AA273" s="367"/>
      <c r="AB273" s="367"/>
      <c r="AC273" s="367"/>
      <c r="AD273" s="367"/>
    </row>
    <row r="274" spans="1:30" ht="15" x14ac:dyDescent="0.25">
      <c r="A274" s="365" t="s">
        <v>470</v>
      </c>
      <c r="H274" s="366"/>
      <c r="J274" s="367"/>
      <c r="K274" s="367"/>
      <c r="L274" s="367"/>
      <c r="M274" s="367"/>
      <c r="N274" s="367"/>
      <c r="O274" s="367"/>
      <c r="P274" s="367"/>
      <c r="Q274" s="367">
        <v>4.5999999999999996</v>
      </c>
      <c r="R274" s="367"/>
      <c r="S274" s="367"/>
      <c r="T274" s="367"/>
      <c r="U274" s="367"/>
      <c r="V274" s="367"/>
      <c r="W274" s="367"/>
      <c r="X274" s="367"/>
      <c r="Y274" s="367"/>
      <c r="Z274" s="367"/>
      <c r="AA274" s="367"/>
      <c r="AB274" s="367"/>
      <c r="AC274" s="367"/>
      <c r="AD274" s="367"/>
    </row>
    <row r="275" spans="1:30" ht="15" x14ac:dyDescent="0.25">
      <c r="A275" s="365" t="s">
        <v>471</v>
      </c>
      <c r="H275" s="366"/>
      <c r="J275" s="367"/>
      <c r="K275" s="367">
        <v>270</v>
      </c>
      <c r="L275" s="367"/>
      <c r="M275" s="367"/>
      <c r="N275" s="367"/>
      <c r="O275" s="367"/>
      <c r="P275" s="367"/>
      <c r="Q275" s="367">
        <v>430</v>
      </c>
      <c r="R275" s="367"/>
      <c r="S275" s="367"/>
      <c r="T275" s="367"/>
      <c r="U275" s="367"/>
      <c r="V275" s="367"/>
      <c r="W275" s="367"/>
      <c r="X275" s="367"/>
      <c r="Y275" s="367"/>
      <c r="Z275" s="367"/>
      <c r="AA275" s="367"/>
      <c r="AB275" s="367"/>
      <c r="AC275" s="367"/>
      <c r="AD275" s="367"/>
    </row>
    <row r="276" spans="1:30" ht="15" x14ac:dyDescent="0.25">
      <c r="A276" s="365" t="s">
        <v>472</v>
      </c>
      <c r="H276" s="366">
        <v>43</v>
      </c>
      <c r="J276" s="367"/>
      <c r="K276" s="367">
        <v>5.4</v>
      </c>
      <c r="L276" s="367"/>
      <c r="M276" s="367"/>
      <c r="N276" s="367"/>
      <c r="O276" s="367"/>
      <c r="P276" s="367"/>
      <c r="Q276" s="367">
        <v>22</v>
      </c>
      <c r="R276" s="367"/>
      <c r="S276" s="367"/>
      <c r="T276" s="367"/>
      <c r="U276" s="367"/>
      <c r="V276" s="367"/>
      <c r="W276" s="367"/>
      <c r="X276" s="367">
        <v>1.5</v>
      </c>
      <c r="Y276" s="367"/>
      <c r="Z276" s="367">
        <v>0.1</v>
      </c>
      <c r="AA276" s="367"/>
      <c r="AB276" s="367"/>
      <c r="AC276" s="367"/>
      <c r="AD276" s="367">
        <v>0.24</v>
      </c>
    </row>
    <row r="277" spans="1:30" ht="15" x14ac:dyDescent="0.25">
      <c r="A277" s="365" t="s">
        <v>473</v>
      </c>
      <c r="H277" s="366"/>
      <c r="J277" s="367"/>
      <c r="K277" s="367">
        <v>0.8</v>
      </c>
      <c r="L277" s="367"/>
      <c r="M277" s="367"/>
      <c r="N277" s="367"/>
      <c r="O277" s="367"/>
      <c r="P277" s="367"/>
      <c r="Q277" s="367"/>
      <c r="R277" s="367"/>
      <c r="S277" s="367"/>
      <c r="T277" s="367"/>
      <c r="U277" s="367"/>
      <c r="V277" s="367"/>
      <c r="W277" s="367"/>
      <c r="X277" s="367"/>
      <c r="Y277" s="367"/>
      <c r="Z277" s="367"/>
      <c r="AA277" s="367"/>
      <c r="AB277" s="367"/>
      <c r="AC277" s="367"/>
      <c r="AD277" s="367"/>
    </row>
    <row r="278" spans="1:30" ht="15" x14ac:dyDescent="0.25">
      <c r="A278" s="365" t="s">
        <v>474</v>
      </c>
      <c r="H278" s="366">
        <v>78</v>
      </c>
      <c r="J278" s="367"/>
      <c r="K278" s="367">
        <v>0.12</v>
      </c>
      <c r="L278" s="367"/>
      <c r="M278" s="367"/>
      <c r="N278" s="367"/>
      <c r="O278" s="367"/>
      <c r="P278" s="367"/>
      <c r="Q278" s="367">
        <v>3.2</v>
      </c>
      <c r="R278" s="367"/>
      <c r="S278" s="367"/>
      <c r="T278" s="367"/>
      <c r="U278" s="367"/>
      <c r="V278" s="367"/>
      <c r="W278" s="367"/>
      <c r="X278" s="367"/>
      <c r="Y278" s="367"/>
      <c r="Z278" s="367">
        <v>-0.1</v>
      </c>
      <c r="AA278" s="367"/>
      <c r="AB278" s="367"/>
      <c r="AC278" s="367"/>
      <c r="AD278" s="367">
        <v>-0.01</v>
      </c>
    </row>
    <row r="279" spans="1:30" ht="15" x14ac:dyDescent="0.25">
      <c r="A279" s="365" t="s">
        <v>475</v>
      </c>
      <c r="H279" s="366">
        <v>92</v>
      </c>
      <c r="J279" s="367"/>
      <c r="K279" s="367">
        <v>0.15</v>
      </c>
      <c r="L279" s="367"/>
      <c r="M279" s="367"/>
      <c r="N279" s="367"/>
      <c r="O279" s="367"/>
      <c r="P279" s="367"/>
      <c r="Q279" s="367">
        <v>3.8</v>
      </c>
      <c r="R279" s="367"/>
      <c r="S279" s="367"/>
      <c r="T279" s="367"/>
      <c r="U279" s="367"/>
      <c r="V279" s="367"/>
      <c r="W279" s="367"/>
      <c r="X279" s="367"/>
      <c r="Y279" s="367"/>
      <c r="Z279" s="367">
        <v>-0.1</v>
      </c>
      <c r="AA279" s="367"/>
      <c r="AB279" s="367"/>
      <c r="AC279" s="367"/>
      <c r="AD279" s="367">
        <v>-0.01</v>
      </c>
    </row>
    <row r="280" spans="1:30" ht="15" x14ac:dyDescent="0.25">
      <c r="A280" s="365" t="s">
        <v>475</v>
      </c>
      <c r="H280" s="366"/>
      <c r="J280" s="367"/>
      <c r="K280" s="367">
        <v>-0.1</v>
      </c>
      <c r="L280" s="367"/>
      <c r="M280" s="367"/>
      <c r="N280" s="367"/>
      <c r="O280" s="367"/>
      <c r="P280" s="367"/>
      <c r="Q280" s="367">
        <v>3.9</v>
      </c>
      <c r="R280" s="367"/>
      <c r="S280" s="367"/>
      <c r="T280" s="367"/>
      <c r="U280" s="367"/>
      <c r="V280" s="367"/>
      <c r="W280" s="367"/>
      <c r="X280" s="367">
        <v>7.0000000000000007E-2</v>
      </c>
      <c r="Y280" s="367"/>
      <c r="Z280" s="367"/>
      <c r="AA280" s="367"/>
      <c r="AB280" s="367"/>
      <c r="AC280" s="367"/>
      <c r="AD280" s="367"/>
    </row>
    <row r="281" spans="1:30" ht="15" x14ac:dyDescent="0.25">
      <c r="A281" s="365" t="s">
        <v>476</v>
      </c>
      <c r="H281" s="366">
        <v>52</v>
      </c>
      <c r="J281" s="367"/>
      <c r="K281" s="367">
        <v>0.4</v>
      </c>
      <c r="L281" s="367"/>
      <c r="M281" s="367"/>
      <c r="N281" s="367"/>
      <c r="O281" s="367"/>
      <c r="P281" s="367"/>
      <c r="Q281" s="367"/>
      <c r="R281" s="367"/>
      <c r="S281" s="367"/>
      <c r="T281" s="367"/>
      <c r="U281" s="367"/>
      <c r="V281" s="367"/>
      <c r="W281" s="367"/>
      <c r="X281" s="367"/>
      <c r="Y281" s="367"/>
      <c r="Z281" s="367"/>
      <c r="AA281" s="367"/>
      <c r="AB281" s="367"/>
      <c r="AC281" s="367"/>
      <c r="AD281" s="367"/>
    </row>
    <row r="282" spans="1:30" ht="15" x14ac:dyDescent="0.25">
      <c r="A282" s="365" t="s">
        <v>476</v>
      </c>
      <c r="H282" s="366">
        <v>51</v>
      </c>
      <c r="J282" s="367"/>
      <c r="K282" s="367">
        <v>0.4</v>
      </c>
      <c r="L282" s="367"/>
      <c r="M282" s="367"/>
      <c r="N282" s="367"/>
      <c r="O282" s="367"/>
      <c r="P282" s="367"/>
      <c r="Q282" s="367">
        <v>0.65</v>
      </c>
      <c r="R282" s="367"/>
      <c r="S282" s="367"/>
      <c r="T282" s="367"/>
      <c r="U282" s="367"/>
      <c r="V282" s="367"/>
      <c r="W282" s="367"/>
      <c r="X282" s="367"/>
      <c r="Y282" s="367"/>
      <c r="Z282" s="367">
        <v>-0.1</v>
      </c>
      <c r="AA282" s="367"/>
      <c r="AB282" s="367"/>
      <c r="AC282" s="367"/>
      <c r="AD282" s="367">
        <v>-0.02</v>
      </c>
    </row>
    <row r="283" spans="1:30" ht="15" x14ac:dyDescent="0.25">
      <c r="A283" s="365" t="s">
        <v>477</v>
      </c>
      <c r="H283" s="366">
        <v>43</v>
      </c>
      <c r="J283" s="367"/>
      <c r="K283" s="367">
        <v>0.8</v>
      </c>
      <c r="L283" s="367"/>
      <c r="M283" s="367"/>
      <c r="N283" s="367"/>
      <c r="O283" s="367"/>
      <c r="P283" s="367"/>
      <c r="Q283" s="367">
        <v>4.3</v>
      </c>
      <c r="R283" s="367"/>
      <c r="S283" s="367"/>
      <c r="T283" s="367"/>
      <c r="U283" s="367"/>
      <c r="V283" s="367"/>
      <c r="W283" s="367"/>
      <c r="X283" s="367"/>
      <c r="Y283" s="367"/>
      <c r="Z283" s="367"/>
      <c r="AA283" s="367"/>
      <c r="AB283" s="367"/>
      <c r="AC283" s="367"/>
      <c r="AD283" s="367"/>
    </row>
    <row r="284" spans="1:30" ht="15" x14ac:dyDescent="0.25">
      <c r="A284" s="365" t="s">
        <v>478</v>
      </c>
      <c r="H284" s="366">
        <v>60</v>
      </c>
      <c r="J284" s="367"/>
      <c r="K284" s="367">
        <v>0.38</v>
      </c>
      <c r="L284" s="367"/>
      <c r="M284" s="367"/>
      <c r="N284" s="367"/>
      <c r="O284" s="367"/>
      <c r="P284" s="367"/>
      <c r="Q284" s="367">
        <v>17</v>
      </c>
      <c r="R284" s="367"/>
      <c r="S284" s="367"/>
      <c r="T284" s="367"/>
      <c r="U284" s="367"/>
      <c r="V284" s="367"/>
      <c r="W284" s="367"/>
      <c r="X284" s="367"/>
      <c r="Y284" s="367"/>
      <c r="Z284" s="367">
        <v>-0.1</v>
      </c>
      <c r="AA284" s="367"/>
      <c r="AB284" s="367"/>
      <c r="AC284" s="367"/>
      <c r="AD284" s="367">
        <v>0.17</v>
      </c>
    </row>
    <row r="285" spans="1:30" ht="15" x14ac:dyDescent="0.25">
      <c r="A285" s="365" t="s">
        <v>479</v>
      </c>
      <c r="H285" s="366">
        <v>39</v>
      </c>
      <c r="J285" s="367"/>
      <c r="K285" s="367">
        <v>0.33</v>
      </c>
      <c r="L285" s="367"/>
      <c r="M285" s="367"/>
      <c r="N285" s="367"/>
      <c r="O285" s="367"/>
      <c r="P285" s="367"/>
      <c r="Q285" s="367">
        <v>12</v>
      </c>
      <c r="R285" s="367"/>
      <c r="S285" s="367"/>
      <c r="T285" s="367"/>
      <c r="U285" s="367"/>
      <c r="V285" s="367"/>
      <c r="W285" s="367"/>
      <c r="X285" s="367"/>
      <c r="Y285" s="367"/>
      <c r="Z285" s="367">
        <v>-0.1</v>
      </c>
      <c r="AA285" s="367"/>
      <c r="AB285" s="367"/>
      <c r="AC285" s="367"/>
      <c r="AD285" s="367">
        <v>0.27</v>
      </c>
    </row>
    <row r="286" spans="1:30" ht="15" x14ac:dyDescent="0.25">
      <c r="A286" s="365" t="s">
        <v>480</v>
      </c>
      <c r="H286" s="366">
        <v>97</v>
      </c>
      <c r="J286" s="367"/>
      <c r="K286" s="367"/>
      <c r="L286" s="367"/>
      <c r="M286" s="367"/>
      <c r="N286" s="367"/>
      <c r="O286" s="367"/>
      <c r="P286" s="367"/>
      <c r="Q286" s="367">
        <v>6.3</v>
      </c>
      <c r="R286" s="367"/>
      <c r="S286" s="367"/>
      <c r="T286" s="367"/>
      <c r="U286" s="367"/>
      <c r="V286" s="367"/>
      <c r="W286" s="367"/>
      <c r="X286" s="367"/>
      <c r="Y286" s="367"/>
      <c r="Z286" s="367">
        <v>-0.1</v>
      </c>
      <c r="AA286" s="367"/>
      <c r="AB286" s="367"/>
      <c r="AC286" s="367"/>
      <c r="AD286" s="367">
        <v>-0.01</v>
      </c>
    </row>
    <row r="287" spans="1:30" ht="15" x14ac:dyDescent="0.25">
      <c r="A287" s="365" t="s">
        <v>481</v>
      </c>
      <c r="H287" s="366">
        <v>97</v>
      </c>
      <c r="J287" s="367"/>
      <c r="K287" s="367">
        <v>0.27</v>
      </c>
      <c r="L287" s="367"/>
      <c r="M287" s="367"/>
      <c r="N287" s="367"/>
      <c r="O287" s="367"/>
      <c r="P287" s="367"/>
      <c r="Q287" s="367">
        <v>6.1</v>
      </c>
      <c r="R287" s="367"/>
      <c r="S287" s="367"/>
      <c r="T287" s="367"/>
      <c r="U287" s="367"/>
      <c r="V287" s="367"/>
      <c r="W287" s="367"/>
      <c r="X287" s="367">
        <v>0.35</v>
      </c>
      <c r="Y287" s="367"/>
      <c r="Z287" s="367"/>
      <c r="AA287" s="367"/>
      <c r="AB287" s="367"/>
      <c r="AC287" s="367"/>
      <c r="AD287" s="367">
        <v>0.01</v>
      </c>
    </row>
    <row r="288" spans="1:30" ht="15" x14ac:dyDescent="0.25">
      <c r="A288" s="365" t="s">
        <v>482</v>
      </c>
      <c r="H288" s="366">
        <v>36</v>
      </c>
      <c r="J288" s="367"/>
      <c r="K288" s="367"/>
      <c r="L288" s="367"/>
      <c r="M288" s="367"/>
      <c r="N288" s="367"/>
      <c r="O288" s="367"/>
      <c r="P288" s="367"/>
      <c r="Q288" s="367">
        <v>1.2</v>
      </c>
      <c r="R288" s="367"/>
      <c r="S288" s="367"/>
      <c r="T288" s="367"/>
      <c r="U288" s="367"/>
      <c r="V288" s="367"/>
      <c r="W288" s="367"/>
      <c r="X288" s="367"/>
      <c r="Y288" s="367"/>
      <c r="Z288" s="367"/>
      <c r="AA288" s="367"/>
      <c r="AB288" s="367"/>
      <c r="AC288" s="367"/>
      <c r="AD288" s="367"/>
    </row>
    <row r="289" spans="1:30" ht="15" x14ac:dyDescent="0.25">
      <c r="A289" s="365" t="s">
        <v>483</v>
      </c>
      <c r="H289" s="366"/>
      <c r="J289" s="367"/>
      <c r="K289" s="367"/>
      <c r="L289" s="367"/>
      <c r="M289" s="367"/>
      <c r="N289" s="367"/>
      <c r="O289" s="367"/>
      <c r="P289" s="367"/>
      <c r="Q289" s="367">
        <v>8.9</v>
      </c>
      <c r="R289" s="367"/>
      <c r="S289" s="367"/>
      <c r="T289" s="367"/>
      <c r="U289" s="367"/>
      <c r="V289" s="367"/>
      <c r="W289" s="367"/>
      <c r="X289" s="367"/>
      <c r="Y289" s="367"/>
      <c r="Z289" s="367"/>
      <c r="AA289" s="367"/>
      <c r="AB289" s="367"/>
      <c r="AC289" s="367"/>
      <c r="AD289" s="367"/>
    </row>
    <row r="290" spans="1:30" ht="15" x14ac:dyDescent="0.25">
      <c r="A290" s="365" t="s">
        <v>483</v>
      </c>
      <c r="H290" s="366"/>
      <c r="J290" s="367"/>
      <c r="K290" s="367"/>
      <c r="L290" s="367"/>
      <c r="M290" s="367"/>
      <c r="N290" s="367"/>
      <c r="O290" s="367"/>
      <c r="P290" s="367"/>
      <c r="Q290" s="367">
        <v>8.8000000000000007</v>
      </c>
      <c r="R290" s="367"/>
      <c r="S290" s="367"/>
      <c r="T290" s="367"/>
      <c r="U290" s="367"/>
      <c r="V290" s="367"/>
      <c r="W290" s="367"/>
      <c r="X290" s="367"/>
      <c r="Y290" s="367"/>
      <c r="Z290" s="367"/>
      <c r="AA290" s="367"/>
      <c r="AB290" s="367"/>
      <c r="AC290" s="367"/>
      <c r="AD290" s="367"/>
    </row>
    <row r="291" spans="1:30" ht="15" x14ac:dyDescent="0.25">
      <c r="A291" s="365" t="s">
        <v>484</v>
      </c>
      <c r="H291" s="366"/>
      <c r="J291" s="367"/>
      <c r="K291" s="367"/>
      <c r="L291" s="367"/>
      <c r="M291" s="367"/>
      <c r="N291" s="367"/>
      <c r="O291" s="367"/>
      <c r="P291" s="367"/>
      <c r="Q291" s="367">
        <v>8.8000000000000007</v>
      </c>
      <c r="R291" s="367"/>
      <c r="S291" s="367"/>
      <c r="T291" s="367"/>
      <c r="U291" s="367"/>
      <c r="V291" s="367"/>
      <c r="W291" s="367"/>
      <c r="X291" s="367"/>
      <c r="Y291" s="367"/>
      <c r="Z291" s="367"/>
      <c r="AA291" s="367"/>
      <c r="AB291" s="367"/>
      <c r="AC291" s="367"/>
      <c r="AD291" s="367"/>
    </row>
    <row r="292" spans="1:30" ht="15" x14ac:dyDescent="0.25">
      <c r="A292" s="365" t="s">
        <v>485</v>
      </c>
      <c r="H292" s="366"/>
      <c r="J292" s="367"/>
      <c r="K292" s="367"/>
      <c r="L292" s="367"/>
      <c r="M292" s="367"/>
      <c r="N292" s="367"/>
      <c r="O292" s="367"/>
      <c r="P292" s="367"/>
      <c r="Q292" s="367">
        <v>8.8000000000000007</v>
      </c>
      <c r="R292" s="367"/>
      <c r="S292" s="367"/>
      <c r="T292" s="367"/>
      <c r="U292" s="367"/>
      <c r="V292" s="367"/>
      <c r="W292" s="367"/>
      <c r="X292" s="367"/>
      <c r="Y292" s="367"/>
      <c r="Z292" s="367"/>
      <c r="AA292" s="367"/>
      <c r="AB292" s="367"/>
      <c r="AC292" s="367"/>
      <c r="AD292" s="367"/>
    </row>
    <row r="293" spans="1:30" ht="15" x14ac:dyDescent="0.25">
      <c r="A293" s="365" t="s">
        <v>486</v>
      </c>
      <c r="H293" s="366"/>
      <c r="J293" s="367"/>
      <c r="K293" s="367"/>
      <c r="L293" s="367"/>
      <c r="M293" s="367"/>
      <c r="N293" s="367"/>
      <c r="O293" s="367"/>
      <c r="P293" s="367"/>
      <c r="Q293" s="367">
        <v>8.6</v>
      </c>
      <c r="R293" s="367"/>
      <c r="S293" s="367"/>
      <c r="T293" s="367"/>
      <c r="U293" s="367"/>
      <c r="V293" s="367"/>
      <c r="W293" s="367"/>
      <c r="X293" s="367"/>
      <c r="Y293" s="367"/>
      <c r="Z293" s="367"/>
      <c r="AA293" s="367"/>
      <c r="AB293" s="367"/>
      <c r="AC293" s="367"/>
      <c r="AD293" s="367"/>
    </row>
    <row r="294" spans="1:30" ht="15" x14ac:dyDescent="0.25">
      <c r="A294" s="365" t="s">
        <v>487</v>
      </c>
      <c r="H294" s="366">
        <v>76</v>
      </c>
      <c r="J294" s="367"/>
      <c r="K294" s="367">
        <v>0.17</v>
      </c>
      <c r="L294" s="367"/>
      <c r="M294" s="367"/>
      <c r="N294" s="367"/>
      <c r="O294" s="367"/>
      <c r="P294" s="367"/>
      <c r="Q294" s="367">
        <v>3.9</v>
      </c>
      <c r="R294" s="367"/>
      <c r="S294" s="367"/>
      <c r="T294" s="367"/>
      <c r="U294" s="367"/>
      <c r="V294" s="367"/>
      <c r="W294" s="367"/>
      <c r="X294" s="367"/>
      <c r="Y294" s="367"/>
      <c r="Z294" s="367">
        <v>-0.1</v>
      </c>
      <c r="AA294" s="367"/>
      <c r="AB294" s="367"/>
      <c r="AC294" s="367"/>
      <c r="AD294" s="367">
        <v>0.01</v>
      </c>
    </row>
    <row r="295" spans="1:30" ht="15" x14ac:dyDescent="0.25">
      <c r="A295" s="365" t="s">
        <v>487</v>
      </c>
      <c r="H295" s="366">
        <v>46</v>
      </c>
      <c r="J295" s="367"/>
      <c r="K295" s="367">
        <v>0.17</v>
      </c>
      <c r="L295" s="367"/>
      <c r="M295" s="367"/>
      <c r="N295" s="367"/>
      <c r="O295" s="367"/>
      <c r="P295" s="367"/>
      <c r="Q295" s="367">
        <v>3.9</v>
      </c>
      <c r="R295" s="367"/>
      <c r="S295" s="367"/>
      <c r="T295" s="367"/>
      <c r="U295" s="367"/>
      <c r="V295" s="367"/>
      <c r="W295" s="367"/>
      <c r="X295" s="367"/>
      <c r="Y295" s="367"/>
      <c r="Z295" s="367">
        <v>-0.05</v>
      </c>
      <c r="AA295" s="367"/>
      <c r="AB295" s="367"/>
      <c r="AC295" s="367"/>
      <c r="AD295" s="367">
        <v>0.02</v>
      </c>
    </row>
    <row r="296" spans="1:30" ht="15" x14ac:dyDescent="0.25">
      <c r="A296" s="365" t="s">
        <v>488</v>
      </c>
      <c r="H296" s="366"/>
      <c r="J296" s="367"/>
      <c r="K296" s="367">
        <v>2.1</v>
      </c>
      <c r="L296" s="367"/>
      <c r="M296" s="367"/>
      <c r="N296" s="367"/>
      <c r="O296" s="367"/>
      <c r="P296" s="367"/>
      <c r="Q296" s="367">
        <v>8.5</v>
      </c>
      <c r="R296" s="367"/>
      <c r="S296" s="367"/>
      <c r="T296" s="367"/>
      <c r="U296" s="367"/>
      <c r="V296" s="367"/>
      <c r="W296" s="367"/>
      <c r="X296" s="367"/>
      <c r="Y296" s="367"/>
      <c r="Z296" s="367">
        <v>-0.1</v>
      </c>
      <c r="AA296" s="367"/>
      <c r="AB296" s="367"/>
      <c r="AC296" s="367"/>
      <c r="AD296" s="367"/>
    </row>
    <row r="297" spans="1:30" ht="15" x14ac:dyDescent="0.25">
      <c r="A297" s="365" t="s">
        <v>489</v>
      </c>
      <c r="H297" s="366">
        <v>44</v>
      </c>
      <c r="J297" s="367"/>
      <c r="K297" s="367">
        <v>0.2</v>
      </c>
      <c r="L297" s="367"/>
      <c r="M297" s="367"/>
      <c r="N297" s="367"/>
      <c r="O297" s="367"/>
      <c r="P297" s="367"/>
      <c r="Q297" s="367">
        <v>1.3</v>
      </c>
      <c r="R297" s="367"/>
      <c r="S297" s="367"/>
      <c r="T297" s="367"/>
      <c r="U297" s="367"/>
      <c r="V297" s="367"/>
      <c r="W297" s="367"/>
      <c r="X297" s="367"/>
      <c r="Y297" s="367"/>
      <c r="Z297" s="367">
        <v>-0.1</v>
      </c>
      <c r="AA297" s="367"/>
      <c r="AB297" s="367"/>
      <c r="AC297" s="367"/>
      <c r="AD297" s="367">
        <v>-5.0000000000000001E-3</v>
      </c>
    </row>
    <row r="298" spans="1:30" ht="15" x14ac:dyDescent="0.25">
      <c r="A298" s="365" t="s">
        <v>490</v>
      </c>
      <c r="H298" s="366"/>
      <c r="J298" s="367"/>
      <c r="K298" s="367">
        <v>4.8</v>
      </c>
      <c r="L298" s="367"/>
      <c r="M298" s="367"/>
      <c r="N298" s="367"/>
      <c r="O298" s="367"/>
      <c r="P298" s="367"/>
      <c r="Q298" s="367">
        <v>750</v>
      </c>
      <c r="R298" s="367"/>
      <c r="S298" s="367"/>
      <c r="T298" s="367"/>
      <c r="U298" s="367"/>
      <c r="V298" s="367"/>
      <c r="W298" s="367"/>
      <c r="X298" s="367"/>
      <c r="Y298" s="367"/>
      <c r="Z298" s="367"/>
      <c r="AA298" s="367"/>
      <c r="AB298" s="367"/>
      <c r="AC298" s="367"/>
      <c r="AD298" s="367"/>
    </row>
    <row r="299" spans="1:30" ht="15" x14ac:dyDescent="0.25">
      <c r="A299" s="365" t="s">
        <v>491</v>
      </c>
      <c r="H299" s="366"/>
      <c r="J299" s="367"/>
      <c r="K299" s="367">
        <v>1.3</v>
      </c>
      <c r="L299" s="367"/>
      <c r="M299" s="367"/>
      <c r="N299" s="367"/>
      <c r="O299" s="367"/>
      <c r="P299" s="367"/>
      <c r="Q299" s="367">
        <v>350</v>
      </c>
      <c r="R299" s="367"/>
      <c r="S299" s="367"/>
      <c r="T299" s="367"/>
      <c r="U299" s="367"/>
      <c r="V299" s="367"/>
      <c r="W299" s="367"/>
      <c r="X299" s="367">
        <v>0.02</v>
      </c>
      <c r="Y299" s="367"/>
      <c r="Z299" s="367"/>
      <c r="AA299" s="367"/>
      <c r="AB299" s="367"/>
      <c r="AC299" s="367"/>
      <c r="AD299" s="367">
        <v>0.06</v>
      </c>
    </row>
    <row r="300" spans="1:30" ht="15" x14ac:dyDescent="0.25">
      <c r="A300" s="365" t="s">
        <v>492</v>
      </c>
      <c r="H300" s="366"/>
      <c r="J300" s="367"/>
      <c r="K300" s="367">
        <v>165</v>
      </c>
      <c r="L300" s="367"/>
      <c r="M300" s="367"/>
      <c r="N300" s="367"/>
      <c r="O300" s="367"/>
      <c r="P300" s="367"/>
      <c r="Q300" s="367"/>
      <c r="R300" s="367"/>
      <c r="S300" s="367"/>
      <c r="T300" s="367"/>
      <c r="U300" s="367"/>
      <c r="V300" s="367"/>
      <c r="W300" s="367"/>
      <c r="X300" s="367"/>
      <c r="Y300" s="367"/>
      <c r="Z300" s="367"/>
      <c r="AA300" s="367"/>
      <c r="AB300" s="367"/>
      <c r="AC300" s="367"/>
      <c r="AD300" s="367"/>
    </row>
    <row r="301" spans="1:30" ht="15" x14ac:dyDescent="0.25">
      <c r="A301" s="365" t="s">
        <v>493</v>
      </c>
      <c r="H301" s="366"/>
      <c r="J301" s="367"/>
      <c r="K301" s="367">
        <v>140</v>
      </c>
      <c r="L301" s="367"/>
      <c r="M301" s="367"/>
      <c r="N301" s="367"/>
      <c r="O301" s="367"/>
      <c r="P301" s="367"/>
      <c r="Q301" s="367"/>
      <c r="R301" s="367"/>
      <c r="S301" s="367"/>
      <c r="T301" s="367"/>
      <c r="U301" s="367"/>
      <c r="V301" s="367"/>
      <c r="W301" s="367"/>
      <c r="X301" s="367"/>
      <c r="Y301" s="367"/>
      <c r="Z301" s="367"/>
      <c r="AA301" s="367"/>
      <c r="AB301" s="367"/>
      <c r="AC301" s="367"/>
      <c r="AD301" s="367"/>
    </row>
    <row r="302" spans="1:30" ht="15" x14ac:dyDescent="0.25">
      <c r="A302" s="365" t="s">
        <v>494</v>
      </c>
      <c r="H302" s="366"/>
      <c r="J302" s="367"/>
      <c r="K302" s="367">
        <v>172</v>
      </c>
      <c r="L302" s="367"/>
      <c r="M302" s="367"/>
      <c r="N302" s="367"/>
      <c r="O302" s="367"/>
      <c r="P302" s="367"/>
      <c r="Q302" s="367"/>
      <c r="R302" s="367"/>
      <c r="S302" s="367"/>
      <c r="T302" s="367"/>
      <c r="U302" s="367"/>
      <c r="V302" s="367"/>
      <c r="W302" s="367"/>
      <c r="X302" s="367"/>
      <c r="Y302" s="367"/>
      <c r="Z302" s="367"/>
      <c r="AA302" s="367"/>
      <c r="AB302" s="367"/>
      <c r="AC302" s="367"/>
      <c r="AD302" s="367"/>
    </row>
    <row r="303" spans="1:30" ht="15" x14ac:dyDescent="0.25">
      <c r="A303" s="365" t="s">
        <v>495</v>
      </c>
      <c r="H303" s="366"/>
      <c r="J303" s="367"/>
      <c r="K303" s="367">
        <v>1.05</v>
      </c>
      <c r="L303" s="367"/>
      <c r="M303" s="367"/>
      <c r="N303" s="367"/>
      <c r="O303" s="367"/>
      <c r="P303" s="367"/>
      <c r="Q303" s="367"/>
      <c r="R303" s="367"/>
      <c r="S303" s="367"/>
      <c r="T303" s="367"/>
      <c r="U303" s="367"/>
      <c r="V303" s="367"/>
      <c r="W303" s="367"/>
      <c r="X303" s="367"/>
      <c r="Y303" s="367"/>
      <c r="Z303" s="367"/>
      <c r="AA303" s="367"/>
      <c r="AB303" s="367"/>
      <c r="AC303" s="367"/>
      <c r="AD303" s="367"/>
    </row>
    <row r="304" spans="1:30" ht="15" x14ac:dyDescent="0.25">
      <c r="A304" s="365" t="s">
        <v>496</v>
      </c>
      <c r="H304" s="366"/>
      <c r="J304" s="367"/>
      <c r="K304" s="367">
        <v>2.5</v>
      </c>
      <c r="L304" s="367"/>
      <c r="M304" s="367"/>
      <c r="N304" s="367"/>
      <c r="O304" s="367"/>
      <c r="P304" s="367"/>
      <c r="Q304" s="367"/>
      <c r="R304" s="367"/>
      <c r="S304" s="367"/>
      <c r="T304" s="367"/>
      <c r="U304" s="367"/>
      <c r="V304" s="367"/>
      <c r="W304" s="367"/>
      <c r="X304" s="367"/>
      <c r="Y304" s="367"/>
      <c r="Z304" s="367"/>
      <c r="AA304" s="367"/>
      <c r="AB304" s="367"/>
      <c r="AC304" s="367"/>
      <c r="AD304" s="367"/>
    </row>
    <row r="305" spans="1:30" ht="15" x14ac:dyDescent="0.25">
      <c r="A305" s="365" t="s">
        <v>497</v>
      </c>
      <c r="H305" s="366">
        <v>36</v>
      </c>
      <c r="J305" s="367"/>
      <c r="K305" s="367">
        <v>-0.01</v>
      </c>
      <c r="L305" s="367"/>
      <c r="M305" s="367"/>
      <c r="N305" s="367"/>
      <c r="O305" s="367"/>
      <c r="P305" s="367"/>
      <c r="Q305" s="367">
        <v>-0.02</v>
      </c>
      <c r="R305" s="367"/>
      <c r="S305" s="367"/>
      <c r="T305" s="367"/>
      <c r="U305" s="367"/>
      <c r="V305" s="367"/>
      <c r="W305" s="367"/>
      <c r="X305" s="367"/>
      <c r="Y305" s="367"/>
      <c r="Z305" s="367">
        <v>-0.1</v>
      </c>
      <c r="AA305" s="367"/>
      <c r="AB305" s="367"/>
      <c r="AC305" s="367"/>
      <c r="AD305" s="367">
        <v>-0.01</v>
      </c>
    </row>
    <row r="306" spans="1:30" ht="15" x14ac:dyDescent="0.25">
      <c r="A306" s="365" t="s">
        <v>498</v>
      </c>
      <c r="H306" s="366"/>
      <c r="J306" s="367"/>
      <c r="K306" s="367">
        <v>2.4</v>
      </c>
      <c r="L306" s="367"/>
      <c r="M306" s="367"/>
      <c r="N306" s="367"/>
      <c r="O306" s="367"/>
      <c r="P306" s="367"/>
      <c r="Q306" s="367">
        <v>30</v>
      </c>
      <c r="R306" s="367"/>
      <c r="S306" s="367"/>
      <c r="T306" s="367"/>
      <c r="U306" s="367"/>
      <c r="V306" s="367"/>
      <c r="W306" s="367"/>
      <c r="X306" s="367"/>
      <c r="Y306" s="367"/>
      <c r="Z306" s="367"/>
      <c r="AA306" s="367"/>
      <c r="AB306" s="367"/>
      <c r="AC306" s="367"/>
      <c r="AD306" s="367"/>
    </row>
    <row r="307" spans="1:30" ht="15" x14ac:dyDescent="0.25">
      <c r="A307" s="365" t="s">
        <v>499</v>
      </c>
      <c r="H307" s="366">
        <v>32</v>
      </c>
      <c r="J307" s="367"/>
      <c r="K307" s="367"/>
      <c r="L307" s="367"/>
      <c r="M307" s="367"/>
      <c r="N307" s="367"/>
      <c r="O307" s="367"/>
      <c r="P307" s="367"/>
      <c r="Q307" s="367">
        <v>1.5</v>
      </c>
      <c r="R307" s="367"/>
      <c r="S307" s="367"/>
      <c r="T307" s="367"/>
      <c r="U307" s="367"/>
      <c r="V307" s="367"/>
      <c r="W307" s="367"/>
      <c r="X307" s="367"/>
      <c r="Y307" s="367"/>
      <c r="Z307" s="367"/>
      <c r="AA307" s="367"/>
      <c r="AB307" s="367"/>
      <c r="AC307" s="367"/>
      <c r="AD307" s="367"/>
    </row>
    <row r="308" spans="1:30" ht="15" x14ac:dyDescent="0.25">
      <c r="A308" s="365" t="s">
        <v>500</v>
      </c>
      <c r="H308" s="366">
        <v>39</v>
      </c>
      <c r="J308" s="367"/>
      <c r="K308" s="367">
        <v>0.72</v>
      </c>
      <c r="L308" s="367"/>
      <c r="M308" s="367"/>
      <c r="N308" s="367"/>
      <c r="O308" s="367"/>
      <c r="P308" s="367"/>
      <c r="Q308" s="367">
        <v>16</v>
      </c>
      <c r="R308" s="367"/>
      <c r="S308" s="367"/>
      <c r="T308" s="367"/>
      <c r="U308" s="367"/>
      <c r="V308" s="367"/>
      <c r="W308" s="367"/>
      <c r="X308" s="367"/>
      <c r="Y308" s="367"/>
      <c r="Z308" s="367">
        <v>-0.1</v>
      </c>
      <c r="AA308" s="367"/>
      <c r="AB308" s="367"/>
      <c r="AC308" s="367"/>
      <c r="AD308" s="367">
        <v>1.1000000000000001</v>
      </c>
    </row>
    <row r="309" spans="1:30" ht="15" x14ac:dyDescent="0.25">
      <c r="A309" s="365" t="s">
        <v>500</v>
      </c>
      <c r="H309" s="366"/>
      <c r="J309" s="367"/>
      <c r="K309" s="367"/>
      <c r="L309" s="367"/>
      <c r="M309" s="367"/>
      <c r="N309" s="367"/>
      <c r="O309" s="367"/>
      <c r="P309" s="367"/>
      <c r="Q309" s="367"/>
      <c r="R309" s="367"/>
      <c r="S309" s="367"/>
      <c r="T309" s="367"/>
      <c r="U309" s="367"/>
      <c r="V309" s="367"/>
      <c r="W309" s="367"/>
      <c r="X309" s="367"/>
      <c r="Y309" s="367"/>
      <c r="Z309" s="367"/>
      <c r="AA309" s="367"/>
      <c r="AB309" s="367"/>
      <c r="AC309" s="367"/>
      <c r="AD309" s="367"/>
    </row>
    <row r="310" spans="1:30" ht="15" x14ac:dyDescent="0.25">
      <c r="A310" s="365" t="s">
        <v>501</v>
      </c>
      <c r="H310" s="366">
        <v>17</v>
      </c>
      <c r="J310" s="367"/>
      <c r="K310" s="367">
        <v>-0.02</v>
      </c>
      <c r="L310" s="367"/>
      <c r="M310" s="367"/>
      <c r="N310" s="367"/>
      <c r="O310" s="367"/>
      <c r="P310" s="367"/>
      <c r="Q310" s="367">
        <v>-0.02</v>
      </c>
      <c r="R310" s="367"/>
      <c r="S310" s="367"/>
      <c r="T310" s="367"/>
      <c r="U310" s="367"/>
      <c r="V310" s="367"/>
      <c r="W310" s="367"/>
      <c r="X310" s="367"/>
      <c r="Y310" s="367"/>
      <c r="Z310" s="367"/>
      <c r="AA310" s="367"/>
      <c r="AB310" s="367"/>
      <c r="AC310" s="367"/>
      <c r="AD310" s="367">
        <v>-0.02</v>
      </c>
    </row>
    <row r="311" spans="1:30" ht="15" x14ac:dyDescent="0.25">
      <c r="A311" s="365" t="s">
        <v>502</v>
      </c>
      <c r="H311" s="366">
        <v>56</v>
      </c>
      <c r="J311" s="367"/>
      <c r="K311" s="367">
        <v>1.5</v>
      </c>
      <c r="L311" s="367"/>
      <c r="M311" s="367"/>
      <c r="N311" s="367"/>
      <c r="O311" s="367"/>
      <c r="P311" s="367"/>
      <c r="Q311" s="367">
        <v>7.7</v>
      </c>
      <c r="R311" s="367"/>
      <c r="S311" s="367"/>
      <c r="T311" s="367"/>
      <c r="U311" s="367"/>
      <c r="V311" s="367"/>
      <c r="W311" s="367"/>
      <c r="X311" s="367">
        <v>0.46</v>
      </c>
      <c r="Y311" s="367"/>
      <c r="Z311" s="367">
        <v>0.1</v>
      </c>
      <c r="AA311" s="367"/>
      <c r="AB311" s="367">
        <v>0.02</v>
      </c>
      <c r="AC311" s="367"/>
      <c r="AD311" s="367">
        <v>0.1</v>
      </c>
    </row>
    <row r="312" spans="1:30" ht="15" x14ac:dyDescent="0.25">
      <c r="A312" s="365" t="s">
        <v>418</v>
      </c>
      <c r="H312" s="366">
        <v>60</v>
      </c>
      <c r="J312" s="367"/>
      <c r="K312" s="367"/>
      <c r="L312" s="367"/>
      <c r="M312" s="367"/>
      <c r="N312" s="367"/>
      <c r="O312" s="367"/>
      <c r="P312" s="367"/>
      <c r="Q312" s="367"/>
      <c r="R312" s="367"/>
      <c r="S312" s="367"/>
      <c r="T312" s="367"/>
      <c r="U312" s="367"/>
      <c r="V312" s="367"/>
      <c r="W312" s="367"/>
      <c r="X312" s="367">
        <v>1</v>
      </c>
      <c r="Y312" s="367"/>
      <c r="Z312" s="367"/>
      <c r="AA312" s="367"/>
      <c r="AB312" s="367"/>
      <c r="AC312" s="367"/>
      <c r="AD312" s="367"/>
    </row>
    <row r="313" spans="1:30" ht="15" x14ac:dyDescent="0.25">
      <c r="A313" s="365" t="s">
        <v>503</v>
      </c>
      <c r="H313" s="366">
        <v>80</v>
      </c>
      <c r="J313" s="367"/>
      <c r="K313" s="367"/>
      <c r="L313" s="367"/>
      <c r="M313" s="367"/>
      <c r="N313" s="367"/>
      <c r="O313" s="367"/>
      <c r="P313" s="367"/>
      <c r="Q313" s="367"/>
      <c r="R313" s="367"/>
      <c r="S313" s="367"/>
      <c r="T313" s="367"/>
      <c r="U313" s="367"/>
      <c r="V313" s="367"/>
      <c r="W313" s="367"/>
      <c r="X313" s="367"/>
      <c r="Y313" s="367"/>
      <c r="Z313" s="367"/>
      <c r="AA313" s="367"/>
      <c r="AB313" s="367"/>
      <c r="AC313" s="367"/>
      <c r="AD313" s="367">
        <v>0.65</v>
      </c>
    </row>
    <row r="314" spans="1:30" ht="15" x14ac:dyDescent="0.25">
      <c r="A314" s="365" t="s">
        <v>504</v>
      </c>
      <c r="H314" s="366">
        <v>42</v>
      </c>
      <c r="J314" s="367"/>
      <c r="K314" s="367"/>
      <c r="L314" s="367"/>
      <c r="M314" s="367"/>
      <c r="N314" s="367"/>
      <c r="O314" s="367"/>
      <c r="P314" s="367"/>
      <c r="Q314" s="367">
        <v>0.11</v>
      </c>
      <c r="R314" s="367"/>
      <c r="S314" s="367"/>
      <c r="T314" s="367"/>
      <c r="U314" s="367"/>
      <c r="V314" s="367"/>
      <c r="W314" s="367"/>
      <c r="X314" s="367"/>
      <c r="Y314" s="367"/>
      <c r="Z314" s="367"/>
      <c r="AA314" s="367"/>
      <c r="AB314" s="367"/>
      <c r="AC314" s="367"/>
      <c r="AD314" s="367">
        <v>6.1</v>
      </c>
    </row>
    <row r="315" spans="1:30" ht="15" x14ac:dyDescent="0.25">
      <c r="A315" s="365" t="s">
        <v>505</v>
      </c>
      <c r="H315" s="366">
        <v>27</v>
      </c>
      <c r="J315" s="367"/>
      <c r="K315" s="367">
        <v>0.49</v>
      </c>
      <c r="L315" s="367"/>
      <c r="M315" s="367"/>
      <c r="N315" s="367"/>
      <c r="O315" s="367"/>
      <c r="P315" s="367"/>
      <c r="Q315" s="367">
        <v>7.8</v>
      </c>
      <c r="R315" s="367"/>
      <c r="S315" s="367"/>
      <c r="T315" s="367"/>
      <c r="U315" s="367"/>
      <c r="V315" s="367"/>
      <c r="W315" s="367"/>
      <c r="X315" s="367"/>
      <c r="Y315" s="367"/>
      <c r="Z315" s="367"/>
      <c r="AA315" s="367"/>
      <c r="AB315" s="367">
        <v>-0.3</v>
      </c>
      <c r="AC315" s="367"/>
      <c r="AD315" s="367">
        <v>-0.01</v>
      </c>
    </row>
    <row r="316" spans="1:30" ht="15" x14ac:dyDescent="0.25">
      <c r="A316" s="365" t="s">
        <v>411</v>
      </c>
      <c r="H316" s="366">
        <v>31</v>
      </c>
      <c r="J316" s="367"/>
      <c r="K316" s="367"/>
      <c r="L316" s="367"/>
      <c r="M316" s="367"/>
      <c r="N316" s="367"/>
      <c r="O316" s="367"/>
      <c r="P316" s="367"/>
      <c r="Q316" s="367">
        <v>16</v>
      </c>
      <c r="R316" s="367"/>
      <c r="S316" s="367"/>
      <c r="T316" s="367"/>
      <c r="U316" s="367"/>
      <c r="V316" s="367"/>
      <c r="W316" s="367"/>
      <c r="X316" s="367"/>
      <c r="Y316" s="367"/>
      <c r="Z316" s="367"/>
      <c r="AA316" s="367"/>
      <c r="AB316" s="367"/>
      <c r="AC316" s="367"/>
      <c r="AD316" s="367">
        <v>0.08</v>
      </c>
    </row>
    <row r="317" spans="1:30" ht="15" x14ac:dyDescent="0.25">
      <c r="A317" s="365" t="s">
        <v>413</v>
      </c>
      <c r="H317" s="366"/>
      <c r="J317" s="367"/>
      <c r="K317" s="367"/>
      <c r="L317" s="367"/>
      <c r="M317" s="367"/>
      <c r="N317" s="367"/>
      <c r="O317" s="367"/>
      <c r="P317" s="367"/>
      <c r="Q317" s="367">
        <v>45</v>
      </c>
      <c r="R317" s="367"/>
      <c r="S317" s="367"/>
      <c r="T317" s="367"/>
      <c r="U317" s="367"/>
      <c r="V317" s="367"/>
      <c r="W317" s="367"/>
      <c r="X317" s="367"/>
      <c r="Y317" s="367"/>
      <c r="Z317" s="367"/>
      <c r="AA317" s="367"/>
      <c r="AB317" s="367"/>
      <c r="AC317" s="367"/>
      <c r="AD317" s="367"/>
    </row>
    <row r="318" spans="1:30" ht="15" x14ac:dyDescent="0.25">
      <c r="A318" s="365" t="s">
        <v>506</v>
      </c>
      <c r="H318" s="366">
        <v>33</v>
      </c>
      <c r="J318" s="367"/>
      <c r="K318" s="367"/>
      <c r="L318" s="367"/>
      <c r="M318" s="367"/>
      <c r="N318" s="367"/>
      <c r="O318" s="367"/>
      <c r="P318" s="367"/>
      <c r="Q318" s="367">
        <v>1.3</v>
      </c>
      <c r="R318" s="367"/>
      <c r="S318" s="367"/>
      <c r="T318" s="367"/>
      <c r="U318" s="367"/>
      <c r="V318" s="367"/>
      <c r="W318" s="367"/>
      <c r="X318" s="367"/>
      <c r="Y318" s="367"/>
      <c r="Z318" s="367"/>
      <c r="AA318" s="367"/>
      <c r="AB318" s="367"/>
      <c r="AC318" s="367"/>
      <c r="AD318" s="367"/>
    </row>
    <row r="319" spans="1:30" ht="15" x14ac:dyDescent="0.25">
      <c r="A319" s="365" t="s">
        <v>507</v>
      </c>
      <c r="H319" s="366">
        <v>25</v>
      </c>
      <c r="J319" s="367"/>
      <c r="K319" s="367"/>
      <c r="L319" s="367"/>
      <c r="M319" s="367"/>
      <c r="N319" s="367"/>
      <c r="O319" s="367"/>
      <c r="P319" s="367"/>
      <c r="Q319" s="367">
        <v>2</v>
      </c>
      <c r="R319" s="367"/>
      <c r="S319" s="367"/>
      <c r="T319" s="367"/>
      <c r="U319" s="367"/>
      <c r="V319" s="367"/>
      <c r="W319" s="367"/>
      <c r="X319" s="367"/>
      <c r="Y319" s="367"/>
      <c r="Z319" s="367"/>
      <c r="AA319" s="367"/>
      <c r="AB319" s="367"/>
      <c r="AC319" s="367"/>
      <c r="AD319" s="367"/>
    </row>
    <row r="320" spans="1:30" ht="15" x14ac:dyDescent="0.25">
      <c r="A320" s="365" t="s">
        <v>508</v>
      </c>
      <c r="H320" s="366">
        <v>54</v>
      </c>
      <c r="J320" s="367"/>
      <c r="K320" s="367"/>
      <c r="L320" s="367"/>
      <c r="M320" s="367"/>
      <c r="N320" s="367"/>
      <c r="O320" s="367"/>
      <c r="P320" s="367"/>
      <c r="Q320" s="367">
        <v>2.1</v>
      </c>
      <c r="R320" s="367"/>
      <c r="S320" s="367"/>
      <c r="T320" s="367"/>
      <c r="U320" s="367"/>
      <c r="V320" s="367"/>
      <c r="W320" s="367"/>
      <c r="X320" s="367"/>
      <c r="Y320" s="367"/>
      <c r="Z320" s="367"/>
      <c r="AA320" s="367"/>
      <c r="AB320" s="367"/>
      <c r="AC320" s="367"/>
      <c r="AD320" s="367"/>
    </row>
    <row r="321" spans="1:30" ht="15" x14ac:dyDescent="0.25">
      <c r="A321" s="365" t="s">
        <v>509</v>
      </c>
      <c r="H321" s="366">
        <v>29</v>
      </c>
      <c r="J321" s="367"/>
      <c r="K321" s="367"/>
      <c r="L321" s="367"/>
      <c r="M321" s="367"/>
      <c r="N321" s="367"/>
      <c r="O321" s="367"/>
      <c r="P321" s="367"/>
      <c r="Q321" s="367">
        <v>126</v>
      </c>
      <c r="R321" s="367"/>
      <c r="S321" s="367"/>
      <c r="T321" s="367"/>
      <c r="U321" s="367"/>
      <c r="V321" s="367"/>
      <c r="W321" s="367"/>
      <c r="X321" s="367"/>
      <c r="Y321" s="367"/>
      <c r="Z321" s="367"/>
      <c r="AA321" s="367"/>
      <c r="AB321" s="367"/>
      <c r="AC321" s="367"/>
      <c r="AD321" s="367"/>
    </row>
    <row r="322" spans="1:30" ht="15" x14ac:dyDescent="0.25">
      <c r="A322" s="365" t="s">
        <v>510</v>
      </c>
      <c r="H322" s="366">
        <v>95</v>
      </c>
      <c r="J322" s="367"/>
      <c r="K322" s="367">
        <v>0.06</v>
      </c>
      <c r="L322" s="367"/>
      <c r="M322" s="367"/>
      <c r="N322" s="367"/>
      <c r="O322" s="367"/>
      <c r="P322" s="367"/>
      <c r="Q322" s="367">
        <v>3.5</v>
      </c>
      <c r="R322" s="367"/>
      <c r="S322" s="367"/>
      <c r="T322" s="367"/>
      <c r="U322" s="367"/>
      <c r="V322" s="367"/>
      <c r="W322" s="367"/>
      <c r="X322" s="367"/>
      <c r="Y322" s="367"/>
      <c r="Z322" s="367">
        <v>-0.05</v>
      </c>
      <c r="AA322" s="367"/>
      <c r="AB322" s="367"/>
      <c r="AC322" s="367"/>
      <c r="AD322" s="367"/>
    </row>
    <row r="323" spans="1:30" ht="15" x14ac:dyDescent="0.25">
      <c r="A323" s="365" t="s">
        <v>272</v>
      </c>
      <c r="H323" s="366"/>
      <c r="J323" s="367"/>
      <c r="K323" s="367">
        <v>0.12</v>
      </c>
      <c r="L323" s="367"/>
      <c r="M323" s="367"/>
      <c r="N323" s="367"/>
      <c r="O323" s="367"/>
      <c r="P323" s="367"/>
      <c r="Q323" s="367">
        <v>5.3</v>
      </c>
      <c r="R323" s="367"/>
      <c r="S323" s="367"/>
      <c r="T323" s="367"/>
      <c r="U323" s="367"/>
      <c r="V323" s="367"/>
      <c r="W323" s="367"/>
      <c r="X323" s="367"/>
      <c r="Y323" s="367"/>
      <c r="Z323" s="367">
        <v>-0.1</v>
      </c>
      <c r="AA323" s="367"/>
      <c r="AB323" s="367"/>
      <c r="AC323" s="367"/>
      <c r="AD323" s="367">
        <v>-0.01</v>
      </c>
    </row>
    <row r="324" spans="1:30" ht="15" x14ac:dyDescent="0.25">
      <c r="A324" s="365" t="s">
        <v>511</v>
      </c>
      <c r="H324" s="366">
        <v>73</v>
      </c>
      <c r="J324" s="367"/>
      <c r="K324" s="367">
        <v>0.42</v>
      </c>
      <c r="L324" s="367"/>
      <c r="M324" s="367"/>
      <c r="N324" s="367"/>
      <c r="O324" s="367"/>
      <c r="P324" s="367"/>
      <c r="Q324" s="367">
        <v>7.4</v>
      </c>
      <c r="R324" s="367"/>
      <c r="S324" s="367"/>
      <c r="T324" s="367"/>
      <c r="U324" s="367"/>
      <c r="V324" s="367"/>
      <c r="W324" s="367"/>
      <c r="X324" s="367"/>
      <c r="Y324" s="367"/>
      <c r="Z324" s="367">
        <v>0.2</v>
      </c>
      <c r="AA324" s="367"/>
      <c r="AB324" s="367"/>
      <c r="AC324" s="367"/>
      <c r="AD324" s="367">
        <v>2.1999999999999999E-2</v>
      </c>
    </row>
    <row r="325" spans="1:30" ht="15" x14ac:dyDescent="0.25">
      <c r="A325" s="365" t="s">
        <v>512</v>
      </c>
      <c r="H325" s="366">
        <v>70</v>
      </c>
      <c r="J325" s="367"/>
      <c r="K325" s="367">
        <v>0.4</v>
      </c>
      <c r="L325" s="367"/>
      <c r="M325" s="367"/>
      <c r="N325" s="367"/>
      <c r="O325" s="367"/>
      <c r="P325" s="367"/>
      <c r="Q325" s="367">
        <v>7.3</v>
      </c>
      <c r="R325" s="367"/>
      <c r="S325" s="367"/>
      <c r="T325" s="367"/>
      <c r="U325" s="367"/>
      <c r="V325" s="367"/>
      <c r="W325" s="367"/>
      <c r="X325" s="367"/>
      <c r="Y325" s="367"/>
      <c r="Z325" s="367">
        <v>0.2</v>
      </c>
      <c r="AA325" s="367"/>
      <c r="AB325" s="367"/>
      <c r="AC325" s="367"/>
      <c r="AD325" s="367">
        <v>0.03</v>
      </c>
    </row>
    <row r="326" spans="1:30" ht="15" x14ac:dyDescent="0.25">
      <c r="A326" s="365" t="s">
        <v>513</v>
      </c>
      <c r="H326" s="366">
        <v>57</v>
      </c>
      <c r="J326" s="367"/>
      <c r="K326" s="367">
        <v>-0.02</v>
      </c>
      <c r="L326" s="367"/>
      <c r="M326" s="367"/>
      <c r="N326" s="367"/>
      <c r="O326" s="367"/>
      <c r="P326" s="367"/>
      <c r="Q326" s="367">
        <v>0.93</v>
      </c>
      <c r="R326" s="367"/>
      <c r="S326" s="367"/>
      <c r="T326" s="367"/>
      <c r="U326" s="367"/>
      <c r="V326" s="367"/>
      <c r="W326" s="367"/>
      <c r="X326" s="367"/>
      <c r="Y326" s="367"/>
      <c r="Z326" s="367">
        <v>-0.1</v>
      </c>
      <c r="AA326" s="367"/>
      <c r="AB326" s="367"/>
      <c r="AC326" s="367"/>
      <c r="AD326" s="367">
        <v>-0.01</v>
      </c>
    </row>
    <row r="327" spans="1:30" ht="15" x14ac:dyDescent="0.25">
      <c r="A327" s="365" t="s">
        <v>514</v>
      </c>
      <c r="H327" s="366">
        <v>44</v>
      </c>
      <c r="J327" s="367"/>
      <c r="K327" s="367"/>
      <c r="L327" s="367"/>
      <c r="M327" s="367"/>
      <c r="N327" s="367"/>
      <c r="O327" s="367"/>
      <c r="P327" s="367"/>
      <c r="Q327" s="367">
        <v>14</v>
      </c>
      <c r="R327" s="367"/>
      <c r="S327" s="367"/>
      <c r="T327" s="367"/>
      <c r="U327" s="367"/>
      <c r="V327" s="367"/>
      <c r="W327" s="367"/>
      <c r="X327" s="367"/>
      <c r="Y327" s="367"/>
      <c r="Z327" s="367"/>
      <c r="AA327" s="367"/>
      <c r="AB327" s="367"/>
      <c r="AC327" s="367"/>
      <c r="AD327" s="367">
        <v>-0.02</v>
      </c>
    </row>
    <row r="328" spans="1:30" ht="15" x14ac:dyDescent="0.25">
      <c r="A328" s="365" t="s">
        <v>515</v>
      </c>
      <c r="H328" s="366">
        <v>50</v>
      </c>
      <c r="J328" s="367"/>
      <c r="K328" s="367">
        <v>0.09</v>
      </c>
      <c r="L328" s="367"/>
      <c r="M328" s="367"/>
      <c r="N328" s="367"/>
      <c r="O328" s="367"/>
      <c r="P328" s="367"/>
      <c r="Q328" s="367">
        <v>2</v>
      </c>
      <c r="R328" s="367"/>
      <c r="S328" s="367"/>
      <c r="T328" s="367"/>
      <c r="U328" s="367"/>
      <c r="V328" s="367"/>
      <c r="W328" s="367"/>
      <c r="X328" s="367"/>
      <c r="Y328" s="367"/>
      <c r="Z328" s="367">
        <v>-0.1</v>
      </c>
      <c r="AA328" s="367"/>
      <c r="AB328" s="367"/>
      <c r="AC328" s="367"/>
      <c r="AD328" s="367">
        <v>-0.02</v>
      </c>
    </row>
    <row r="329" spans="1:30" ht="15" x14ac:dyDescent="0.25">
      <c r="A329" s="365" t="s">
        <v>516</v>
      </c>
      <c r="H329" s="366">
        <v>43</v>
      </c>
      <c r="J329" s="367"/>
      <c r="K329" s="367">
        <v>0.89</v>
      </c>
      <c r="L329" s="367"/>
      <c r="M329" s="367"/>
      <c r="N329" s="367"/>
      <c r="O329" s="367"/>
      <c r="P329" s="367"/>
      <c r="Q329" s="367">
        <v>2.9</v>
      </c>
      <c r="R329" s="367"/>
      <c r="S329" s="367"/>
      <c r="T329" s="367"/>
      <c r="U329" s="367"/>
      <c r="V329" s="367"/>
      <c r="W329" s="367"/>
      <c r="X329" s="367"/>
      <c r="Y329" s="367"/>
      <c r="Z329" s="367">
        <v>0.1</v>
      </c>
      <c r="AA329" s="367"/>
      <c r="AB329" s="367"/>
      <c r="AC329" s="367"/>
      <c r="AD329" s="367">
        <v>0.23</v>
      </c>
    </row>
    <row r="330" spans="1:30" ht="15" x14ac:dyDescent="0.25">
      <c r="A330" s="365" t="s">
        <v>517</v>
      </c>
      <c r="H330" s="366">
        <v>24</v>
      </c>
      <c r="J330" s="367"/>
      <c r="K330" s="367">
        <v>7.9</v>
      </c>
      <c r="L330" s="367"/>
      <c r="M330" s="367"/>
      <c r="N330" s="367"/>
      <c r="O330" s="367"/>
      <c r="P330" s="367"/>
      <c r="Q330" s="367">
        <v>33</v>
      </c>
      <c r="R330" s="367"/>
      <c r="S330" s="367"/>
      <c r="T330" s="367"/>
      <c r="U330" s="367"/>
      <c r="V330" s="367"/>
      <c r="W330" s="367"/>
      <c r="X330" s="367"/>
      <c r="Y330" s="367"/>
      <c r="Z330" s="367"/>
      <c r="AA330" s="367"/>
      <c r="AB330" s="367"/>
      <c r="AC330" s="367"/>
      <c r="AD330" s="367"/>
    </row>
    <row r="331" spans="1:30" ht="15" x14ac:dyDescent="0.25">
      <c r="A331" s="365" t="s">
        <v>517</v>
      </c>
      <c r="H331" s="366">
        <v>21</v>
      </c>
      <c r="J331" s="367"/>
      <c r="K331" s="367"/>
      <c r="L331" s="367"/>
      <c r="M331" s="367"/>
      <c r="N331" s="367"/>
      <c r="O331" s="367"/>
      <c r="P331" s="367"/>
      <c r="Q331" s="367">
        <v>62</v>
      </c>
      <c r="R331" s="367"/>
      <c r="S331" s="367"/>
      <c r="T331" s="367"/>
      <c r="U331" s="367"/>
      <c r="V331" s="367"/>
      <c r="W331" s="367"/>
      <c r="X331" s="367"/>
      <c r="Y331" s="367"/>
      <c r="Z331" s="367"/>
      <c r="AA331" s="367"/>
      <c r="AB331" s="367">
        <v>3.4</v>
      </c>
      <c r="AC331" s="367"/>
      <c r="AD331" s="367"/>
    </row>
    <row r="332" spans="1:30" ht="15" x14ac:dyDescent="0.25">
      <c r="A332" s="365" t="s">
        <v>517</v>
      </c>
      <c r="H332" s="366">
        <v>25</v>
      </c>
      <c r="J332" s="367"/>
      <c r="K332" s="367">
        <v>7.9</v>
      </c>
      <c r="L332" s="367"/>
      <c r="M332" s="367"/>
      <c r="N332" s="367"/>
      <c r="O332" s="367"/>
      <c r="P332" s="367"/>
      <c r="Q332" s="367">
        <v>270</v>
      </c>
      <c r="R332" s="367"/>
      <c r="S332" s="367"/>
      <c r="T332" s="367"/>
      <c r="U332" s="367"/>
      <c r="V332" s="367"/>
      <c r="W332" s="367"/>
      <c r="X332" s="367"/>
      <c r="Y332" s="367"/>
      <c r="Z332" s="367"/>
      <c r="AA332" s="367"/>
      <c r="AB332" s="367"/>
      <c r="AC332" s="367"/>
      <c r="AD332" s="367"/>
    </row>
    <row r="333" spans="1:30" ht="15" x14ac:dyDescent="0.25">
      <c r="A333" s="365" t="s">
        <v>518</v>
      </c>
      <c r="H333" s="366">
        <v>26</v>
      </c>
      <c r="J333" s="367"/>
      <c r="K333" s="367"/>
      <c r="L333" s="367"/>
      <c r="M333" s="367"/>
      <c r="N333" s="367"/>
      <c r="O333" s="367"/>
      <c r="P333" s="367"/>
      <c r="Q333" s="367">
        <v>25</v>
      </c>
      <c r="R333" s="367"/>
      <c r="S333" s="367"/>
      <c r="T333" s="367"/>
      <c r="U333" s="367"/>
      <c r="V333" s="367"/>
      <c r="W333" s="367"/>
      <c r="X333" s="367"/>
      <c r="Y333" s="367"/>
      <c r="Z333" s="367"/>
      <c r="AA333" s="367"/>
      <c r="AB333" s="367"/>
      <c r="AC333" s="367"/>
      <c r="AD333" s="367">
        <v>0.02</v>
      </c>
    </row>
    <row r="334" spans="1:30" ht="15" x14ac:dyDescent="0.25">
      <c r="A334" s="365" t="s">
        <v>413</v>
      </c>
      <c r="H334" s="366"/>
      <c r="J334" s="367"/>
      <c r="K334" s="367"/>
      <c r="L334" s="367"/>
      <c r="M334" s="367"/>
      <c r="N334" s="367"/>
      <c r="O334" s="367"/>
      <c r="P334" s="367"/>
      <c r="Q334" s="367">
        <v>45</v>
      </c>
      <c r="R334" s="367"/>
      <c r="S334" s="367"/>
      <c r="T334" s="367"/>
      <c r="U334" s="367"/>
      <c r="V334" s="367"/>
      <c r="W334" s="367"/>
      <c r="X334" s="367"/>
      <c r="Y334" s="367"/>
      <c r="Z334" s="367"/>
      <c r="AA334" s="367"/>
      <c r="AB334" s="367"/>
      <c r="AC334" s="367"/>
      <c r="AD334" s="367"/>
    </row>
    <row r="335" spans="1:30" ht="15" x14ac:dyDescent="0.25">
      <c r="A335" s="365" t="s">
        <v>413</v>
      </c>
      <c r="H335" s="366"/>
      <c r="J335" s="367"/>
      <c r="K335" s="367"/>
      <c r="L335" s="367"/>
      <c r="M335" s="367"/>
      <c r="N335" s="367"/>
      <c r="O335" s="367"/>
      <c r="P335" s="367"/>
      <c r="Q335" s="367">
        <v>45</v>
      </c>
      <c r="R335" s="367"/>
      <c r="S335" s="367"/>
      <c r="T335" s="367"/>
      <c r="U335" s="367"/>
      <c r="V335" s="367"/>
      <c r="W335" s="367"/>
      <c r="X335" s="367"/>
      <c r="Y335" s="367"/>
      <c r="Z335" s="367"/>
      <c r="AA335" s="367"/>
      <c r="AB335" s="367"/>
      <c r="AC335" s="367"/>
      <c r="AD335" s="367"/>
    </row>
    <row r="336" spans="1:30" ht="15" x14ac:dyDescent="0.25">
      <c r="A336" s="365" t="s">
        <v>413</v>
      </c>
      <c r="H336" s="366"/>
      <c r="J336" s="367"/>
      <c r="K336" s="367"/>
      <c r="L336" s="367"/>
      <c r="M336" s="367"/>
      <c r="N336" s="367"/>
      <c r="O336" s="367"/>
      <c r="P336" s="367"/>
      <c r="Q336" s="367">
        <v>44</v>
      </c>
      <c r="R336" s="367"/>
      <c r="S336" s="367"/>
      <c r="T336" s="367"/>
      <c r="U336" s="367"/>
      <c r="V336" s="367"/>
      <c r="W336" s="367"/>
      <c r="X336" s="367"/>
      <c r="Y336" s="367"/>
      <c r="Z336" s="367"/>
      <c r="AA336" s="367"/>
      <c r="AB336" s="367"/>
      <c r="AC336" s="367"/>
      <c r="AD336" s="367"/>
    </row>
    <row r="337" spans="1:30" ht="15" x14ac:dyDescent="0.25">
      <c r="A337" s="365" t="s">
        <v>519</v>
      </c>
      <c r="H337" s="366">
        <v>98</v>
      </c>
      <c r="J337" s="367"/>
      <c r="K337" s="367"/>
      <c r="L337" s="367"/>
      <c r="M337" s="367"/>
      <c r="N337" s="367"/>
      <c r="O337" s="367"/>
      <c r="P337" s="367"/>
      <c r="Q337" s="367">
        <v>10</v>
      </c>
      <c r="R337" s="367"/>
      <c r="S337" s="367"/>
      <c r="T337" s="367"/>
      <c r="U337" s="367"/>
      <c r="V337" s="367"/>
      <c r="W337" s="367"/>
      <c r="X337" s="367"/>
      <c r="Y337" s="367"/>
      <c r="Z337" s="367"/>
      <c r="AA337" s="367"/>
      <c r="AB337" s="367"/>
      <c r="AC337" s="367"/>
      <c r="AD337" s="367"/>
    </row>
    <row r="338" spans="1:30" ht="15" x14ac:dyDescent="0.25">
      <c r="A338" s="365" t="s">
        <v>520</v>
      </c>
      <c r="H338" s="366">
        <v>50</v>
      </c>
      <c r="J338" s="367"/>
      <c r="K338" s="367">
        <v>0.2</v>
      </c>
      <c r="L338" s="367"/>
      <c r="M338" s="367"/>
      <c r="N338" s="367"/>
      <c r="O338" s="367"/>
      <c r="P338" s="367"/>
      <c r="Q338" s="367">
        <v>1.4</v>
      </c>
      <c r="R338" s="367"/>
      <c r="S338" s="367"/>
      <c r="T338" s="367"/>
      <c r="U338" s="367"/>
      <c r="V338" s="367"/>
      <c r="W338" s="367"/>
      <c r="X338" s="367"/>
      <c r="Y338" s="367"/>
      <c r="Z338" s="367">
        <v>-0.1</v>
      </c>
      <c r="AA338" s="367"/>
      <c r="AB338" s="367"/>
      <c r="AC338" s="367"/>
      <c r="AD338" s="367">
        <v>-5.0000000000000001E-3</v>
      </c>
    </row>
    <row r="339" spans="1:30" ht="15" x14ac:dyDescent="0.25">
      <c r="A339" s="365" t="s">
        <v>521</v>
      </c>
      <c r="H339" s="366">
        <v>70</v>
      </c>
      <c r="J339" s="367"/>
      <c r="K339" s="367">
        <v>5.4</v>
      </c>
      <c r="L339" s="367"/>
      <c r="M339" s="367"/>
      <c r="N339" s="367"/>
      <c r="O339" s="367"/>
      <c r="P339" s="367"/>
      <c r="Q339" s="367">
        <v>150</v>
      </c>
      <c r="R339" s="367"/>
      <c r="S339" s="367"/>
      <c r="T339" s="367"/>
      <c r="U339" s="367"/>
      <c r="V339" s="367"/>
      <c r="W339" s="367"/>
      <c r="X339" s="367">
        <v>0.01</v>
      </c>
      <c r="Y339" s="367"/>
      <c r="Z339" s="367"/>
      <c r="AA339" s="367"/>
      <c r="AB339" s="367"/>
      <c r="AC339" s="367"/>
      <c r="AD339" s="367"/>
    </row>
    <row r="340" spans="1:30" ht="15" x14ac:dyDescent="0.25">
      <c r="A340" s="365" t="s">
        <v>522</v>
      </c>
      <c r="H340" s="366">
        <v>46</v>
      </c>
      <c r="J340" s="367"/>
      <c r="K340" s="367">
        <v>0.83</v>
      </c>
      <c r="L340" s="367"/>
      <c r="M340" s="367"/>
      <c r="N340" s="367"/>
      <c r="O340" s="367"/>
      <c r="P340" s="367"/>
      <c r="Q340" s="367">
        <v>1.8</v>
      </c>
      <c r="R340" s="367"/>
      <c r="S340" s="367"/>
      <c r="T340" s="367"/>
      <c r="U340" s="367"/>
      <c r="V340" s="367"/>
      <c r="W340" s="367"/>
      <c r="X340" s="367"/>
      <c r="Y340" s="367"/>
      <c r="Z340" s="367">
        <v>-0.1</v>
      </c>
      <c r="AA340" s="367"/>
      <c r="AB340" s="367"/>
      <c r="AC340" s="367"/>
      <c r="AD340" s="367">
        <v>0.54</v>
      </c>
    </row>
    <row r="341" spans="1:30" ht="15" x14ac:dyDescent="0.25">
      <c r="A341" s="365" t="s">
        <v>523</v>
      </c>
      <c r="H341" s="366">
        <v>42</v>
      </c>
      <c r="J341" s="367"/>
      <c r="K341" s="367">
        <v>19</v>
      </c>
      <c r="L341" s="367"/>
      <c r="M341" s="367"/>
      <c r="N341" s="367"/>
      <c r="O341" s="367"/>
      <c r="P341" s="367"/>
      <c r="Q341" s="367">
        <v>60</v>
      </c>
      <c r="R341" s="367"/>
      <c r="S341" s="367"/>
      <c r="T341" s="367"/>
      <c r="U341" s="367"/>
      <c r="V341" s="367"/>
      <c r="W341" s="367"/>
      <c r="X341" s="367"/>
      <c r="Y341" s="367"/>
      <c r="Z341" s="367"/>
      <c r="AA341" s="367"/>
      <c r="AB341" s="367"/>
      <c r="AC341" s="367"/>
      <c r="AD341" s="367"/>
    </row>
    <row r="342" spans="1:30" ht="15" x14ac:dyDescent="0.25">
      <c r="A342" s="365" t="s">
        <v>523</v>
      </c>
      <c r="H342" s="366">
        <v>34</v>
      </c>
      <c r="J342" s="367"/>
      <c r="K342" s="367">
        <v>12</v>
      </c>
      <c r="L342" s="367"/>
      <c r="M342" s="367"/>
      <c r="N342" s="367"/>
      <c r="O342" s="367"/>
      <c r="P342" s="367"/>
      <c r="Q342" s="367">
        <v>62</v>
      </c>
      <c r="R342" s="367"/>
      <c r="S342" s="367"/>
      <c r="T342" s="367"/>
      <c r="U342" s="367"/>
      <c r="V342" s="367"/>
      <c r="W342" s="367"/>
      <c r="X342" s="367"/>
      <c r="Y342" s="367"/>
      <c r="Z342" s="367"/>
      <c r="AA342" s="367"/>
      <c r="AB342" s="367"/>
      <c r="AC342" s="367"/>
      <c r="AD342" s="367"/>
    </row>
    <row r="343" spans="1:30" ht="15" x14ac:dyDescent="0.25">
      <c r="A343" s="365" t="s">
        <v>524</v>
      </c>
      <c r="H343" s="366">
        <v>44</v>
      </c>
      <c r="J343" s="367"/>
      <c r="K343" s="367">
        <v>-0.1</v>
      </c>
      <c r="L343" s="367"/>
      <c r="M343" s="367"/>
      <c r="N343" s="367"/>
      <c r="O343" s="367"/>
      <c r="P343" s="367"/>
      <c r="Q343" s="367">
        <v>16</v>
      </c>
      <c r="R343" s="367"/>
      <c r="S343" s="367"/>
      <c r="T343" s="367"/>
      <c r="U343" s="367"/>
      <c r="V343" s="367"/>
      <c r="W343" s="367"/>
      <c r="X343" s="367"/>
      <c r="Y343" s="367"/>
      <c r="Z343" s="367"/>
      <c r="AA343" s="367"/>
      <c r="AB343" s="367"/>
      <c r="AC343" s="367"/>
      <c r="AD343" s="367"/>
    </row>
    <row r="344" spans="1:30" ht="15" x14ac:dyDescent="0.25">
      <c r="A344" s="365" t="s">
        <v>525</v>
      </c>
      <c r="H344" s="366">
        <v>23</v>
      </c>
      <c r="J344" s="367"/>
      <c r="K344" s="367">
        <v>1.9</v>
      </c>
      <c r="L344" s="367"/>
      <c r="M344" s="367"/>
      <c r="N344" s="367"/>
      <c r="O344" s="367"/>
      <c r="P344" s="367"/>
      <c r="Q344" s="367">
        <v>290</v>
      </c>
      <c r="R344" s="367"/>
      <c r="S344" s="367"/>
      <c r="T344" s="367"/>
      <c r="U344" s="367"/>
      <c r="V344" s="367"/>
      <c r="W344" s="367"/>
      <c r="X344" s="367"/>
      <c r="Y344" s="367"/>
      <c r="Z344" s="367"/>
      <c r="AA344" s="367"/>
      <c r="AB344" s="367"/>
      <c r="AC344" s="367"/>
      <c r="AD344" s="367"/>
    </row>
    <row r="345" spans="1:30" ht="15" x14ac:dyDescent="0.25">
      <c r="A345" s="365" t="s">
        <v>526</v>
      </c>
      <c r="H345" s="366">
        <v>44</v>
      </c>
      <c r="J345" s="367"/>
      <c r="K345" s="367"/>
      <c r="L345" s="367"/>
      <c r="M345" s="367"/>
      <c r="N345" s="367"/>
      <c r="O345" s="367"/>
      <c r="P345" s="367"/>
      <c r="Q345" s="367">
        <v>17</v>
      </c>
      <c r="R345" s="367"/>
      <c r="S345" s="367"/>
      <c r="T345" s="367"/>
      <c r="U345" s="367"/>
      <c r="V345" s="367"/>
      <c r="W345" s="367"/>
      <c r="X345" s="367"/>
      <c r="Y345" s="367"/>
      <c r="Z345" s="367"/>
      <c r="AA345" s="367"/>
      <c r="AB345" s="367"/>
      <c r="AC345" s="367"/>
      <c r="AD345" s="367">
        <v>7.0000000000000007E-2</v>
      </c>
    </row>
    <row r="346" spans="1:30" ht="15" x14ac:dyDescent="0.25">
      <c r="A346" s="365" t="s">
        <v>527</v>
      </c>
      <c r="H346" s="366">
        <v>77</v>
      </c>
      <c r="J346" s="367"/>
      <c r="K346" s="367">
        <v>0.4</v>
      </c>
      <c r="L346" s="367"/>
      <c r="M346" s="367"/>
      <c r="N346" s="367"/>
      <c r="O346" s="367"/>
      <c r="P346" s="367"/>
      <c r="Q346" s="367">
        <v>4.5</v>
      </c>
      <c r="R346" s="367"/>
      <c r="S346" s="367"/>
      <c r="T346" s="367"/>
      <c r="U346" s="367"/>
      <c r="V346" s="367"/>
      <c r="W346" s="367"/>
      <c r="X346" s="367"/>
      <c r="Y346" s="367"/>
      <c r="Z346" s="367">
        <v>-0.1</v>
      </c>
      <c r="AA346" s="367"/>
      <c r="AB346" s="367"/>
      <c r="AC346" s="367"/>
      <c r="AD346" s="367">
        <v>1.2E-2</v>
      </c>
    </row>
    <row r="347" spans="1:30" ht="15" x14ac:dyDescent="0.25">
      <c r="A347" s="365" t="s">
        <v>528</v>
      </c>
      <c r="H347" s="366">
        <v>20</v>
      </c>
      <c r="J347" s="367"/>
      <c r="K347" s="367"/>
      <c r="L347" s="367"/>
      <c r="M347" s="367"/>
      <c r="N347" s="367"/>
      <c r="O347" s="367"/>
      <c r="P347" s="367"/>
      <c r="Q347" s="367">
        <v>-1</v>
      </c>
      <c r="R347" s="367"/>
      <c r="S347" s="367"/>
      <c r="T347" s="367"/>
      <c r="U347" s="367"/>
      <c r="V347" s="367"/>
      <c r="W347" s="367"/>
      <c r="X347" s="367"/>
      <c r="Y347" s="367"/>
      <c r="Z347" s="367"/>
      <c r="AA347" s="367"/>
      <c r="AB347" s="367"/>
      <c r="AC347" s="367"/>
      <c r="AD347" s="367">
        <v>0.14000000000000001</v>
      </c>
    </row>
    <row r="348" spans="1:30" ht="15" x14ac:dyDescent="0.25">
      <c r="A348" s="365" t="s">
        <v>529</v>
      </c>
      <c r="H348" s="366"/>
      <c r="J348" s="367"/>
      <c r="K348" s="367">
        <v>154</v>
      </c>
      <c r="L348" s="367"/>
      <c r="M348" s="367"/>
      <c r="N348" s="367"/>
      <c r="O348" s="367"/>
      <c r="P348" s="367"/>
      <c r="Q348" s="367"/>
      <c r="R348" s="367"/>
      <c r="S348" s="367"/>
      <c r="T348" s="367"/>
      <c r="U348" s="367"/>
      <c r="V348" s="367"/>
      <c r="W348" s="367"/>
      <c r="X348" s="367"/>
      <c r="Y348" s="367"/>
      <c r="Z348" s="367"/>
      <c r="AA348" s="367"/>
      <c r="AB348" s="367"/>
      <c r="AC348" s="367"/>
      <c r="AD348" s="367"/>
    </row>
    <row r="349" spans="1:30" ht="15" x14ac:dyDescent="0.25">
      <c r="A349" s="365" t="s">
        <v>529</v>
      </c>
      <c r="H349" s="366"/>
      <c r="J349" s="367"/>
      <c r="K349" s="367">
        <v>259</v>
      </c>
      <c r="L349" s="367"/>
      <c r="M349" s="367"/>
      <c r="N349" s="367"/>
      <c r="O349" s="367"/>
      <c r="P349" s="367"/>
      <c r="Q349" s="367">
        <v>730</v>
      </c>
      <c r="R349" s="367"/>
      <c r="S349" s="367"/>
      <c r="T349" s="367"/>
      <c r="U349" s="367"/>
      <c r="V349" s="367"/>
      <c r="W349" s="367"/>
      <c r="X349" s="367"/>
      <c r="Y349" s="367"/>
      <c r="Z349" s="367"/>
      <c r="AA349" s="367"/>
      <c r="AB349" s="367">
        <v>40</v>
      </c>
      <c r="AC349" s="367"/>
      <c r="AD349" s="367">
        <v>2100</v>
      </c>
    </row>
    <row r="350" spans="1:30" ht="15" x14ac:dyDescent="0.25">
      <c r="A350" s="365" t="s">
        <v>530</v>
      </c>
      <c r="H350" s="366"/>
      <c r="J350" s="367"/>
      <c r="K350" s="367">
        <v>239</v>
      </c>
      <c r="L350" s="367"/>
      <c r="M350" s="367"/>
      <c r="N350" s="367"/>
      <c r="O350" s="367"/>
      <c r="P350" s="367"/>
      <c r="Q350" s="367">
        <v>670</v>
      </c>
      <c r="R350" s="367"/>
      <c r="S350" s="367"/>
      <c r="T350" s="367"/>
      <c r="U350" s="367"/>
      <c r="V350" s="367"/>
      <c r="W350" s="367"/>
      <c r="X350" s="367"/>
      <c r="Y350" s="367"/>
      <c r="Z350" s="367"/>
      <c r="AA350" s="367"/>
      <c r="AB350" s="367"/>
      <c r="AC350" s="367"/>
      <c r="AD350" s="367"/>
    </row>
    <row r="351" spans="1:30" ht="15" x14ac:dyDescent="0.25">
      <c r="A351" s="365" t="s">
        <v>531</v>
      </c>
      <c r="H351" s="366"/>
      <c r="J351" s="367"/>
      <c r="K351" s="367">
        <v>0.23</v>
      </c>
      <c r="L351" s="367"/>
      <c r="M351" s="367"/>
      <c r="N351" s="367"/>
      <c r="O351" s="367"/>
      <c r="P351" s="367"/>
      <c r="Q351" s="367">
        <v>3.2</v>
      </c>
      <c r="R351" s="367"/>
      <c r="S351" s="367"/>
      <c r="T351" s="367"/>
      <c r="U351" s="367"/>
      <c r="V351" s="367"/>
      <c r="W351" s="367"/>
      <c r="X351" s="367"/>
      <c r="Y351" s="367"/>
      <c r="Z351" s="367"/>
      <c r="AA351" s="367"/>
      <c r="AB351" s="367"/>
      <c r="AC351" s="367"/>
      <c r="AD351" s="367"/>
    </row>
    <row r="352" spans="1:30" ht="15" x14ac:dyDescent="0.25">
      <c r="A352" s="365" t="s">
        <v>532</v>
      </c>
      <c r="H352" s="366">
        <v>82</v>
      </c>
      <c r="J352" s="367"/>
      <c r="K352" s="367"/>
      <c r="L352" s="367"/>
      <c r="M352" s="367"/>
      <c r="N352" s="367"/>
      <c r="O352" s="367"/>
      <c r="P352" s="367"/>
      <c r="Q352" s="367">
        <v>8</v>
      </c>
      <c r="R352" s="367"/>
      <c r="S352" s="367"/>
      <c r="T352" s="367"/>
      <c r="U352" s="367"/>
      <c r="V352" s="367"/>
      <c r="W352" s="367"/>
      <c r="X352" s="367"/>
      <c r="Y352" s="367"/>
      <c r="Z352" s="367"/>
      <c r="AA352" s="367"/>
      <c r="AB352" s="367"/>
      <c r="AC352" s="367"/>
      <c r="AD352" s="367"/>
    </row>
    <row r="353" spans="1:30" ht="15" x14ac:dyDescent="0.25">
      <c r="A353" s="365" t="s">
        <v>533</v>
      </c>
      <c r="H353" s="366">
        <v>19</v>
      </c>
      <c r="J353" s="367"/>
      <c r="K353" s="367">
        <v>1.6</v>
      </c>
      <c r="L353" s="367"/>
      <c r="M353" s="367"/>
      <c r="N353" s="367"/>
      <c r="O353" s="367"/>
      <c r="P353" s="367"/>
      <c r="Q353" s="367">
        <v>1.6</v>
      </c>
      <c r="R353" s="367"/>
      <c r="S353" s="367"/>
      <c r="T353" s="367"/>
      <c r="U353" s="367"/>
      <c r="V353" s="367"/>
      <c r="W353" s="367"/>
      <c r="X353" s="367"/>
      <c r="Y353" s="367"/>
      <c r="Z353" s="367">
        <v>-0.5</v>
      </c>
      <c r="AA353" s="367"/>
      <c r="AB353" s="367"/>
      <c r="AC353" s="367"/>
      <c r="AD353" s="367">
        <v>0.03</v>
      </c>
    </row>
    <row r="354" spans="1:30" ht="15" x14ac:dyDescent="0.25">
      <c r="A354" s="365" t="s">
        <v>534</v>
      </c>
      <c r="H354" s="366">
        <v>30</v>
      </c>
      <c r="J354" s="367"/>
      <c r="K354" s="367">
        <v>3.3</v>
      </c>
      <c r="L354" s="367"/>
      <c r="M354" s="367"/>
      <c r="N354" s="367"/>
      <c r="O354" s="367"/>
      <c r="P354" s="367"/>
      <c r="Q354" s="367">
        <v>3.4</v>
      </c>
      <c r="R354" s="367"/>
      <c r="S354" s="367"/>
      <c r="T354" s="367"/>
      <c r="U354" s="367"/>
      <c r="V354" s="367"/>
      <c r="W354" s="367"/>
      <c r="X354" s="367"/>
      <c r="Y354" s="367"/>
      <c r="Z354" s="367">
        <v>-0.5</v>
      </c>
      <c r="AA354" s="367"/>
      <c r="AB354" s="367"/>
      <c r="AC354" s="367"/>
      <c r="AD354" s="367"/>
    </row>
    <row r="355" spans="1:30" ht="15" x14ac:dyDescent="0.25">
      <c r="A355" s="365" t="s">
        <v>535</v>
      </c>
      <c r="H355" s="366"/>
      <c r="J355" s="367"/>
      <c r="K355" s="367"/>
      <c r="L355" s="367"/>
      <c r="M355" s="367"/>
      <c r="N355" s="367"/>
      <c r="O355" s="367"/>
      <c r="P355" s="367"/>
      <c r="Q355" s="367">
        <v>268</v>
      </c>
      <c r="R355" s="367"/>
      <c r="S355" s="367"/>
      <c r="T355" s="367"/>
      <c r="U355" s="367"/>
      <c r="V355" s="367"/>
      <c r="W355" s="367"/>
      <c r="X355" s="367"/>
      <c r="Y355" s="367"/>
      <c r="Z355" s="367"/>
      <c r="AA355" s="367"/>
      <c r="AB355" s="367"/>
      <c r="AC355" s="367"/>
      <c r="AD355" s="367"/>
    </row>
    <row r="356" spans="1:30" ht="15" x14ac:dyDescent="0.25">
      <c r="A356" s="365" t="s">
        <v>536</v>
      </c>
      <c r="H356" s="366"/>
      <c r="J356" s="367"/>
      <c r="K356" s="367"/>
      <c r="L356" s="367"/>
      <c r="M356" s="367"/>
      <c r="N356" s="367"/>
      <c r="O356" s="367"/>
      <c r="P356" s="367"/>
      <c r="Q356" s="367">
        <v>8.4</v>
      </c>
      <c r="R356" s="367"/>
      <c r="S356" s="367"/>
      <c r="T356" s="367"/>
      <c r="U356" s="367"/>
      <c r="V356" s="367"/>
      <c r="W356" s="367"/>
      <c r="X356" s="367"/>
      <c r="Y356" s="367"/>
      <c r="Z356" s="367"/>
      <c r="AA356" s="367"/>
      <c r="AB356" s="367"/>
      <c r="AC356" s="367"/>
      <c r="AD356" s="367"/>
    </row>
    <row r="357" spans="1:30" ht="15" x14ac:dyDescent="0.25">
      <c r="A357" s="365" t="s">
        <v>537</v>
      </c>
      <c r="H357" s="366">
        <v>82</v>
      </c>
      <c r="J357" s="367"/>
      <c r="K357" s="367"/>
      <c r="L357" s="367"/>
      <c r="M357" s="367"/>
      <c r="N357" s="367"/>
      <c r="O357" s="367"/>
      <c r="P357" s="367"/>
      <c r="Q357" s="367">
        <v>10</v>
      </c>
      <c r="R357" s="367"/>
      <c r="S357" s="367"/>
      <c r="T357" s="367"/>
      <c r="U357" s="367"/>
      <c r="V357" s="367"/>
      <c r="W357" s="367"/>
      <c r="X357" s="367"/>
      <c r="Y357" s="367"/>
      <c r="Z357" s="367"/>
      <c r="AA357" s="367"/>
      <c r="AB357" s="367"/>
      <c r="AC357" s="367"/>
      <c r="AD357" s="367"/>
    </row>
    <row r="358" spans="1:30" ht="15" x14ac:dyDescent="0.25">
      <c r="A358" s="365" t="s">
        <v>538</v>
      </c>
      <c r="H358" s="366">
        <v>54</v>
      </c>
      <c r="J358" s="367"/>
      <c r="K358" s="367">
        <v>0.18</v>
      </c>
      <c r="L358" s="367"/>
      <c r="M358" s="367"/>
      <c r="N358" s="367"/>
      <c r="O358" s="367"/>
      <c r="P358" s="367"/>
      <c r="Q358" s="367">
        <v>2.4</v>
      </c>
      <c r="R358" s="367"/>
      <c r="S358" s="367"/>
      <c r="T358" s="367"/>
      <c r="U358" s="367"/>
      <c r="V358" s="367"/>
      <c r="W358" s="367"/>
      <c r="X358" s="367"/>
      <c r="Y358" s="367"/>
      <c r="Z358" s="367">
        <v>-0.1</v>
      </c>
      <c r="AA358" s="367"/>
      <c r="AB358" s="367"/>
      <c r="AC358" s="367"/>
      <c r="AD358" s="367">
        <v>-5.0000000000000001E-3</v>
      </c>
    </row>
    <row r="359" spans="1:30" ht="15" x14ac:dyDescent="0.25">
      <c r="A359" s="365" t="s">
        <v>538</v>
      </c>
      <c r="H359" s="366">
        <v>56</v>
      </c>
      <c r="J359" s="367"/>
      <c r="K359" s="367">
        <v>0.22</v>
      </c>
      <c r="L359" s="367"/>
      <c r="M359" s="367"/>
      <c r="N359" s="367"/>
      <c r="O359" s="367"/>
      <c r="P359" s="367"/>
      <c r="Q359" s="367">
        <v>2.5</v>
      </c>
      <c r="R359" s="367"/>
      <c r="S359" s="367"/>
      <c r="T359" s="367"/>
      <c r="U359" s="367"/>
      <c r="V359" s="367"/>
      <c r="W359" s="367"/>
      <c r="X359" s="367">
        <v>0.01</v>
      </c>
      <c r="Y359" s="367"/>
      <c r="Z359" s="367"/>
      <c r="AA359" s="367"/>
      <c r="AB359" s="367"/>
      <c r="AC359" s="367"/>
      <c r="AD359" s="367"/>
    </row>
    <row r="360" spans="1:30" ht="15" x14ac:dyDescent="0.25">
      <c r="A360" s="365" t="s">
        <v>539</v>
      </c>
      <c r="H360" s="366">
        <v>20</v>
      </c>
      <c r="J360" s="367"/>
      <c r="K360" s="367">
        <v>-0.02</v>
      </c>
      <c r="L360" s="367"/>
      <c r="M360" s="367"/>
      <c r="N360" s="367"/>
      <c r="O360" s="367"/>
      <c r="P360" s="367"/>
      <c r="Q360" s="367">
        <v>-0.02</v>
      </c>
      <c r="R360" s="367"/>
      <c r="S360" s="367"/>
      <c r="T360" s="367"/>
      <c r="U360" s="367"/>
      <c r="V360" s="367"/>
      <c r="W360" s="367"/>
      <c r="X360" s="367"/>
      <c r="Y360" s="367"/>
      <c r="Z360" s="367">
        <v>-0.1</v>
      </c>
      <c r="AA360" s="367"/>
      <c r="AB360" s="367"/>
      <c r="AC360" s="367"/>
      <c r="AD360" s="367">
        <v>0.04</v>
      </c>
    </row>
    <row r="361" spans="1:30" ht="15" x14ac:dyDescent="0.25">
      <c r="A361" s="365" t="s">
        <v>526</v>
      </c>
      <c r="H361" s="366">
        <v>50</v>
      </c>
      <c r="J361" s="367"/>
      <c r="K361" s="367"/>
      <c r="L361" s="367"/>
      <c r="M361" s="367"/>
      <c r="N361" s="367"/>
      <c r="O361" s="367"/>
      <c r="P361" s="367"/>
      <c r="Q361" s="367">
        <v>19</v>
      </c>
      <c r="R361" s="367"/>
      <c r="S361" s="367"/>
      <c r="T361" s="367"/>
      <c r="U361" s="367"/>
      <c r="V361" s="367"/>
      <c r="W361" s="367"/>
      <c r="X361" s="367"/>
      <c r="Y361" s="367"/>
      <c r="Z361" s="367"/>
      <c r="AA361" s="367"/>
      <c r="AB361" s="367"/>
      <c r="AC361" s="367"/>
      <c r="AD361" s="367">
        <v>0.02</v>
      </c>
    </row>
    <row r="362" spans="1:30" ht="15" x14ac:dyDescent="0.25">
      <c r="A362" s="365" t="s">
        <v>540</v>
      </c>
      <c r="H362" s="366"/>
      <c r="J362" s="367"/>
      <c r="K362" s="367">
        <v>0.73</v>
      </c>
      <c r="L362" s="367"/>
      <c r="M362" s="367"/>
      <c r="N362" s="367"/>
      <c r="O362" s="367"/>
      <c r="P362" s="367"/>
      <c r="Q362" s="367"/>
      <c r="R362" s="367"/>
      <c r="S362" s="367"/>
      <c r="T362" s="367"/>
      <c r="U362" s="367"/>
      <c r="V362" s="367"/>
      <c r="W362" s="367"/>
      <c r="X362" s="367"/>
      <c r="Y362" s="367"/>
      <c r="Z362" s="367"/>
      <c r="AA362" s="367"/>
      <c r="AB362" s="367"/>
      <c r="AC362" s="367"/>
      <c r="AD362" s="367"/>
    </row>
    <row r="363" spans="1:30" ht="15" x14ac:dyDescent="0.25">
      <c r="A363" s="365" t="s">
        <v>541</v>
      </c>
      <c r="H363" s="366">
        <v>89</v>
      </c>
      <c r="J363" s="367"/>
      <c r="K363" s="367">
        <v>0.76</v>
      </c>
      <c r="L363" s="367"/>
      <c r="M363" s="367"/>
      <c r="N363" s="367"/>
      <c r="O363" s="367"/>
      <c r="P363" s="367"/>
      <c r="Q363" s="367">
        <v>13</v>
      </c>
      <c r="R363" s="367"/>
      <c r="S363" s="367"/>
      <c r="T363" s="367"/>
      <c r="U363" s="367"/>
      <c r="V363" s="367"/>
      <c r="W363" s="367"/>
      <c r="X363" s="367">
        <v>-0.1</v>
      </c>
      <c r="Y363" s="367"/>
      <c r="Z363" s="367">
        <v>-0.1</v>
      </c>
      <c r="AA363" s="367"/>
      <c r="AB363" s="367"/>
      <c r="AC363" s="367"/>
      <c r="AD363" s="367">
        <v>-5.0000000000000001E-3</v>
      </c>
    </row>
    <row r="364" spans="1:30" ht="15" x14ac:dyDescent="0.25">
      <c r="A364" s="365" t="s">
        <v>542</v>
      </c>
      <c r="H364" s="366">
        <v>68</v>
      </c>
      <c r="J364" s="367"/>
      <c r="K364" s="367">
        <v>0.79</v>
      </c>
      <c r="L364" s="367"/>
      <c r="M364" s="367"/>
      <c r="N364" s="367"/>
      <c r="O364" s="367"/>
      <c r="P364" s="367"/>
      <c r="Q364" s="367">
        <v>13</v>
      </c>
      <c r="R364" s="367"/>
      <c r="S364" s="367"/>
      <c r="T364" s="367"/>
      <c r="U364" s="367"/>
      <c r="V364" s="367"/>
      <c r="W364" s="367"/>
      <c r="X364" s="367"/>
      <c r="Y364" s="367"/>
      <c r="Z364" s="367">
        <v>-0.1</v>
      </c>
      <c r="AA364" s="367"/>
      <c r="AB364" s="367"/>
      <c r="AC364" s="367"/>
      <c r="AD364" s="367">
        <v>5.0000000000000001E-3</v>
      </c>
    </row>
    <row r="365" spans="1:30" ht="15" x14ac:dyDescent="0.25">
      <c r="A365" s="365" t="s">
        <v>543</v>
      </c>
      <c r="H365" s="366">
        <v>23</v>
      </c>
      <c r="J365" s="367"/>
      <c r="K365" s="367">
        <v>0.01</v>
      </c>
      <c r="L365" s="367"/>
      <c r="M365" s="367"/>
      <c r="N365" s="367"/>
      <c r="O365" s="367"/>
      <c r="P365" s="367"/>
      <c r="Q365" s="367">
        <v>0.2</v>
      </c>
      <c r="R365" s="367"/>
      <c r="S365" s="367"/>
      <c r="T365" s="367"/>
      <c r="U365" s="367"/>
      <c r="V365" s="367"/>
      <c r="W365" s="367"/>
      <c r="X365" s="367"/>
      <c r="Y365" s="367"/>
      <c r="Z365" s="367">
        <v>-0.05</v>
      </c>
      <c r="AA365" s="367"/>
      <c r="AB365" s="367"/>
      <c r="AC365" s="367"/>
      <c r="AD365" s="367"/>
    </row>
    <row r="366" spans="1:30" ht="15" x14ac:dyDescent="0.25">
      <c r="A366" s="365" t="s">
        <v>544</v>
      </c>
      <c r="H366" s="366"/>
      <c r="J366" s="367"/>
      <c r="K366" s="367">
        <v>230</v>
      </c>
      <c r="L366" s="367"/>
      <c r="M366" s="367"/>
      <c r="N366" s="367"/>
      <c r="O366" s="367"/>
      <c r="P366" s="367"/>
      <c r="Q366" s="367">
        <v>740</v>
      </c>
      <c r="R366" s="367"/>
      <c r="S366" s="367"/>
      <c r="T366" s="367"/>
      <c r="U366" s="367"/>
      <c r="V366" s="367"/>
      <c r="W366" s="367"/>
      <c r="X366" s="367"/>
      <c r="Y366" s="367"/>
      <c r="Z366" s="367"/>
      <c r="AA366" s="367"/>
      <c r="AB366" s="367">
        <v>35</v>
      </c>
      <c r="AC366" s="367"/>
      <c r="AD366" s="367">
        <v>1700</v>
      </c>
    </row>
    <row r="367" spans="1:30" ht="15" x14ac:dyDescent="0.25">
      <c r="A367" s="365" t="s">
        <v>545</v>
      </c>
      <c r="H367" s="366">
        <v>53</v>
      </c>
      <c r="J367" s="367"/>
      <c r="K367" s="367">
        <v>-0.1</v>
      </c>
      <c r="L367" s="367"/>
      <c r="M367" s="367"/>
      <c r="N367" s="367"/>
      <c r="O367" s="367"/>
      <c r="P367" s="367"/>
      <c r="Q367" s="367">
        <v>18</v>
      </c>
      <c r="R367" s="367"/>
      <c r="S367" s="367"/>
      <c r="T367" s="367"/>
      <c r="U367" s="367"/>
      <c r="V367" s="367"/>
      <c r="W367" s="367"/>
      <c r="X367" s="367"/>
      <c r="Y367" s="367"/>
      <c r="Z367" s="367"/>
      <c r="AA367" s="367"/>
      <c r="AB367" s="367"/>
      <c r="AC367" s="367"/>
      <c r="AD367" s="367"/>
    </row>
    <row r="368" spans="1:30" ht="15" x14ac:dyDescent="0.25">
      <c r="A368" s="365" t="s">
        <v>545</v>
      </c>
      <c r="H368" s="366"/>
      <c r="J368" s="367"/>
      <c r="K368" s="367"/>
      <c r="L368" s="367"/>
      <c r="M368" s="367"/>
      <c r="N368" s="367"/>
      <c r="O368" s="367"/>
      <c r="P368" s="367"/>
      <c r="Q368" s="367"/>
      <c r="R368" s="367"/>
      <c r="S368" s="367"/>
      <c r="T368" s="367"/>
      <c r="U368" s="367"/>
      <c r="V368" s="367"/>
      <c r="W368" s="367"/>
      <c r="X368" s="367"/>
      <c r="Y368" s="367"/>
      <c r="Z368" s="367"/>
      <c r="AA368" s="367"/>
      <c r="AB368" s="367"/>
      <c r="AC368" s="367"/>
      <c r="AD368" s="367"/>
    </row>
    <row r="369" spans="1:30" ht="15" x14ac:dyDescent="0.25">
      <c r="A369" s="365" t="s">
        <v>546</v>
      </c>
      <c r="H369" s="366"/>
      <c r="J369" s="367"/>
      <c r="K369" s="367">
        <v>-3.0000000000000001E-3</v>
      </c>
      <c r="L369" s="367"/>
      <c r="M369" s="367"/>
      <c r="N369" s="367"/>
      <c r="O369" s="367"/>
      <c r="P369" s="367"/>
      <c r="Q369" s="367"/>
      <c r="R369" s="367"/>
      <c r="S369" s="367"/>
      <c r="T369" s="367"/>
      <c r="U369" s="367"/>
      <c r="V369" s="367"/>
      <c r="W369" s="367"/>
      <c r="X369" s="367">
        <v>2E-3</v>
      </c>
      <c r="Y369" s="367"/>
      <c r="Z369" s="367">
        <v>-0.5</v>
      </c>
      <c r="AA369" s="367"/>
      <c r="AB369" s="367">
        <v>2.6</v>
      </c>
      <c r="AC369" s="367"/>
      <c r="AD369" s="367">
        <v>0.01</v>
      </c>
    </row>
    <row r="370" spans="1:30" ht="15" x14ac:dyDescent="0.25">
      <c r="A370" s="365" t="s">
        <v>547</v>
      </c>
      <c r="H370" s="366"/>
      <c r="J370" s="367"/>
      <c r="K370" s="367">
        <v>197</v>
      </c>
      <c r="L370" s="367"/>
      <c r="M370" s="367"/>
      <c r="N370" s="367"/>
      <c r="O370" s="367"/>
      <c r="P370" s="367"/>
      <c r="Q370" s="367">
        <v>310</v>
      </c>
      <c r="R370" s="367"/>
      <c r="S370" s="367"/>
      <c r="T370" s="367"/>
      <c r="U370" s="367"/>
      <c r="V370" s="367"/>
      <c r="W370" s="367"/>
      <c r="X370" s="367">
        <v>12</v>
      </c>
      <c r="Y370" s="367"/>
      <c r="Z370" s="367"/>
      <c r="AA370" s="367"/>
      <c r="AB370" s="367">
        <v>260</v>
      </c>
      <c r="AC370" s="367"/>
      <c r="AD370" s="367">
        <v>960</v>
      </c>
    </row>
    <row r="371" spans="1:30" ht="15" x14ac:dyDescent="0.25">
      <c r="A371" s="365" t="s">
        <v>548</v>
      </c>
      <c r="H371" s="366"/>
      <c r="J371" s="367"/>
      <c r="K371" s="367">
        <v>248</v>
      </c>
      <c r="L371" s="367"/>
      <c r="M371" s="367"/>
      <c r="N371" s="367"/>
      <c r="O371" s="367"/>
      <c r="P371" s="367"/>
      <c r="Q371" s="367">
        <v>400</v>
      </c>
      <c r="R371" s="367"/>
      <c r="S371" s="367"/>
      <c r="T371" s="367"/>
      <c r="U371" s="367"/>
      <c r="V371" s="367"/>
      <c r="W371" s="367"/>
      <c r="X371" s="367"/>
      <c r="Y371" s="367"/>
      <c r="Z371" s="367"/>
      <c r="AA371" s="367"/>
      <c r="AB371" s="367"/>
      <c r="AC371" s="367"/>
      <c r="AD371" s="367"/>
    </row>
    <row r="372" spans="1:30" ht="15" x14ac:dyDescent="0.25">
      <c r="A372" s="365" t="s">
        <v>549</v>
      </c>
      <c r="H372" s="366">
        <v>55</v>
      </c>
      <c r="J372" s="367"/>
      <c r="K372" s="367">
        <v>0.55000000000000004</v>
      </c>
      <c r="L372" s="367"/>
      <c r="M372" s="367"/>
      <c r="N372" s="367"/>
      <c r="O372" s="367"/>
      <c r="P372" s="367"/>
      <c r="Q372" s="367">
        <v>85</v>
      </c>
      <c r="R372" s="367"/>
      <c r="S372" s="367"/>
      <c r="T372" s="367"/>
      <c r="U372" s="367"/>
      <c r="V372" s="367"/>
      <c r="W372" s="367"/>
      <c r="X372" s="367"/>
      <c r="Y372" s="367"/>
      <c r="Z372" s="367"/>
      <c r="AA372" s="367"/>
      <c r="AB372" s="367"/>
      <c r="AC372" s="367"/>
      <c r="AD372" s="367"/>
    </row>
    <row r="373" spans="1:30" ht="15" x14ac:dyDescent="0.25">
      <c r="A373" s="365" t="s">
        <v>549</v>
      </c>
      <c r="H373" s="366">
        <v>55</v>
      </c>
      <c r="J373" s="367"/>
      <c r="K373" s="367">
        <v>0.53</v>
      </c>
      <c r="L373" s="367"/>
      <c r="M373" s="367"/>
      <c r="N373" s="367"/>
      <c r="O373" s="367"/>
      <c r="P373" s="367"/>
      <c r="Q373" s="367"/>
      <c r="R373" s="367"/>
      <c r="S373" s="367"/>
      <c r="T373" s="367"/>
      <c r="U373" s="367"/>
      <c r="V373" s="367"/>
      <c r="W373" s="367"/>
      <c r="X373" s="367">
        <v>0.05</v>
      </c>
      <c r="Y373" s="367"/>
      <c r="Z373" s="367">
        <v>-0.5</v>
      </c>
      <c r="AA373" s="367"/>
      <c r="AB373" s="367">
        <v>3.6</v>
      </c>
      <c r="AC373" s="367"/>
      <c r="AD373" s="367">
        <v>5.0000000000000001E-3</v>
      </c>
    </row>
    <row r="374" spans="1:30" ht="15" x14ac:dyDescent="0.25">
      <c r="A374" s="365" t="s">
        <v>419</v>
      </c>
      <c r="H374" s="366">
        <v>54</v>
      </c>
      <c r="J374" s="367"/>
      <c r="K374" s="367">
        <v>0.56000000000000005</v>
      </c>
      <c r="L374" s="367"/>
      <c r="M374" s="367"/>
      <c r="N374" s="367"/>
      <c r="O374" s="367"/>
      <c r="P374" s="367"/>
      <c r="Q374" s="367">
        <v>91</v>
      </c>
      <c r="R374" s="367"/>
      <c r="S374" s="367"/>
      <c r="T374" s="367"/>
      <c r="U374" s="367"/>
      <c r="V374" s="367"/>
      <c r="W374" s="367"/>
      <c r="X374" s="367"/>
      <c r="Y374" s="367"/>
      <c r="Z374" s="367"/>
      <c r="AA374" s="367"/>
      <c r="AB374" s="367"/>
      <c r="AC374" s="367"/>
      <c r="AD374" s="367"/>
    </row>
    <row r="375" spans="1:30" ht="15" x14ac:dyDescent="0.25">
      <c r="A375" s="365" t="s">
        <v>550</v>
      </c>
      <c r="H375" s="366">
        <v>27</v>
      </c>
      <c r="J375" s="367"/>
      <c r="K375" s="367">
        <v>0.32</v>
      </c>
      <c r="L375" s="367"/>
      <c r="M375" s="367"/>
      <c r="N375" s="367"/>
      <c r="O375" s="367"/>
      <c r="P375" s="367"/>
      <c r="Q375" s="367">
        <v>158</v>
      </c>
      <c r="R375" s="367"/>
      <c r="S375" s="367"/>
      <c r="T375" s="367"/>
      <c r="U375" s="367"/>
      <c r="V375" s="367"/>
      <c r="W375" s="367"/>
      <c r="X375" s="367">
        <v>1E-3</v>
      </c>
      <c r="Y375" s="367"/>
      <c r="Z375" s="367"/>
      <c r="AA375" s="367"/>
      <c r="AB375" s="367">
        <v>58</v>
      </c>
      <c r="AC375" s="367"/>
      <c r="AD375" s="367"/>
    </row>
    <row r="376" spans="1:30" ht="15" x14ac:dyDescent="0.25">
      <c r="A376" s="365" t="s">
        <v>550</v>
      </c>
      <c r="H376" s="366">
        <v>21</v>
      </c>
      <c r="J376" s="367"/>
      <c r="K376" s="367">
        <v>0.48</v>
      </c>
      <c r="L376" s="367"/>
      <c r="M376" s="367"/>
      <c r="N376" s="367"/>
      <c r="O376" s="367"/>
      <c r="P376" s="367"/>
      <c r="Q376" s="367">
        <v>168</v>
      </c>
      <c r="R376" s="367"/>
      <c r="S376" s="367"/>
      <c r="T376" s="367"/>
      <c r="U376" s="367"/>
      <c r="V376" s="367"/>
      <c r="W376" s="367"/>
      <c r="X376" s="367">
        <v>1E-3</v>
      </c>
      <c r="Y376" s="367"/>
      <c r="Z376" s="367"/>
      <c r="AA376" s="367"/>
      <c r="AB376" s="367">
        <v>48</v>
      </c>
      <c r="AC376" s="367"/>
      <c r="AD376" s="367"/>
    </row>
    <row r="377" spans="1:30" ht="15" x14ac:dyDescent="0.25">
      <c r="A377" s="365" t="s">
        <v>551</v>
      </c>
      <c r="H377" s="366">
        <v>9</v>
      </c>
      <c r="J377" s="367"/>
      <c r="K377" s="367">
        <v>-0.01</v>
      </c>
      <c r="L377" s="367"/>
      <c r="M377" s="367"/>
      <c r="N377" s="367"/>
      <c r="O377" s="367"/>
      <c r="P377" s="367"/>
      <c r="Q377" s="367">
        <v>-0.02</v>
      </c>
      <c r="R377" s="367"/>
      <c r="S377" s="367"/>
      <c r="T377" s="367"/>
      <c r="U377" s="367"/>
      <c r="V377" s="367"/>
      <c r="W377" s="367"/>
      <c r="X377" s="367"/>
      <c r="Y377" s="367"/>
      <c r="Z377" s="367">
        <v>-0.1</v>
      </c>
      <c r="AA377" s="367"/>
      <c r="AB377" s="367"/>
      <c r="AC377" s="367"/>
      <c r="AD377" s="367">
        <v>0.04</v>
      </c>
    </row>
    <row r="378" spans="1:30" ht="15" x14ac:dyDescent="0.25">
      <c r="A378" s="365" t="s">
        <v>552</v>
      </c>
      <c r="H378" s="366">
        <v>48</v>
      </c>
      <c r="J378" s="367"/>
      <c r="K378" s="367"/>
      <c r="L378" s="367"/>
      <c r="M378" s="367"/>
      <c r="N378" s="367"/>
      <c r="O378" s="367"/>
      <c r="P378" s="367"/>
      <c r="Q378" s="367">
        <v>14</v>
      </c>
      <c r="R378" s="367"/>
      <c r="S378" s="367"/>
      <c r="T378" s="367"/>
      <c r="U378" s="367"/>
      <c r="V378" s="367"/>
      <c r="W378" s="367"/>
      <c r="X378" s="367"/>
      <c r="Y378" s="367"/>
      <c r="Z378" s="367"/>
      <c r="AA378" s="367"/>
      <c r="AB378" s="367"/>
      <c r="AC378" s="367"/>
      <c r="AD378" s="367"/>
    </row>
    <row r="379" spans="1:30" ht="15" x14ac:dyDescent="0.25">
      <c r="A379" s="365" t="s">
        <v>553</v>
      </c>
      <c r="H379" s="366">
        <v>24</v>
      </c>
      <c r="J379" s="367"/>
      <c r="K379" s="367"/>
      <c r="L379" s="367"/>
      <c r="M379" s="367"/>
      <c r="N379" s="367"/>
      <c r="O379" s="367"/>
      <c r="P379" s="367"/>
      <c r="Q379" s="367">
        <v>0.3</v>
      </c>
      <c r="R379" s="367"/>
      <c r="S379" s="367"/>
      <c r="T379" s="367"/>
      <c r="U379" s="367"/>
      <c r="V379" s="367"/>
      <c r="W379" s="367"/>
      <c r="X379" s="367"/>
      <c r="Y379" s="367"/>
      <c r="Z379" s="367"/>
      <c r="AA379" s="367"/>
      <c r="AB379" s="367"/>
      <c r="AC379" s="367"/>
      <c r="AD379" s="367"/>
    </row>
    <row r="380" spans="1:30" ht="15" x14ac:dyDescent="0.25">
      <c r="A380" s="365" t="s">
        <v>554</v>
      </c>
      <c r="H380" s="366">
        <v>50</v>
      </c>
      <c r="J380" s="367"/>
      <c r="K380" s="367"/>
      <c r="L380" s="367"/>
      <c r="M380" s="367"/>
      <c r="N380" s="367"/>
      <c r="O380" s="367"/>
      <c r="P380" s="367"/>
      <c r="Q380" s="367">
        <v>1.7</v>
      </c>
      <c r="R380" s="367"/>
      <c r="S380" s="367"/>
      <c r="T380" s="367"/>
      <c r="U380" s="367"/>
      <c r="V380" s="367"/>
      <c r="W380" s="367"/>
      <c r="X380" s="367"/>
      <c r="Y380" s="367"/>
      <c r="Z380" s="367"/>
      <c r="AA380" s="367"/>
      <c r="AB380" s="367"/>
      <c r="AC380" s="367"/>
      <c r="AD380" s="367"/>
    </row>
    <row r="381" spans="1:30" ht="15" x14ac:dyDescent="0.25">
      <c r="A381" s="365" t="s">
        <v>555</v>
      </c>
      <c r="H381" s="366">
        <v>23</v>
      </c>
      <c r="J381" s="367"/>
      <c r="K381" s="367"/>
      <c r="L381" s="367"/>
      <c r="M381" s="367"/>
      <c r="N381" s="367"/>
      <c r="O381" s="367"/>
      <c r="P381" s="367"/>
      <c r="Q381" s="367">
        <v>5.5</v>
      </c>
      <c r="R381" s="367"/>
      <c r="S381" s="367"/>
      <c r="T381" s="367"/>
      <c r="U381" s="367"/>
      <c r="V381" s="367"/>
      <c r="W381" s="367"/>
      <c r="X381" s="367"/>
      <c r="Y381" s="367"/>
      <c r="Z381" s="367"/>
      <c r="AA381" s="367"/>
      <c r="AB381" s="367"/>
      <c r="AC381" s="367"/>
      <c r="AD381" s="367"/>
    </row>
    <row r="382" spans="1:30" ht="15" x14ac:dyDescent="0.25">
      <c r="A382" s="365" t="s">
        <v>556</v>
      </c>
      <c r="H382" s="366">
        <v>27</v>
      </c>
      <c r="J382" s="367"/>
      <c r="K382" s="367"/>
      <c r="L382" s="367"/>
      <c r="M382" s="367"/>
      <c r="N382" s="367"/>
      <c r="O382" s="367"/>
      <c r="P382" s="367"/>
      <c r="Q382" s="367">
        <v>0.6</v>
      </c>
      <c r="R382" s="367"/>
      <c r="S382" s="367"/>
      <c r="T382" s="367"/>
      <c r="U382" s="367"/>
      <c r="V382" s="367"/>
      <c r="W382" s="367"/>
      <c r="X382" s="367"/>
      <c r="Y382" s="367"/>
      <c r="Z382" s="367"/>
      <c r="AA382" s="367"/>
      <c r="AB382" s="367"/>
      <c r="AC382" s="367"/>
      <c r="AD382" s="367"/>
    </row>
    <row r="383" spans="1:30" ht="15" x14ac:dyDescent="0.25">
      <c r="A383" s="365" t="s">
        <v>557</v>
      </c>
      <c r="H383" s="366">
        <v>33</v>
      </c>
      <c r="J383" s="367"/>
      <c r="K383" s="367"/>
      <c r="L383" s="367"/>
      <c r="M383" s="367"/>
      <c r="N383" s="367"/>
      <c r="O383" s="367"/>
      <c r="P383" s="367"/>
      <c r="Q383" s="367">
        <v>6.2</v>
      </c>
      <c r="R383" s="367"/>
      <c r="S383" s="367"/>
      <c r="T383" s="367"/>
      <c r="U383" s="367"/>
      <c r="V383" s="367"/>
      <c r="W383" s="367"/>
      <c r="X383" s="367"/>
      <c r="Y383" s="367"/>
      <c r="Z383" s="367"/>
      <c r="AA383" s="367"/>
      <c r="AB383" s="367"/>
      <c r="AC383" s="367"/>
      <c r="AD383" s="367"/>
    </row>
    <row r="384" spans="1:30" ht="15" x14ac:dyDescent="0.25">
      <c r="A384" s="365" t="s">
        <v>558</v>
      </c>
      <c r="H384" s="366">
        <v>97</v>
      </c>
      <c r="J384" s="367"/>
      <c r="K384" s="367"/>
      <c r="L384" s="367"/>
      <c r="M384" s="367"/>
      <c r="N384" s="367"/>
      <c r="O384" s="367"/>
      <c r="P384" s="367"/>
      <c r="Q384" s="367">
        <v>0.6</v>
      </c>
      <c r="R384" s="367"/>
      <c r="S384" s="367"/>
      <c r="T384" s="367"/>
      <c r="U384" s="367"/>
      <c r="V384" s="367"/>
      <c r="W384" s="367"/>
      <c r="X384" s="367"/>
      <c r="Y384" s="367"/>
      <c r="Z384" s="367"/>
      <c r="AA384" s="367"/>
      <c r="AB384" s="367"/>
      <c r="AC384" s="367"/>
      <c r="AD384" s="367"/>
    </row>
    <row r="385" spans="1:30" ht="15" x14ac:dyDescent="0.25">
      <c r="A385" s="365" t="s">
        <v>559</v>
      </c>
      <c r="H385" s="366">
        <v>37</v>
      </c>
      <c r="J385" s="367"/>
      <c r="K385" s="367"/>
      <c r="L385" s="367"/>
      <c r="M385" s="367"/>
      <c r="N385" s="367"/>
      <c r="O385" s="367"/>
      <c r="P385" s="367"/>
      <c r="Q385" s="367">
        <v>0.2</v>
      </c>
      <c r="R385" s="367"/>
      <c r="S385" s="367"/>
      <c r="T385" s="367"/>
      <c r="U385" s="367"/>
      <c r="V385" s="367"/>
      <c r="W385" s="367"/>
      <c r="X385" s="367"/>
      <c r="Y385" s="367"/>
      <c r="Z385" s="367"/>
      <c r="AA385" s="367"/>
      <c r="AB385" s="367"/>
      <c r="AC385" s="367"/>
      <c r="AD385" s="367"/>
    </row>
    <row r="386" spans="1:30" ht="15" x14ac:dyDescent="0.25">
      <c r="A386" s="365" t="s">
        <v>560</v>
      </c>
      <c r="H386" s="366">
        <v>29</v>
      </c>
      <c r="J386" s="367"/>
      <c r="K386" s="367"/>
      <c r="L386" s="367"/>
      <c r="M386" s="367"/>
      <c r="N386" s="367"/>
      <c r="O386" s="367"/>
      <c r="P386" s="367"/>
      <c r="Q386" s="367">
        <v>2.1</v>
      </c>
      <c r="R386" s="367"/>
      <c r="S386" s="367"/>
      <c r="T386" s="367"/>
      <c r="U386" s="367"/>
      <c r="V386" s="367"/>
      <c r="W386" s="367"/>
      <c r="X386" s="367"/>
      <c r="Y386" s="367"/>
      <c r="Z386" s="367"/>
      <c r="AA386" s="367"/>
      <c r="AB386" s="367"/>
      <c r="AC386" s="367"/>
      <c r="AD386" s="367"/>
    </row>
    <row r="387" spans="1:30" ht="15" x14ac:dyDescent="0.25">
      <c r="A387" s="365" t="s">
        <v>561</v>
      </c>
      <c r="H387" s="366">
        <v>31</v>
      </c>
      <c r="J387" s="367"/>
      <c r="K387" s="367"/>
      <c r="L387" s="367"/>
      <c r="M387" s="367"/>
      <c r="N387" s="367"/>
      <c r="O387" s="367"/>
      <c r="P387" s="367"/>
      <c r="Q387" s="367">
        <v>3.6</v>
      </c>
      <c r="R387" s="367"/>
      <c r="S387" s="367"/>
      <c r="T387" s="367"/>
      <c r="U387" s="367"/>
      <c r="V387" s="367"/>
      <c r="W387" s="367"/>
      <c r="X387" s="367"/>
      <c r="Y387" s="367"/>
      <c r="Z387" s="367"/>
      <c r="AA387" s="367"/>
      <c r="AB387" s="367"/>
      <c r="AC387" s="367"/>
      <c r="AD387" s="367"/>
    </row>
    <row r="388" spans="1:30" ht="15" x14ac:dyDescent="0.25">
      <c r="A388" s="365" t="s">
        <v>562</v>
      </c>
      <c r="H388" s="366">
        <v>66</v>
      </c>
      <c r="J388" s="367"/>
      <c r="K388" s="367"/>
      <c r="L388" s="367"/>
      <c r="M388" s="367"/>
      <c r="N388" s="367"/>
      <c r="O388" s="367"/>
      <c r="P388" s="367"/>
      <c r="Q388" s="367">
        <v>1</v>
      </c>
      <c r="R388" s="367"/>
      <c r="S388" s="367"/>
      <c r="T388" s="367"/>
      <c r="U388" s="367"/>
      <c r="V388" s="367"/>
      <c r="W388" s="367"/>
      <c r="X388" s="367"/>
      <c r="Y388" s="367"/>
      <c r="Z388" s="367"/>
      <c r="AA388" s="367"/>
      <c r="AB388" s="367"/>
      <c r="AC388" s="367"/>
      <c r="AD388" s="367"/>
    </row>
    <row r="389" spans="1:30" ht="15" x14ac:dyDescent="0.25">
      <c r="A389" s="365" t="s">
        <v>563</v>
      </c>
      <c r="H389" s="366">
        <v>43</v>
      </c>
      <c r="J389" s="367"/>
      <c r="K389" s="367"/>
      <c r="L389" s="367"/>
      <c r="M389" s="367"/>
      <c r="N389" s="367"/>
      <c r="O389" s="367"/>
      <c r="P389" s="367"/>
      <c r="Q389" s="367">
        <v>1.4</v>
      </c>
      <c r="R389" s="367"/>
      <c r="S389" s="367"/>
      <c r="T389" s="367"/>
      <c r="U389" s="367"/>
      <c r="V389" s="367"/>
      <c r="W389" s="367"/>
      <c r="X389" s="367"/>
      <c r="Y389" s="367"/>
      <c r="Z389" s="367"/>
      <c r="AA389" s="367"/>
      <c r="AB389" s="367"/>
      <c r="AC389" s="367"/>
      <c r="AD389" s="367"/>
    </row>
    <row r="390" spans="1:30" ht="15" x14ac:dyDescent="0.25">
      <c r="A390" s="365" t="s">
        <v>564</v>
      </c>
      <c r="H390" s="366">
        <v>22</v>
      </c>
      <c r="J390" s="367"/>
      <c r="K390" s="367"/>
      <c r="L390" s="367"/>
      <c r="M390" s="367"/>
      <c r="N390" s="367"/>
      <c r="O390" s="367"/>
      <c r="P390" s="367"/>
      <c r="Q390" s="367">
        <v>0.4</v>
      </c>
      <c r="R390" s="367"/>
      <c r="S390" s="367"/>
      <c r="T390" s="367"/>
      <c r="U390" s="367"/>
      <c r="V390" s="367"/>
      <c r="W390" s="367"/>
      <c r="X390" s="367"/>
      <c r="Y390" s="367"/>
      <c r="Z390" s="367"/>
      <c r="AA390" s="367"/>
      <c r="AB390" s="367"/>
      <c r="AC390" s="367"/>
      <c r="AD390" s="367"/>
    </row>
    <row r="391" spans="1:30" ht="15" x14ac:dyDescent="0.25">
      <c r="A391" s="365" t="s">
        <v>565</v>
      </c>
      <c r="H391" s="366">
        <v>43</v>
      </c>
      <c r="J391" s="367"/>
      <c r="K391" s="367"/>
      <c r="L391" s="367"/>
      <c r="M391" s="367"/>
      <c r="N391" s="367"/>
      <c r="O391" s="367"/>
      <c r="P391" s="367"/>
      <c r="Q391" s="367">
        <v>1.1000000000000001</v>
      </c>
    </row>
    <row r="392" spans="1:30" ht="15" x14ac:dyDescent="0.25">
      <c r="A392" s="365" t="s">
        <v>566</v>
      </c>
      <c r="H392" s="366">
        <v>31</v>
      </c>
      <c r="J392" s="367"/>
      <c r="K392" s="367"/>
      <c r="L392" s="367"/>
      <c r="M392" s="367"/>
      <c r="N392" s="367"/>
      <c r="O392" s="367"/>
      <c r="P392" s="367"/>
      <c r="Q392" s="367">
        <v>1</v>
      </c>
    </row>
    <row r="393" spans="1:30" ht="15" x14ac:dyDescent="0.25">
      <c r="A393" s="365" t="s">
        <v>567</v>
      </c>
      <c r="H393" s="366">
        <v>28</v>
      </c>
      <c r="J393" s="367"/>
      <c r="K393" s="367"/>
      <c r="L393" s="367"/>
      <c r="M393" s="367"/>
      <c r="N393" s="367"/>
      <c r="O393" s="367"/>
      <c r="P393" s="367"/>
      <c r="Q393" s="367">
        <v>0.9</v>
      </c>
    </row>
    <row r="394" spans="1:30" ht="15" x14ac:dyDescent="0.25">
      <c r="A394" s="365" t="s">
        <v>568</v>
      </c>
      <c r="H394" s="366">
        <v>56</v>
      </c>
      <c r="J394" s="367"/>
      <c r="K394" s="367"/>
      <c r="L394" s="367"/>
      <c r="M394" s="367"/>
      <c r="N394" s="367"/>
      <c r="O394" s="367"/>
      <c r="P394" s="367"/>
      <c r="Q394" s="367">
        <v>1</v>
      </c>
    </row>
    <row r="395" spans="1:30" ht="15" x14ac:dyDescent="0.25">
      <c r="A395" s="365" t="s">
        <v>569</v>
      </c>
      <c r="H395" s="366">
        <v>43</v>
      </c>
      <c r="J395" s="367"/>
      <c r="K395" s="367"/>
      <c r="L395" s="367"/>
      <c r="M395" s="367"/>
      <c r="N395" s="367"/>
      <c r="O395" s="367"/>
      <c r="P395" s="367"/>
      <c r="Q395" s="367">
        <v>4.3</v>
      </c>
    </row>
    <row r="396" spans="1:30" ht="15" x14ac:dyDescent="0.25">
      <c r="A396" s="365" t="s">
        <v>570</v>
      </c>
      <c r="H396" s="366">
        <v>69</v>
      </c>
      <c r="J396" s="367"/>
      <c r="K396" s="367"/>
      <c r="L396" s="367"/>
      <c r="M396" s="367"/>
      <c r="N396" s="367"/>
      <c r="O396" s="367"/>
      <c r="P396" s="367"/>
      <c r="Q396" s="367">
        <v>15</v>
      </c>
    </row>
    <row r="397" spans="1:30" ht="15" x14ac:dyDescent="0.25">
      <c r="A397" s="365" t="s">
        <v>571</v>
      </c>
      <c r="H397" s="366">
        <v>97</v>
      </c>
      <c r="J397" s="367"/>
      <c r="K397" s="367"/>
      <c r="L397" s="367"/>
      <c r="M397" s="367"/>
      <c r="N397" s="367"/>
      <c r="O397" s="367"/>
      <c r="P397" s="367"/>
      <c r="Q397" s="367">
        <v>6.3</v>
      </c>
    </row>
    <row r="398" spans="1:30" ht="15" x14ac:dyDescent="0.25">
      <c r="A398" s="365" t="s">
        <v>572</v>
      </c>
      <c r="H398" s="366">
        <v>36</v>
      </c>
      <c r="J398" s="367"/>
      <c r="K398" s="367"/>
      <c r="L398" s="367"/>
      <c r="M398" s="367"/>
      <c r="N398" s="367"/>
      <c r="O398" s="367"/>
      <c r="P398" s="367"/>
      <c r="Q398" s="367">
        <v>1.2</v>
      </c>
    </row>
    <row r="399" spans="1:30" ht="15" x14ac:dyDescent="0.25">
      <c r="A399" s="365" t="s">
        <v>573</v>
      </c>
      <c r="H399" s="366">
        <v>43</v>
      </c>
      <c r="J399" s="367"/>
      <c r="K399" s="367"/>
      <c r="L399" s="367"/>
      <c r="M399" s="367"/>
      <c r="N399" s="367"/>
      <c r="O399" s="367"/>
      <c r="P399" s="367"/>
      <c r="Q399" s="367">
        <v>2.9</v>
      </c>
    </row>
    <row r="400" spans="1:30" ht="15" x14ac:dyDescent="0.25">
      <c r="A400" s="365" t="s">
        <v>574</v>
      </c>
      <c r="H400" s="366">
        <v>48</v>
      </c>
      <c r="J400" s="367"/>
      <c r="K400" s="367"/>
      <c r="L400" s="367"/>
      <c r="M400" s="367"/>
      <c r="N400" s="367"/>
      <c r="O400" s="367"/>
      <c r="P400" s="367"/>
      <c r="Q400" s="367">
        <v>1.3</v>
      </c>
    </row>
    <row r="401" spans="1:30" ht="15" x14ac:dyDescent="0.25">
      <c r="A401" s="365" t="s">
        <v>575</v>
      </c>
      <c r="H401" s="366">
        <v>96</v>
      </c>
      <c r="J401" s="367"/>
      <c r="K401" s="367"/>
      <c r="L401" s="367"/>
      <c r="M401" s="367"/>
      <c r="N401" s="367"/>
      <c r="O401" s="367"/>
      <c r="P401" s="367"/>
      <c r="Q401" s="367">
        <v>71</v>
      </c>
    </row>
    <row r="402" spans="1:30" ht="15" x14ac:dyDescent="0.25">
      <c r="A402" s="365" t="s">
        <v>576</v>
      </c>
      <c r="H402" s="366">
        <v>20</v>
      </c>
      <c r="J402" s="367"/>
      <c r="K402" s="367"/>
      <c r="L402" s="367"/>
      <c r="M402" s="367"/>
      <c r="N402" s="367"/>
      <c r="O402" s="367"/>
      <c r="P402" s="367"/>
      <c r="Q402" s="367">
        <v>125</v>
      </c>
    </row>
    <row r="403" spans="1:30" ht="15" x14ac:dyDescent="0.25">
      <c r="A403" s="365" t="s">
        <v>577</v>
      </c>
      <c r="H403" s="366">
        <v>54</v>
      </c>
      <c r="J403" s="367"/>
      <c r="K403" s="367"/>
      <c r="L403" s="367"/>
      <c r="M403" s="367"/>
      <c r="N403" s="367"/>
      <c r="O403" s="367"/>
      <c r="P403" s="367"/>
      <c r="Q403" s="367">
        <v>3.3</v>
      </c>
    </row>
    <row r="404" spans="1:30" ht="15" x14ac:dyDescent="0.25">
      <c r="A404" s="365" t="s">
        <v>578</v>
      </c>
      <c r="H404" s="366">
        <v>26</v>
      </c>
      <c r="J404" s="367"/>
      <c r="K404" s="367"/>
      <c r="L404" s="367"/>
      <c r="M404" s="367"/>
      <c r="N404" s="367"/>
      <c r="O404" s="367"/>
      <c r="P404" s="367"/>
      <c r="Q404" s="367">
        <v>23</v>
      </c>
    </row>
    <row r="405" spans="1:30" ht="15" x14ac:dyDescent="0.25">
      <c r="A405" s="365" t="s">
        <v>579</v>
      </c>
      <c r="H405" s="366">
        <v>40</v>
      </c>
      <c r="J405" s="367"/>
      <c r="K405" s="367"/>
      <c r="L405" s="367"/>
      <c r="M405" s="367"/>
      <c r="N405" s="367"/>
      <c r="O405" s="367"/>
      <c r="P405" s="367"/>
      <c r="Q405" s="367">
        <v>0.9</v>
      </c>
    </row>
    <row r="406" spans="1:30" ht="15" x14ac:dyDescent="0.25">
      <c r="A406" s="365" t="s">
        <v>580</v>
      </c>
      <c r="H406" s="366">
        <v>29.5</v>
      </c>
      <c r="J406" s="367"/>
      <c r="K406" s="367"/>
      <c r="L406" s="367"/>
      <c r="M406" s="367"/>
      <c r="N406" s="367"/>
      <c r="O406" s="367"/>
      <c r="P406" s="367"/>
      <c r="Q406" s="367">
        <v>366</v>
      </c>
    </row>
    <row r="407" spans="1:30" ht="15" x14ac:dyDescent="0.25">
      <c r="A407" s="365" t="s">
        <v>581</v>
      </c>
      <c r="H407" s="366">
        <v>29</v>
      </c>
      <c r="J407" s="367"/>
      <c r="K407" s="367"/>
      <c r="L407" s="367"/>
      <c r="M407" s="367"/>
      <c r="N407" s="367"/>
      <c r="O407" s="367"/>
      <c r="P407" s="367"/>
      <c r="Q407" s="367">
        <v>50.8</v>
      </c>
      <c r="R407" s="367"/>
      <c r="S407" s="367"/>
      <c r="T407" s="367"/>
      <c r="U407" s="367"/>
      <c r="V407" s="367"/>
      <c r="W407" s="367"/>
      <c r="X407" s="367"/>
      <c r="Y407" s="367"/>
      <c r="Z407" s="367"/>
      <c r="AA407" s="367"/>
      <c r="AB407" s="367"/>
      <c r="AC407" s="367"/>
      <c r="AD407" s="367"/>
    </row>
    <row r="408" spans="1:30" ht="15" x14ac:dyDescent="0.25">
      <c r="A408" s="365" t="s">
        <v>582</v>
      </c>
      <c r="H408" s="366">
        <v>44</v>
      </c>
      <c r="J408" s="367"/>
      <c r="K408" s="367"/>
      <c r="L408" s="367"/>
      <c r="M408" s="367"/>
      <c r="N408" s="367"/>
      <c r="O408" s="367"/>
      <c r="P408" s="367"/>
      <c r="Q408" s="367">
        <v>5.2</v>
      </c>
      <c r="R408" s="367"/>
      <c r="S408" s="367"/>
      <c r="T408" s="367"/>
      <c r="U408" s="367"/>
      <c r="V408" s="367"/>
      <c r="W408" s="367"/>
      <c r="X408" s="367"/>
      <c r="Y408" s="367"/>
      <c r="Z408" s="367"/>
      <c r="AA408" s="367"/>
      <c r="AB408" s="367"/>
      <c r="AC408" s="367"/>
      <c r="AD408" s="367"/>
    </row>
    <row r="409" spans="1:30" ht="15" x14ac:dyDescent="0.25">
      <c r="A409" s="365" t="s">
        <v>583</v>
      </c>
      <c r="H409" s="366">
        <v>24</v>
      </c>
      <c r="J409" s="367"/>
      <c r="K409" s="367"/>
      <c r="L409" s="367"/>
      <c r="M409" s="367"/>
      <c r="N409" s="367"/>
      <c r="O409" s="367"/>
      <c r="P409" s="367"/>
      <c r="Q409" s="367">
        <v>162</v>
      </c>
      <c r="R409" s="367"/>
      <c r="S409" s="367"/>
      <c r="T409" s="367"/>
      <c r="U409" s="367"/>
      <c r="V409" s="367"/>
      <c r="W409" s="367"/>
      <c r="X409" s="367"/>
      <c r="Y409" s="367"/>
      <c r="Z409" s="367"/>
      <c r="AA409" s="367"/>
      <c r="AB409" s="367"/>
      <c r="AC409" s="367"/>
      <c r="AD409" s="367"/>
    </row>
    <row r="410" spans="1:30" ht="15" x14ac:dyDescent="0.25">
      <c r="A410" s="365" t="s">
        <v>584</v>
      </c>
      <c r="H410" s="366">
        <v>97</v>
      </c>
      <c r="J410" s="367"/>
      <c r="K410" s="367"/>
      <c r="L410" s="367"/>
      <c r="M410" s="367"/>
      <c r="N410" s="367"/>
      <c r="O410" s="367"/>
      <c r="P410" s="367"/>
      <c r="Q410" s="367">
        <v>72</v>
      </c>
      <c r="R410" s="367"/>
      <c r="S410" s="367"/>
      <c r="T410" s="367"/>
      <c r="U410" s="367"/>
      <c r="V410" s="367"/>
      <c r="W410" s="367"/>
      <c r="X410" s="367"/>
      <c r="Y410" s="367"/>
      <c r="Z410" s="367"/>
      <c r="AA410" s="367"/>
      <c r="AB410" s="367"/>
      <c r="AC410" s="367"/>
      <c r="AD410" s="367"/>
    </row>
    <row r="411" spans="1:30" ht="15" x14ac:dyDescent="0.25">
      <c r="A411" s="365" t="s">
        <v>585</v>
      </c>
      <c r="H411" s="366">
        <v>41</v>
      </c>
      <c r="J411" s="367"/>
      <c r="K411" s="367"/>
      <c r="L411" s="367"/>
      <c r="M411" s="367"/>
      <c r="N411" s="367"/>
      <c r="O411" s="367"/>
      <c r="P411" s="367"/>
      <c r="Q411" s="367">
        <v>277</v>
      </c>
      <c r="R411" s="367"/>
      <c r="S411" s="367"/>
      <c r="T411" s="367"/>
      <c r="U411" s="367"/>
      <c r="V411" s="367"/>
      <c r="W411" s="367"/>
      <c r="X411" s="367"/>
      <c r="Y411" s="367"/>
      <c r="Z411" s="367"/>
      <c r="AA411" s="367"/>
      <c r="AB411" s="367"/>
      <c r="AC411" s="367"/>
      <c r="AD411" s="367"/>
    </row>
    <row r="412" spans="1:30" ht="15" x14ac:dyDescent="0.25">
      <c r="A412" s="365" t="s">
        <v>586</v>
      </c>
      <c r="H412" s="366">
        <v>21</v>
      </c>
      <c r="J412" s="367"/>
      <c r="K412" s="367"/>
      <c r="L412" s="367"/>
      <c r="M412" s="367"/>
      <c r="N412" s="367"/>
      <c r="O412" s="367"/>
      <c r="P412" s="367"/>
      <c r="Q412" s="367">
        <v>1.6</v>
      </c>
      <c r="R412" s="367"/>
      <c r="S412" s="367"/>
      <c r="T412" s="367"/>
      <c r="U412" s="367"/>
      <c r="V412" s="367"/>
      <c r="W412" s="367"/>
      <c r="X412" s="367"/>
      <c r="Y412" s="367"/>
      <c r="Z412" s="367"/>
      <c r="AA412" s="367"/>
      <c r="AB412" s="367"/>
      <c r="AC412" s="367"/>
      <c r="AD412" s="367"/>
    </row>
    <row r="413" spans="1:30" ht="15" x14ac:dyDescent="0.25">
      <c r="A413" s="365" t="s">
        <v>587</v>
      </c>
      <c r="H413" s="366">
        <v>57</v>
      </c>
      <c r="J413" s="367"/>
      <c r="K413" s="367"/>
      <c r="L413" s="367"/>
      <c r="M413" s="367"/>
      <c r="N413" s="367"/>
      <c r="O413" s="367"/>
      <c r="P413" s="367"/>
      <c r="Q413" s="367">
        <v>6.5</v>
      </c>
      <c r="R413" s="367"/>
      <c r="S413" s="367"/>
      <c r="T413" s="367"/>
      <c r="U413" s="367"/>
      <c r="V413" s="367"/>
      <c r="W413" s="367"/>
      <c r="X413" s="367"/>
      <c r="Y413" s="367"/>
      <c r="Z413" s="367"/>
      <c r="AA413" s="367"/>
      <c r="AB413" s="367"/>
      <c r="AC413" s="367"/>
      <c r="AD413" s="367"/>
    </row>
    <row r="414" spans="1:30" ht="15" x14ac:dyDescent="0.25">
      <c r="A414" s="365" t="s">
        <v>588</v>
      </c>
      <c r="H414" s="366">
        <v>82</v>
      </c>
      <c r="J414" s="367"/>
      <c r="K414" s="367"/>
      <c r="L414" s="367"/>
      <c r="M414" s="367"/>
      <c r="N414" s="367"/>
      <c r="O414" s="367"/>
      <c r="P414" s="367"/>
      <c r="Q414" s="367">
        <v>32</v>
      </c>
      <c r="R414" s="367"/>
      <c r="S414" s="367"/>
      <c r="T414" s="367"/>
      <c r="U414" s="367"/>
      <c r="V414" s="367"/>
      <c r="W414" s="367"/>
      <c r="X414" s="367"/>
      <c r="Y414" s="367"/>
      <c r="Z414" s="367"/>
      <c r="AA414" s="367"/>
      <c r="AB414" s="367"/>
      <c r="AC414" s="367"/>
      <c r="AD414" s="367"/>
    </row>
    <row r="415" spans="1:30" ht="15" x14ac:dyDescent="0.25">
      <c r="A415" s="365" t="s">
        <v>589</v>
      </c>
      <c r="H415" s="366">
        <v>43</v>
      </c>
      <c r="J415" s="367"/>
      <c r="K415" s="367"/>
      <c r="L415" s="367"/>
      <c r="M415" s="367"/>
      <c r="N415" s="367"/>
      <c r="O415" s="367"/>
      <c r="P415" s="367"/>
      <c r="Q415" s="367">
        <v>2</v>
      </c>
      <c r="R415" s="367"/>
      <c r="S415" s="367"/>
      <c r="T415" s="367"/>
      <c r="U415" s="367"/>
      <c r="V415" s="367"/>
      <c r="W415" s="367"/>
      <c r="X415" s="367"/>
      <c r="Y415" s="367"/>
      <c r="Z415" s="367"/>
      <c r="AA415" s="367"/>
      <c r="AB415" s="367"/>
      <c r="AC415" s="367"/>
      <c r="AD415" s="367"/>
    </row>
    <row r="416" spans="1:30" ht="15" x14ac:dyDescent="0.25">
      <c r="A416" s="365" t="s">
        <v>590</v>
      </c>
      <c r="H416" s="366">
        <v>47</v>
      </c>
      <c r="J416" s="367"/>
      <c r="K416" s="367"/>
      <c r="L416" s="367"/>
      <c r="M416" s="367"/>
      <c r="N416" s="367"/>
      <c r="O416" s="367"/>
      <c r="P416" s="367"/>
      <c r="Q416" s="367">
        <v>0.4</v>
      </c>
      <c r="R416" s="367"/>
      <c r="S416" s="367"/>
      <c r="T416" s="367"/>
      <c r="U416" s="367"/>
      <c r="V416" s="367"/>
      <c r="W416" s="367"/>
      <c r="X416" s="367"/>
      <c r="Y416" s="367"/>
      <c r="Z416" s="367"/>
      <c r="AA416" s="367"/>
      <c r="AB416" s="367"/>
      <c r="AC416" s="367"/>
      <c r="AD416" s="367"/>
    </row>
    <row r="417" spans="1:30" ht="15" x14ac:dyDescent="0.25">
      <c r="A417" s="365" t="s">
        <v>591</v>
      </c>
      <c r="H417" s="366">
        <v>22</v>
      </c>
      <c r="J417" s="367"/>
      <c r="K417" s="367"/>
      <c r="L417" s="367"/>
      <c r="M417" s="367"/>
      <c r="N417" s="367"/>
      <c r="O417" s="367"/>
      <c r="P417" s="367"/>
      <c r="Q417" s="367">
        <v>6.7</v>
      </c>
      <c r="R417" s="367"/>
      <c r="S417" s="367"/>
      <c r="T417" s="367"/>
      <c r="U417" s="367"/>
      <c r="V417" s="367"/>
      <c r="W417" s="367"/>
      <c r="X417" s="367"/>
      <c r="Y417" s="367"/>
      <c r="Z417" s="367"/>
      <c r="AA417" s="367"/>
      <c r="AB417" s="367"/>
      <c r="AC417" s="367"/>
      <c r="AD417" s="367"/>
    </row>
    <row r="418" spans="1:30" ht="15" x14ac:dyDescent="0.25">
      <c r="A418" s="365" t="s">
        <v>592</v>
      </c>
      <c r="H418" s="366">
        <v>24</v>
      </c>
      <c r="J418" s="367"/>
      <c r="K418" s="367"/>
      <c r="L418" s="367"/>
      <c r="M418" s="367"/>
      <c r="N418" s="367"/>
      <c r="O418" s="367"/>
      <c r="P418" s="367"/>
      <c r="Q418" s="367">
        <v>2.2000000000000002</v>
      </c>
      <c r="R418" s="367"/>
      <c r="S418" s="367"/>
      <c r="T418" s="367"/>
      <c r="U418" s="367"/>
      <c r="V418" s="367"/>
      <c r="W418" s="367"/>
      <c r="X418" s="367"/>
      <c r="Y418" s="367"/>
      <c r="Z418" s="367"/>
      <c r="AA418" s="367"/>
      <c r="AB418" s="367"/>
      <c r="AC418" s="367"/>
      <c r="AD418" s="367"/>
    </row>
    <row r="419" spans="1:30" ht="15" x14ac:dyDescent="0.25">
      <c r="A419" s="365" t="s">
        <v>593</v>
      </c>
      <c r="H419" s="366">
        <v>24.2</v>
      </c>
      <c r="J419" s="367"/>
      <c r="K419" s="367"/>
      <c r="L419" s="367"/>
      <c r="M419" s="367"/>
      <c r="N419" s="367"/>
      <c r="O419" s="367"/>
      <c r="P419" s="367"/>
      <c r="Q419" s="367">
        <v>91</v>
      </c>
      <c r="R419" s="367"/>
      <c r="S419" s="367"/>
      <c r="T419" s="367"/>
      <c r="U419" s="367"/>
      <c r="V419" s="367"/>
      <c r="W419" s="367"/>
      <c r="X419" s="367"/>
      <c r="Y419" s="367"/>
      <c r="Z419" s="367"/>
      <c r="AA419" s="367"/>
      <c r="AB419" s="367"/>
      <c r="AC419" s="367"/>
      <c r="AD419" s="367"/>
    </row>
    <row r="420" spans="1:30" ht="15" x14ac:dyDescent="0.25">
      <c r="A420" s="365" t="s">
        <v>594</v>
      </c>
      <c r="H420" s="366"/>
      <c r="J420" s="367"/>
      <c r="K420" s="367">
        <v>3.0000000000000001E-3</v>
      </c>
      <c r="L420" s="367"/>
      <c r="M420" s="367"/>
      <c r="N420" s="367"/>
      <c r="O420" s="367"/>
      <c r="P420" s="367"/>
      <c r="Q420" s="367">
        <v>5</v>
      </c>
      <c r="R420" s="367"/>
      <c r="S420" s="367"/>
      <c r="T420" s="367"/>
      <c r="U420" s="367"/>
      <c r="V420" s="367"/>
      <c r="W420" s="367"/>
      <c r="X420" s="367"/>
      <c r="Y420" s="367"/>
      <c r="Z420" s="367"/>
      <c r="AA420" s="367"/>
      <c r="AB420" s="367"/>
      <c r="AC420" s="367"/>
      <c r="AD420" s="367"/>
    </row>
    <row r="421" spans="1:30" ht="15" x14ac:dyDescent="0.25">
      <c r="A421" s="365" t="s">
        <v>595</v>
      </c>
      <c r="H421" s="366"/>
      <c r="J421" s="367"/>
      <c r="K421" s="367">
        <v>-0.01</v>
      </c>
      <c r="L421" s="367"/>
      <c r="M421" s="367"/>
      <c r="N421" s="367"/>
      <c r="O421" s="367"/>
      <c r="P421" s="367"/>
      <c r="Q421" s="367"/>
      <c r="R421" s="367"/>
      <c r="S421" s="367"/>
      <c r="T421" s="367"/>
      <c r="U421" s="367"/>
      <c r="V421" s="367"/>
      <c r="W421" s="367"/>
      <c r="X421" s="367"/>
      <c r="Y421" s="367"/>
      <c r="Z421" s="367">
        <v>-0.05</v>
      </c>
      <c r="AA421" s="367"/>
      <c r="AB421" s="367"/>
      <c r="AC421" s="367"/>
      <c r="AD421" s="367">
        <v>-0.02</v>
      </c>
    </row>
    <row r="422" spans="1:30" ht="15" x14ac:dyDescent="0.25">
      <c r="A422" s="365" t="s">
        <v>596</v>
      </c>
      <c r="H422" s="366"/>
      <c r="J422" s="367"/>
      <c r="K422" s="367">
        <v>-0.01</v>
      </c>
      <c r="L422" s="367"/>
      <c r="M422" s="367"/>
      <c r="N422" s="367"/>
      <c r="O422" s="367"/>
      <c r="P422" s="367"/>
      <c r="Q422" s="367"/>
      <c r="R422" s="367"/>
      <c r="S422" s="367"/>
      <c r="T422" s="367"/>
      <c r="U422" s="367"/>
      <c r="V422" s="367"/>
      <c r="W422" s="367"/>
      <c r="X422" s="367"/>
      <c r="Y422" s="367"/>
      <c r="Z422" s="367">
        <v>-0.05</v>
      </c>
      <c r="AA422" s="367"/>
      <c r="AB422" s="367"/>
      <c r="AC422" s="367"/>
      <c r="AD422" s="367">
        <v>-0.02</v>
      </c>
    </row>
    <row r="423" spans="1:30" ht="15" x14ac:dyDescent="0.25">
      <c r="A423" s="365" t="s">
        <v>596</v>
      </c>
      <c r="H423" s="366"/>
      <c r="J423" s="367"/>
      <c r="K423" s="367">
        <v>-0.01</v>
      </c>
      <c r="L423" s="367"/>
      <c r="M423" s="367"/>
      <c r="N423" s="367"/>
      <c r="O423" s="367"/>
      <c r="P423" s="367"/>
      <c r="Q423" s="367"/>
      <c r="R423" s="367"/>
      <c r="S423" s="367"/>
      <c r="T423" s="367"/>
      <c r="U423" s="367"/>
      <c r="V423" s="367"/>
      <c r="W423" s="367"/>
      <c r="X423" s="367"/>
      <c r="Y423" s="367"/>
      <c r="Z423" s="367">
        <v>-0.05</v>
      </c>
      <c r="AA423" s="367"/>
      <c r="AB423" s="367"/>
      <c r="AC423" s="367"/>
      <c r="AD423" s="367">
        <v>-0.02</v>
      </c>
    </row>
    <row r="424" spans="1:30" ht="15" x14ac:dyDescent="0.25">
      <c r="A424" s="365" t="s">
        <v>597</v>
      </c>
      <c r="H424" s="366">
        <v>4</v>
      </c>
      <c r="J424" s="367"/>
      <c r="K424" s="367">
        <v>0.02</v>
      </c>
      <c r="L424" s="367"/>
      <c r="M424" s="367"/>
      <c r="N424" s="367"/>
      <c r="O424" s="367"/>
      <c r="P424" s="367"/>
      <c r="Q424" s="367">
        <v>71</v>
      </c>
      <c r="R424" s="367"/>
      <c r="S424" s="367"/>
      <c r="T424" s="367"/>
      <c r="U424" s="367"/>
      <c r="V424" s="367"/>
      <c r="W424" s="367"/>
      <c r="X424" s="367">
        <v>0.22</v>
      </c>
      <c r="Y424" s="367"/>
      <c r="Z424" s="367">
        <v>-0.05</v>
      </c>
      <c r="AA424" s="367"/>
      <c r="AB424" s="367"/>
      <c r="AC424" s="367"/>
      <c r="AD424" s="367">
        <v>-0.02</v>
      </c>
    </row>
    <row r="425" spans="1:30" ht="15" x14ac:dyDescent="0.25">
      <c r="A425" s="365" t="s">
        <v>598</v>
      </c>
      <c r="H425" s="366"/>
      <c r="J425" s="367"/>
      <c r="K425" s="367">
        <v>-3.0000000000000001E-3</v>
      </c>
      <c r="L425" s="367"/>
      <c r="M425" s="367"/>
      <c r="N425" s="367"/>
      <c r="O425" s="367"/>
      <c r="P425" s="367"/>
      <c r="Q425" s="367"/>
      <c r="R425" s="367"/>
      <c r="S425" s="367"/>
      <c r="T425" s="367"/>
      <c r="U425" s="367"/>
      <c r="V425" s="367"/>
      <c r="W425" s="367"/>
      <c r="X425" s="367">
        <v>8.9999999999999993E-3</v>
      </c>
      <c r="Y425" s="367"/>
      <c r="Z425" s="367">
        <v>-0.5</v>
      </c>
      <c r="AA425" s="367"/>
      <c r="AB425" s="367"/>
      <c r="AC425" s="367"/>
      <c r="AD425" s="367">
        <v>1E-3</v>
      </c>
    </row>
    <row r="426" spans="1:30" ht="15" x14ac:dyDescent="0.25">
      <c r="A426" s="365" t="s">
        <v>599</v>
      </c>
      <c r="H426" s="366">
        <v>26</v>
      </c>
      <c r="J426" s="367"/>
      <c r="K426" s="367">
        <v>1.6</v>
      </c>
      <c r="L426" s="367"/>
      <c r="M426" s="367"/>
      <c r="N426" s="367"/>
      <c r="O426" s="367"/>
      <c r="P426" s="367"/>
      <c r="Q426" s="367">
        <v>18</v>
      </c>
      <c r="R426" s="367"/>
      <c r="S426" s="367"/>
      <c r="T426" s="367"/>
      <c r="U426" s="367"/>
      <c r="V426" s="367"/>
      <c r="W426" s="367"/>
      <c r="X426" s="367"/>
      <c r="Y426" s="367"/>
      <c r="Z426" s="367">
        <v>0.4</v>
      </c>
      <c r="AA426" s="367"/>
      <c r="AB426" s="367"/>
      <c r="AC426" s="367"/>
      <c r="AD426" s="367">
        <v>1.1000000000000001</v>
      </c>
    </row>
    <row r="427" spans="1:30" ht="15" x14ac:dyDescent="0.25">
      <c r="A427" s="365" t="s">
        <v>600</v>
      </c>
      <c r="H427" s="366">
        <v>63</v>
      </c>
      <c r="J427" s="367"/>
      <c r="K427" s="367">
        <v>3</v>
      </c>
      <c r="L427" s="367"/>
      <c r="M427" s="367"/>
      <c r="N427" s="367"/>
      <c r="O427" s="367"/>
      <c r="P427" s="367"/>
      <c r="Q427" s="367">
        <v>600</v>
      </c>
      <c r="R427" s="367"/>
      <c r="S427" s="367"/>
      <c r="T427" s="367"/>
      <c r="U427" s="367"/>
      <c r="V427" s="367"/>
      <c r="W427" s="367"/>
      <c r="X427" s="367"/>
      <c r="Y427" s="367"/>
      <c r="Z427" s="367"/>
      <c r="AA427" s="367"/>
      <c r="AB427" s="367"/>
      <c r="AC427" s="367"/>
      <c r="AD427" s="367"/>
    </row>
    <row r="428" spans="1:30" ht="15" x14ac:dyDescent="0.25">
      <c r="A428" s="365" t="s">
        <v>457</v>
      </c>
      <c r="H428" s="366">
        <v>30</v>
      </c>
      <c r="J428" s="367"/>
      <c r="K428" s="367"/>
      <c r="L428" s="367"/>
      <c r="M428" s="367"/>
      <c r="N428" s="367"/>
      <c r="O428" s="367"/>
      <c r="P428" s="367"/>
      <c r="Q428" s="367">
        <v>5.0999999999999996</v>
      </c>
      <c r="R428" s="367"/>
      <c r="S428" s="367"/>
      <c r="T428" s="367"/>
      <c r="U428" s="367"/>
      <c r="V428" s="367"/>
      <c r="W428" s="367"/>
      <c r="X428" s="367"/>
      <c r="Y428" s="367"/>
      <c r="Z428" s="367"/>
      <c r="AA428" s="367"/>
      <c r="AB428" s="367"/>
      <c r="AC428" s="367"/>
      <c r="AD428" s="367">
        <v>0.32</v>
      </c>
    </row>
    <row r="429" spans="1:30" ht="15" x14ac:dyDescent="0.25">
      <c r="A429" s="365" t="s">
        <v>601</v>
      </c>
      <c r="H429" s="366">
        <v>22</v>
      </c>
      <c r="J429" s="367"/>
      <c r="K429" s="367">
        <v>0.72</v>
      </c>
      <c r="L429" s="367"/>
      <c r="M429" s="367"/>
      <c r="N429" s="367"/>
      <c r="O429" s="367"/>
      <c r="P429" s="367"/>
      <c r="Q429" s="367">
        <v>17</v>
      </c>
      <c r="R429" s="367"/>
      <c r="S429" s="367"/>
      <c r="T429" s="367"/>
      <c r="U429" s="367"/>
      <c r="V429" s="367"/>
      <c r="W429" s="367"/>
      <c r="X429" s="367"/>
      <c r="Y429" s="367"/>
      <c r="Z429" s="367"/>
      <c r="AA429" s="367"/>
      <c r="AB429" s="367"/>
      <c r="AC429" s="367"/>
      <c r="AD429" s="367"/>
    </row>
    <row r="430" spans="1:30" ht="15" x14ac:dyDescent="0.25">
      <c r="A430" s="365" t="s">
        <v>602</v>
      </c>
      <c r="H430" s="366">
        <v>98</v>
      </c>
      <c r="J430" s="367"/>
      <c r="K430" s="367">
        <v>0.1</v>
      </c>
      <c r="L430" s="367"/>
      <c r="M430" s="367"/>
      <c r="N430" s="367"/>
      <c r="O430" s="367"/>
      <c r="P430" s="367"/>
      <c r="Q430" s="367">
        <v>5.7</v>
      </c>
      <c r="R430" s="367"/>
      <c r="S430" s="367"/>
      <c r="T430" s="367"/>
      <c r="U430" s="367"/>
      <c r="V430" s="367"/>
      <c r="W430" s="367"/>
      <c r="X430" s="367"/>
      <c r="Y430" s="367"/>
      <c r="Z430" s="367">
        <v>-0.1</v>
      </c>
      <c r="AA430" s="367"/>
      <c r="AB430" s="367"/>
      <c r="AC430" s="367"/>
      <c r="AD430" s="367">
        <v>-0.01</v>
      </c>
    </row>
    <row r="431" spans="1:30" ht="15" x14ac:dyDescent="0.25">
      <c r="A431" s="365" t="s">
        <v>603</v>
      </c>
      <c r="H431" s="366">
        <v>38</v>
      </c>
      <c r="J431" s="367"/>
      <c r="K431" s="367"/>
      <c r="L431" s="367"/>
      <c r="M431" s="367"/>
      <c r="N431" s="367"/>
      <c r="O431" s="367"/>
      <c r="P431" s="367"/>
      <c r="Q431" s="367">
        <v>0.19</v>
      </c>
      <c r="R431" s="367"/>
      <c r="S431" s="367"/>
      <c r="T431" s="367"/>
      <c r="U431" s="367"/>
      <c r="V431" s="367"/>
      <c r="W431" s="367"/>
      <c r="X431" s="367"/>
      <c r="Y431" s="367"/>
      <c r="Z431" s="367"/>
      <c r="AA431" s="367"/>
      <c r="AB431" s="367"/>
      <c r="AC431" s="367"/>
      <c r="AD431" s="367">
        <v>0.04</v>
      </c>
    </row>
    <row r="432" spans="1:30" ht="15" x14ac:dyDescent="0.25">
      <c r="A432" s="365" t="s">
        <v>604</v>
      </c>
      <c r="H432" s="366">
        <v>59</v>
      </c>
      <c r="J432" s="367"/>
      <c r="K432" s="367">
        <v>0.02</v>
      </c>
      <c r="L432" s="367"/>
      <c r="M432" s="367"/>
      <c r="N432" s="367"/>
      <c r="O432" s="367"/>
      <c r="P432" s="367"/>
      <c r="Q432" s="367">
        <v>0.28000000000000003</v>
      </c>
      <c r="R432" s="367"/>
      <c r="S432" s="367"/>
      <c r="T432" s="367"/>
      <c r="U432" s="367"/>
      <c r="V432" s="367"/>
      <c r="W432" s="367"/>
      <c r="X432" s="367"/>
      <c r="Y432" s="367"/>
      <c r="Z432" s="367">
        <v>-0.1</v>
      </c>
      <c r="AA432" s="367"/>
      <c r="AB432" s="367"/>
      <c r="AC432" s="367"/>
      <c r="AD432" s="367">
        <v>-5.0000000000000001E-3</v>
      </c>
    </row>
    <row r="433" spans="1:30" ht="15" x14ac:dyDescent="0.25">
      <c r="A433" s="365" t="s">
        <v>605</v>
      </c>
      <c r="H433" s="366">
        <v>48</v>
      </c>
      <c r="J433" s="367"/>
      <c r="K433" s="367">
        <v>0.02</v>
      </c>
      <c r="L433" s="367"/>
      <c r="M433" s="367"/>
      <c r="N433" s="367"/>
      <c r="O433" s="367"/>
      <c r="P433" s="367"/>
      <c r="Q433" s="367">
        <v>0.28000000000000003</v>
      </c>
      <c r="R433" s="367"/>
      <c r="S433" s="367"/>
      <c r="T433" s="367"/>
      <c r="U433" s="367"/>
      <c r="V433" s="367"/>
      <c r="W433" s="367"/>
      <c r="X433" s="367"/>
      <c r="Y433" s="367"/>
      <c r="Z433" s="367">
        <v>-0.1</v>
      </c>
      <c r="AA433" s="367"/>
      <c r="AB433" s="367"/>
      <c r="AC433" s="367"/>
      <c r="AD433" s="367"/>
    </row>
    <row r="434" spans="1:30" ht="15" x14ac:dyDescent="0.25">
      <c r="A434" s="365" t="s">
        <v>606</v>
      </c>
      <c r="H434" s="366">
        <v>48</v>
      </c>
      <c r="J434" s="367"/>
      <c r="K434" s="367">
        <v>0.18</v>
      </c>
      <c r="L434" s="367"/>
      <c r="M434" s="367"/>
      <c r="N434" s="367"/>
      <c r="O434" s="367"/>
      <c r="P434" s="367"/>
      <c r="Q434" s="367">
        <v>9.1999999999999993</v>
      </c>
      <c r="R434" s="367"/>
      <c r="S434" s="367"/>
      <c r="T434" s="367"/>
      <c r="U434" s="367"/>
      <c r="V434" s="367"/>
      <c r="W434" s="367"/>
      <c r="X434" s="367">
        <v>0.31</v>
      </c>
      <c r="Y434" s="367"/>
      <c r="Z434" s="367">
        <v>-0.1</v>
      </c>
      <c r="AA434" s="367"/>
      <c r="AB434" s="367"/>
      <c r="AC434" s="367"/>
      <c r="AD434" s="367">
        <v>-5.0000000000000001E-3</v>
      </c>
    </row>
    <row r="435" spans="1:30" ht="15" x14ac:dyDescent="0.25">
      <c r="A435" s="365" t="s">
        <v>607</v>
      </c>
      <c r="H435" s="366">
        <v>50</v>
      </c>
      <c r="J435" s="367"/>
      <c r="K435" s="367">
        <v>-0.1</v>
      </c>
      <c r="L435" s="367"/>
      <c r="M435" s="367"/>
      <c r="N435" s="367"/>
      <c r="O435" s="367"/>
      <c r="P435" s="367"/>
      <c r="Q435" s="367">
        <v>0.38</v>
      </c>
      <c r="R435" s="367"/>
      <c r="S435" s="367"/>
      <c r="T435" s="367"/>
      <c r="U435" s="367"/>
      <c r="V435" s="367"/>
      <c r="W435" s="367"/>
      <c r="X435" s="367"/>
      <c r="Y435" s="367"/>
      <c r="Z435" s="367"/>
      <c r="AA435" s="367"/>
      <c r="AB435" s="367"/>
      <c r="AC435" s="367"/>
      <c r="AD435" s="367"/>
    </row>
    <row r="436" spans="1:30" ht="15" x14ac:dyDescent="0.25">
      <c r="A436" s="365" t="s">
        <v>608</v>
      </c>
      <c r="H436" s="366">
        <v>99</v>
      </c>
      <c r="J436" s="367"/>
      <c r="K436" s="367"/>
      <c r="L436" s="367"/>
      <c r="M436" s="367"/>
      <c r="N436" s="367"/>
      <c r="O436" s="367"/>
      <c r="P436" s="367"/>
      <c r="Q436" s="367">
        <v>0.8</v>
      </c>
      <c r="R436" s="367"/>
      <c r="S436" s="367"/>
      <c r="T436" s="367"/>
      <c r="U436" s="367"/>
      <c r="V436" s="367"/>
      <c r="W436" s="367"/>
      <c r="X436" s="367"/>
      <c r="Y436" s="367"/>
      <c r="Z436" s="367"/>
      <c r="AA436" s="367"/>
      <c r="AB436" s="367"/>
      <c r="AC436" s="367"/>
      <c r="AD436" s="367"/>
    </row>
    <row r="437" spans="1:30" ht="15" x14ac:dyDescent="0.25">
      <c r="A437" s="365" t="s">
        <v>609</v>
      </c>
      <c r="H437" s="366">
        <v>78</v>
      </c>
      <c r="J437" s="367"/>
      <c r="K437" s="367">
        <v>-0.1</v>
      </c>
      <c r="L437" s="367"/>
      <c r="M437" s="367"/>
      <c r="N437" s="367"/>
      <c r="O437" s="367"/>
      <c r="P437" s="367"/>
      <c r="Q437" s="367"/>
      <c r="R437" s="367"/>
      <c r="S437" s="367"/>
      <c r="T437" s="367"/>
      <c r="U437" s="367"/>
      <c r="V437" s="367"/>
      <c r="W437" s="367"/>
      <c r="X437" s="367"/>
      <c r="Y437" s="367"/>
      <c r="Z437" s="367"/>
      <c r="AA437" s="367"/>
      <c r="AB437" s="367"/>
      <c r="AC437" s="367"/>
      <c r="AD437" s="367"/>
    </row>
    <row r="438" spans="1:30" ht="15" x14ac:dyDescent="0.25">
      <c r="A438" s="365" t="s">
        <v>610</v>
      </c>
      <c r="H438" s="366">
        <v>40</v>
      </c>
      <c r="J438" s="367"/>
      <c r="K438" s="367">
        <v>2.8</v>
      </c>
      <c r="L438" s="367"/>
      <c r="M438" s="367"/>
      <c r="N438" s="367"/>
      <c r="O438" s="367"/>
      <c r="P438" s="367"/>
      <c r="Q438" s="367">
        <v>11</v>
      </c>
      <c r="R438" s="367"/>
      <c r="S438" s="367"/>
      <c r="T438" s="367"/>
      <c r="U438" s="367"/>
      <c r="V438" s="367"/>
      <c r="W438" s="367"/>
      <c r="X438" s="367"/>
      <c r="Y438" s="367"/>
      <c r="Z438" s="367">
        <v>0.5</v>
      </c>
      <c r="AA438" s="367"/>
      <c r="AB438" s="367"/>
      <c r="AC438" s="367"/>
      <c r="AD438" s="367">
        <v>0.09</v>
      </c>
    </row>
    <row r="439" spans="1:30" ht="15" x14ac:dyDescent="0.25">
      <c r="A439" s="365" t="s">
        <v>611</v>
      </c>
      <c r="H439" s="366"/>
      <c r="J439" s="367"/>
      <c r="K439" s="367">
        <v>2E-3</v>
      </c>
      <c r="L439" s="367"/>
      <c r="M439" s="367"/>
      <c r="N439" s="367"/>
      <c r="O439" s="367"/>
      <c r="P439" s="367"/>
      <c r="Q439" s="367">
        <v>-0.01</v>
      </c>
      <c r="R439" s="367"/>
      <c r="S439" s="367"/>
      <c r="T439" s="367"/>
      <c r="U439" s="367"/>
      <c r="V439" s="367"/>
      <c r="W439" s="367"/>
      <c r="X439" s="367"/>
      <c r="Y439" s="367"/>
      <c r="Z439" s="367"/>
      <c r="AA439" s="367"/>
      <c r="AB439" s="367"/>
      <c r="AC439" s="367"/>
      <c r="AD439" s="367"/>
    </row>
    <row r="440" spans="1:30" ht="15" x14ac:dyDescent="0.25">
      <c r="A440" s="365" t="s">
        <v>612</v>
      </c>
      <c r="H440" s="366"/>
      <c r="J440" s="367"/>
      <c r="K440" s="367">
        <v>-3.0000000000000001E-3</v>
      </c>
      <c r="L440" s="367"/>
      <c r="M440" s="367"/>
      <c r="N440" s="367"/>
      <c r="O440" s="367"/>
      <c r="P440" s="367"/>
      <c r="Q440" s="367"/>
      <c r="R440" s="367"/>
      <c r="S440" s="367"/>
      <c r="T440" s="367"/>
      <c r="U440" s="367"/>
      <c r="V440" s="367"/>
      <c r="W440" s="367"/>
      <c r="X440" s="367">
        <v>0.01</v>
      </c>
      <c r="Y440" s="367"/>
      <c r="Z440" s="367">
        <v>-0.5</v>
      </c>
      <c r="AA440" s="367"/>
      <c r="AB440" s="367"/>
      <c r="AC440" s="367"/>
      <c r="AD440" s="367">
        <v>5.0000000000000001E-4</v>
      </c>
    </row>
    <row r="441" spans="1:30" ht="15" x14ac:dyDescent="0.25">
      <c r="A441" s="365" t="s">
        <v>613</v>
      </c>
      <c r="H441" s="366">
        <v>78</v>
      </c>
      <c r="J441" s="367"/>
      <c r="K441" s="367">
        <v>0.21</v>
      </c>
      <c r="L441" s="367"/>
      <c r="M441" s="367"/>
      <c r="N441" s="367"/>
      <c r="O441" s="367"/>
      <c r="P441" s="367"/>
      <c r="Q441" s="367">
        <v>1.4</v>
      </c>
      <c r="R441" s="367"/>
      <c r="S441" s="367"/>
      <c r="T441" s="367"/>
      <c r="U441" s="367"/>
      <c r="V441" s="367"/>
      <c r="W441" s="367"/>
      <c r="X441" s="367"/>
      <c r="Y441" s="367"/>
      <c r="Z441" s="367">
        <v>-0.1</v>
      </c>
      <c r="AA441" s="367"/>
      <c r="AB441" s="367"/>
      <c r="AC441" s="367"/>
      <c r="AD441" s="367">
        <v>-5.0000000000000001E-3</v>
      </c>
    </row>
    <row r="442" spans="1:30" ht="15" x14ac:dyDescent="0.25">
      <c r="A442" s="365" t="s">
        <v>614</v>
      </c>
      <c r="H442" s="366">
        <v>25</v>
      </c>
      <c r="J442" s="367"/>
      <c r="K442" s="367">
        <v>8.8000000000000007</v>
      </c>
      <c r="L442" s="367"/>
      <c r="M442" s="367"/>
      <c r="N442" s="367"/>
      <c r="O442" s="367"/>
      <c r="P442" s="367"/>
      <c r="Q442" s="367">
        <v>310</v>
      </c>
      <c r="R442" s="367"/>
      <c r="S442" s="367"/>
      <c r="T442" s="367"/>
      <c r="U442" s="367"/>
      <c r="V442" s="367"/>
      <c r="W442" s="367"/>
      <c r="X442" s="367"/>
      <c r="Y442" s="367"/>
      <c r="Z442" s="367"/>
      <c r="AA442" s="367"/>
      <c r="AB442" s="367"/>
      <c r="AC442" s="367"/>
      <c r="AD442" s="367"/>
    </row>
    <row r="443" spans="1:30" ht="15" x14ac:dyDescent="0.25">
      <c r="A443" s="365" t="s">
        <v>615</v>
      </c>
      <c r="H443" s="366">
        <v>69</v>
      </c>
      <c r="J443" s="367"/>
      <c r="K443" s="367">
        <v>2.5</v>
      </c>
      <c r="L443" s="367"/>
      <c r="M443" s="367"/>
      <c r="N443" s="367"/>
      <c r="O443" s="367"/>
      <c r="P443" s="367"/>
      <c r="Q443" s="367">
        <v>9.9</v>
      </c>
      <c r="R443" s="367"/>
      <c r="S443" s="367"/>
      <c r="T443" s="367"/>
      <c r="U443" s="367"/>
      <c r="V443" s="367"/>
      <c r="W443" s="367"/>
      <c r="X443" s="367"/>
      <c r="Y443" s="367"/>
      <c r="Z443" s="367">
        <v>0.4</v>
      </c>
      <c r="AA443" s="367"/>
      <c r="AB443" s="367"/>
      <c r="AC443" s="367"/>
      <c r="AD443" s="367">
        <v>-0.02</v>
      </c>
    </row>
    <row r="444" spans="1:30" ht="15" x14ac:dyDescent="0.25">
      <c r="A444" s="365" t="s">
        <v>616</v>
      </c>
      <c r="H444" s="366">
        <v>62</v>
      </c>
      <c r="J444" s="367"/>
      <c r="K444" s="367">
        <v>0.13</v>
      </c>
      <c r="L444" s="367"/>
      <c r="M444" s="367"/>
      <c r="N444" s="367"/>
      <c r="O444" s="367"/>
      <c r="P444" s="367"/>
      <c r="Q444" s="367">
        <v>7.6</v>
      </c>
      <c r="R444" s="367"/>
      <c r="S444" s="367"/>
      <c r="T444" s="367"/>
      <c r="U444" s="367"/>
      <c r="V444" s="367"/>
      <c r="W444" s="367"/>
      <c r="X444" s="367"/>
      <c r="Y444" s="367"/>
      <c r="Z444" s="367">
        <v>-0.1</v>
      </c>
      <c r="AA444" s="367"/>
      <c r="AB444" s="367"/>
      <c r="AC444" s="367"/>
      <c r="AD444" s="367">
        <v>0.09</v>
      </c>
    </row>
    <row r="445" spans="1:30" ht="15" x14ac:dyDescent="0.25">
      <c r="A445" s="365" t="s">
        <v>617</v>
      </c>
      <c r="H445" s="366">
        <v>27</v>
      </c>
      <c r="J445" s="367"/>
      <c r="K445" s="367">
        <v>-0.01</v>
      </c>
      <c r="L445" s="367"/>
      <c r="M445" s="367"/>
      <c r="N445" s="367"/>
      <c r="O445" s="367"/>
      <c r="P445" s="367"/>
      <c r="Q445" s="367">
        <v>0.12</v>
      </c>
      <c r="R445" s="367"/>
      <c r="S445" s="367"/>
      <c r="T445" s="367"/>
      <c r="U445" s="367"/>
      <c r="V445" s="367"/>
      <c r="W445" s="367"/>
      <c r="X445" s="367"/>
      <c r="Y445" s="367"/>
      <c r="Z445" s="367">
        <v>-0.05</v>
      </c>
      <c r="AA445" s="367"/>
      <c r="AB445" s="367"/>
      <c r="AC445" s="367"/>
      <c r="AD445" s="367"/>
    </row>
    <row r="446" spans="1:30" ht="15" x14ac:dyDescent="0.25">
      <c r="A446" s="365" t="s">
        <v>618</v>
      </c>
      <c r="H446" s="366">
        <v>66</v>
      </c>
      <c r="J446" s="367"/>
      <c r="K446" s="367">
        <v>0.3</v>
      </c>
      <c r="L446" s="367"/>
      <c r="M446" s="367"/>
      <c r="N446" s="367"/>
      <c r="O446" s="367"/>
      <c r="P446" s="367"/>
      <c r="Q446" s="367">
        <v>7.7</v>
      </c>
      <c r="R446" s="367"/>
      <c r="S446" s="367"/>
      <c r="T446" s="367"/>
      <c r="U446" s="367"/>
      <c r="V446" s="367"/>
      <c r="W446" s="367"/>
      <c r="X446" s="367"/>
      <c r="Y446" s="367"/>
      <c r="Z446" s="367">
        <v>-0.1</v>
      </c>
      <c r="AA446" s="367"/>
      <c r="AB446" s="367"/>
      <c r="AC446" s="367"/>
      <c r="AD446" s="367">
        <v>-0.02</v>
      </c>
    </row>
    <row r="447" spans="1:30" ht="15" x14ac:dyDescent="0.25">
      <c r="A447" s="365" t="s">
        <v>619</v>
      </c>
      <c r="H447" s="366">
        <v>83</v>
      </c>
      <c r="J447" s="367"/>
      <c r="K447" s="367">
        <v>2.5</v>
      </c>
      <c r="L447" s="367"/>
      <c r="M447" s="367"/>
      <c r="N447" s="367"/>
      <c r="O447" s="367"/>
      <c r="P447" s="367"/>
      <c r="Q447" s="367">
        <v>130</v>
      </c>
      <c r="R447" s="367"/>
      <c r="S447" s="367"/>
      <c r="T447" s="367"/>
      <c r="U447" s="367"/>
      <c r="V447" s="367"/>
      <c r="W447" s="367"/>
      <c r="X447" s="367"/>
      <c r="Y447" s="367"/>
      <c r="Z447" s="367">
        <v>0.3</v>
      </c>
      <c r="AA447" s="367"/>
      <c r="AB447" s="367"/>
      <c r="AC447" s="367"/>
      <c r="AD447" s="367">
        <v>-0.02</v>
      </c>
    </row>
    <row r="448" spans="1:30" ht="15" x14ac:dyDescent="0.25">
      <c r="A448" s="365" t="s">
        <v>620</v>
      </c>
      <c r="H448" s="366">
        <v>33</v>
      </c>
      <c r="J448" s="367"/>
      <c r="K448" s="367">
        <v>2.8</v>
      </c>
      <c r="L448" s="367"/>
      <c r="M448" s="367"/>
      <c r="N448" s="367"/>
      <c r="O448" s="367"/>
      <c r="P448" s="367"/>
      <c r="Q448" s="367">
        <v>6.1</v>
      </c>
      <c r="R448" s="367"/>
      <c r="S448" s="367"/>
      <c r="T448" s="367"/>
      <c r="U448" s="367"/>
      <c r="V448" s="367"/>
      <c r="W448" s="367"/>
      <c r="X448" s="367"/>
      <c r="Y448" s="367"/>
      <c r="Z448" s="367">
        <v>-0.1</v>
      </c>
      <c r="AA448" s="367"/>
      <c r="AB448" s="367"/>
      <c r="AC448" s="367"/>
      <c r="AD448" s="367">
        <v>1.7</v>
      </c>
    </row>
    <row r="449" spans="1:30" ht="15" x14ac:dyDescent="0.25">
      <c r="A449" s="365" t="s">
        <v>620</v>
      </c>
      <c r="H449" s="366"/>
      <c r="J449" s="367"/>
      <c r="K449" s="367"/>
      <c r="L449" s="367"/>
      <c r="M449" s="367"/>
      <c r="N449" s="367"/>
      <c r="O449" s="367"/>
      <c r="P449" s="367"/>
      <c r="Q449" s="367"/>
      <c r="R449" s="367"/>
      <c r="S449" s="367"/>
      <c r="T449" s="367"/>
      <c r="U449" s="367"/>
      <c r="V449" s="367"/>
      <c r="W449" s="367"/>
      <c r="X449" s="367"/>
      <c r="Y449" s="367"/>
      <c r="Z449" s="367"/>
      <c r="AA449" s="367"/>
      <c r="AB449" s="367"/>
      <c r="AC449" s="367"/>
      <c r="AD449" s="367"/>
    </row>
    <row r="450" spans="1:30" ht="15" x14ac:dyDescent="0.25">
      <c r="A450" s="365" t="s">
        <v>621</v>
      </c>
      <c r="H450" s="366">
        <v>68</v>
      </c>
      <c r="J450" s="367"/>
      <c r="K450" s="367">
        <v>0.16</v>
      </c>
      <c r="L450" s="367"/>
      <c r="M450" s="367"/>
      <c r="N450" s="367"/>
      <c r="O450" s="367"/>
      <c r="P450" s="367"/>
      <c r="Q450" s="367">
        <v>0.36</v>
      </c>
      <c r="R450" s="367"/>
      <c r="S450" s="367"/>
      <c r="T450" s="367"/>
      <c r="U450" s="367"/>
      <c r="V450" s="367"/>
      <c r="W450" s="367"/>
      <c r="X450" s="367"/>
      <c r="Y450" s="367"/>
      <c r="Z450" s="367"/>
      <c r="AA450" s="367"/>
      <c r="AB450" s="367"/>
      <c r="AC450" s="367"/>
      <c r="AD450" s="367">
        <v>0.26</v>
      </c>
    </row>
    <row r="451" spans="1:30" ht="15" x14ac:dyDescent="0.25">
      <c r="A451" s="365" t="s">
        <v>622</v>
      </c>
      <c r="H451" s="366">
        <v>24</v>
      </c>
      <c r="J451" s="367"/>
      <c r="K451" s="367"/>
      <c r="L451" s="367"/>
      <c r="M451" s="367"/>
      <c r="N451" s="367"/>
      <c r="O451" s="367"/>
      <c r="P451" s="367"/>
      <c r="Q451" s="367"/>
      <c r="R451" s="367"/>
      <c r="S451" s="367"/>
      <c r="T451" s="367"/>
      <c r="U451" s="367"/>
      <c r="V451" s="367"/>
      <c r="W451" s="367"/>
      <c r="X451" s="367"/>
      <c r="Y451" s="367"/>
      <c r="Z451" s="367"/>
      <c r="AA451" s="367"/>
      <c r="AB451" s="367"/>
      <c r="AC451" s="367"/>
      <c r="AD451" s="367"/>
    </row>
    <row r="452" spans="1:30" ht="15" x14ac:dyDescent="0.25">
      <c r="A452" s="365" t="s">
        <v>623</v>
      </c>
      <c r="H452" s="366">
        <v>24</v>
      </c>
      <c r="J452" s="367"/>
      <c r="K452" s="367">
        <v>0.02</v>
      </c>
      <c r="L452" s="367"/>
      <c r="M452" s="367"/>
      <c r="N452" s="367"/>
      <c r="O452" s="367"/>
      <c r="P452" s="367"/>
      <c r="Q452" s="367">
        <v>0.25</v>
      </c>
      <c r="R452" s="367"/>
      <c r="S452" s="367"/>
      <c r="T452" s="367"/>
      <c r="U452" s="367"/>
      <c r="V452" s="367"/>
      <c r="W452" s="367"/>
      <c r="X452" s="367"/>
      <c r="Y452" s="367"/>
      <c r="Z452" s="367"/>
      <c r="AA452" s="367"/>
      <c r="AB452" s="367"/>
      <c r="AC452" s="367"/>
      <c r="AD452" s="367"/>
    </row>
    <row r="453" spans="1:30" ht="15" x14ac:dyDescent="0.25">
      <c r="A453" s="365" t="s">
        <v>623</v>
      </c>
      <c r="H453" s="366">
        <v>38</v>
      </c>
      <c r="J453" s="367"/>
      <c r="K453" s="367">
        <v>0.02</v>
      </c>
      <c r="L453" s="367"/>
      <c r="M453" s="367"/>
      <c r="N453" s="367"/>
      <c r="O453" s="367"/>
      <c r="P453" s="367"/>
      <c r="Q453" s="367">
        <v>0.13</v>
      </c>
      <c r="R453" s="367"/>
      <c r="S453" s="367"/>
      <c r="T453" s="367"/>
      <c r="U453" s="367"/>
      <c r="V453" s="367"/>
      <c r="W453" s="367"/>
      <c r="X453" s="367"/>
      <c r="Y453" s="367"/>
      <c r="Z453" s="367">
        <v>-0.1</v>
      </c>
      <c r="AA453" s="367"/>
      <c r="AB453" s="367"/>
      <c r="AC453" s="367"/>
      <c r="AD453" s="367">
        <v>-0.02</v>
      </c>
    </row>
    <row r="454" spans="1:30" ht="15" x14ac:dyDescent="0.25">
      <c r="A454" s="365" t="s">
        <v>624</v>
      </c>
      <c r="H454" s="366">
        <v>23</v>
      </c>
      <c r="J454" s="367"/>
      <c r="K454" s="367"/>
      <c r="L454" s="367"/>
      <c r="M454" s="367"/>
      <c r="N454" s="367"/>
      <c r="O454" s="367"/>
      <c r="P454" s="367"/>
      <c r="Q454" s="367">
        <v>7.4</v>
      </c>
      <c r="R454" s="367"/>
      <c r="S454" s="367"/>
      <c r="T454" s="367"/>
      <c r="U454" s="367"/>
      <c r="V454" s="367"/>
      <c r="W454" s="367"/>
      <c r="X454" s="367"/>
      <c r="Y454" s="367"/>
      <c r="Z454" s="367"/>
      <c r="AA454" s="367"/>
      <c r="AB454" s="367">
        <v>1.6</v>
      </c>
      <c r="AC454" s="367"/>
      <c r="AD454" s="367">
        <v>0.03</v>
      </c>
    </row>
    <row r="455" spans="1:30" ht="15" x14ac:dyDescent="0.25">
      <c r="A455" s="365" t="s">
        <v>625</v>
      </c>
      <c r="H455" s="366">
        <v>96</v>
      </c>
      <c r="J455" s="367"/>
      <c r="K455" s="367">
        <v>0.11</v>
      </c>
      <c r="L455" s="367"/>
      <c r="M455" s="367"/>
      <c r="N455" s="367"/>
      <c r="O455" s="367"/>
      <c r="P455" s="367"/>
      <c r="Q455" s="367">
        <v>5.6</v>
      </c>
      <c r="R455" s="367"/>
      <c r="S455" s="367"/>
      <c r="T455" s="367"/>
      <c r="U455" s="367"/>
      <c r="V455" s="367"/>
      <c r="W455" s="367"/>
      <c r="X455" s="367">
        <v>0.19</v>
      </c>
      <c r="Y455" s="367"/>
      <c r="Z455" s="367">
        <v>-0.05</v>
      </c>
      <c r="AA455" s="367"/>
      <c r="AB455" s="367"/>
      <c r="AC455" s="367"/>
      <c r="AD455" s="367">
        <v>-0.01</v>
      </c>
    </row>
    <row r="456" spans="1:30" ht="15" x14ac:dyDescent="0.25">
      <c r="A456" s="365" t="s">
        <v>626</v>
      </c>
      <c r="H456" s="366">
        <v>96</v>
      </c>
      <c r="J456" s="367"/>
      <c r="K456" s="367">
        <v>0.12</v>
      </c>
      <c r="L456" s="367"/>
      <c r="M456" s="367"/>
      <c r="N456" s="367"/>
      <c r="O456" s="367"/>
      <c r="P456" s="367"/>
      <c r="Q456" s="367">
        <v>5.5</v>
      </c>
      <c r="R456" s="367"/>
      <c r="S456" s="367"/>
      <c r="T456" s="367"/>
      <c r="U456" s="367"/>
      <c r="V456" s="367"/>
      <c r="W456" s="367"/>
      <c r="X456" s="367"/>
      <c r="Y456" s="367"/>
      <c r="Z456" s="367">
        <v>-0.1</v>
      </c>
      <c r="AA456" s="367"/>
      <c r="AB456" s="367"/>
      <c r="AC456" s="367"/>
      <c r="AD456" s="367">
        <v>-0.01</v>
      </c>
    </row>
    <row r="457" spans="1:30" ht="15" x14ac:dyDescent="0.25">
      <c r="A457" s="365" t="s">
        <v>627</v>
      </c>
      <c r="H457" s="366"/>
      <c r="J457" s="367"/>
      <c r="K457" s="367"/>
      <c r="L457" s="367"/>
      <c r="M457" s="367"/>
      <c r="N457" s="367"/>
      <c r="O457" s="367"/>
      <c r="P457" s="367"/>
      <c r="Q457" s="367">
        <v>5.5</v>
      </c>
      <c r="R457" s="367"/>
      <c r="S457" s="367"/>
      <c r="T457" s="367"/>
      <c r="U457" s="367"/>
      <c r="V457" s="367"/>
      <c r="W457" s="367"/>
      <c r="X457" s="367"/>
      <c r="Y457" s="367"/>
      <c r="Z457" s="367">
        <v>0.1</v>
      </c>
      <c r="AA457" s="367"/>
      <c r="AB457" s="367"/>
      <c r="AC457" s="367"/>
      <c r="AD457" s="367">
        <v>-0.01</v>
      </c>
    </row>
    <row r="458" spans="1:30" ht="15" x14ac:dyDescent="0.25">
      <c r="A458" s="365" t="s">
        <v>628</v>
      </c>
      <c r="H458" s="366">
        <v>29</v>
      </c>
      <c r="J458" s="367"/>
      <c r="K458" s="367"/>
      <c r="L458" s="367"/>
      <c r="M458" s="367"/>
      <c r="N458" s="367"/>
      <c r="O458" s="367"/>
      <c r="P458" s="367"/>
      <c r="Q458" s="367">
        <v>-1</v>
      </c>
      <c r="R458" s="367"/>
      <c r="S458" s="367"/>
      <c r="T458" s="367"/>
      <c r="U458" s="367"/>
      <c r="V458" s="367"/>
      <c r="W458" s="367"/>
      <c r="X458" s="367"/>
      <c r="Y458" s="367"/>
      <c r="Z458" s="367"/>
      <c r="AA458" s="367"/>
      <c r="AB458" s="367"/>
      <c r="AC458" s="367"/>
      <c r="AD458" s="367">
        <v>-0.01</v>
      </c>
    </row>
    <row r="459" spans="1:30" ht="15" x14ac:dyDescent="0.25">
      <c r="A459" s="365" t="s">
        <v>629</v>
      </c>
      <c r="H459" s="366"/>
      <c r="J459" s="367"/>
      <c r="K459" s="367">
        <v>0.05</v>
      </c>
      <c r="L459" s="367"/>
      <c r="M459" s="367"/>
      <c r="N459" s="367"/>
      <c r="O459" s="367"/>
      <c r="P459" s="367"/>
      <c r="Q459" s="367">
        <v>0.2</v>
      </c>
      <c r="R459" s="367"/>
      <c r="S459" s="367"/>
      <c r="T459" s="367"/>
      <c r="U459" s="367"/>
      <c r="V459" s="367"/>
      <c r="W459" s="367"/>
      <c r="X459" s="367"/>
      <c r="Y459" s="367"/>
      <c r="Z459" s="367"/>
      <c r="AA459" s="367"/>
      <c r="AB459" s="367"/>
      <c r="AC459" s="367"/>
      <c r="AD459" s="367"/>
    </row>
    <row r="460" spans="1:30" ht="15" x14ac:dyDescent="0.25">
      <c r="A460" s="365" t="s">
        <v>630</v>
      </c>
      <c r="H460" s="366"/>
      <c r="J460" s="367"/>
      <c r="K460" s="367">
        <v>0.16</v>
      </c>
      <c r="L460" s="367"/>
      <c r="M460" s="367"/>
      <c r="N460" s="367"/>
      <c r="O460" s="367"/>
      <c r="P460" s="367"/>
      <c r="Q460" s="367">
        <v>5.4</v>
      </c>
      <c r="R460" s="367"/>
      <c r="S460" s="367"/>
      <c r="T460" s="367"/>
      <c r="U460" s="367"/>
      <c r="V460" s="367"/>
      <c r="W460" s="367"/>
      <c r="X460" s="367"/>
      <c r="Y460" s="367"/>
      <c r="Z460" s="367"/>
      <c r="AA460" s="367"/>
      <c r="AB460" s="367"/>
      <c r="AC460" s="367"/>
      <c r="AD460" s="367"/>
    </row>
    <row r="461" spans="1:30" ht="15" x14ac:dyDescent="0.25">
      <c r="A461" s="365" t="s">
        <v>631</v>
      </c>
      <c r="H461" s="366"/>
      <c r="J461" s="367"/>
      <c r="K461" s="367">
        <v>0.1</v>
      </c>
      <c r="L461" s="367"/>
      <c r="M461" s="367"/>
      <c r="N461" s="367"/>
      <c r="O461" s="367"/>
      <c r="P461" s="367"/>
      <c r="Q461" s="367">
        <v>3.3</v>
      </c>
      <c r="R461" s="367"/>
      <c r="S461" s="367"/>
      <c r="T461" s="367"/>
      <c r="U461" s="367"/>
      <c r="V461" s="367"/>
      <c r="W461" s="367"/>
      <c r="X461" s="367"/>
      <c r="Y461" s="367"/>
      <c r="Z461" s="367"/>
      <c r="AA461" s="367"/>
      <c r="AB461" s="367"/>
      <c r="AC461" s="367"/>
      <c r="AD461" s="367"/>
    </row>
    <row r="462" spans="1:30" ht="15" x14ac:dyDescent="0.25">
      <c r="A462" s="365" t="s">
        <v>632</v>
      </c>
      <c r="H462" s="366"/>
      <c r="J462" s="367"/>
      <c r="K462" s="367">
        <v>1.53</v>
      </c>
      <c r="L462" s="367"/>
      <c r="M462" s="367"/>
      <c r="N462" s="367"/>
      <c r="O462" s="367"/>
      <c r="P462" s="367"/>
      <c r="Q462" s="367">
        <v>9.9</v>
      </c>
      <c r="R462" s="367"/>
      <c r="S462" s="367"/>
      <c r="T462" s="367"/>
      <c r="U462" s="367"/>
      <c r="V462" s="367"/>
      <c r="W462" s="367"/>
      <c r="X462" s="367"/>
      <c r="Y462" s="367"/>
      <c r="Z462" s="367"/>
      <c r="AA462" s="367"/>
      <c r="AB462" s="367"/>
      <c r="AC462" s="367"/>
      <c r="AD462" s="367"/>
    </row>
    <row r="463" spans="1:30" ht="15" x14ac:dyDescent="0.25">
      <c r="A463" s="365" t="s">
        <v>633</v>
      </c>
      <c r="H463" s="366">
        <v>20</v>
      </c>
      <c r="J463" s="367"/>
      <c r="K463" s="367"/>
      <c r="L463" s="367"/>
      <c r="M463" s="367"/>
      <c r="N463" s="367"/>
      <c r="O463" s="367"/>
      <c r="P463" s="367"/>
      <c r="Q463" s="367">
        <v>5.3</v>
      </c>
      <c r="R463" s="367"/>
      <c r="S463" s="367"/>
      <c r="T463" s="367"/>
      <c r="U463" s="367"/>
      <c r="V463" s="367"/>
      <c r="W463" s="367"/>
      <c r="X463" s="367"/>
      <c r="Y463" s="367"/>
      <c r="Z463" s="367"/>
      <c r="AA463" s="367"/>
      <c r="AB463" s="367"/>
      <c r="AC463" s="367"/>
      <c r="AD463" s="367"/>
    </row>
    <row r="464" spans="1:30" ht="15" x14ac:dyDescent="0.25">
      <c r="A464" s="365" t="s">
        <v>634</v>
      </c>
      <c r="H464" s="366">
        <v>20.100000000000001</v>
      </c>
      <c r="J464" s="367"/>
      <c r="K464" s="367"/>
      <c r="L464" s="367"/>
      <c r="M464" s="367"/>
      <c r="N464" s="367"/>
      <c r="O464" s="367"/>
      <c r="P464" s="367"/>
      <c r="Q464" s="367">
        <v>0.1</v>
      </c>
      <c r="R464" s="367"/>
      <c r="S464" s="367"/>
      <c r="T464" s="367"/>
      <c r="U464" s="367"/>
      <c r="V464" s="367"/>
      <c r="W464" s="367"/>
      <c r="X464" s="367"/>
      <c r="Y464" s="367"/>
      <c r="Z464" s="367"/>
      <c r="AA464" s="367"/>
      <c r="AB464" s="367"/>
      <c r="AC464" s="367"/>
      <c r="AD464" s="367"/>
    </row>
    <row r="465" spans="1:30" ht="15" x14ac:dyDescent="0.25">
      <c r="A465" s="365" t="s">
        <v>635</v>
      </c>
      <c r="H465" s="366">
        <v>21</v>
      </c>
      <c r="J465" s="367"/>
      <c r="K465" s="367">
        <v>7.0000000000000007E-2</v>
      </c>
      <c r="L465" s="367"/>
      <c r="M465" s="367"/>
      <c r="N465" s="367"/>
      <c r="O465" s="367"/>
      <c r="P465" s="367"/>
      <c r="Q465" s="367">
        <v>3.2</v>
      </c>
      <c r="R465" s="367"/>
      <c r="S465" s="367"/>
      <c r="T465" s="367"/>
      <c r="U465" s="367"/>
      <c r="V465" s="367"/>
      <c r="W465" s="367"/>
      <c r="X465" s="367"/>
      <c r="Y465" s="367"/>
      <c r="Z465" s="367"/>
      <c r="AA465" s="367"/>
      <c r="AB465" s="367"/>
      <c r="AC465" s="367"/>
      <c r="AD465" s="367"/>
    </row>
    <row r="466" spans="1:30" ht="15" x14ac:dyDescent="0.25">
      <c r="A466" s="365" t="s">
        <v>636</v>
      </c>
      <c r="H466" s="366">
        <v>22</v>
      </c>
      <c r="J466" s="367"/>
      <c r="K466" s="367">
        <v>0.05</v>
      </c>
      <c r="L466" s="367"/>
      <c r="M466" s="367"/>
      <c r="N466" s="367"/>
      <c r="O466" s="367"/>
      <c r="P466" s="367"/>
      <c r="Q466" s="367">
        <v>0.9</v>
      </c>
      <c r="R466" s="367"/>
      <c r="S466" s="367"/>
      <c r="T466" s="367"/>
      <c r="U466" s="367"/>
      <c r="V466" s="367"/>
      <c r="W466" s="367"/>
      <c r="X466" s="367"/>
      <c r="Y466" s="367"/>
      <c r="Z466" s="367"/>
      <c r="AA466" s="367"/>
      <c r="AB466" s="367"/>
      <c r="AC466" s="367"/>
      <c r="AD466" s="367"/>
    </row>
    <row r="467" spans="1:30" ht="15" x14ac:dyDescent="0.25">
      <c r="A467" s="365" t="s">
        <v>637</v>
      </c>
      <c r="H467" s="366">
        <v>22</v>
      </c>
      <c r="J467" s="367"/>
      <c r="K467" s="367">
        <v>0.13</v>
      </c>
      <c r="L467" s="367"/>
      <c r="M467" s="367"/>
      <c r="N467" s="367"/>
      <c r="O467" s="367"/>
      <c r="P467" s="367"/>
      <c r="Q467" s="367">
        <v>0.2</v>
      </c>
      <c r="R467" s="367"/>
      <c r="S467" s="367"/>
      <c r="T467" s="367"/>
      <c r="U467" s="367"/>
      <c r="V467" s="367"/>
      <c r="W467" s="367"/>
      <c r="X467" s="367"/>
      <c r="Y467" s="367"/>
      <c r="Z467" s="367"/>
      <c r="AA467" s="367"/>
      <c r="AB467" s="367"/>
      <c r="AC467" s="367"/>
      <c r="AD467" s="367"/>
    </row>
    <row r="468" spans="1:30" ht="15" x14ac:dyDescent="0.25">
      <c r="A468" s="365" t="s">
        <v>638</v>
      </c>
      <c r="H468" s="366">
        <v>22</v>
      </c>
      <c r="J468" s="367"/>
      <c r="K468" s="367">
        <v>0.05</v>
      </c>
      <c r="L468" s="367"/>
      <c r="M468" s="367"/>
      <c r="N468" s="367"/>
      <c r="O468" s="367"/>
      <c r="P468" s="367"/>
      <c r="Q468" s="367"/>
      <c r="R468" s="367"/>
      <c r="S468" s="367"/>
      <c r="T468" s="367"/>
      <c r="U468" s="367"/>
      <c r="V468" s="367"/>
      <c r="W468" s="367"/>
      <c r="X468" s="367"/>
      <c r="Y468" s="367"/>
      <c r="Z468" s="367"/>
      <c r="AA468" s="367"/>
      <c r="AB468" s="367"/>
      <c r="AC468" s="367"/>
      <c r="AD468" s="367"/>
    </row>
    <row r="469" spans="1:30" ht="15" x14ac:dyDescent="0.25">
      <c r="A469" s="365" t="s">
        <v>639</v>
      </c>
      <c r="H469" s="366">
        <v>22.8</v>
      </c>
      <c r="J469" s="367"/>
      <c r="K469" s="367"/>
      <c r="L469" s="367"/>
      <c r="M469" s="367"/>
      <c r="N469" s="367"/>
      <c r="O469" s="367"/>
      <c r="P469" s="367"/>
      <c r="Q469" s="367">
        <v>0.1</v>
      </c>
      <c r="R469" s="367"/>
      <c r="S469" s="367"/>
      <c r="T469" s="367"/>
      <c r="U469" s="367"/>
      <c r="V469" s="367"/>
      <c r="W469" s="367"/>
      <c r="X469" s="367"/>
      <c r="Y469" s="367"/>
      <c r="Z469" s="367"/>
      <c r="AA469" s="367"/>
      <c r="AB469" s="367"/>
      <c r="AC469" s="367"/>
      <c r="AD469" s="367"/>
    </row>
    <row r="470" spans="1:30" ht="15" x14ac:dyDescent="0.25">
      <c r="A470" s="365" t="s">
        <v>640</v>
      </c>
      <c r="H470" s="366">
        <v>23</v>
      </c>
      <c r="J470" s="367"/>
      <c r="K470" s="367"/>
      <c r="L470" s="367"/>
      <c r="M470" s="367"/>
      <c r="N470" s="367"/>
      <c r="O470" s="367"/>
      <c r="P470" s="367"/>
      <c r="Q470" s="367">
        <v>7.4</v>
      </c>
      <c r="R470" s="367"/>
      <c r="S470" s="367"/>
      <c r="T470" s="367"/>
      <c r="U470" s="367"/>
      <c r="V470" s="367"/>
      <c r="W470" s="367"/>
      <c r="X470" s="367"/>
      <c r="Y470" s="367"/>
      <c r="Z470" s="367"/>
      <c r="AA470" s="367"/>
      <c r="AB470" s="367"/>
      <c r="AC470" s="367"/>
      <c r="AD470" s="367"/>
    </row>
    <row r="471" spans="1:30" ht="15" x14ac:dyDescent="0.25">
      <c r="A471" s="365" t="s">
        <v>641</v>
      </c>
      <c r="H471" s="366">
        <v>23</v>
      </c>
      <c r="J471" s="367"/>
      <c r="K471" s="367"/>
      <c r="L471" s="367"/>
      <c r="M471" s="367"/>
      <c r="N471" s="367"/>
      <c r="O471" s="367"/>
      <c r="P471" s="367"/>
      <c r="Q471" s="367">
        <v>0.1</v>
      </c>
      <c r="R471" s="367"/>
      <c r="S471" s="367"/>
      <c r="T471" s="367"/>
      <c r="U471" s="367"/>
      <c r="V471" s="367"/>
      <c r="W471" s="367"/>
      <c r="X471" s="367"/>
      <c r="Y471" s="367"/>
      <c r="Z471" s="367"/>
      <c r="AA471" s="367"/>
      <c r="AB471" s="367"/>
      <c r="AC471" s="367"/>
      <c r="AD471" s="367"/>
    </row>
    <row r="472" spans="1:30" ht="15" x14ac:dyDescent="0.25">
      <c r="A472" s="365" t="s">
        <v>642</v>
      </c>
      <c r="H472" s="366">
        <v>23.8</v>
      </c>
      <c r="J472" s="367"/>
      <c r="K472" s="367"/>
      <c r="L472" s="367"/>
      <c r="M472" s="367"/>
      <c r="N472" s="367"/>
      <c r="O472" s="367"/>
      <c r="P472" s="367"/>
      <c r="Q472" s="367">
        <v>0.1</v>
      </c>
      <c r="R472" s="367"/>
      <c r="S472" s="367"/>
      <c r="T472" s="367"/>
      <c r="U472" s="367"/>
      <c r="V472" s="367"/>
      <c r="W472" s="367"/>
      <c r="X472" s="367"/>
      <c r="Y472" s="367"/>
      <c r="Z472" s="367"/>
      <c r="AA472" s="367"/>
      <c r="AB472" s="367"/>
      <c r="AC472" s="367"/>
      <c r="AD472" s="367"/>
    </row>
    <row r="473" spans="1:30" ht="15" x14ac:dyDescent="0.25">
      <c r="A473" s="365" t="s">
        <v>643</v>
      </c>
      <c r="H473" s="366">
        <v>55</v>
      </c>
      <c r="J473" s="367"/>
      <c r="K473" s="367"/>
      <c r="L473" s="367"/>
      <c r="M473" s="367"/>
      <c r="N473" s="367"/>
      <c r="O473" s="367"/>
      <c r="P473" s="367"/>
      <c r="Q473" s="367">
        <v>310</v>
      </c>
      <c r="R473" s="367"/>
      <c r="S473" s="367"/>
      <c r="T473" s="367"/>
      <c r="U473" s="367"/>
      <c r="V473" s="367"/>
      <c r="W473" s="367"/>
      <c r="X473" s="367"/>
      <c r="Y473" s="367"/>
      <c r="Z473" s="367"/>
      <c r="AA473" s="367"/>
      <c r="AB473" s="367"/>
      <c r="AC473" s="367"/>
      <c r="AD473" s="367"/>
    </row>
    <row r="474" spans="1:30" ht="15" x14ac:dyDescent="0.25">
      <c r="A474" s="365" t="s">
        <v>643</v>
      </c>
      <c r="H474" s="366">
        <v>50</v>
      </c>
      <c r="J474" s="367"/>
      <c r="K474" s="367">
        <v>9.8000000000000007</v>
      </c>
      <c r="L474" s="367"/>
      <c r="M474" s="367"/>
      <c r="N474" s="367"/>
      <c r="O474" s="367"/>
      <c r="P474" s="367"/>
      <c r="Q474" s="367">
        <v>283</v>
      </c>
      <c r="R474" s="367"/>
      <c r="S474" s="367"/>
      <c r="T474" s="367"/>
      <c r="U474" s="367"/>
      <c r="V474" s="367"/>
      <c r="W474" s="367"/>
      <c r="X474" s="367"/>
      <c r="Y474" s="367"/>
      <c r="Z474" s="367"/>
      <c r="AA474" s="367"/>
      <c r="AB474" s="367">
        <v>3</v>
      </c>
      <c r="AC474" s="367"/>
      <c r="AD474" s="367"/>
    </row>
    <row r="475" spans="1:30" ht="15" x14ac:dyDescent="0.25">
      <c r="A475" s="365" t="s">
        <v>643</v>
      </c>
      <c r="H475" s="366">
        <v>53</v>
      </c>
      <c r="J475" s="367"/>
      <c r="K475" s="367">
        <v>9.8000000000000007</v>
      </c>
      <c r="L475" s="367"/>
      <c r="M475" s="367"/>
      <c r="N475" s="367"/>
      <c r="O475" s="367"/>
      <c r="P475" s="367"/>
      <c r="Q475" s="367">
        <v>293</v>
      </c>
      <c r="R475" s="367"/>
      <c r="S475" s="367"/>
      <c r="T475" s="367"/>
      <c r="U475" s="367"/>
      <c r="V475" s="367"/>
      <c r="W475" s="367"/>
      <c r="X475" s="367"/>
      <c r="Y475" s="367"/>
      <c r="Z475" s="367"/>
      <c r="AA475" s="367"/>
      <c r="AB475" s="367"/>
      <c r="AC475" s="367"/>
      <c r="AD475" s="367"/>
    </row>
    <row r="476" spans="1:30" ht="15" x14ac:dyDescent="0.25">
      <c r="A476" s="365" t="s">
        <v>644</v>
      </c>
      <c r="H476" s="366">
        <v>46</v>
      </c>
      <c r="J476" s="367"/>
      <c r="K476" s="367">
        <v>0.4</v>
      </c>
      <c r="L476" s="367"/>
      <c r="M476" s="367"/>
      <c r="N476" s="367"/>
      <c r="O476" s="367"/>
      <c r="P476" s="367"/>
      <c r="Q476" s="367">
        <v>1.5</v>
      </c>
      <c r="R476" s="367"/>
      <c r="S476" s="367"/>
      <c r="T476" s="367"/>
      <c r="U476" s="367"/>
      <c r="V476" s="367"/>
      <c r="W476" s="367"/>
      <c r="X476" s="367"/>
      <c r="Y476" s="367"/>
      <c r="Z476" s="367">
        <v>-0.1</v>
      </c>
      <c r="AA476" s="367"/>
      <c r="AB476" s="367"/>
      <c r="AC476" s="367"/>
      <c r="AD476" s="367"/>
    </row>
    <row r="477" spans="1:30" ht="15" x14ac:dyDescent="0.25">
      <c r="A477" s="365" t="s">
        <v>645</v>
      </c>
      <c r="H477" s="366">
        <v>44</v>
      </c>
      <c r="J477" s="367"/>
      <c r="K477" s="367">
        <v>-0.01</v>
      </c>
      <c r="L477" s="367"/>
      <c r="M477" s="367"/>
      <c r="N477" s="367"/>
      <c r="O477" s="367"/>
      <c r="P477" s="367"/>
      <c r="Q477" s="367">
        <v>0.22</v>
      </c>
      <c r="R477" s="367"/>
      <c r="S477" s="367"/>
      <c r="T477" s="367"/>
      <c r="U477" s="367"/>
      <c r="V477" s="367"/>
      <c r="W477" s="367"/>
      <c r="X477" s="367"/>
      <c r="Y477" s="367"/>
      <c r="Z477" s="367">
        <v>-0.1</v>
      </c>
      <c r="AA477" s="367"/>
      <c r="AB477" s="367"/>
      <c r="AC477" s="367"/>
      <c r="AD477" s="367">
        <v>-0.01</v>
      </c>
    </row>
    <row r="478" spans="1:30" ht="15" x14ac:dyDescent="0.25">
      <c r="A478" s="365" t="s">
        <v>646</v>
      </c>
      <c r="H478" s="366">
        <v>24</v>
      </c>
      <c r="J478" s="367"/>
      <c r="K478" s="367">
        <v>9.6</v>
      </c>
      <c r="L478" s="367"/>
      <c r="M478" s="367"/>
      <c r="N478" s="367"/>
      <c r="O478" s="367"/>
      <c r="P478" s="367"/>
      <c r="Q478" s="367"/>
      <c r="R478" s="367"/>
      <c r="S478" s="367"/>
      <c r="T478" s="367"/>
      <c r="U478" s="367"/>
      <c r="V478" s="367"/>
      <c r="W478" s="367"/>
      <c r="X478" s="367"/>
      <c r="Y478" s="367"/>
      <c r="Z478" s="367"/>
      <c r="AA478" s="367"/>
      <c r="AB478" s="367"/>
      <c r="AC478" s="367"/>
      <c r="AD478" s="367"/>
    </row>
    <row r="479" spans="1:30" ht="15" x14ac:dyDescent="0.25">
      <c r="A479" s="365" t="s">
        <v>646</v>
      </c>
      <c r="H479" s="366">
        <v>23</v>
      </c>
      <c r="J479" s="367"/>
      <c r="K479" s="367"/>
      <c r="L479" s="367"/>
      <c r="M479" s="367"/>
      <c r="N479" s="367"/>
      <c r="O479" s="367"/>
      <c r="P479" s="367"/>
      <c r="Q479" s="367">
        <v>54</v>
      </c>
      <c r="R479" s="367"/>
      <c r="S479" s="367"/>
      <c r="T479" s="367"/>
      <c r="U479" s="367"/>
      <c r="V479" s="367"/>
      <c r="W479" s="367"/>
      <c r="X479" s="367"/>
      <c r="Y479" s="367"/>
      <c r="Z479" s="367"/>
      <c r="AA479" s="367"/>
      <c r="AB479" s="367"/>
      <c r="AC479" s="367"/>
      <c r="AD479" s="367"/>
    </row>
    <row r="480" spans="1:30" ht="15" x14ac:dyDescent="0.25">
      <c r="A480" s="365" t="s">
        <v>647</v>
      </c>
      <c r="H480" s="366">
        <v>41</v>
      </c>
      <c r="J480" s="367"/>
      <c r="K480" s="367"/>
      <c r="L480" s="367"/>
      <c r="M480" s="367"/>
      <c r="N480" s="367"/>
      <c r="O480" s="367"/>
      <c r="P480" s="367"/>
      <c r="Q480" s="367">
        <v>-1</v>
      </c>
      <c r="R480" s="367"/>
      <c r="S480" s="367"/>
      <c r="T480" s="367"/>
      <c r="U480" s="367"/>
      <c r="V480" s="367"/>
      <c r="W480" s="367"/>
      <c r="X480" s="367"/>
      <c r="Y480" s="367"/>
      <c r="Z480" s="367"/>
      <c r="AA480" s="367"/>
      <c r="AB480" s="367"/>
      <c r="AC480" s="367"/>
      <c r="AD480" s="367">
        <v>-0.01</v>
      </c>
    </row>
    <row r="481" spans="1:30" ht="15" x14ac:dyDescent="0.25">
      <c r="A481" s="365" t="s">
        <v>292</v>
      </c>
      <c r="H481" s="366">
        <v>23</v>
      </c>
      <c r="J481" s="367"/>
      <c r="K481" s="367"/>
      <c r="L481" s="367"/>
      <c r="M481" s="367"/>
      <c r="N481" s="367"/>
      <c r="O481" s="367"/>
      <c r="P481" s="367"/>
      <c r="Q481" s="367">
        <v>10</v>
      </c>
      <c r="R481" s="367"/>
      <c r="S481" s="367"/>
      <c r="T481" s="367"/>
      <c r="U481" s="367"/>
      <c r="V481" s="367"/>
      <c r="W481" s="367"/>
      <c r="X481" s="367"/>
      <c r="Y481" s="367"/>
      <c r="Z481" s="367"/>
      <c r="AA481" s="367"/>
      <c r="AB481" s="367"/>
      <c r="AC481" s="367"/>
      <c r="AD481" s="367"/>
    </row>
    <row r="482" spans="1:30" ht="15" x14ac:dyDescent="0.25">
      <c r="A482" s="365" t="s">
        <v>334</v>
      </c>
      <c r="H482" s="366">
        <v>77</v>
      </c>
      <c r="J482" s="367"/>
      <c r="K482" s="367"/>
      <c r="L482" s="367"/>
      <c r="M482" s="367"/>
      <c r="N482" s="367"/>
      <c r="O482" s="367"/>
      <c r="P482" s="367"/>
      <c r="Q482" s="367">
        <v>4.5</v>
      </c>
      <c r="R482" s="367"/>
      <c r="S482" s="367"/>
      <c r="T482" s="367"/>
      <c r="U482" s="367"/>
      <c r="V482" s="367"/>
      <c r="W482" s="367"/>
      <c r="X482" s="367"/>
      <c r="Y482" s="367"/>
      <c r="Z482" s="367"/>
      <c r="AA482" s="367"/>
      <c r="AB482" s="367"/>
      <c r="AC482" s="367"/>
      <c r="AD482" s="367"/>
    </row>
    <row r="483" spans="1:30" ht="15" x14ac:dyDescent="0.25">
      <c r="A483" s="365" t="s">
        <v>648</v>
      </c>
      <c r="H483" s="366">
        <v>79</v>
      </c>
      <c r="J483" s="367"/>
      <c r="K483" s="367"/>
      <c r="L483" s="367"/>
      <c r="M483" s="367"/>
      <c r="N483" s="367"/>
      <c r="O483" s="367"/>
      <c r="P483" s="367"/>
      <c r="Q483" s="367">
        <v>2.7</v>
      </c>
      <c r="R483" s="367"/>
      <c r="S483" s="367"/>
      <c r="T483" s="367"/>
      <c r="U483" s="367"/>
      <c r="V483" s="367"/>
      <c r="W483" s="367"/>
      <c r="X483" s="367"/>
      <c r="Y483" s="367"/>
      <c r="Z483" s="367"/>
      <c r="AA483" s="367"/>
      <c r="AB483" s="367"/>
      <c r="AC483" s="367"/>
      <c r="AD483" s="367"/>
    </row>
    <row r="484" spans="1:30" ht="15" x14ac:dyDescent="0.25">
      <c r="A484" s="365" t="s">
        <v>649</v>
      </c>
      <c r="H484" s="366">
        <v>21.7</v>
      </c>
      <c r="J484" s="367"/>
      <c r="K484" s="367"/>
      <c r="L484" s="367"/>
      <c r="M484" s="367"/>
      <c r="N484" s="367"/>
      <c r="O484" s="367"/>
      <c r="P484" s="367"/>
      <c r="Q484" s="367">
        <v>21</v>
      </c>
      <c r="R484" s="367"/>
      <c r="S484" s="367"/>
      <c r="T484" s="367"/>
      <c r="U484" s="367"/>
      <c r="V484" s="367"/>
      <c r="W484" s="367"/>
      <c r="X484" s="367"/>
      <c r="Y484" s="367"/>
      <c r="Z484" s="367"/>
      <c r="AA484" s="367"/>
      <c r="AB484" s="367"/>
      <c r="AC484" s="367"/>
      <c r="AD484" s="367"/>
    </row>
    <row r="485" spans="1:30" ht="15" x14ac:dyDescent="0.25">
      <c r="A485" s="365" t="s">
        <v>650</v>
      </c>
      <c r="H485" s="366">
        <v>52</v>
      </c>
      <c r="J485" s="367"/>
      <c r="K485" s="367"/>
      <c r="L485" s="367"/>
      <c r="M485" s="367"/>
      <c r="N485" s="367"/>
      <c r="O485" s="367"/>
      <c r="P485" s="367"/>
      <c r="Q485" s="367">
        <v>12</v>
      </c>
      <c r="R485" s="367"/>
      <c r="S485" s="367"/>
      <c r="T485" s="367"/>
      <c r="U485" s="367"/>
      <c r="V485" s="367"/>
      <c r="W485" s="367"/>
      <c r="X485" s="367"/>
      <c r="Y485" s="367"/>
      <c r="Z485" s="367"/>
      <c r="AA485" s="367"/>
      <c r="AB485" s="367"/>
      <c r="AC485" s="367"/>
      <c r="AD485" s="367"/>
    </row>
    <row r="486" spans="1:30" ht="15" x14ac:dyDescent="0.25">
      <c r="A486" s="365" t="s">
        <v>651</v>
      </c>
      <c r="H486" s="366">
        <v>85</v>
      </c>
      <c r="J486" s="367"/>
      <c r="K486" s="367"/>
      <c r="L486" s="367"/>
      <c r="M486" s="367"/>
      <c r="N486" s="367"/>
      <c r="O486" s="367"/>
      <c r="P486" s="367"/>
      <c r="Q486" s="367">
        <v>620</v>
      </c>
      <c r="R486" s="367"/>
      <c r="S486" s="367"/>
      <c r="T486" s="367"/>
      <c r="U486" s="367"/>
      <c r="V486" s="367"/>
      <c r="W486" s="367"/>
      <c r="X486" s="367"/>
      <c r="Y486" s="367"/>
      <c r="Z486" s="367"/>
      <c r="AA486" s="367"/>
      <c r="AB486" s="367"/>
      <c r="AC486" s="367"/>
      <c r="AD486" s="367">
        <v>0.01</v>
      </c>
    </row>
    <row r="487" spans="1:30" ht="15" x14ac:dyDescent="0.25">
      <c r="A487" s="365" t="s">
        <v>652</v>
      </c>
      <c r="H487" s="366">
        <v>45</v>
      </c>
      <c r="J487" s="367"/>
      <c r="K487" s="367"/>
      <c r="L487" s="367"/>
      <c r="M487" s="367"/>
      <c r="N487" s="367"/>
      <c r="O487" s="367"/>
      <c r="P487" s="367"/>
      <c r="Q487" s="367">
        <v>4.2</v>
      </c>
      <c r="R487" s="367"/>
      <c r="S487" s="367"/>
      <c r="T487" s="367"/>
      <c r="U487" s="367"/>
      <c r="V487" s="367"/>
      <c r="W487" s="367"/>
      <c r="X487" s="367"/>
      <c r="Y487" s="367"/>
      <c r="Z487" s="367"/>
      <c r="AA487" s="367"/>
      <c r="AB487" s="367"/>
      <c r="AC487" s="367"/>
      <c r="AD487" s="367"/>
    </row>
    <row r="488" spans="1:30" ht="15" x14ac:dyDescent="0.25">
      <c r="A488" s="365" t="s">
        <v>653</v>
      </c>
      <c r="H488" s="366">
        <v>28</v>
      </c>
      <c r="J488" s="367"/>
      <c r="K488" s="367">
        <v>0.01</v>
      </c>
      <c r="L488" s="367"/>
      <c r="M488" s="367"/>
      <c r="N488" s="367"/>
      <c r="O488" s="367"/>
      <c r="P488" s="367"/>
      <c r="Q488" s="367">
        <v>0.22</v>
      </c>
      <c r="R488" s="367"/>
      <c r="S488" s="367"/>
      <c r="T488" s="367"/>
      <c r="U488" s="367"/>
      <c r="V488" s="367"/>
      <c r="W488" s="367"/>
      <c r="X488" s="367"/>
      <c r="Y488" s="367"/>
      <c r="Z488" s="367">
        <v>-0.1</v>
      </c>
      <c r="AA488" s="367"/>
      <c r="AB488" s="367"/>
      <c r="AC488" s="367"/>
      <c r="AD488" s="367">
        <v>-0.01</v>
      </c>
    </row>
    <row r="489" spans="1:30" ht="15" x14ac:dyDescent="0.25">
      <c r="A489" s="365" t="s">
        <v>653</v>
      </c>
      <c r="H489" s="366">
        <v>28</v>
      </c>
      <c r="J489" s="367"/>
      <c r="K489" s="367">
        <v>0.01</v>
      </c>
      <c r="L489" s="367"/>
      <c r="M489" s="367"/>
      <c r="N489" s="367"/>
      <c r="O489" s="367"/>
      <c r="P489" s="367"/>
      <c r="Q489" s="367">
        <v>0.24</v>
      </c>
      <c r="R489" s="367"/>
      <c r="S489" s="367"/>
      <c r="T489" s="367"/>
      <c r="U489" s="367"/>
      <c r="V489" s="367"/>
      <c r="W489" s="367"/>
      <c r="X489" s="367"/>
      <c r="Y489" s="367"/>
      <c r="Z489" s="367">
        <v>-0.05</v>
      </c>
      <c r="AA489" s="367"/>
      <c r="AB489" s="367"/>
      <c r="AC489" s="367"/>
      <c r="AD489" s="367"/>
    </row>
    <row r="490" spans="1:30" ht="15" x14ac:dyDescent="0.25">
      <c r="A490" s="365" t="s">
        <v>654</v>
      </c>
      <c r="H490" s="366"/>
      <c r="J490" s="367"/>
      <c r="K490" s="367"/>
      <c r="L490" s="367"/>
      <c r="M490" s="367"/>
      <c r="N490" s="367"/>
      <c r="O490" s="367"/>
      <c r="P490" s="367"/>
      <c r="Q490" s="367">
        <v>0.2</v>
      </c>
      <c r="R490" s="367"/>
      <c r="S490" s="367"/>
      <c r="T490" s="367"/>
      <c r="U490" s="367"/>
      <c r="V490" s="367"/>
      <c r="W490" s="367"/>
      <c r="X490" s="367"/>
      <c r="Y490" s="367"/>
      <c r="Z490" s="367"/>
      <c r="AA490" s="367"/>
      <c r="AB490" s="367"/>
      <c r="AC490" s="367"/>
      <c r="AD490" s="367"/>
    </row>
    <row r="491" spans="1:30" ht="15" x14ac:dyDescent="0.25">
      <c r="A491" s="365" t="s">
        <v>655</v>
      </c>
      <c r="H491" s="366"/>
      <c r="J491" s="367"/>
      <c r="K491" s="367">
        <v>0.12</v>
      </c>
      <c r="L491" s="367"/>
      <c r="M491" s="367"/>
      <c r="N491" s="367"/>
      <c r="O491" s="367"/>
      <c r="P491" s="367"/>
      <c r="Q491" s="367">
        <v>0.1</v>
      </c>
      <c r="R491" s="367"/>
      <c r="S491" s="367"/>
      <c r="T491" s="367"/>
      <c r="U491" s="367"/>
      <c r="V491" s="367"/>
      <c r="W491" s="367"/>
      <c r="X491" s="367"/>
      <c r="Y491" s="367"/>
      <c r="Z491" s="367"/>
      <c r="AA491" s="367"/>
      <c r="AB491" s="367"/>
      <c r="AC491" s="367"/>
      <c r="AD491" s="367"/>
    </row>
    <row r="492" spans="1:30" ht="15" x14ac:dyDescent="0.25">
      <c r="A492" s="365" t="s">
        <v>656</v>
      </c>
      <c r="H492" s="366"/>
      <c r="J492" s="367"/>
      <c r="K492" s="367">
        <v>0.2</v>
      </c>
      <c r="L492" s="367"/>
      <c r="M492" s="367"/>
      <c r="N492" s="367"/>
      <c r="O492" s="367"/>
      <c r="P492" s="367"/>
      <c r="Q492" s="367">
        <v>3.3</v>
      </c>
      <c r="R492" s="367"/>
      <c r="S492" s="367"/>
      <c r="T492" s="367"/>
      <c r="U492" s="367"/>
      <c r="V492" s="367"/>
      <c r="W492" s="367"/>
      <c r="X492" s="367"/>
      <c r="Y492" s="367"/>
      <c r="Z492" s="367"/>
      <c r="AA492" s="367"/>
      <c r="AB492" s="367"/>
      <c r="AC492" s="367"/>
      <c r="AD492" s="367"/>
    </row>
    <row r="493" spans="1:30" ht="15" x14ac:dyDescent="0.25">
      <c r="A493" s="365" t="s">
        <v>657</v>
      </c>
      <c r="H493" s="366"/>
      <c r="J493" s="367"/>
      <c r="K493" s="367">
        <v>0.27</v>
      </c>
      <c r="L493" s="367"/>
      <c r="M493" s="367"/>
      <c r="N493" s="367"/>
      <c r="O493" s="367"/>
      <c r="P493" s="367"/>
      <c r="Q493" s="367">
        <v>5.5</v>
      </c>
      <c r="R493" s="367"/>
      <c r="S493" s="367"/>
      <c r="T493" s="367"/>
      <c r="U493" s="367"/>
      <c r="V493" s="367"/>
      <c r="W493" s="367"/>
      <c r="X493" s="367"/>
      <c r="Y493" s="367"/>
      <c r="Z493" s="367"/>
      <c r="AA493" s="367"/>
      <c r="AB493" s="367"/>
      <c r="AC493" s="367"/>
      <c r="AD493" s="367"/>
    </row>
    <row r="494" spans="1:30" ht="15" x14ac:dyDescent="0.25">
      <c r="A494" s="365" t="s">
        <v>658</v>
      </c>
      <c r="H494" s="366"/>
      <c r="J494" s="367"/>
      <c r="K494" s="367">
        <v>1.97</v>
      </c>
      <c r="L494" s="367"/>
      <c r="M494" s="367"/>
      <c r="N494" s="367"/>
      <c r="O494" s="367"/>
      <c r="P494" s="367"/>
      <c r="Q494" s="367">
        <v>2.9</v>
      </c>
      <c r="R494" s="367"/>
      <c r="S494" s="367"/>
      <c r="T494" s="367"/>
      <c r="U494" s="367"/>
      <c r="V494" s="367"/>
      <c r="W494" s="367"/>
      <c r="X494" s="367"/>
      <c r="Y494" s="367"/>
      <c r="Z494" s="367"/>
      <c r="AA494" s="367"/>
      <c r="AB494" s="367"/>
      <c r="AC494" s="367"/>
      <c r="AD494" s="367"/>
    </row>
    <row r="495" spans="1:30" ht="15" x14ac:dyDescent="0.25">
      <c r="A495" s="365" t="s">
        <v>659</v>
      </c>
      <c r="H495" s="366"/>
      <c r="J495" s="367"/>
      <c r="K495" s="367">
        <v>1.1200000000000001</v>
      </c>
      <c r="L495" s="367"/>
      <c r="M495" s="367"/>
      <c r="N495" s="367"/>
      <c r="O495" s="367"/>
      <c r="P495" s="367"/>
      <c r="Q495" s="367">
        <v>9.8000000000000007</v>
      </c>
      <c r="R495" s="367"/>
      <c r="S495" s="367"/>
      <c r="T495" s="367"/>
      <c r="U495" s="367"/>
      <c r="V495" s="367"/>
      <c r="W495" s="367"/>
      <c r="X495" s="367"/>
      <c r="Y495" s="367"/>
      <c r="Z495" s="367"/>
      <c r="AA495" s="367"/>
      <c r="AB495" s="367"/>
      <c r="AC495" s="367"/>
      <c r="AD495" s="367"/>
    </row>
    <row r="496" spans="1:30" ht="15" x14ac:dyDescent="0.25">
      <c r="A496" s="365" t="s">
        <v>660</v>
      </c>
      <c r="H496" s="366"/>
      <c r="J496" s="367"/>
      <c r="K496" s="367"/>
      <c r="L496" s="367"/>
      <c r="M496" s="367"/>
      <c r="N496" s="367"/>
      <c r="O496" s="367"/>
      <c r="P496" s="367"/>
      <c r="Q496" s="367">
        <v>4.9000000000000004</v>
      </c>
      <c r="R496" s="367"/>
      <c r="S496" s="367"/>
      <c r="T496" s="367"/>
      <c r="U496" s="367"/>
      <c r="V496" s="367"/>
      <c r="W496" s="367"/>
      <c r="X496" s="367"/>
      <c r="Y496" s="367"/>
      <c r="Z496" s="367"/>
      <c r="AA496" s="367"/>
      <c r="AB496" s="367"/>
      <c r="AC496" s="367"/>
      <c r="AD496" s="367"/>
    </row>
    <row r="497" spans="1:30" ht="15" x14ac:dyDescent="0.25">
      <c r="A497" s="365" t="s">
        <v>661</v>
      </c>
      <c r="H497" s="366"/>
      <c r="J497" s="367"/>
      <c r="K497" s="367">
        <v>1.77</v>
      </c>
      <c r="L497" s="367"/>
      <c r="M497" s="367"/>
      <c r="N497" s="367"/>
      <c r="O497" s="367"/>
      <c r="P497" s="367"/>
      <c r="Q497" s="367">
        <v>8.3000000000000007</v>
      </c>
      <c r="R497" s="367"/>
      <c r="S497" s="367"/>
      <c r="T497" s="367"/>
      <c r="U497" s="367"/>
      <c r="V497" s="367"/>
      <c r="W497" s="367"/>
      <c r="X497" s="367"/>
      <c r="Y497" s="367"/>
      <c r="Z497" s="367"/>
      <c r="AA497" s="367"/>
      <c r="AB497" s="367"/>
      <c r="AC497" s="367"/>
      <c r="AD497" s="367"/>
    </row>
    <row r="498" spans="1:30" ht="15" x14ac:dyDescent="0.25">
      <c r="A498" s="365" t="s">
        <v>662</v>
      </c>
      <c r="H498" s="366"/>
      <c r="J498" s="367"/>
      <c r="K498" s="367">
        <v>0.28000000000000003</v>
      </c>
      <c r="L498" s="367"/>
      <c r="M498" s="367"/>
      <c r="N498" s="367"/>
      <c r="O498" s="367"/>
      <c r="P498" s="367"/>
      <c r="Q498" s="367">
        <v>1.8</v>
      </c>
      <c r="R498" s="367"/>
      <c r="S498" s="367"/>
      <c r="T498" s="367"/>
      <c r="U498" s="367"/>
      <c r="V498" s="367"/>
      <c r="W498" s="367"/>
      <c r="X498" s="367"/>
      <c r="Y498" s="367"/>
      <c r="Z498" s="367"/>
      <c r="AA498" s="367"/>
      <c r="AB498" s="367"/>
      <c r="AC498" s="367"/>
      <c r="AD498" s="367"/>
    </row>
    <row r="499" spans="1:30" ht="15" x14ac:dyDescent="0.25">
      <c r="A499" s="365" t="s">
        <v>663</v>
      </c>
      <c r="H499" s="366"/>
      <c r="J499" s="367"/>
      <c r="K499" s="367"/>
      <c r="L499" s="367"/>
      <c r="M499" s="367"/>
      <c r="N499" s="367"/>
      <c r="O499" s="367"/>
      <c r="P499" s="367"/>
      <c r="Q499" s="367">
        <v>0.5</v>
      </c>
      <c r="R499" s="367"/>
      <c r="S499" s="367"/>
      <c r="T499" s="367"/>
      <c r="U499" s="367"/>
      <c r="V499" s="367"/>
      <c r="W499" s="367"/>
      <c r="X499" s="367"/>
      <c r="Y499" s="367"/>
      <c r="Z499" s="367"/>
      <c r="AA499" s="367"/>
      <c r="AB499" s="367"/>
      <c r="AC499" s="367"/>
      <c r="AD499" s="367"/>
    </row>
    <row r="500" spans="1:30" ht="15" x14ac:dyDescent="0.25">
      <c r="A500" s="365" t="s">
        <v>664</v>
      </c>
      <c r="H500" s="366"/>
      <c r="J500" s="367"/>
      <c r="K500" s="367">
        <v>0.49</v>
      </c>
      <c r="L500" s="367"/>
      <c r="M500" s="367"/>
      <c r="N500" s="367"/>
      <c r="O500" s="367"/>
      <c r="P500" s="367"/>
      <c r="Q500" s="367">
        <v>7.5</v>
      </c>
      <c r="R500" s="367"/>
      <c r="S500" s="367"/>
      <c r="T500" s="367"/>
      <c r="U500" s="367"/>
      <c r="V500" s="367"/>
      <c r="W500" s="367"/>
      <c r="X500" s="367"/>
      <c r="Y500" s="367"/>
      <c r="Z500" s="367"/>
      <c r="AA500" s="367"/>
      <c r="AB500" s="367"/>
      <c r="AC500" s="367"/>
      <c r="AD500" s="367"/>
    </row>
    <row r="501" spans="1:30" ht="15" x14ac:dyDescent="0.25">
      <c r="A501" s="365" t="s">
        <v>665</v>
      </c>
      <c r="H501" s="366"/>
      <c r="J501" s="367"/>
      <c r="K501" s="367">
        <v>0.73</v>
      </c>
      <c r="L501" s="367"/>
      <c r="M501" s="367"/>
      <c r="N501" s="367"/>
      <c r="O501" s="367"/>
      <c r="P501" s="367"/>
      <c r="Q501" s="367">
        <v>10.199999999999999</v>
      </c>
      <c r="R501" s="367"/>
      <c r="S501" s="367"/>
      <c r="T501" s="367"/>
      <c r="U501" s="367"/>
      <c r="V501" s="367"/>
      <c r="W501" s="367"/>
      <c r="X501" s="367"/>
      <c r="Y501" s="367"/>
      <c r="Z501" s="367"/>
      <c r="AA501" s="367"/>
      <c r="AB501" s="367"/>
      <c r="AC501" s="367"/>
      <c r="AD501" s="367"/>
    </row>
    <row r="502" spans="1:30" ht="15" x14ac:dyDescent="0.25">
      <c r="A502" s="365" t="s">
        <v>666</v>
      </c>
      <c r="H502" s="366"/>
      <c r="J502" s="367"/>
      <c r="K502" s="367">
        <v>1.81</v>
      </c>
      <c r="L502" s="367"/>
      <c r="M502" s="367"/>
      <c r="N502" s="367"/>
      <c r="O502" s="367"/>
      <c r="P502" s="367"/>
      <c r="Q502" s="367">
        <v>9.4</v>
      </c>
      <c r="R502" s="367"/>
      <c r="S502" s="367"/>
      <c r="T502" s="367"/>
      <c r="U502" s="367"/>
      <c r="V502" s="367"/>
      <c r="W502" s="367"/>
      <c r="X502" s="367"/>
      <c r="Y502" s="367"/>
      <c r="Z502" s="367"/>
      <c r="AA502" s="367"/>
      <c r="AB502" s="367"/>
      <c r="AC502" s="367"/>
      <c r="AD502" s="367"/>
    </row>
    <row r="503" spans="1:30" ht="15" x14ac:dyDescent="0.25">
      <c r="A503" s="365" t="s">
        <v>667</v>
      </c>
      <c r="H503" s="366"/>
      <c r="J503" s="367"/>
      <c r="K503" s="367">
        <v>1.1399999999999999</v>
      </c>
      <c r="L503" s="367"/>
      <c r="M503" s="367"/>
      <c r="N503" s="367"/>
      <c r="O503" s="367"/>
      <c r="P503" s="367"/>
      <c r="Q503" s="367">
        <v>10.199999999999999</v>
      </c>
    </row>
    <row r="504" spans="1:30" ht="15" x14ac:dyDescent="0.25">
      <c r="A504" s="365" t="s">
        <v>668</v>
      </c>
      <c r="H504" s="366"/>
      <c r="J504" s="367"/>
      <c r="K504" s="367">
        <v>1.78</v>
      </c>
      <c r="L504" s="367"/>
      <c r="M504" s="367"/>
      <c r="N504" s="367"/>
      <c r="O504" s="367"/>
      <c r="P504" s="367"/>
      <c r="Q504" s="367">
        <v>9.6</v>
      </c>
    </row>
    <row r="505" spans="1:30" ht="15" x14ac:dyDescent="0.25">
      <c r="A505" s="365" t="s">
        <v>669</v>
      </c>
      <c r="H505" s="366"/>
      <c r="J505" s="367"/>
      <c r="K505" s="367"/>
      <c r="L505" s="367"/>
      <c r="M505" s="367"/>
      <c r="N505" s="367"/>
      <c r="O505" s="367"/>
      <c r="P505" s="367"/>
      <c r="Q505" s="367">
        <v>3.8</v>
      </c>
    </row>
    <row r="506" spans="1:30" ht="15" x14ac:dyDescent="0.25">
      <c r="A506" s="365" t="s">
        <v>670</v>
      </c>
      <c r="H506" s="366"/>
      <c r="J506" s="367"/>
      <c r="K506" s="367"/>
      <c r="L506" s="367"/>
      <c r="M506" s="367"/>
      <c r="N506" s="367"/>
      <c r="O506" s="367"/>
      <c r="P506" s="367"/>
      <c r="Q506" s="367">
        <v>0.3</v>
      </c>
    </row>
    <row r="507" spans="1:30" ht="15" x14ac:dyDescent="0.25">
      <c r="A507" s="365" t="s">
        <v>671</v>
      </c>
      <c r="H507" s="366"/>
      <c r="J507" s="367"/>
      <c r="K507" s="367">
        <v>1.48</v>
      </c>
      <c r="L507" s="367"/>
      <c r="M507" s="367"/>
      <c r="N507" s="367"/>
      <c r="O507" s="367"/>
      <c r="P507" s="367"/>
      <c r="Q507" s="367">
        <v>12.6</v>
      </c>
    </row>
    <row r="508" spans="1:30" ht="15" x14ac:dyDescent="0.25">
      <c r="A508" s="365" t="s">
        <v>672</v>
      </c>
      <c r="H508" s="366"/>
      <c r="J508" s="367"/>
      <c r="K508" s="367"/>
      <c r="L508" s="367"/>
      <c r="M508" s="367"/>
      <c r="N508" s="367"/>
      <c r="O508" s="367"/>
      <c r="P508" s="367"/>
      <c r="Q508" s="367">
        <v>0.3</v>
      </c>
    </row>
    <row r="509" spans="1:30" ht="15" x14ac:dyDescent="0.25">
      <c r="A509" s="365" t="s">
        <v>673</v>
      </c>
      <c r="H509" s="366"/>
      <c r="J509" s="367"/>
      <c r="K509" s="367">
        <v>0.06</v>
      </c>
      <c r="L509" s="367"/>
      <c r="M509" s="367"/>
      <c r="N509" s="367"/>
      <c r="O509" s="367"/>
      <c r="P509" s="367"/>
      <c r="Q509" s="367">
        <v>8.3000000000000007</v>
      </c>
    </row>
    <row r="510" spans="1:30" ht="15" x14ac:dyDescent="0.25">
      <c r="A510" s="365" t="s">
        <v>674</v>
      </c>
      <c r="H510" s="366"/>
      <c r="J510" s="367"/>
      <c r="K510" s="367">
        <v>0.71</v>
      </c>
      <c r="L510" s="367"/>
      <c r="M510" s="367"/>
      <c r="N510" s="367"/>
      <c r="O510" s="367"/>
      <c r="P510" s="367"/>
      <c r="Q510" s="367">
        <v>7.2</v>
      </c>
    </row>
    <row r="511" spans="1:30" ht="15" x14ac:dyDescent="0.25">
      <c r="A511" s="365" t="s">
        <v>675</v>
      </c>
      <c r="H511" s="366"/>
      <c r="J511" s="367"/>
      <c r="K511" s="367">
        <v>1.95</v>
      </c>
      <c r="L511" s="367"/>
      <c r="M511" s="367"/>
      <c r="N511" s="367"/>
      <c r="O511" s="367"/>
      <c r="P511" s="367"/>
      <c r="Q511" s="367">
        <v>9.8000000000000007</v>
      </c>
    </row>
    <row r="512" spans="1:30" ht="15" x14ac:dyDescent="0.25">
      <c r="A512" s="365" t="s">
        <v>676</v>
      </c>
      <c r="H512" s="366"/>
      <c r="J512" s="367"/>
      <c r="K512" s="367">
        <v>1.99</v>
      </c>
      <c r="L512" s="367"/>
      <c r="M512" s="367"/>
      <c r="N512" s="367"/>
      <c r="O512" s="367"/>
      <c r="P512" s="367"/>
      <c r="Q512" s="367">
        <v>7.4</v>
      </c>
    </row>
    <row r="513" spans="1:17" ht="15" x14ac:dyDescent="0.25">
      <c r="A513" s="365" t="s">
        <v>677</v>
      </c>
      <c r="H513" s="366"/>
      <c r="J513" s="367"/>
      <c r="K513" s="367">
        <v>1.42</v>
      </c>
      <c r="L513" s="367"/>
      <c r="M513" s="367"/>
      <c r="N513" s="367"/>
      <c r="O513" s="367"/>
      <c r="P513" s="367"/>
      <c r="Q513" s="367">
        <v>3.6</v>
      </c>
    </row>
    <row r="514" spans="1:17" ht="15" x14ac:dyDescent="0.25">
      <c r="A514" s="365" t="s">
        <v>678</v>
      </c>
      <c r="H514" s="366"/>
      <c r="J514" s="367"/>
      <c r="K514" s="367">
        <v>2.0499999999999998</v>
      </c>
      <c r="L514" s="367"/>
      <c r="M514" s="367"/>
      <c r="N514" s="367"/>
      <c r="O514" s="367"/>
      <c r="P514" s="367"/>
      <c r="Q514" s="367">
        <v>9.9</v>
      </c>
    </row>
    <row r="515" spans="1:17" ht="15" x14ac:dyDescent="0.25">
      <c r="A515" s="365" t="s">
        <v>679</v>
      </c>
      <c r="H515" s="366"/>
      <c r="J515" s="367"/>
      <c r="K515" s="367">
        <v>2.1</v>
      </c>
      <c r="L515" s="367"/>
      <c r="M515" s="367"/>
      <c r="N515" s="367"/>
      <c r="O515" s="367"/>
      <c r="P515" s="367"/>
      <c r="Q515" s="367">
        <v>9.6999999999999993</v>
      </c>
    </row>
    <row r="516" spans="1:17" ht="15" x14ac:dyDescent="0.25">
      <c r="A516" s="365" t="s">
        <v>680</v>
      </c>
      <c r="H516" s="366"/>
      <c r="J516" s="367"/>
      <c r="K516" s="367">
        <v>0.06</v>
      </c>
      <c r="L516" s="367"/>
      <c r="M516" s="367"/>
      <c r="N516" s="367"/>
      <c r="O516" s="367"/>
      <c r="P516" s="367"/>
      <c r="Q516" s="367">
        <v>0.8</v>
      </c>
    </row>
    <row r="517" spans="1:17" ht="15" x14ac:dyDescent="0.25">
      <c r="A517" s="365" t="s">
        <v>681</v>
      </c>
      <c r="H517" s="366"/>
      <c r="J517" s="367"/>
      <c r="K517" s="367">
        <v>0.12</v>
      </c>
      <c r="L517" s="367"/>
      <c r="M517" s="367"/>
      <c r="N517" s="367"/>
      <c r="O517" s="367"/>
      <c r="P517" s="367"/>
      <c r="Q517" s="367">
        <v>6.1</v>
      </c>
    </row>
    <row r="518" spans="1:17" ht="15" x14ac:dyDescent="0.25">
      <c r="A518" s="365" t="s">
        <v>682</v>
      </c>
      <c r="H518" s="366"/>
      <c r="J518" s="367"/>
      <c r="K518" s="367">
        <v>2.2999999999999998</v>
      </c>
      <c r="L518" s="367"/>
      <c r="M518" s="367"/>
      <c r="N518" s="367"/>
      <c r="O518" s="367"/>
      <c r="P518" s="367"/>
      <c r="Q518" s="367">
        <v>7</v>
      </c>
    </row>
    <row r="519" spans="1:17" ht="15" x14ac:dyDescent="0.25">
      <c r="A519" s="365" t="s">
        <v>683</v>
      </c>
      <c r="H519" s="366"/>
      <c r="J519" s="367"/>
      <c r="K519" s="367">
        <v>1.06</v>
      </c>
      <c r="L519" s="367"/>
      <c r="M519" s="367"/>
      <c r="N519" s="367"/>
      <c r="O519" s="367"/>
      <c r="P519" s="367"/>
      <c r="Q519" s="367">
        <v>9.8000000000000007</v>
      </c>
    </row>
    <row r="520" spans="1:17" ht="15" x14ac:dyDescent="0.25">
      <c r="A520" s="365" t="s">
        <v>684</v>
      </c>
      <c r="H520" s="366"/>
      <c r="J520" s="367"/>
      <c r="K520" s="367">
        <v>2.04</v>
      </c>
      <c r="L520" s="367"/>
      <c r="M520" s="367"/>
      <c r="N520" s="367"/>
      <c r="O520" s="367"/>
      <c r="P520" s="367"/>
      <c r="Q520" s="367">
        <v>10</v>
      </c>
    </row>
    <row r="521" spans="1:17" ht="15" x14ac:dyDescent="0.25">
      <c r="A521" s="365" t="s">
        <v>685</v>
      </c>
      <c r="H521" s="366"/>
      <c r="J521" s="367"/>
      <c r="K521" s="367">
        <v>1.2</v>
      </c>
      <c r="L521" s="367"/>
      <c r="M521" s="367"/>
      <c r="N521" s="367"/>
      <c r="O521" s="367"/>
      <c r="P521" s="367"/>
      <c r="Q521" s="367">
        <v>10.1</v>
      </c>
    </row>
    <row r="522" spans="1:17" ht="15" x14ac:dyDescent="0.25">
      <c r="A522" s="365" t="s">
        <v>686</v>
      </c>
      <c r="H522" s="366"/>
      <c r="J522" s="367"/>
      <c r="K522" s="367"/>
      <c r="L522" s="367"/>
      <c r="M522" s="367"/>
      <c r="N522" s="367"/>
      <c r="O522" s="367"/>
      <c r="P522" s="367"/>
      <c r="Q522" s="367">
        <v>0.8</v>
      </c>
    </row>
    <row r="523" spans="1:17" ht="15" x14ac:dyDescent="0.25">
      <c r="A523" s="365" t="s">
        <v>687</v>
      </c>
      <c r="H523" s="366"/>
      <c r="J523" s="367"/>
      <c r="K523" s="367">
        <v>6.6</v>
      </c>
      <c r="L523" s="367"/>
      <c r="M523" s="367"/>
      <c r="N523" s="367"/>
      <c r="O523" s="367"/>
      <c r="P523" s="367"/>
      <c r="Q523" s="367">
        <v>4.8</v>
      </c>
    </row>
    <row r="524" spans="1:17" ht="15" x14ac:dyDescent="0.25">
      <c r="A524" s="365" t="s">
        <v>688</v>
      </c>
      <c r="H524" s="366"/>
      <c r="J524" s="367"/>
      <c r="K524" s="367">
        <v>0.1</v>
      </c>
      <c r="L524" s="367"/>
      <c r="M524" s="367"/>
      <c r="N524" s="367"/>
      <c r="O524" s="367"/>
      <c r="P524" s="367"/>
      <c r="Q524" s="367">
        <v>1.5</v>
      </c>
    </row>
    <row r="525" spans="1:17" ht="15" x14ac:dyDescent="0.25">
      <c r="A525" s="365" t="s">
        <v>689</v>
      </c>
      <c r="H525" s="366"/>
      <c r="J525" s="367"/>
      <c r="K525" s="367">
        <v>2.02</v>
      </c>
      <c r="L525" s="367"/>
      <c r="M525" s="367"/>
      <c r="N525" s="367"/>
      <c r="O525" s="367"/>
      <c r="P525" s="367"/>
      <c r="Q525" s="367">
        <v>8.8000000000000007</v>
      </c>
    </row>
    <row r="526" spans="1:17" ht="15" x14ac:dyDescent="0.25">
      <c r="A526" s="365" t="s">
        <v>690</v>
      </c>
      <c r="H526" s="366"/>
      <c r="J526" s="367"/>
      <c r="K526" s="367"/>
      <c r="L526" s="367"/>
      <c r="M526" s="367"/>
      <c r="N526" s="367"/>
      <c r="O526" s="367"/>
      <c r="P526" s="367"/>
      <c r="Q526" s="367">
        <v>2</v>
      </c>
    </row>
    <row r="527" spans="1:17" ht="15" x14ac:dyDescent="0.25">
      <c r="A527" s="365" t="s">
        <v>691</v>
      </c>
      <c r="H527" s="366"/>
      <c r="J527" s="367"/>
      <c r="K527" s="367">
        <v>1.85</v>
      </c>
      <c r="L527" s="367"/>
      <c r="M527" s="367"/>
      <c r="N527" s="367"/>
      <c r="O527" s="367"/>
      <c r="P527" s="367"/>
      <c r="Q527" s="367">
        <v>3.9</v>
      </c>
    </row>
    <row r="528" spans="1:17" ht="15" x14ac:dyDescent="0.25">
      <c r="A528" s="365" t="s">
        <v>692</v>
      </c>
      <c r="H528" s="366"/>
      <c r="J528" s="367"/>
      <c r="K528" s="367">
        <v>2.4</v>
      </c>
      <c r="L528" s="367"/>
      <c r="M528" s="367"/>
      <c r="N528" s="367"/>
      <c r="O528" s="367"/>
      <c r="P528" s="367"/>
      <c r="Q528" s="367">
        <v>630</v>
      </c>
    </row>
    <row r="529" spans="1:17" ht="15" x14ac:dyDescent="0.25">
      <c r="A529" s="365" t="s">
        <v>693</v>
      </c>
      <c r="H529" s="366"/>
      <c r="J529" s="367"/>
      <c r="K529" s="367"/>
      <c r="L529" s="367"/>
      <c r="M529" s="367"/>
      <c r="N529" s="367"/>
      <c r="O529" s="367"/>
      <c r="P529" s="367"/>
      <c r="Q529" s="367">
        <v>0.3</v>
      </c>
    </row>
    <row r="530" spans="1:17" ht="15" x14ac:dyDescent="0.25">
      <c r="A530" s="365" t="s">
        <v>694</v>
      </c>
      <c r="H530" s="366"/>
      <c r="J530" s="367"/>
      <c r="K530" s="367"/>
      <c r="L530" s="367"/>
      <c r="M530" s="367"/>
      <c r="N530" s="367"/>
      <c r="O530" s="367"/>
      <c r="P530" s="367"/>
      <c r="Q530" s="367">
        <v>4.3</v>
      </c>
    </row>
    <row r="531" spans="1:17" ht="15" x14ac:dyDescent="0.25">
      <c r="A531" s="365" t="s">
        <v>695</v>
      </c>
      <c r="H531" s="366"/>
      <c r="J531" s="367"/>
      <c r="K531" s="367">
        <v>1.72</v>
      </c>
      <c r="L531" s="367"/>
      <c r="M531" s="367"/>
      <c r="N531" s="367"/>
      <c r="O531" s="367"/>
      <c r="P531" s="367"/>
      <c r="Q531" s="367">
        <v>9.6</v>
      </c>
    </row>
    <row r="532" spans="1:17" ht="15" x14ac:dyDescent="0.25">
      <c r="A532" s="365" t="s">
        <v>696</v>
      </c>
      <c r="H532" s="366"/>
      <c r="J532" s="367"/>
      <c r="K532" s="367">
        <v>0.2</v>
      </c>
      <c r="L532" s="367"/>
      <c r="M532" s="367"/>
      <c r="N532" s="367"/>
      <c r="O532" s="367"/>
      <c r="P532" s="367"/>
      <c r="Q532" s="367">
        <v>2</v>
      </c>
    </row>
    <row r="533" spans="1:17" ht="15" x14ac:dyDescent="0.25">
      <c r="A533" s="365" t="s">
        <v>697</v>
      </c>
      <c r="H533" s="366"/>
      <c r="J533" s="367"/>
      <c r="K533" s="367">
        <v>1.75</v>
      </c>
      <c r="L533" s="367"/>
      <c r="M533" s="367"/>
      <c r="N533" s="367"/>
      <c r="O533" s="367"/>
      <c r="P533" s="367"/>
      <c r="Q533" s="367">
        <v>10.1</v>
      </c>
    </row>
    <row r="534" spans="1:17" ht="15" x14ac:dyDescent="0.25">
      <c r="A534" s="365" t="s">
        <v>698</v>
      </c>
      <c r="H534" s="366"/>
      <c r="J534" s="367"/>
      <c r="K534" s="367">
        <v>2.09</v>
      </c>
      <c r="L534" s="367"/>
      <c r="M534" s="367"/>
      <c r="N534" s="367"/>
      <c r="O534" s="367"/>
      <c r="P534" s="367"/>
      <c r="Q534" s="367">
        <v>10.4</v>
      </c>
    </row>
    <row r="535" spans="1:17" ht="15" x14ac:dyDescent="0.25">
      <c r="A535" s="365" t="s">
        <v>699</v>
      </c>
      <c r="H535" s="366"/>
      <c r="J535" s="367"/>
      <c r="K535" s="367">
        <v>1.18</v>
      </c>
      <c r="L535" s="367"/>
      <c r="M535" s="367"/>
      <c r="N535" s="367"/>
      <c r="O535" s="367"/>
      <c r="P535" s="367"/>
      <c r="Q535" s="367">
        <v>10.1</v>
      </c>
    </row>
    <row r="536" spans="1:17" ht="15" x14ac:dyDescent="0.25">
      <c r="A536" s="365" t="s">
        <v>700</v>
      </c>
      <c r="H536" s="366"/>
      <c r="J536" s="367"/>
      <c r="K536" s="367">
        <v>0.48</v>
      </c>
      <c r="L536" s="367"/>
      <c r="M536" s="367"/>
      <c r="N536" s="367"/>
      <c r="O536" s="367"/>
      <c r="P536" s="367"/>
      <c r="Q536" s="367">
        <v>3.9</v>
      </c>
    </row>
    <row r="537" spans="1:17" ht="15" x14ac:dyDescent="0.25">
      <c r="A537" s="365" t="s">
        <v>701</v>
      </c>
      <c r="H537" s="366"/>
      <c r="J537" s="367"/>
      <c r="K537" s="367">
        <v>1.99</v>
      </c>
      <c r="L537" s="367"/>
      <c r="M537" s="367"/>
      <c r="N537" s="367"/>
      <c r="O537" s="367"/>
      <c r="P537" s="367"/>
      <c r="Q537" s="367">
        <v>8</v>
      </c>
    </row>
    <row r="538" spans="1:17" ht="15" x14ac:dyDescent="0.25">
      <c r="A538" s="365" t="s">
        <v>702</v>
      </c>
      <c r="H538" s="366"/>
      <c r="J538" s="367"/>
      <c r="K538" s="367">
        <v>2.17</v>
      </c>
      <c r="L538" s="367"/>
      <c r="M538" s="367"/>
      <c r="N538" s="367"/>
      <c r="O538" s="367"/>
      <c r="P538" s="367"/>
      <c r="Q538" s="367">
        <v>10.7</v>
      </c>
    </row>
    <row r="539" spans="1:17" ht="15" x14ac:dyDescent="0.25">
      <c r="A539" s="365" t="s">
        <v>703</v>
      </c>
      <c r="H539" s="366"/>
      <c r="J539" s="367"/>
      <c r="K539" s="367">
        <v>0.59</v>
      </c>
      <c r="L539" s="367"/>
      <c r="M539" s="367"/>
      <c r="N539" s="367"/>
      <c r="O539" s="367"/>
      <c r="P539" s="367"/>
      <c r="Q539" s="367">
        <v>11.7</v>
      </c>
    </row>
    <row r="540" spans="1:17" ht="15" x14ac:dyDescent="0.25">
      <c r="A540" s="365" t="s">
        <v>704</v>
      </c>
      <c r="H540" s="366"/>
      <c r="J540" s="367"/>
      <c r="K540" s="367">
        <v>2.09</v>
      </c>
      <c r="L540" s="367"/>
      <c r="M540" s="367"/>
      <c r="N540" s="367"/>
      <c r="O540" s="367"/>
      <c r="P540" s="367"/>
      <c r="Q540" s="367">
        <v>10.3</v>
      </c>
    </row>
    <row r="541" spans="1:17" ht="15" x14ac:dyDescent="0.25">
      <c r="A541" s="365" t="s">
        <v>705</v>
      </c>
      <c r="H541" s="366"/>
      <c r="J541" s="367"/>
      <c r="K541" s="367">
        <v>1.78</v>
      </c>
      <c r="L541" s="367"/>
      <c r="M541" s="367"/>
      <c r="N541" s="367"/>
      <c r="O541" s="367"/>
      <c r="P541" s="367"/>
      <c r="Q541" s="367">
        <v>12.7</v>
      </c>
    </row>
    <row r="542" spans="1:17" ht="15" x14ac:dyDescent="0.25">
      <c r="A542" s="365" t="s">
        <v>706</v>
      </c>
      <c r="H542" s="366"/>
      <c r="J542" s="367"/>
      <c r="K542" s="367">
        <v>2.16</v>
      </c>
      <c r="L542" s="367"/>
      <c r="M542" s="367"/>
      <c r="N542" s="367"/>
      <c r="O542" s="367"/>
      <c r="P542" s="367"/>
      <c r="Q542" s="367">
        <v>10.6</v>
      </c>
    </row>
    <row r="543" spans="1:17" ht="15" x14ac:dyDescent="0.25">
      <c r="A543" s="365" t="s">
        <v>707</v>
      </c>
      <c r="H543" s="366"/>
      <c r="J543" s="367"/>
      <c r="K543" s="367">
        <v>1.52</v>
      </c>
      <c r="L543" s="367"/>
      <c r="M543" s="367"/>
      <c r="N543" s="367"/>
      <c r="O543" s="367"/>
      <c r="P543" s="367"/>
      <c r="Q543" s="367">
        <v>6.7</v>
      </c>
    </row>
    <row r="544" spans="1:17" ht="15" x14ac:dyDescent="0.25">
      <c r="A544" s="365" t="s">
        <v>708</v>
      </c>
      <c r="H544" s="366"/>
      <c r="J544" s="367"/>
      <c r="K544" s="367">
        <v>1.59</v>
      </c>
      <c r="L544" s="367"/>
      <c r="M544" s="367"/>
      <c r="N544" s="367"/>
      <c r="O544" s="367"/>
      <c r="P544" s="367"/>
      <c r="Q544" s="367">
        <v>9.6999999999999993</v>
      </c>
    </row>
    <row r="545" spans="1:17" ht="15" x14ac:dyDescent="0.25">
      <c r="A545" s="365" t="s">
        <v>709</v>
      </c>
      <c r="H545" s="366"/>
      <c r="J545" s="367"/>
      <c r="K545" s="367">
        <v>1.6</v>
      </c>
      <c r="L545" s="367"/>
      <c r="M545" s="367"/>
      <c r="N545" s="367"/>
      <c r="O545" s="367"/>
      <c r="P545" s="367"/>
      <c r="Q545" s="367">
        <v>9.8000000000000007</v>
      </c>
    </row>
    <row r="546" spans="1:17" ht="15" x14ac:dyDescent="0.25">
      <c r="A546" s="365" t="s">
        <v>710</v>
      </c>
      <c r="H546" s="366"/>
      <c r="J546" s="367"/>
      <c r="K546" s="367"/>
      <c r="L546" s="367"/>
      <c r="M546" s="367"/>
      <c r="N546" s="367"/>
      <c r="O546" s="367"/>
      <c r="P546" s="367"/>
      <c r="Q546" s="367">
        <v>0.2</v>
      </c>
    </row>
    <row r="547" spans="1:17" ht="15" x14ac:dyDescent="0.25">
      <c r="A547" s="365" t="s">
        <v>711</v>
      </c>
      <c r="H547" s="366"/>
      <c r="J547" s="367"/>
      <c r="K547" s="367">
        <v>0.47</v>
      </c>
      <c r="L547" s="367"/>
      <c r="M547" s="367"/>
      <c r="N547" s="367"/>
      <c r="O547" s="367"/>
      <c r="P547" s="367"/>
      <c r="Q547" s="367">
        <v>3.8</v>
      </c>
    </row>
    <row r="548" spans="1:17" ht="15" x14ac:dyDescent="0.25">
      <c r="A548" s="365" t="s">
        <v>690</v>
      </c>
      <c r="H548" s="366"/>
      <c r="J548" s="367"/>
      <c r="K548" s="367">
        <v>1.58</v>
      </c>
      <c r="L548" s="367"/>
      <c r="M548" s="367"/>
      <c r="N548" s="367"/>
      <c r="O548" s="367"/>
      <c r="P548" s="367"/>
      <c r="Q548" s="367">
        <v>9.6999999999999993</v>
      </c>
    </row>
    <row r="549" spans="1:17" ht="15" x14ac:dyDescent="0.25">
      <c r="A549" s="365" t="s">
        <v>712</v>
      </c>
      <c r="H549" s="366"/>
      <c r="J549" s="367"/>
      <c r="K549" s="367">
        <v>0.32</v>
      </c>
      <c r="L549" s="367"/>
      <c r="M549" s="367"/>
      <c r="N549" s="367"/>
      <c r="O549" s="367"/>
      <c r="P549" s="367"/>
      <c r="Q549" s="367">
        <v>8.9</v>
      </c>
    </row>
    <row r="550" spans="1:17" ht="15" x14ac:dyDescent="0.25">
      <c r="A550" s="365" t="s">
        <v>713</v>
      </c>
      <c r="H550" s="366"/>
      <c r="J550" s="367"/>
      <c r="K550" s="367">
        <v>2.2599999999999998</v>
      </c>
      <c r="L550" s="367"/>
      <c r="M550" s="367"/>
      <c r="N550" s="367"/>
      <c r="O550" s="367"/>
      <c r="P550" s="367"/>
      <c r="Q550" s="367">
        <v>11.1</v>
      </c>
    </row>
    <row r="551" spans="1:17" ht="15" x14ac:dyDescent="0.25">
      <c r="A551" s="365" t="s">
        <v>714</v>
      </c>
      <c r="H551" s="366"/>
      <c r="J551" s="367"/>
      <c r="K551" s="367">
        <v>2.2799999999999998</v>
      </c>
      <c r="L551" s="367"/>
      <c r="M551" s="367"/>
      <c r="N551" s="367"/>
      <c r="O551" s="367"/>
      <c r="P551" s="367"/>
      <c r="Q551" s="367">
        <v>8.9</v>
      </c>
    </row>
    <row r="552" spans="1:17" ht="15" x14ac:dyDescent="0.25">
      <c r="A552" s="365" t="s">
        <v>715</v>
      </c>
      <c r="H552" s="366"/>
      <c r="J552" s="367"/>
      <c r="K552" s="367"/>
      <c r="L552" s="367"/>
      <c r="M552" s="367"/>
      <c r="N552" s="367"/>
      <c r="O552" s="367"/>
      <c r="P552" s="367"/>
      <c r="Q552" s="367">
        <v>0.9</v>
      </c>
    </row>
    <row r="553" spans="1:17" ht="15" x14ac:dyDescent="0.25">
      <c r="A553" s="365" t="s">
        <v>716</v>
      </c>
      <c r="H553" s="366"/>
      <c r="J553" s="367"/>
      <c r="K553" s="367"/>
      <c r="L553" s="367"/>
      <c r="M553" s="367"/>
      <c r="N553" s="367"/>
      <c r="O553" s="367"/>
      <c r="P553" s="367"/>
      <c r="Q553" s="367">
        <v>1.8</v>
      </c>
    </row>
    <row r="554" spans="1:17" ht="15" x14ac:dyDescent="0.25">
      <c r="A554" s="365" t="s">
        <v>717</v>
      </c>
      <c r="H554" s="366"/>
      <c r="J554" s="367"/>
      <c r="K554" s="367">
        <v>1.4</v>
      </c>
      <c r="L554" s="367"/>
      <c r="M554" s="367"/>
      <c r="N554" s="367"/>
      <c r="O554" s="367"/>
      <c r="P554" s="367"/>
      <c r="Q554" s="367">
        <v>9.4</v>
      </c>
    </row>
    <row r="555" spans="1:17" ht="15" x14ac:dyDescent="0.25">
      <c r="A555" s="365" t="s">
        <v>718</v>
      </c>
      <c r="H555" s="366"/>
      <c r="J555" s="367"/>
      <c r="K555" s="367">
        <v>0.24</v>
      </c>
      <c r="L555" s="367"/>
      <c r="M555" s="367"/>
      <c r="N555" s="367"/>
      <c r="O555" s="367"/>
      <c r="P555" s="367"/>
      <c r="Q555" s="367">
        <v>0.3</v>
      </c>
    </row>
    <row r="556" spans="1:17" ht="15" x14ac:dyDescent="0.25">
      <c r="A556" s="365" t="s">
        <v>719</v>
      </c>
      <c r="H556" s="366"/>
      <c r="J556" s="367"/>
      <c r="K556" s="367">
        <v>0.13</v>
      </c>
      <c r="L556" s="367"/>
      <c r="M556" s="367"/>
      <c r="N556" s="367"/>
      <c r="O556" s="367"/>
      <c r="P556" s="367"/>
      <c r="Q556" s="367"/>
    </row>
    <row r="557" spans="1:17" ht="15" x14ac:dyDescent="0.25">
      <c r="A557" s="365" t="s">
        <v>720</v>
      </c>
      <c r="H557" s="366"/>
      <c r="J557" s="367"/>
      <c r="K557" s="367"/>
      <c r="L557" s="367"/>
      <c r="M557" s="367"/>
      <c r="N557" s="367"/>
      <c r="O557" s="367"/>
      <c r="P557" s="367"/>
      <c r="Q557" s="367">
        <v>8</v>
      </c>
    </row>
    <row r="558" spans="1:17" ht="15" x14ac:dyDescent="0.25">
      <c r="A558" s="365" t="s">
        <v>721</v>
      </c>
      <c r="H558" s="366"/>
      <c r="J558" s="367"/>
      <c r="K558" s="367">
        <v>7.0000000000000007E-2</v>
      </c>
      <c r="L558" s="367"/>
      <c r="M558" s="367"/>
      <c r="N558" s="367"/>
      <c r="O558" s="367"/>
      <c r="P558" s="367"/>
      <c r="Q558" s="367">
        <v>6.7</v>
      </c>
    </row>
    <row r="559" spans="1:17" ht="15" x14ac:dyDescent="0.25">
      <c r="A559" s="365" t="s">
        <v>722</v>
      </c>
      <c r="H559" s="366"/>
      <c r="J559" s="367"/>
      <c r="K559" s="367">
        <v>0.93</v>
      </c>
      <c r="L559" s="367"/>
      <c r="M559" s="367"/>
      <c r="N559" s="367"/>
      <c r="O559" s="367"/>
      <c r="P559" s="367"/>
      <c r="Q559" s="367">
        <v>8.1</v>
      </c>
    </row>
    <row r="560" spans="1:17" ht="15" x14ac:dyDescent="0.25">
      <c r="A560" s="365" t="s">
        <v>723</v>
      </c>
      <c r="H560" s="366"/>
      <c r="J560" s="367"/>
      <c r="K560" s="367">
        <v>1.46</v>
      </c>
      <c r="L560" s="367"/>
      <c r="M560" s="367"/>
      <c r="N560" s="367"/>
      <c r="O560" s="367"/>
      <c r="P560" s="367"/>
      <c r="Q560" s="367">
        <v>9.8000000000000007</v>
      </c>
    </row>
    <row r="561" spans="1:17" ht="15" x14ac:dyDescent="0.25">
      <c r="A561" s="365" t="s">
        <v>724</v>
      </c>
      <c r="H561" s="366"/>
      <c r="J561" s="367"/>
      <c r="K561" s="367"/>
      <c r="L561" s="367"/>
      <c r="M561" s="367"/>
      <c r="N561" s="367"/>
      <c r="O561" s="367"/>
      <c r="P561" s="367"/>
      <c r="Q561" s="367">
        <v>1.1000000000000001</v>
      </c>
    </row>
    <row r="562" spans="1:17" ht="15" x14ac:dyDescent="0.25">
      <c r="A562" s="365" t="s">
        <v>725</v>
      </c>
      <c r="H562" s="366"/>
      <c r="J562" s="367"/>
      <c r="K562" s="367">
        <v>0.08</v>
      </c>
      <c r="L562" s="367"/>
      <c r="M562" s="367"/>
      <c r="N562" s="367"/>
      <c r="O562" s="367"/>
      <c r="P562" s="367"/>
      <c r="Q562" s="367"/>
    </row>
    <row r="563" spans="1:17" ht="15" x14ac:dyDescent="0.25">
      <c r="A563" s="365" t="s">
        <v>726</v>
      </c>
      <c r="H563" s="366"/>
      <c r="J563" s="367"/>
      <c r="K563" s="367">
        <v>2.76</v>
      </c>
      <c r="L563" s="367"/>
      <c r="M563" s="367"/>
      <c r="N563" s="367"/>
      <c r="O563" s="367"/>
      <c r="P563" s="367"/>
      <c r="Q563" s="367">
        <v>9.4</v>
      </c>
    </row>
    <row r="564" spans="1:17" ht="15" x14ac:dyDescent="0.25">
      <c r="A564" s="365" t="s">
        <v>727</v>
      </c>
      <c r="H564" s="366"/>
      <c r="J564" s="367"/>
      <c r="K564" s="367">
        <v>1.63</v>
      </c>
      <c r="L564" s="367"/>
      <c r="M564" s="367"/>
      <c r="N564" s="367"/>
      <c r="O564" s="367"/>
      <c r="P564" s="367"/>
      <c r="Q564" s="367">
        <v>8.9</v>
      </c>
    </row>
    <row r="565" spans="1:17" ht="15" x14ac:dyDescent="0.25">
      <c r="A565" s="365" t="s">
        <v>728</v>
      </c>
      <c r="H565" s="366"/>
      <c r="J565" s="367"/>
      <c r="K565" s="367">
        <v>3.31</v>
      </c>
      <c r="L565" s="367"/>
      <c r="M565" s="367"/>
      <c r="N565" s="367"/>
      <c r="O565" s="367"/>
      <c r="P565" s="367"/>
      <c r="Q565" s="367">
        <v>9.1</v>
      </c>
    </row>
    <row r="566" spans="1:17" ht="15" x14ac:dyDescent="0.25">
      <c r="A566" s="365" t="s">
        <v>729</v>
      </c>
      <c r="H566" s="366">
        <v>20</v>
      </c>
      <c r="J566" s="367"/>
      <c r="K566" s="367">
        <v>0.06</v>
      </c>
      <c r="L566" s="367"/>
      <c r="M566" s="367"/>
      <c r="N566" s="367"/>
      <c r="O566" s="367"/>
      <c r="P566" s="367"/>
      <c r="Q566" s="367"/>
    </row>
    <row r="567" spans="1:17" ht="15" x14ac:dyDescent="0.25">
      <c r="A567" s="365" t="s">
        <v>730</v>
      </c>
      <c r="H567" s="366">
        <v>20</v>
      </c>
      <c r="J567" s="367"/>
      <c r="K567" s="367"/>
      <c r="L567" s="367"/>
      <c r="M567" s="367"/>
      <c r="N567" s="367"/>
      <c r="O567" s="367"/>
      <c r="P567" s="367"/>
      <c r="Q567" s="367">
        <v>1.1000000000000001</v>
      </c>
    </row>
    <row r="568" spans="1:17" ht="15" x14ac:dyDescent="0.25">
      <c r="A568" s="365" t="s">
        <v>731</v>
      </c>
      <c r="H568" s="366">
        <v>20</v>
      </c>
      <c r="J568" s="367"/>
      <c r="K568" s="367">
        <v>0.06</v>
      </c>
      <c r="L568" s="367"/>
      <c r="M568" s="367"/>
      <c r="N568" s="367"/>
      <c r="O568" s="367"/>
      <c r="P568" s="367"/>
      <c r="Q568" s="367"/>
    </row>
    <row r="569" spans="1:17" ht="15" x14ac:dyDescent="0.25">
      <c r="A569" s="365" t="s">
        <v>732</v>
      </c>
      <c r="H569" s="366">
        <v>20</v>
      </c>
      <c r="J569" s="367"/>
      <c r="K569" s="367">
        <v>0.09</v>
      </c>
      <c r="L569" s="367"/>
      <c r="M569" s="367"/>
      <c r="N569" s="367"/>
      <c r="O569" s="367"/>
      <c r="P569" s="367"/>
      <c r="Q569" s="367">
        <v>1.3</v>
      </c>
    </row>
    <row r="570" spans="1:17" ht="15" x14ac:dyDescent="0.25">
      <c r="A570" s="365" t="s">
        <v>733</v>
      </c>
      <c r="H570" s="366">
        <v>24</v>
      </c>
      <c r="J570" s="367"/>
      <c r="K570" s="367"/>
      <c r="L570" s="367"/>
      <c r="M570" s="367"/>
      <c r="N570" s="367"/>
      <c r="O570" s="367"/>
      <c r="P570" s="367"/>
      <c r="Q570" s="367">
        <v>0.2</v>
      </c>
    </row>
    <row r="571" spans="1:17" ht="15" x14ac:dyDescent="0.25">
      <c r="A571" s="365" t="s">
        <v>734</v>
      </c>
      <c r="H571" s="366">
        <v>24</v>
      </c>
      <c r="J571" s="367"/>
      <c r="K571" s="367">
        <v>0.09</v>
      </c>
      <c r="L571" s="367"/>
      <c r="M571" s="367"/>
      <c r="N571" s="367"/>
      <c r="O571" s="367"/>
      <c r="P571" s="367"/>
      <c r="Q571" s="367">
        <v>6</v>
      </c>
    </row>
    <row r="572" spans="1:17" ht="15" x14ac:dyDescent="0.25">
      <c r="A572" s="365" t="s">
        <v>735</v>
      </c>
      <c r="H572" s="366">
        <v>24</v>
      </c>
      <c r="J572" s="367"/>
      <c r="K572" s="367">
        <v>0.05</v>
      </c>
      <c r="L572" s="367"/>
      <c r="M572" s="367"/>
      <c r="N572" s="367"/>
      <c r="O572" s="367"/>
      <c r="P572" s="367"/>
      <c r="Q572" s="367">
        <v>0.1</v>
      </c>
    </row>
    <row r="573" spans="1:17" ht="15" x14ac:dyDescent="0.25">
      <c r="A573" s="365" t="s">
        <v>736</v>
      </c>
      <c r="H573" s="366">
        <v>24</v>
      </c>
      <c r="J573" s="367"/>
      <c r="K573" s="367"/>
      <c r="L573" s="367"/>
      <c r="M573" s="367"/>
      <c r="N573" s="367"/>
      <c r="O573" s="367"/>
      <c r="P573" s="367"/>
      <c r="Q573" s="367">
        <v>5.8</v>
      </c>
    </row>
    <row r="574" spans="1:17" ht="15" x14ac:dyDescent="0.25">
      <c r="A574" s="365" t="s">
        <v>737</v>
      </c>
      <c r="H574" s="366">
        <v>24</v>
      </c>
      <c r="J574" s="367"/>
      <c r="K574" s="367"/>
      <c r="L574" s="367"/>
      <c r="M574" s="367"/>
      <c r="N574" s="367"/>
      <c r="O574" s="367"/>
      <c r="P574" s="367"/>
      <c r="Q574" s="367">
        <v>0.2</v>
      </c>
    </row>
    <row r="575" spans="1:17" ht="15" x14ac:dyDescent="0.25">
      <c r="A575" s="365" t="s">
        <v>738</v>
      </c>
      <c r="H575" s="366">
        <v>25</v>
      </c>
      <c r="J575" s="367"/>
      <c r="K575" s="367"/>
      <c r="L575" s="367"/>
      <c r="M575" s="367"/>
      <c r="N575" s="367"/>
      <c r="O575" s="367"/>
      <c r="P575" s="367"/>
      <c r="Q575" s="367">
        <v>0.1</v>
      </c>
    </row>
    <row r="576" spans="1:17" ht="15" x14ac:dyDescent="0.25">
      <c r="A576" s="365" t="s">
        <v>739</v>
      </c>
      <c r="H576" s="366">
        <v>25</v>
      </c>
      <c r="J576" s="367"/>
      <c r="K576" s="367"/>
      <c r="L576" s="367"/>
      <c r="M576" s="367"/>
      <c r="N576" s="367"/>
      <c r="O576" s="367"/>
      <c r="P576" s="367"/>
      <c r="Q576" s="367">
        <v>5.2</v>
      </c>
    </row>
    <row r="577" spans="1:17" ht="15" x14ac:dyDescent="0.25">
      <c r="A577" s="365" t="s">
        <v>740</v>
      </c>
      <c r="H577" s="366">
        <v>25</v>
      </c>
      <c r="J577" s="367"/>
      <c r="K577" s="367"/>
      <c r="L577" s="367"/>
      <c r="M577" s="367"/>
      <c r="N577" s="367"/>
      <c r="O577" s="367"/>
      <c r="P577" s="367"/>
      <c r="Q577" s="367">
        <v>0.1</v>
      </c>
    </row>
    <row r="578" spans="1:17" ht="15" x14ac:dyDescent="0.25">
      <c r="A578" s="365" t="s">
        <v>741</v>
      </c>
      <c r="H578" s="366">
        <v>26</v>
      </c>
      <c r="J578" s="367"/>
      <c r="K578" s="367"/>
      <c r="L578" s="367"/>
      <c r="M578" s="367"/>
      <c r="N578" s="367"/>
      <c r="O578" s="367"/>
      <c r="P578" s="367"/>
      <c r="Q578" s="367">
        <v>0.2</v>
      </c>
    </row>
    <row r="579" spans="1:17" ht="15" x14ac:dyDescent="0.25">
      <c r="A579" s="365" t="s">
        <v>742</v>
      </c>
      <c r="H579" s="366">
        <v>27</v>
      </c>
      <c r="J579" s="367"/>
      <c r="K579" s="367"/>
      <c r="L579" s="367"/>
      <c r="M579" s="367"/>
      <c r="N579" s="367"/>
      <c r="O579" s="367"/>
      <c r="P579" s="367"/>
      <c r="Q579" s="367">
        <v>0.1</v>
      </c>
    </row>
    <row r="580" spans="1:17" ht="15" x14ac:dyDescent="0.25">
      <c r="A580" s="365" t="s">
        <v>743</v>
      </c>
      <c r="H580" s="366">
        <v>27</v>
      </c>
      <c r="J580" s="367"/>
      <c r="K580" s="367">
        <v>0.13</v>
      </c>
      <c r="L580" s="367"/>
      <c r="M580" s="367"/>
      <c r="N580" s="367"/>
      <c r="O580" s="367"/>
      <c r="P580" s="367"/>
      <c r="Q580" s="367">
        <v>1.2</v>
      </c>
    </row>
    <row r="581" spans="1:17" ht="15" x14ac:dyDescent="0.25">
      <c r="A581" s="365" t="s">
        <v>744</v>
      </c>
      <c r="H581" s="366">
        <v>27</v>
      </c>
      <c r="J581" s="367"/>
      <c r="K581" s="367"/>
      <c r="L581" s="367"/>
      <c r="M581" s="367"/>
      <c r="N581" s="367"/>
      <c r="O581" s="367"/>
      <c r="P581" s="367"/>
      <c r="Q581" s="367">
        <v>0.1</v>
      </c>
    </row>
    <row r="582" spans="1:17" ht="15" x14ac:dyDescent="0.25">
      <c r="A582" s="365" t="s">
        <v>745</v>
      </c>
      <c r="H582" s="366">
        <v>27</v>
      </c>
      <c r="J582" s="367"/>
      <c r="K582" s="367"/>
      <c r="L582" s="367"/>
      <c r="M582" s="367"/>
      <c r="N582" s="367"/>
      <c r="O582" s="367"/>
      <c r="P582" s="367"/>
      <c r="Q582" s="367">
        <v>0.05</v>
      </c>
    </row>
    <row r="583" spans="1:17" ht="15" x14ac:dyDescent="0.25">
      <c r="A583" s="365" t="s">
        <v>746</v>
      </c>
      <c r="H583" s="366">
        <v>27</v>
      </c>
      <c r="J583" s="367"/>
      <c r="K583" s="367"/>
      <c r="L583" s="367"/>
      <c r="M583" s="367"/>
      <c r="N583" s="367"/>
      <c r="O583" s="367"/>
      <c r="P583" s="367"/>
      <c r="Q583" s="367">
        <v>0.5</v>
      </c>
    </row>
    <row r="584" spans="1:17" ht="15" x14ac:dyDescent="0.25">
      <c r="A584" s="365" t="s">
        <v>747</v>
      </c>
      <c r="H584" s="366">
        <v>27</v>
      </c>
      <c r="J584" s="367"/>
      <c r="K584" s="367"/>
      <c r="L584" s="367"/>
      <c r="M584" s="367"/>
      <c r="N584" s="367"/>
      <c r="O584" s="367"/>
      <c r="P584" s="367"/>
      <c r="Q584" s="367">
        <v>2.1</v>
      </c>
    </row>
    <row r="585" spans="1:17" ht="15" x14ac:dyDescent="0.25">
      <c r="A585" s="365" t="s">
        <v>748</v>
      </c>
      <c r="H585" s="366">
        <v>27</v>
      </c>
      <c r="J585" s="367"/>
      <c r="K585" s="367"/>
      <c r="L585" s="367"/>
      <c r="M585" s="367"/>
      <c r="N585" s="367"/>
      <c r="O585" s="367"/>
      <c r="P585" s="367"/>
      <c r="Q585" s="367">
        <v>3.3</v>
      </c>
    </row>
    <row r="586" spans="1:17" ht="15" x14ac:dyDescent="0.25">
      <c r="A586" s="365" t="s">
        <v>749</v>
      </c>
      <c r="H586" s="366">
        <v>27</v>
      </c>
      <c r="J586" s="367"/>
      <c r="K586" s="367"/>
      <c r="L586" s="367"/>
      <c r="M586" s="367"/>
      <c r="N586" s="367"/>
      <c r="O586" s="367"/>
      <c r="P586" s="367"/>
      <c r="Q586" s="367">
        <v>0.4</v>
      </c>
    </row>
    <row r="587" spans="1:17" ht="15" x14ac:dyDescent="0.25">
      <c r="A587" s="365" t="s">
        <v>750</v>
      </c>
      <c r="H587" s="366">
        <v>27</v>
      </c>
      <c r="J587" s="367"/>
      <c r="K587" s="367"/>
      <c r="L587" s="367"/>
      <c r="M587" s="367"/>
      <c r="N587" s="367"/>
      <c r="O587" s="367"/>
      <c r="P587" s="367"/>
      <c r="Q587" s="367">
        <v>0.1</v>
      </c>
    </row>
    <row r="588" spans="1:17" ht="15" x14ac:dyDescent="0.25">
      <c r="A588" s="365" t="s">
        <v>751</v>
      </c>
      <c r="H588" s="366">
        <v>27</v>
      </c>
      <c r="J588" s="367"/>
      <c r="K588" s="367"/>
      <c r="L588" s="367"/>
      <c r="M588" s="367"/>
      <c r="N588" s="367"/>
      <c r="O588" s="367"/>
      <c r="P588" s="367"/>
      <c r="Q588" s="367">
        <v>1.3</v>
      </c>
    </row>
    <row r="589" spans="1:17" ht="15" x14ac:dyDescent="0.25">
      <c r="A589" s="365" t="s">
        <v>752</v>
      </c>
      <c r="H589" s="366">
        <v>27</v>
      </c>
      <c r="J589" s="367"/>
      <c r="K589" s="367"/>
      <c r="L589" s="367"/>
      <c r="M589" s="367"/>
      <c r="N589" s="367"/>
      <c r="O589" s="367"/>
      <c r="P589" s="367"/>
      <c r="Q589" s="367">
        <v>0</v>
      </c>
    </row>
    <row r="590" spans="1:17" ht="15" x14ac:dyDescent="0.25">
      <c r="A590" s="365" t="s">
        <v>753</v>
      </c>
      <c r="H590" s="366">
        <v>27</v>
      </c>
      <c r="J590" s="367"/>
      <c r="K590" s="367"/>
      <c r="L590" s="367"/>
      <c r="M590" s="367"/>
      <c r="N590" s="367"/>
      <c r="O590" s="367"/>
      <c r="P590" s="367"/>
      <c r="Q590" s="367">
        <v>0</v>
      </c>
    </row>
    <row r="591" spans="1:17" ht="15" x14ac:dyDescent="0.25">
      <c r="A591" s="365" t="s">
        <v>754</v>
      </c>
      <c r="H591" s="366">
        <v>28</v>
      </c>
      <c r="J591" s="367"/>
      <c r="K591" s="367"/>
      <c r="L591" s="367"/>
      <c r="M591" s="367"/>
      <c r="N591" s="367"/>
      <c r="O591" s="367"/>
      <c r="P591" s="367"/>
      <c r="Q591" s="367">
        <v>0.3</v>
      </c>
    </row>
    <row r="592" spans="1:17" ht="15" x14ac:dyDescent="0.25">
      <c r="A592" s="365" t="s">
        <v>755</v>
      </c>
      <c r="H592" s="366">
        <v>28</v>
      </c>
      <c r="J592" s="367"/>
      <c r="K592" s="367"/>
      <c r="L592" s="367"/>
      <c r="M592" s="367"/>
      <c r="N592" s="367"/>
      <c r="O592" s="367"/>
      <c r="P592" s="367"/>
      <c r="Q592" s="367">
        <v>5.8</v>
      </c>
    </row>
    <row r="593" spans="1:17" ht="15" x14ac:dyDescent="0.25">
      <c r="A593" s="365" t="s">
        <v>756</v>
      </c>
      <c r="H593" s="366">
        <v>28</v>
      </c>
      <c r="J593" s="367"/>
      <c r="K593" s="367"/>
      <c r="L593" s="367"/>
      <c r="M593" s="367"/>
      <c r="N593" s="367"/>
      <c r="O593" s="367"/>
      <c r="P593" s="367"/>
      <c r="Q593" s="367">
        <v>0.2</v>
      </c>
    </row>
    <row r="594" spans="1:17" ht="15" x14ac:dyDescent="0.25">
      <c r="A594" s="365" t="s">
        <v>757</v>
      </c>
      <c r="H594" s="366">
        <v>28</v>
      </c>
      <c r="J594" s="367"/>
      <c r="K594" s="367">
        <v>0.01</v>
      </c>
      <c r="L594" s="367"/>
      <c r="M594" s="367"/>
      <c r="N594" s="367"/>
      <c r="O594" s="367"/>
      <c r="P594" s="367"/>
      <c r="Q594" s="367">
        <v>0.2</v>
      </c>
    </row>
    <row r="595" spans="1:17" ht="15" x14ac:dyDescent="0.25">
      <c r="A595" s="365" t="s">
        <v>758</v>
      </c>
      <c r="H595" s="366">
        <v>28</v>
      </c>
      <c r="J595" s="367"/>
      <c r="K595" s="367"/>
      <c r="L595" s="367"/>
      <c r="M595" s="367"/>
      <c r="N595" s="367"/>
      <c r="O595" s="367"/>
      <c r="P595" s="367"/>
      <c r="Q595" s="367">
        <v>3.9</v>
      </c>
    </row>
    <row r="596" spans="1:17" ht="15" x14ac:dyDescent="0.25">
      <c r="A596" s="365" t="s">
        <v>759</v>
      </c>
      <c r="H596" s="366">
        <v>28</v>
      </c>
      <c r="J596" s="367"/>
      <c r="K596" s="367"/>
      <c r="L596" s="367"/>
      <c r="M596" s="367"/>
      <c r="N596" s="367"/>
      <c r="O596" s="367"/>
      <c r="P596" s="367"/>
      <c r="Q596" s="367">
        <v>0.6</v>
      </c>
    </row>
    <row r="597" spans="1:17" ht="15" x14ac:dyDescent="0.25">
      <c r="A597" s="365" t="s">
        <v>760</v>
      </c>
      <c r="H597" s="366">
        <v>28</v>
      </c>
      <c r="J597" s="367"/>
      <c r="K597" s="367"/>
      <c r="L597" s="367"/>
      <c r="M597" s="367"/>
      <c r="N597" s="367"/>
      <c r="O597" s="367"/>
      <c r="P597" s="367"/>
      <c r="Q597" s="367">
        <v>0.2</v>
      </c>
    </row>
    <row r="598" spans="1:17" ht="15" x14ac:dyDescent="0.25">
      <c r="A598" s="365" t="s">
        <v>761</v>
      </c>
      <c r="H598" s="366">
        <v>28</v>
      </c>
      <c r="J598" s="367"/>
      <c r="K598" s="367"/>
      <c r="L598" s="367"/>
      <c r="M598" s="367"/>
      <c r="N598" s="367"/>
      <c r="O598" s="367"/>
      <c r="P598" s="367"/>
      <c r="Q598" s="367">
        <v>0.97</v>
      </c>
    </row>
    <row r="599" spans="1:17" ht="15" x14ac:dyDescent="0.25">
      <c r="A599" s="365" t="s">
        <v>762</v>
      </c>
      <c r="H599" s="366">
        <v>28</v>
      </c>
      <c r="J599" s="367"/>
      <c r="K599" s="367"/>
      <c r="L599" s="367"/>
      <c r="M599" s="367"/>
      <c r="N599" s="367"/>
      <c r="O599" s="367"/>
      <c r="P599" s="367"/>
      <c r="Q599" s="367">
        <v>1.6</v>
      </c>
    </row>
    <row r="600" spans="1:17" ht="15" x14ac:dyDescent="0.25">
      <c r="A600" s="365" t="s">
        <v>763</v>
      </c>
      <c r="H600" s="366">
        <v>28</v>
      </c>
      <c r="J600" s="367"/>
      <c r="K600" s="367"/>
      <c r="L600" s="367"/>
      <c r="M600" s="367"/>
      <c r="N600" s="367"/>
      <c r="O600" s="367"/>
      <c r="P600" s="367"/>
      <c r="Q600" s="367">
        <v>0.7</v>
      </c>
    </row>
    <row r="601" spans="1:17" ht="15" x14ac:dyDescent="0.25">
      <c r="A601" s="365" t="s">
        <v>764</v>
      </c>
      <c r="H601" s="366">
        <v>28</v>
      </c>
      <c r="J601" s="367"/>
      <c r="K601" s="367"/>
      <c r="L601" s="367"/>
      <c r="M601" s="367"/>
      <c r="N601" s="367"/>
      <c r="O601" s="367"/>
      <c r="P601" s="367"/>
      <c r="Q601" s="367">
        <v>1.1000000000000001</v>
      </c>
    </row>
    <row r="602" spans="1:17" ht="15" x14ac:dyDescent="0.25">
      <c r="A602" s="365" t="s">
        <v>765</v>
      </c>
      <c r="H602" s="366">
        <v>28</v>
      </c>
      <c r="J602" s="367"/>
      <c r="K602" s="367"/>
      <c r="L602" s="367"/>
      <c r="M602" s="367"/>
      <c r="N602" s="367"/>
      <c r="O602" s="367"/>
      <c r="P602" s="367"/>
      <c r="Q602" s="367">
        <v>0.1</v>
      </c>
    </row>
    <row r="603" spans="1:17" ht="15" x14ac:dyDescent="0.25">
      <c r="A603" s="365" t="s">
        <v>766</v>
      </c>
      <c r="H603" s="366">
        <v>28</v>
      </c>
      <c r="J603" s="367"/>
      <c r="K603" s="367"/>
      <c r="L603" s="367"/>
      <c r="M603" s="367"/>
      <c r="N603" s="367"/>
      <c r="O603" s="367"/>
      <c r="P603" s="367"/>
      <c r="Q603" s="367">
        <v>0.3</v>
      </c>
    </row>
    <row r="604" spans="1:17" ht="15" x14ac:dyDescent="0.25">
      <c r="A604" s="365" t="s">
        <v>767</v>
      </c>
      <c r="H604" s="366">
        <v>28</v>
      </c>
      <c r="J604" s="367"/>
      <c r="K604" s="367">
        <v>0.05</v>
      </c>
      <c r="L604" s="367"/>
      <c r="M604" s="367"/>
      <c r="N604" s="367"/>
      <c r="O604" s="367"/>
      <c r="P604" s="367"/>
      <c r="Q604" s="367">
        <v>0.2</v>
      </c>
    </row>
    <row r="605" spans="1:17" ht="15" x14ac:dyDescent="0.25">
      <c r="A605" s="365" t="s">
        <v>768</v>
      </c>
      <c r="H605" s="366">
        <v>28.1</v>
      </c>
      <c r="J605" s="367"/>
      <c r="K605" s="367"/>
      <c r="L605" s="367"/>
      <c r="M605" s="367"/>
      <c r="N605" s="367"/>
      <c r="O605" s="367"/>
      <c r="P605" s="367"/>
      <c r="Q605" s="367">
        <v>4.4000000000000004</v>
      </c>
    </row>
    <row r="606" spans="1:17" ht="15" x14ac:dyDescent="0.25">
      <c r="A606" s="365" t="s">
        <v>769</v>
      </c>
      <c r="H606" s="366">
        <v>29</v>
      </c>
      <c r="J606" s="367"/>
      <c r="K606" s="367"/>
      <c r="L606" s="367"/>
      <c r="M606" s="367"/>
      <c r="N606" s="367"/>
      <c r="O606" s="367"/>
      <c r="P606" s="367"/>
      <c r="Q606" s="367">
        <v>1.2</v>
      </c>
    </row>
    <row r="607" spans="1:17" ht="15" x14ac:dyDescent="0.25">
      <c r="A607" s="365" t="s">
        <v>770</v>
      </c>
      <c r="H607" s="366">
        <v>29</v>
      </c>
      <c r="J607" s="367"/>
      <c r="K607" s="367">
        <v>0.08</v>
      </c>
      <c r="L607" s="367"/>
      <c r="M607" s="367"/>
      <c r="N607" s="367"/>
      <c r="O607" s="367"/>
      <c r="P607" s="367"/>
      <c r="Q607" s="367">
        <v>0.8</v>
      </c>
    </row>
    <row r="608" spans="1:17" ht="15" x14ac:dyDescent="0.25">
      <c r="A608" s="365" t="s">
        <v>771</v>
      </c>
      <c r="H608" s="366">
        <v>29</v>
      </c>
      <c r="J608" s="367"/>
      <c r="K608" s="367">
        <v>0.2</v>
      </c>
      <c r="L608" s="367"/>
      <c r="M608" s="367"/>
      <c r="N608" s="367"/>
      <c r="O608" s="367"/>
      <c r="P608" s="367"/>
      <c r="Q608" s="367">
        <v>2.1</v>
      </c>
    </row>
    <row r="609" spans="1:17" ht="15" x14ac:dyDescent="0.25">
      <c r="A609" s="365" t="s">
        <v>772</v>
      </c>
      <c r="H609" s="366">
        <v>29</v>
      </c>
      <c r="J609" s="367"/>
      <c r="K609" s="367">
        <v>0.04</v>
      </c>
      <c r="L609" s="367"/>
      <c r="M609" s="367"/>
      <c r="N609" s="367"/>
      <c r="O609" s="367"/>
      <c r="P609" s="367"/>
      <c r="Q609" s="367">
        <v>3.2</v>
      </c>
    </row>
    <row r="610" spans="1:17" ht="15" x14ac:dyDescent="0.25">
      <c r="A610" s="365" t="s">
        <v>773</v>
      </c>
      <c r="H610" s="366">
        <v>29</v>
      </c>
      <c r="J610" s="367"/>
      <c r="K610" s="367"/>
      <c r="L610" s="367"/>
      <c r="M610" s="367"/>
      <c r="N610" s="367"/>
      <c r="O610" s="367"/>
      <c r="P610" s="367"/>
      <c r="Q610" s="367">
        <v>0.1</v>
      </c>
    </row>
    <row r="611" spans="1:17" ht="15" x14ac:dyDescent="0.25">
      <c r="A611" s="365" t="s">
        <v>774</v>
      </c>
      <c r="H611" s="366">
        <v>29</v>
      </c>
      <c r="J611" s="367"/>
      <c r="K611" s="367"/>
      <c r="L611" s="367"/>
      <c r="M611" s="367"/>
      <c r="N611" s="367"/>
      <c r="O611" s="367"/>
      <c r="P611" s="367"/>
      <c r="Q611" s="367">
        <v>1.1000000000000001</v>
      </c>
    </row>
    <row r="612" spans="1:17" ht="15" x14ac:dyDescent="0.25">
      <c r="A612" s="365" t="s">
        <v>775</v>
      </c>
      <c r="H612" s="366">
        <v>29</v>
      </c>
      <c r="J612" s="367"/>
      <c r="K612" s="367"/>
      <c r="L612" s="367"/>
      <c r="M612" s="367"/>
      <c r="N612" s="367"/>
      <c r="O612" s="367"/>
      <c r="P612" s="367"/>
      <c r="Q612" s="367">
        <v>0.8</v>
      </c>
    </row>
    <row r="613" spans="1:17" ht="15" x14ac:dyDescent="0.25">
      <c r="A613" s="365" t="s">
        <v>776</v>
      </c>
      <c r="H613" s="366">
        <v>29</v>
      </c>
      <c r="J613" s="367"/>
      <c r="K613" s="367"/>
      <c r="L613" s="367"/>
      <c r="M613" s="367"/>
      <c r="N613" s="367"/>
      <c r="O613" s="367"/>
      <c r="P613" s="367"/>
      <c r="Q613" s="367">
        <v>1.9</v>
      </c>
    </row>
    <row r="614" spans="1:17" ht="15" x14ac:dyDescent="0.25">
      <c r="A614" s="365" t="s">
        <v>777</v>
      </c>
      <c r="H614" s="366">
        <v>33</v>
      </c>
      <c r="J614" s="367"/>
      <c r="K614" s="367">
        <v>0.12</v>
      </c>
      <c r="L614" s="367"/>
      <c r="M614" s="367"/>
      <c r="N614" s="367"/>
      <c r="O614" s="367"/>
      <c r="P614" s="367"/>
      <c r="Q614" s="367">
        <v>2.7</v>
      </c>
    </row>
    <row r="615" spans="1:17" ht="15" x14ac:dyDescent="0.25">
      <c r="A615" s="365" t="s">
        <v>778</v>
      </c>
      <c r="H615" s="366">
        <v>33</v>
      </c>
      <c r="J615" s="367"/>
      <c r="K615" s="367"/>
      <c r="L615" s="367"/>
      <c r="M615" s="367"/>
      <c r="N615" s="367"/>
      <c r="O615" s="367"/>
      <c r="P615" s="367"/>
      <c r="Q615" s="367">
        <v>0.3</v>
      </c>
    </row>
    <row r="616" spans="1:17" ht="15" x14ac:dyDescent="0.25">
      <c r="A616" s="365" t="s">
        <v>779</v>
      </c>
      <c r="H616" s="366">
        <v>33</v>
      </c>
      <c r="J616" s="367"/>
      <c r="K616" s="367">
        <v>0.32</v>
      </c>
      <c r="L616" s="367"/>
      <c r="M616" s="367"/>
      <c r="N616" s="367"/>
      <c r="O616" s="367"/>
      <c r="P616" s="367"/>
      <c r="Q616" s="367">
        <v>2.5</v>
      </c>
    </row>
    <row r="617" spans="1:17" ht="15" x14ac:dyDescent="0.25">
      <c r="A617" s="365" t="s">
        <v>780</v>
      </c>
      <c r="H617" s="366">
        <v>33</v>
      </c>
      <c r="J617" s="367"/>
      <c r="K617" s="367"/>
      <c r="L617" s="367"/>
      <c r="M617" s="367"/>
      <c r="N617" s="367"/>
      <c r="O617" s="367"/>
      <c r="P617" s="367"/>
      <c r="Q617" s="367">
        <v>0.2</v>
      </c>
    </row>
    <row r="618" spans="1:17" ht="15" x14ac:dyDescent="0.25">
      <c r="A618" s="365" t="s">
        <v>781</v>
      </c>
      <c r="H618" s="366">
        <v>33</v>
      </c>
      <c r="J618" s="367"/>
      <c r="K618" s="367"/>
      <c r="L618" s="367"/>
      <c r="M618" s="367"/>
      <c r="N618" s="367"/>
      <c r="O618" s="367"/>
      <c r="P618" s="367"/>
      <c r="Q618" s="367">
        <v>0.7</v>
      </c>
    </row>
    <row r="619" spans="1:17" ht="15" x14ac:dyDescent="0.25">
      <c r="A619" s="365" t="s">
        <v>782</v>
      </c>
      <c r="H619" s="366">
        <v>34</v>
      </c>
      <c r="J619" s="367"/>
      <c r="K619" s="367"/>
      <c r="L619" s="367"/>
      <c r="M619" s="367"/>
      <c r="N619" s="367"/>
      <c r="O619" s="367"/>
      <c r="P619" s="367"/>
      <c r="Q619" s="367">
        <v>19</v>
      </c>
    </row>
    <row r="620" spans="1:17" ht="15" x14ac:dyDescent="0.25">
      <c r="A620" s="365" t="s">
        <v>783</v>
      </c>
      <c r="H620" s="366">
        <v>29</v>
      </c>
      <c r="J620" s="367"/>
      <c r="K620" s="367">
        <v>0.15</v>
      </c>
      <c r="L620" s="367"/>
      <c r="M620" s="367"/>
      <c r="N620" s="367"/>
      <c r="O620" s="367"/>
      <c r="P620" s="367"/>
      <c r="Q620" s="367">
        <v>2.5</v>
      </c>
    </row>
    <row r="621" spans="1:17" ht="15" x14ac:dyDescent="0.25">
      <c r="A621" s="365" t="s">
        <v>784</v>
      </c>
      <c r="H621" s="366">
        <v>29</v>
      </c>
      <c r="J621" s="367"/>
      <c r="K621" s="367"/>
      <c r="L621" s="367"/>
      <c r="M621" s="367"/>
      <c r="N621" s="367"/>
      <c r="O621" s="367"/>
      <c r="P621" s="367"/>
      <c r="Q621" s="367">
        <v>4</v>
      </c>
    </row>
    <row r="622" spans="1:17" ht="15" x14ac:dyDescent="0.25">
      <c r="A622" s="365" t="s">
        <v>785</v>
      </c>
      <c r="H622" s="366">
        <v>29</v>
      </c>
      <c r="J622" s="367"/>
      <c r="K622" s="367"/>
      <c r="L622" s="367"/>
      <c r="M622" s="367"/>
      <c r="N622" s="367"/>
      <c r="O622" s="367"/>
      <c r="P622" s="367"/>
      <c r="Q622" s="367">
        <v>3.7</v>
      </c>
    </row>
    <row r="623" spans="1:17" ht="15" x14ac:dyDescent="0.25">
      <c r="A623" s="365" t="s">
        <v>786</v>
      </c>
      <c r="H623" s="366">
        <v>29.5</v>
      </c>
      <c r="J623" s="367"/>
      <c r="K623" s="367"/>
      <c r="L623" s="367"/>
      <c r="M623" s="367"/>
      <c r="N623" s="367"/>
      <c r="O623" s="367"/>
      <c r="P623" s="367"/>
      <c r="Q623" s="367">
        <v>0.2</v>
      </c>
    </row>
    <row r="624" spans="1:17" ht="15" x14ac:dyDescent="0.25">
      <c r="A624" s="365" t="s">
        <v>787</v>
      </c>
      <c r="H624" s="366">
        <v>30</v>
      </c>
      <c r="J624" s="367"/>
      <c r="K624" s="367">
        <v>0.1</v>
      </c>
      <c r="L624" s="367"/>
      <c r="M624" s="367"/>
      <c r="N624" s="367"/>
      <c r="O624" s="367"/>
      <c r="P624" s="367"/>
      <c r="Q624" s="367">
        <v>0.3</v>
      </c>
    </row>
    <row r="625" spans="1:17" ht="15" x14ac:dyDescent="0.25">
      <c r="A625" s="365" t="s">
        <v>788</v>
      </c>
      <c r="H625" s="366">
        <v>30</v>
      </c>
      <c r="J625" s="367"/>
      <c r="K625" s="367"/>
      <c r="L625" s="367"/>
      <c r="M625" s="367"/>
      <c r="N625" s="367"/>
      <c r="O625" s="367"/>
      <c r="P625" s="367"/>
      <c r="Q625" s="367">
        <v>2.4</v>
      </c>
    </row>
    <row r="626" spans="1:17" ht="15" x14ac:dyDescent="0.25">
      <c r="A626" s="365" t="s">
        <v>789</v>
      </c>
      <c r="H626" s="366">
        <v>30</v>
      </c>
      <c r="J626" s="367"/>
      <c r="K626" s="367">
        <v>0.11</v>
      </c>
      <c r="L626" s="367"/>
      <c r="M626" s="367"/>
      <c r="N626" s="367"/>
      <c r="O626" s="367"/>
      <c r="P626" s="367"/>
      <c r="Q626" s="367">
        <v>0.9</v>
      </c>
    </row>
    <row r="627" spans="1:17" ht="15" x14ac:dyDescent="0.25">
      <c r="A627" s="365" t="s">
        <v>790</v>
      </c>
      <c r="H627" s="366">
        <v>30</v>
      </c>
      <c r="J627" s="367"/>
      <c r="K627" s="367"/>
      <c r="L627" s="367"/>
      <c r="M627" s="367"/>
      <c r="N627" s="367"/>
      <c r="O627" s="367"/>
      <c r="P627" s="367"/>
      <c r="Q627" s="367">
        <v>0.4</v>
      </c>
    </row>
    <row r="628" spans="1:17" ht="15" x14ac:dyDescent="0.25">
      <c r="A628" s="365" t="s">
        <v>791</v>
      </c>
      <c r="H628" s="366">
        <v>30</v>
      </c>
      <c r="J628" s="367"/>
      <c r="K628" s="367"/>
      <c r="L628" s="367"/>
      <c r="M628" s="367"/>
      <c r="N628" s="367"/>
      <c r="O628" s="367"/>
      <c r="P628" s="367"/>
      <c r="Q628" s="367">
        <v>0.8</v>
      </c>
    </row>
    <row r="629" spans="1:17" ht="15" x14ac:dyDescent="0.25">
      <c r="A629" s="365" t="s">
        <v>792</v>
      </c>
      <c r="H629" s="366">
        <v>30</v>
      </c>
      <c r="J629" s="367"/>
      <c r="K629" s="367">
        <v>0.06</v>
      </c>
      <c r="L629" s="367"/>
      <c r="M629" s="367"/>
      <c r="N629" s="367"/>
      <c r="O629" s="367"/>
      <c r="P629" s="367"/>
      <c r="Q629" s="367">
        <v>0.6</v>
      </c>
    </row>
    <row r="630" spans="1:17" ht="15" x14ac:dyDescent="0.25">
      <c r="A630" s="365" t="s">
        <v>793</v>
      </c>
      <c r="H630" s="366">
        <v>30</v>
      </c>
      <c r="J630" s="367"/>
      <c r="K630" s="367">
        <v>0.2</v>
      </c>
      <c r="L630" s="367"/>
      <c r="M630" s="367"/>
      <c r="N630" s="367"/>
      <c r="O630" s="367"/>
      <c r="P630" s="367"/>
      <c r="Q630" s="367">
        <v>1</v>
      </c>
    </row>
    <row r="631" spans="1:17" ht="15" x14ac:dyDescent="0.25">
      <c r="A631" s="365" t="s">
        <v>794</v>
      </c>
      <c r="H631" s="366">
        <v>30</v>
      </c>
      <c r="J631" s="367"/>
      <c r="K631" s="367">
        <v>0.13</v>
      </c>
      <c r="L631" s="367"/>
      <c r="M631" s="367"/>
      <c r="N631" s="367"/>
      <c r="O631" s="367"/>
      <c r="P631" s="367"/>
      <c r="Q631" s="367">
        <v>0.3</v>
      </c>
    </row>
    <row r="632" spans="1:17" ht="15" x14ac:dyDescent="0.25">
      <c r="A632" s="365" t="s">
        <v>795</v>
      </c>
      <c r="H632" s="366">
        <v>30</v>
      </c>
      <c r="J632" s="367"/>
      <c r="K632" s="367">
        <v>0.08</v>
      </c>
      <c r="L632" s="367"/>
      <c r="M632" s="367"/>
      <c r="N632" s="367"/>
      <c r="O632" s="367"/>
      <c r="P632" s="367"/>
      <c r="Q632" s="367">
        <v>0.4</v>
      </c>
    </row>
    <row r="633" spans="1:17" ht="15" x14ac:dyDescent="0.25">
      <c r="A633" s="365" t="s">
        <v>796</v>
      </c>
      <c r="H633" s="366">
        <v>30</v>
      </c>
      <c r="J633" s="367"/>
      <c r="K633" s="367"/>
      <c r="L633" s="367"/>
      <c r="M633" s="367"/>
      <c r="N633" s="367"/>
      <c r="O633" s="367"/>
      <c r="P633" s="367"/>
      <c r="Q633" s="367">
        <v>2.2000000000000002</v>
      </c>
    </row>
    <row r="634" spans="1:17" ht="15" x14ac:dyDescent="0.25">
      <c r="A634" s="365" t="s">
        <v>797</v>
      </c>
      <c r="H634" s="366">
        <v>30</v>
      </c>
      <c r="J634" s="367"/>
      <c r="K634" s="367"/>
      <c r="L634" s="367"/>
      <c r="M634" s="367"/>
      <c r="N634" s="367"/>
      <c r="O634" s="367"/>
      <c r="P634" s="367"/>
      <c r="Q634" s="367">
        <v>360</v>
      </c>
    </row>
    <row r="635" spans="1:17" ht="15" x14ac:dyDescent="0.25">
      <c r="A635" s="365" t="s">
        <v>798</v>
      </c>
      <c r="H635" s="366">
        <v>30</v>
      </c>
      <c r="J635" s="367"/>
      <c r="K635" s="367"/>
      <c r="L635" s="367"/>
      <c r="M635" s="367"/>
      <c r="N635" s="367"/>
      <c r="O635" s="367"/>
      <c r="P635" s="367"/>
      <c r="Q635" s="367">
        <v>1.5</v>
      </c>
    </row>
    <row r="636" spans="1:17" ht="15" x14ac:dyDescent="0.25">
      <c r="A636" s="365" t="s">
        <v>799</v>
      </c>
      <c r="H636" s="366">
        <v>30</v>
      </c>
      <c r="J636" s="367"/>
      <c r="K636" s="367">
        <v>0.11</v>
      </c>
      <c r="L636" s="367"/>
      <c r="M636" s="367"/>
      <c r="N636" s="367"/>
      <c r="O636" s="367"/>
      <c r="P636" s="367"/>
      <c r="Q636" s="367">
        <v>0.3</v>
      </c>
    </row>
    <row r="637" spans="1:17" ht="15" x14ac:dyDescent="0.25">
      <c r="A637" s="365" t="s">
        <v>800</v>
      </c>
      <c r="H637" s="366">
        <v>30</v>
      </c>
      <c r="J637" s="367"/>
      <c r="K637" s="367">
        <v>0.11</v>
      </c>
      <c r="L637" s="367"/>
      <c r="M637" s="367"/>
      <c r="N637" s="367"/>
      <c r="O637" s="367"/>
      <c r="P637" s="367"/>
      <c r="Q637" s="367">
        <v>2.8</v>
      </c>
    </row>
    <row r="638" spans="1:17" ht="15" x14ac:dyDescent="0.25">
      <c r="A638" s="365" t="s">
        <v>801</v>
      </c>
      <c r="H638" s="366">
        <v>30.6</v>
      </c>
      <c r="J638" s="367"/>
      <c r="K638" s="367">
        <v>0.12</v>
      </c>
      <c r="L638" s="367"/>
      <c r="M638" s="367"/>
      <c r="N638" s="367"/>
      <c r="O638" s="367"/>
      <c r="P638" s="367"/>
      <c r="Q638" s="367">
        <v>0.4</v>
      </c>
    </row>
    <row r="639" spans="1:17" ht="15" x14ac:dyDescent="0.25">
      <c r="A639" s="365" t="s">
        <v>802</v>
      </c>
      <c r="H639" s="366">
        <v>31</v>
      </c>
      <c r="J639" s="367"/>
      <c r="K639" s="367"/>
      <c r="L639" s="367"/>
      <c r="M639" s="367"/>
      <c r="N639" s="367"/>
      <c r="O639" s="367"/>
      <c r="P639" s="367"/>
      <c r="Q639" s="367">
        <v>0.5</v>
      </c>
    </row>
    <row r="640" spans="1:17" ht="15" x14ac:dyDescent="0.25">
      <c r="A640" s="365" t="s">
        <v>803</v>
      </c>
      <c r="H640" s="366">
        <v>31</v>
      </c>
      <c r="J640" s="367"/>
      <c r="K640" s="367"/>
      <c r="L640" s="367"/>
      <c r="M640" s="367"/>
      <c r="N640" s="367"/>
      <c r="O640" s="367"/>
      <c r="P640" s="367"/>
      <c r="Q640" s="367">
        <v>0.6</v>
      </c>
    </row>
    <row r="641" spans="1:17" ht="15" x14ac:dyDescent="0.25">
      <c r="A641" s="365" t="s">
        <v>804</v>
      </c>
      <c r="H641" s="366">
        <v>31</v>
      </c>
      <c r="J641" s="367"/>
      <c r="K641" s="367">
        <v>0.17</v>
      </c>
      <c r="L641" s="367"/>
      <c r="M641" s="367"/>
      <c r="N641" s="367"/>
      <c r="O641" s="367"/>
      <c r="P641" s="367"/>
      <c r="Q641" s="367">
        <v>3.7</v>
      </c>
    </row>
    <row r="642" spans="1:17" ht="15" x14ac:dyDescent="0.25">
      <c r="A642" s="365" t="s">
        <v>805</v>
      </c>
      <c r="H642" s="366">
        <v>31</v>
      </c>
      <c r="J642" s="367"/>
      <c r="K642" s="367"/>
      <c r="L642" s="367"/>
      <c r="M642" s="367"/>
      <c r="N642" s="367"/>
      <c r="O642" s="367"/>
      <c r="P642" s="367"/>
      <c r="Q642" s="367">
        <v>5</v>
      </c>
    </row>
    <row r="643" spans="1:17" ht="15" x14ac:dyDescent="0.25">
      <c r="A643" s="365" t="s">
        <v>806</v>
      </c>
      <c r="H643" s="366">
        <v>31</v>
      </c>
      <c r="J643" s="367"/>
      <c r="K643" s="367"/>
      <c r="L643" s="367"/>
      <c r="M643" s="367"/>
      <c r="N643" s="367"/>
      <c r="O643" s="367"/>
      <c r="P643" s="367"/>
      <c r="Q643" s="367">
        <v>0.1</v>
      </c>
    </row>
    <row r="644" spans="1:17" ht="15" x14ac:dyDescent="0.25">
      <c r="A644" s="365" t="s">
        <v>807</v>
      </c>
      <c r="H644" s="366">
        <v>31</v>
      </c>
      <c r="J644" s="367"/>
      <c r="K644" s="367"/>
      <c r="L644" s="367"/>
      <c r="M644" s="367"/>
      <c r="N644" s="367"/>
      <c r="O644" s="367"/>
      <c r="P644" s="367"/>
      <c r="Q644" s="367">
        <v>1.2</v>
      </c>
    </row>
    <row r="645" spans="1:17" ht="15" x14ac:dyDescent="0.25">
      <c r="A645" s="365" t="s">
        <v>808</v>
      </c>
      <c r="H645" s="366">
        <v>31</v>
      </c>
      <c r="J645" s="367"/>
      <c r="K645" s="367"/>
      <c r="L645" s="367"/>
      <c r="M645" s="367"/>
      <c r="N645" s="367"/>
      <c r="O645" s="367"/>
      <c r="P645" s="367"/>
      <c r="Q645" s="367">
        <v>1.3</v>
      </c>
    </row>
    <row r="646" spans="1:17" ht="15" x14ac:dyDescent="0.25">
      <c r="A646" s="365" t="s">
        <v>809</v>
      </c>
      <c r="H646" s="366">
        <v>31</v>
      </c>
      <c r="J646" s="367"/>
      <c r="K646" s="367"/>
      <c r="L646" s="367"/>
      <c r="M646" s="367"/>
      <c r="N646" s="367"/>
      <c r="O646" s="367"/>
      <c r="P646" s="367"/>
      <c r="Q646" s="367">
        <v>1.3</v>
      </c>
    </row>
    <row r="647" spans="1:17" ht="15" x14ac:dyDescent="0.25">
      <c r="A647" s="365" t="s">
        <v>810</v>
      </c>
      <c r="H647" s="366">
        <v>31</v>
      </c>
      <c r="J647" s="367"/>
      <c r="K647" s="367">
        <v>7.0000000000000007E-2</v>
      </c>
      <c r="L647" s="367"/>
      <c r="M647" s="367"/>
      <c r="N647" s="367"/>
      <c r="O647" s="367"/>
      <c r="P647" s="367"/>
      <c r="Q647" s="367">
        <v>3.3</v>
      </c>
    </row>
    <row r="648" spans="1:17" ht="15" x14ac:dyDescent="0.25">
      <c r="A648" s="365" t="s">
        <v>811</v>
      </c>
      <c r="H648" s="366">
        <v>31.7</v>
      </c>
      <c r="J648" s="367"/>
      <c r="K648" s="367"/>
      <c r="L648" s="367"/>
      <c r="M648" s="367"/>
      <c r="N648" s="367"/>
      <c r="O648" s="367"/>
      <c r="P648" s="367"/>
      <c r="Q648" s="367">
        <v>0.3</v>
      </c>
    </row>
    <row r="649" spans="1:17" ht="15" x14ac:dyDescent="0.25">
      <c r="A649" s="365" t="s">
        <v>812</v>
      </c>
      <c r="H649" s="366">
        <v>32</v>
      </c>
      <c r="J649" s="367"/>
      <c r="K649" s="367">
        <v>0.41</v>
      </c>
      <c r="L649" s="367"/>
      <c r="M649" s="367"/>
      <c r="N649" s="367"/>
      <c r="O649" s="367"/>
      <c r="P649" s="367"/>
      <c r="Q649" s="367">
        <v>4.7</v>
      </c>
    </row>
    <row r="650" spans="1:17" ht="15" x14ac:dyDescent="0.25">
      <c r="A650" s="365" t="s">
        <v>813</v>
      </c>
      <c r="H650" s="366">
        <v>32</v>
      </c>
      <c r="J650" s="367"/>
      <c r="K650" s="367"/>
      <c r="L650" s="367"/>
      <c r="M650" s="367"/>
      <c r="N650" s="367"/>
      <c r="O650" s="367"/>
      <c r="P650" s="367"/>
      <c r="Q650" s="367">
        <v>3</v>
      </c>
    </row>
    <row r="651" spans="1:17" ht="15" x14ac:dyDescent="0.25">
      <c r="A651" s="365" t="s">
        <v>814</v>
      </c>
      <c r="H651" s="366">
        <v>32</v>
      </c>
      <c r="J651" s="367"/>
      <c r="K651" s="367">
        <v>0.09</v>
      </c>
      <c r="L651" s="367"/>
      <c r="M651" s="367"/>
      <c r="N651" s="367"/>
      <c r="O651" s="367"/>
      <c r="P651" s="367"/>
      <c r="Q651" s="367">
        <v>1</v>
      </c>
    </row>
    <row r="652" spans="1:17" ht="15" x14ac:dyDescent="0.25">
      <c r="A652" s="365" t="s">
        <v>815</v>
      </c>
      <c r="H652" s="366">
        <v>32</v>
      </c>
      <c r="J652" s="367"/>
      <c r="K652" s="367"/>
      <c r="L652" s="367"/>
      <c r="M652" s="367"/>
      <c r="N652" s="367"/>
      <c r="O652" s="367"/>
      <c r="P652" s="367"/>
      <c r="Q652" s="367">
        <v>0.9</v>
      </c>
    </row>
    <row r="653" spans="1:17" ht="15" x14ac:dyDescent="0.25">
      <c r="A653" s="365" t="s">
        <v>816</v>
      </c>
      <c r="H653" s="366">
        <v>32</v>
      </c>
      <c r="J653" s="367"/>
      <c r="K653" s="367">
        <v>0.1</v>
      </c>
      <c r="L653" s="367"/>
      <c r="M653" s="367"/>
      <c r="N653" s="367"/>
      <c r="O653" s="367"/>
      <c r="P653" s="367"/>
      <c r="Q653" s="367">
        <v>1.5</v>
      </c>
    </row>
    <row r="654" spans="1:17" ht="15" x14ac:dyDescent="0.25">
      <c r="A654" s="365" t="s">
        <v>817</v>
      </c>
      <c r="H654" s="366">
        <v>32</v>
      </c>
      <c r="J654" s="367"/>
      <c r="K654" s="367">
        <v>0.09</v>
      </c>
      <c r="L654" s="367"/>
      <c r="M654" s="367"/>
      <c r="N654" s="367"/>
      <c r="O654" s="367"/>
      <c r="P654" s="367"/>
      <c r="Q654" s="367">
        <v>3.7</v>
      </c>
    </row>
    <row r="655" spans="1:17" ht="15" x14ac:dyDescent="0.25">
      <c r="A655" s="365" t="s">
        <v>818</v>
      </c>
      <c r="H655" s="366">
        <v>32</v>
      </c>
      <c r="J655" s="367"/>
      <c r="K655" s="367">
        <v>0.12</v>
      </c>
      <c r="L655" s="367"/>
      <c r="M655" s="367"/>
      <c r="N655" s="367"/>
      <c r="O655" s="367"/>
      <c r="P655" s="367"/>
      <c r="Q655" s="367">
        <v>1.9</v>
      </c>
    </row>
    <row r="656" spans="1:17" ht="15" x14ac:dyDescent="0.25">
      <c r="A656" s="365" t="s">
        <v>819</v>
      </c>
      <c r="H656" s="366">
        <v>32</v>
      </c>
      <c r="J656" s="367"/>
      <c r="K656" s="367"/>
      <c r="L656" s="367"/>
      <c r="M656" s="367"/>
      <c r="N656" s="367"/>
      <c r="O656" s="367"/>
      <c r="P656" s="367"/>
      <c r="Q656" s="367">
        <v>2.8</v>
      </c>
    </row>
    <row r="657" spans="1:17" ht="15" x14ac:dyDescent="0.25">
      <c r="A657" s="365" t="s">
        <v>820</v>
      </c>
      <c r="H657" s="366">
        <v>32</v>
      </c>
      <c r="J657" s="367"/>
      <c r="K657" s="367"/>
      <c r="L657" s="367"/>
      <c r="M657" s="367"/>
      <c r="N657" s="367"/>
      <c r="O657" s="367"/>
      <c r="P657" s="367"/>
      <c r="Q657" s="367">
        <v>0.3</v>
      </c>
    </row>
    <row r="658" spans="1:17" ht="15" x14ac:dyDescent="0.25">
      <c r="A658" s="365" t="s">
        <v>821</v>
      </c>
      <c r="H658" s="366">
        <v>32</v>
      </c>
      <c r="J658" s="367"/>
      <c r="K658" s="367"/>
      <c r="L658" s="367"/>
      <c r="M658" s="367"/>
      <c r="N658" s="367"/>
      <c r="O658" s="367"/>
      <c r="P658" s="367"/>
      <c r="Q658" s="367">
        <v>0</v>
      </c>
    </row>
    <row r="659" spans="1:17" ht="15" x14ac:dyDescent="0.25">
      <c r="A659" s="365" t="s">
        <v>822</v>
      </c>
      <c r="H659" s="366">
        <v>32</v>
      </c>
      <c r="J659" s="367"/>
      <c r="K659" s="367"/>
      <c r="L659" s="367"/>
      <c r="M659" s="367"/>
      <c r="N659" s="367"/>
      <c r="O659" s="367"/>
      <c r="P659" s="367"/>
      <c r="Q659" s="367">
        <v>39</v>
      </c>
    </row>
    <row r="660" spans="1:17" ht="15" x14ac:dyDescent="0.25">
      <c r="A660" s="365" t="s">
        <v>823</v>
      </c>
      <c r="H660" s="366">
        <v>32.700000000000003</v>
      </c>
      <c r="J660" s="367"/>
      <c r="K660" s="367"/>
      <c r="L660" s="367"/>
      <c r="M660" s="367"/>
      <c r="N660" s="367"/>
      <c r="O660" s="367"/>
      <c r="P660" s="367"/>
      <c r="Q660" s="367">
        <v>6.8</v>
      </c>
    </row>
    <row r="661" spans="1:17" ht="15" x14ac:dyDescent="0.25">
      <c r="A661" s="365" t="s">
        <v>824</v>
      </c>
      <c r="H661" s="366">
        <v>36</v>
      </c>
      <c r="J661" s="367"/>
      <c r="K661" s="367"/>
      <c r="L661" s="367"/>
      <c r="M661" s="367"/>
      <c r="N661" s="367"/>
      <c r="O661" s="367"/>
      <c r="P661" s="367"/>
      <c r="Q661" s="367">
        <v>1.1000000000000001</v>
      </c>
    </row>
    <row r="662" spans="1:17" ht="15" x14ac:dyDescent="0.25">
      <c r="A662" s="365" t="s">
        <v>825</v>
      </c>
      <c r="H662" s="366">
        <v>36</v>
      </c>
      <c r="J662" s="367"/>
      <c r="K662" s="367">
        <v>0.11</v>
      </c>
      <c r="L662" s="367"/>
      <c r="M662" s="367"/>
      <c r="N662" s="367"/>
      <c r="O662" s="367"/>
      <c r="P662" s="367"/>
      <c r="Q662" s="367">
        <v>2.7</v>
      </c>
    </row>
    <row r="663" spans="1:17" ht="15" x14ac:dyDescent="0.25">
      <c r="A663" s="365" t="s">
        <v>826</v>
      </c>
      <c r="H663" s="366">
        <v>37</v>
      </c>
      <c r="J663" s="367"/>
      <c r="K663" s="367"/>
      <c r="L663" s="367"/>
      <c r="M663" s="367"/>
      <c r="N663" s="367"/>
      <c r="O663" s="367"/>
      <c r="P663" s="367"/>
      <c r="Q663" s="367">
        <v>7.0000000000000007E-2</v>
      </c>
    </row>
    <row r="664" spans="1:17" ht="15" x14ac:dyDescent="0.25">
      <c r="A664" s="365" t="s">
        <v>827</v>
      </c>
      <c r="H664" s="366">
        <v>37</v>
      </c>
      <c r="J664" s="367"/>
      <c r="K664" s="367">
        <v>0.1</v>
      </c>
      <c r="L664" s="367"/>
      <c r="M664" s="367"/>
      <c r="N664" s="367"/>
      <c r="O664" s="367"/>
      <c r="P664" s="367"/>
      <c r="Q664" s="367">
        <v>2.2000000000000002</v>
      </c>
    </row>
    <row r="665" spans="1:17" ht="15" x14ac:dyDescent="0.25">
      <c r="A665" s="365" t="s">
        <v>828</v>
      </c>
      <c r="H665" s="366">
        <v>37</v>
      </c>
      <c r="J665" s="367"/>
      <c r="K665" s="367">
        <v>0.11</v>
      </c>
      <c r="L665" s="367"/>
      <c r="M665" s="367"/>
      <c r="N665" s="367"/>
      <c r="O665" s="367"/>
      <c r="P665" s="367"/>
      <c r="Q665" s="367">
        <v>1.5</v>
      </c>
    </row>
    <row r="666" spans="1:17" ht="15" x14ac:dyDescent="0.25">
      <c r="A666" s="365" t="s">
        <v>829</v>
      </c>
      <c r="H666" s="366">
        <v>37</v>
      </c>
      <c r="J666" s="367"/>
      <c r="K666" s="367"/>
      <c r="L666" s="367"/>
      <c r="M666" s="367"/>
      <c r="N666" s="367"/>
      <c r="O666" s="367"/>
      <c r="P666" s="367"/>
      <c r="Q666" s="367">
        <v>0.4</v>
      </c>
    </row>
    <row r="667" spans="1:17" ht="15" x14ac:dyDescent="0.25">
      <c r="A667" s="365" t="s">
        <v>830</v>
      </c>
      <c r="H667" s="366">
        <v>37</v>
      </c>
      <c r="J667" s="367"/>
      <c r="K667" s="367"/>
      <c r="L667" s="367"/>
      <c r="M667" s="367"/>
      <c r="N667" s="367"/>
      <c r="O667" s="367"/>
      <c r="P667" s="367"/>
      <c r="Q667" s="367">
        <v>0.1</v>
      </c>
    </row>
    <row r="668" spans="1:17" ht="15" x14ac:dyDescent="0.25">
      <c r="A668" s="365" t="s">
        <v>831</v>
      </c>
      <c r="H668" s="366">
        <v>37</v>
      </c>
      <c r="J668" s="367"/>
      <c r="K668" s="367"/>
      <c r="L668" s="367"/>
      <c r="M668" s="367"/>
      <c r="N668" s="367"/>
      <c r="O668" s="367"/>
      <c r="P668" s="367"/>
      <c r="Q668" s="367">
        <v>2</v>
      </c>
    </row>
    <row r="669" spans="1:17" ht="15" x14ac:dyDescent="0.25">
      <c r="A669" s="365" t="s">
        <v>832</v>
      </c>
      <c r="H669" s="366">
        <v>38</v>
      </c>
      <c r="J669" s="367"/>
      <c r="K669" s="367"/>
      <c r="L669" s="367"/>
      <c r="M669" s="367"/>
      <c r="N669" s="367"/>
      <c r="O669" s="367"/>
      <c r="P669" s="367"/>
      <c r="Q669" s="367">
        <v>3.2</v>
      </c>
    </row>
    <row r="670" spans="1:17" ht="15" x14ac:dyDescent="0.25">
      <c r="A670" s="365" t="s">
        <v>833</v>
      </c>
      <c r="H670" s="366">
        <v>38</v>
      </c>
      <c r="J670" s="367"/>
      <c r="K670" s="367">
        <v>0.12</v>
      </c>
      <c r="L670" s="367"/>
      <c r="M670" s="367"/>
      <c r="N670" s="367"/>
      <c r="O670" s="367"/>
      <c r="P670" s="367"/>
      <c r="Q670" s="367">
        <v>1.1000000000000001</v>
      </c>
    </row>
    <row r="671" spans="1:17" ht="15" x14ac:dyDescent="0.25">
      <c r="A671" s="365" t="s">
        <v>834</v>
      </c>
      <c r="H671" s="366">
        <v>38</v>
      </c>
      <c r="J671" s="367"/>
      <c r="K671" s="367"/>
      <c r="L671" s="367"/>
      <c r="M671" s="367"/>
      <c r="N671" s="367"/>
      <c r="O671" s="367"/>
      <c r="P671" s="367"/>
      <c r="Q671" s="367">
        <v>3.3</v>
      </c>
    </row>
    <row r="672" spans="1:17" ht="15" x14ac:dyDescent="0.25">
      <c r="A672" s="365" t="s">
        <v>835</v>
      </c>
      <c r="H672" s="366">
        <v>38</v>
      </c>
      <c r="J672" s="367"/>
      <c r="K672" s="367"/>
      <c r="L672" s="367"/>
      <c r="M672" s="367"/>
      <c r="N672" s="367"/>
      <c r="O672" s="367"/>
      <c r="P672" s="367"/>
      <c r="Q672" s="367">
        <v>0.8</v>
      </c>
    </row>
    <row r="673" spans="1:17" ht="15" x14ac:dyDescent="0.25">
      <c r="A673" s="365" t="s">
        <v>836</v>
      </c>
      <c r="H673" s="366">
        <v>38</v>
      </c>
      <c r="J673" s="367"/>
      <c r="K673" s="367">
        <v>0.1</v>
      </c>
      <c r="L673" s="367"/>
      <c r="M673" s="367"/>
      <c r="N673" s="367"/>
      <c r="O673" s="367"/>
      <c r="P673" s="367"/>
      <c r="Q673" s="367">
        <v>2.2999999999999998</v>
      </c>
    </row>
    <row r="674" spans="1:17" ht="15" x14ac:dyDescent="0.25">
      <c r="A674" s="365" t="s">
        <v>837</v>
      </c>
      <c r="H674" s="366">
        <v>38</v>
      </c>
      <c r="J674" s="367"/>
      <c r="K674" s="367">
        <v>0.01</v>
      </c>
      <c r="L674" s="367"/>
      <c r="M674" s="367"/>
      <c r="N674" s="367"/>
      <c r="O674" s="367"/>
      <c r="P674" s="367"/>
      <c r="Q674" s="367"/>
    </row>
    <row r="675" spans="1:17" ht="15" x14ac:dyDescent="0.25">
      <c r="A675" s="365" t="s">
        <v>838</v>
      </c>
      <c r="H675" s="366">
        <v>38</v>
      </c>
      <c r="J675" s="367"/>
      <c r="K675" s="367">
        <v>0.12</v>
      </c>
      <c r="L675" s="367"/>
      <c r="M675" s="367"/>
      <c r="N675" s="367"/>
      <c r="O675" s="367"/>
      <c r="P675" s="367"/>
      <c r="Q675" s="367">
        <v>3.2</v>
      </c>
    </row>
    <row r="676" spans="1:17" ht="15" x14ac:dyDescent="0.25">
      <c r="A676" s="365" t="s">
        <v>839</v>
      </c>
      <c r="H676" s="366">
        <v>39</v>
      </c>
      <c r="J676" s="367"/>
      <c r="K676" s="367">
        <v>0.09</v>
      </c>
      <c r="L676" s="367"/>
      <c r="M676" s="367"/>
      <c r="N676" s="367"/>
      <c r="O676" s="367"/>
      <c r="P676" s="367"/>
      <c r="Q676" s="367">
        <v>52.4</v>
      </c>
    </row>
    <row r="677" spans="1:17" ht="15" x14ac:dyDescent="0.25">
      <c r="A677" s="365" t="s">
        <v>840</v>
      </c>
      <c r="H677" s="366">
        <v>39</v>
      </c>
      <c r="J677" s="367"/>
      <c r="K677" s="367"/>
      <c r="L677" s="367"/>
      <c r="M677" s="367"/>
      <c r="N677" s="367"/>
      <c r="O677" s="367"/>
      <c r="P677" s="367"/>
      <c r="Q677" s="367">
        <v>7.1</v>
      </c>
    </row>
    <row r="678" spans="1:17" ht="15" x14ac:dyDescent="0.25">
      <c r="A678" s="365" t="s">
        <v>841</v>
      </c>
      <c r="H678" s="366">
        <v>39</v>
      </c>
      <c r="J678" s="367"/>
      <c r="K678" s="367"/>
      <c r="L678" s="367"/>
      <c r="M678" s="367"/>
      <c r="N678" s="367"/>
      <c r="O678" s="367"/>
      <c r="P678" s="367"/>
      <c r="Q678" s="367">
        <v>3.9</v>
      </c>
    </row>
    <row r="679" spans="1:17" ht="15" x14ac:dyDescent="0.25">
      <c r="A679" s="365" t="s">
        <v>842</v>
      </c>
      <c r="H679" s="366">
        <v>33</v>
      </c>
      <c r="J679" s="367"/>
      <c r="K679" s="367"/>
      <c r="L679" s="367"/>
      <c r="M679" s="367"/>
      <c r="N679" s="367"/>
      <c r="O679" s="367"/>
      <c r="P679" s="367"/>
      <c r="Q679" s="367">
        <v>0.7</v>
      </c>
    </row>
    <row r="680" spans="1:17" ht="15" x14ac:dyDescent="0.25">
      <c r="A680" s="365" t="s">
        <v>843</v>
      </c>
      <c r="H680" s="366">
        <v>34</v>
      </c>
      <c r="J680" s="367"/>
      <c r="K680" s="367"/>
      <c r="L680" s="367"/>
      <c r="M680" s="367"/>
      <c r="N680" s="367"/>
      <c r="O680" s="367"/>
      <c r="P680" s="367"/>
      <c r="Q680" s="367">
        <v>0.7</v>
      </c>
    </row>
    <row r="681" spans="1:17" ht="15" x14ac:dyDescent="0.25">
      <c r="A681" s="365" t="s">
        <v>844</v>
      </c>
      <c r="H681" s="366">
        <v>34</v>
      </c>
      <c r="J681" s="367"/>
      <c r="K681" s="367"/>
      <c r="L681" s="367"/>
      <c r="M681" s="367"/>
      <c r="N681" s="367"/>
      <c r="O681" s="367"/>
      <c r="P681" s="367"/>
      <c r="Q681" s="367">
        <v>2.2000000000000002</v>
      </c>
    </row>
    <row r="682" spans="1:17" ht="15" x14ac:dyDescent="0.25">
      <c r="A682" s="365" t="s">
        <v>845</v>
      </c>
      <c r="H682" s="366">
        <v>41</v>
      </c>
      <c r="J682" s="367"/>
      <c r="K682" s="367"/>
      <c r="L682" s="367"/>
      <c r="M682" s="367"/>
      <c r="N682" s="367"/>
      <c r="O682" s="367"/>
      <c r="P682" s="367"/>
      <c r="Q682" s="367">
        <v>50</v>
      </c>
    </row>
    <row r="683" spans="1:17" ht="15" x14ac:dyDescent="0.25">
      <c r="A683" s="365" t="s">
        <v>846</v>
      </c>
      <c r="H683" s="366">
        <v>41</v>
      </c>
      <c r="J683" s="367"/>
      <c r="K683" s="367">
        <v>0.18</v>
      </c>
      <c r="L683" s="367"/>
      <c r="M683" s="367"/>
      <c r="N683" s="367"/>
      <c r="O683" s="367"/>
      <c r="P683" s="367"/>
      <c r="Q683" s="367">
        <v>2.4</v>
      </c>
    </row>
    <row r="684" spans="1:17" ht="15" x14ac:dyDescent="0.25">
      <c r="A684" s="365" t="s">
        <v>847</v>
      </c>
      <c r="H684" s="366">
        <v>41</v>
      </c>
      <c r="J684" s="367"/>
      <c r="K684" s="367">
        <v>0.09</v>
      </c>
      <c r="L684" s="367"/>
      <c r="M684" s="367"/>
      <c r="N684" s="367"/>
      <c r="O684" s="367"/>
      <c r="P684" s="367"/>
      <c r="Q684" s="367">
        <v>6.7</v>
      </c>
    </row>
    <row r="685" spans="1:17" ht="15" x14ac:dyDescent="0.25">
      <c r="A685" s="365" t="s">
        <v>848</v>
      </c>
      <c r="H685" s="366">
        <v>41</v>
      </c>
      <c r="J685" s="367"/>
      <c r="K685" s="367">
        <v>0.06</v>
      </c>
      <c r="L685" s="367"/>
      <c r="M685" s="367"/>
      <c r="N685" s="367"/>
      <c r="O685" s="367"/>
      <c r="P685" s="367"/>
      <c r="Q685" s="367">
        <v>1.9</v>
      </c>
    </row>
    <row r="686" spans="1:17" ht="15" x14ac:dyDescent="0.25">
      <c r="A686" s="365" t="s">
        <v>849</v>
      </c>
      <c r="H686" s="366">
        <v>41</v>
      </c>
      <c r="J686" s="367"/>
      <c r="K686" s="367"/>
      <c r="L686" s="367"/>
      <c r="M686" s="367"/>
      <c r="N686" s="367"/>
      <c r="O686" s="367"/>
      <c r="P686" s="367"/>
      <c r="Q686" s="367">
        <v>1.3</v>
      </c>
    </row>
    <row r="687" spans="1:17" ht="15" x14ac:dyDescent="0.25">
      <c r="A687" s="365" t="s">
        <v>850</v>
      </c>
      <c r="H687" s="366">
        <v>42</v>
      </c>
      <c r="J687" s="367"/>
      <c r="K687" s="367"/>
      <c r="L687" s="367"/>
      <c r="M687" s="367"/>
      <c r="N687" s="367"/>
      <c r="O687" s="367"/>
      <c r="P687" s="367"/>
      <c r="Q687" s="367">
        <v>0.4</v>
      </c>
    </row>
    <row r="688" spans="1:17" ht="15" x14ac:dyDescent="0.25">
      <c r="A688" s="365" t="s">
        <v>851</v>
      </c>
      <c r="H688" s="366">
        <v>42</v>
      </c>
      <c r="J688" s="367"/>
      <c r="K688" s="367">
        <v>0.36</v>
      </c>
      <c r="L688" s="367"/>
      <c r="M688" s="367"/>
      <c r="N688" s="367"/>
      <c r="O688" s="367"/>
      <c r="P688" s="367"/>
      <c r="Q688" s="367">
        <v>2.7</v>
      </c>
    </row>
    <row r="689" spans="1:17" ht="15" x14ac:dyDescent="0.25">
      <c r="A689" s="365" t="s">
        <v>852</v>
      </c>
      <c r="H689" s="366">
        <v>42</v>
      </c>
      <c r="J689" s="367"/>
      <c r="K689" s="367">
        <v>0.12</v>
      </c>
      <c r="L689" s="367"/>
      <c r="M689" s="367"/>
      <c r="N689" s="367"/>
      <c r="O689" s="367"/>
      <c r="P689" s="367"/>
      <c r="Q689" s="367">
        <v>5.5</v>
      </c>
    </row>
    <row r="690" spans="1:17" ht="15" x14ac:dyDescent="0.25">
      <c r="A690" s="365" t="s">
        <v>853</v>
      </c>
      <c r="H690" s="366">
        <v>42</v>
      </c>
      <c r="J690" s="367"/>
      <c r="K690" s="367"/>
      <c r="L690" s="367"/>
      <c r="M690" s="367"/>
      <c r="N690" s="367"/>
      <c r="O690" s="367"/>
      <c r="P690" s="367"/>
      <c r="Q690" s="367">
        <v>5.4</v>
      </c>
    </row>
    <row r="691" spans="1:17" ht="15" x14ac:dyDescent="0.25">
      <c r="A691" s="365" t="s">
        <v>854</v>
      </c>
      <c r="H691" s="366">
        <v>42</v>
      </c>
      <c r="J691" s="367"/>
      <c r="K691" s="367"/>
      <c r="L691" s="367"/>
      <c r="M691" s="367"/>
      <c r="N691" s="367"/>
      <c r="O691" s="367"/>
      <c r="P691" s="367"/>
      <c r="Q691" s="367">
        <v>0.7</v>
      </c>
    </row>
    <row r="692" spans="1:17" ht="15" x14ac:dyDescent="0.25">
      <c r="A692" s="365" t="s">
        <v>855</v>
      </c>
      <c r="H692" s="366">
        <v>43</v>
      </c>
      <c r="J692" s="367"/>
      <c r="K692" s="367"/>
      <c r="L692" s="367"/>
      <c r="M692" s="367"/>
      <c r="N692" s="367"/>
      <c r="O692" s="367"/>
      <c r="P692" s="367"/>
      <c r="Q692" s="367">
        <v>0.9</v>
      </c>
    </row>
    <row r="693" spans="1:17" ht="15" x14ac:dyDescent="0.25">
      <c r="A693" s="365" t="s">
        <v>856</v>
      </c>
      <c r="H693" s="366">
        <v>43</v>
      </c>
      <c r="J693" s="367"/>
      <c r="K693" s="367"/>
      <c r="L693" s="367"/>
      <c r="M693" s="367"/>
      <c r="N693" s="367"/>
      <c r="O693" s="367"/>
      <c r="P693" s="367"/>
      <c r="Q693" s="367">
        <v>0</v>
      </c>
    </row>
    <row r="694" spans="1:17" ht="15" x14ac:dyDescent="0.25">
      <c r="A694" s="365" t="s">
        <v>857</v>
      </c>
      <c r="H694" s="366">
        <v>43</v>
      </c>
      <c r="J694" s="367"/>
      <c r="K694" s="367"/>
      <c r="L694" s="367"/>
      <c r="M694" s="367"/>
      <c r="N694" s="367"/>
      <c r="O694" s="367"/>
      <c r="P694" s="367"/>
      <c r="Q694" s="367">
        <v>1.5</v>
      </c>
    </row>
    <row r="695" spans="1:17" ht="15" x14ac:dyDescent="0.25">
      <c r="A695" s="365" t="s">
        <v>858</v>
      </c>
      <c r="H695" s="366">
        <v>43</v>
      </c>
      <c r="J695" s="367"/>
      <c r="K695" s="367">
        <v>0.17</v>
      </c>
      <c r="L695" s="367"/>
      <c r="M695" s="367"/>
      <c r="N695" s="367"/>
      <c r="O695" s="367"/>
      <c r="P695" s="367"/>
      <c r="Q695" s="367">
        <v>1.8</v>
      </c>
    </row>
    <row r="696" spans="1:17" ht="15" x14ac:dyDescent="0.25">
      <c r="A696" s="365" t="s">
        <v>859</v>
      </c>
      <c r="H696" s="366">
        <v>34</v>
      </c>
      <c r="J696" s="367"/>
      <c r="K696" s="367"/>
      <c r="L696" s="367"/>
      <c r="M696" s="367"/>
      <c r="N696" s="367"/>
      <c r="O696" s="367"/>
      <c r="P696" s="367"/>
      <c r="Q696" s="367">
        <v>0.7</v>
      </c>
    </row>
    <row r="697" spans="1:17" ht="15" x14ac:dyDescent="0.25">
      <c r="A697" s="365" t="s">
        <v>860</v>
      </c>
      <c r="H697" s="366">
        <v>34</v>
      </c>
      <c r="J697" s="367"/>
      <c r="K697" s="367">
        <v>0.13</v>
      </c>
      <c r="L697" s="367"/>
      <c r="M697" s="367"/>
      <c r="N697" s="367"/>
      <c r="O697" s="367"/>
      <c r="P697" s="367"/>
      <c r="Q697" s="367">
        <v>3.5</v>
      </c>
    </row>
    <row r="698" spans="1:17" ht="15" x14ac:dyDescent="0.25">
      <c r="A698" s="365" t="s">
        <v>861</v>
      </c>
      <c r="H698" s="366">
        <v>34</v>
      </c>
      <c r="J698" s="367"/>
      <c r="K698" s="367">
        <v>0.24</v>
      </c>
      <c r="L698" s="367"/>
      <c r="M698" s="367"/>
      <c r="N698" s="367"/>
      <c r="O698" s="367"/>
      <c r="P698" s="367"/>
      <c r="Q698" s="367">
        <v>2.7</v>
      </c>
    </row>
    <row r="699" spans="1:17" ht="15" x14ac:dyDescent="0.25">
      <c r="A699" s="365" t="s">
        <v>862</v>
      </c>
      <c r="H699" s="366">
        <v>34.4</v>
      </c>
      <c r="J699" s="367"/>
      <c r="K699" s="367"/>
      <c r="L699" s="367"/>
      <c r="M699" s="367"/>
      <c r="N699" s="367"/>
      <c r="O699" s="367"/>
      <c r="P699" s="367"/>
      <c r="Q699" s="367">
        <v>4.4000000000000004</v>
      </c>
    </row>
    <row r="700" spans="1:17" ht="15" x14ac:dyDescent="0.25">
      <c r="A700" s="365" t="s">
        <v>863</v>
      </c>
      <c r="H700" s="366">
        <v>35</v>
      </c>
      <c r="J700" s="367"/>
      <c r="K700" s="367">
        <v>0.25</v>
      </c>
      <c r="L700" s="367"/>
      <c r="M700" s="367"/>
      <c r="N700" s="367"/>
      <c r="O700" s="367"/>
      <c r="P700" s="367"/>
      <c r="Q700" s="367">
        <v>9</v>
      </c>
    </row>
    <row r="701" spans="1:17" ht="15" x14ac:dyDescent="0.25">
      <c r="A701" s="365" t="s">
        <v>864</v>
      </c>
      <c r="H701" s="366">
        <v>35</v>
      </c>
      <c r="J701" s="367"/>
      <c r="K701" s="367">
        <v>3</v>
      </c>
      <c r="L701" s="367"/>
      <c r="M701" s="367"/>
      <c r="N701" s="367"/>
      <c r="O701" s="367"/>
      <c r="P701" s="367"/>
      <c r="Q701" s="367"/>
    </row>
    <row r="702" spans="1:17" ht="15" x14ac:dyDescent="0.25">
      <c r="A702" s="365" t="s">
        <v>865</v>
      </c>
      <c r="H702" s="366">
        <v>35</v>
      </c>
      <c r="J702" s="367"/>
      <c r="K702" s="367">
        <v>0.16</v>
      </c>
      <c r="L702" s="367"/>
      <c r="M702" s="367"/>
      <c r="N702" s="367"/>
      <c r="O702" s="367"/>
      <c r="P702" s="367"/>
      <c r="Q702" s="367">
        <v>2.9</v>
      </c>
    </row>
    <row r="703" spans="1:17" ht="15" x14ac:dyDescent="0.25">
      <c r="A703" s="365" t="s">
        <v>866</v>
      </c>
      <c r="H703" s="366">
        <v>35</v>
      </c>
      <c r="J703" s="367"/>
      <c r="K703" s="367">
        <v>0.42</v>
      </c>
      <c r="L703" s="367"/>
      <c r="M703" s="367"/>
      <c r="N703" s="367"/>
      <c r="O703" s="367"/>
      <c r="P703" s="367"/>
      <c r="Q703" s="367">
        <v>3.4</v>
      </c>
    </row>
    <row r="704" spans="1:17" ht="15" x14ac:dyDescent="0.25">
      <c r="A704" s="365" t="s">
        <v>867</v>
      </c>
      <c r="H704" s="366">
        <v>35</v>
      </c>
      <c r="J704" s="367"/>
      <c r="K704" s="367">
        <v>0.08</v>
      </c>
      <c r="L704" s="367"/>
      <c r="M704" s="367"/>
      <c r="N704" s="367"/>
      <c r="O704" s="367"/>
      <c r="P704" s="367"/>
      <c r="Q704" s="367">
        <v>2.8</v>
      </c>
    </row>
    <row r="705" spans="1:17" ht="15" x14ac:dyDescent="0.25">
      <c r="A705" s="365" t="s">
        <v>868</v>
      </c>
      <c r="H705" s="366">
        <v>36</v>
      </c>
      <c r="J705" s="367"/>
      <c r="K705" s="367">
        <v>0.1</v>
      </c>
      <c r="L705" s="367"/>
      <c r="M705" s="367"/>
      <c r="N705" s="367"/>
      <c r="O705" s="367"/>
      <c r="P705" s="367"/>
      <c r="Q705" s="367">
        <v>0.6</v>
      </c>
    </row>
    <row r="706" spans="1:17" ht="15" x14ac:dyDescent="0.25">
      <c r="A706" s="365" t="s">
        <v>869</v>
      </c>
      <c r="H706" s="366">
        <v>36</v>
      </c>
      <c r="J706" s="367"/>
      <c r="K706" s="367"/>
      <c r="L706" s="367"/>
      <c r="M706" s="367"/>
      <c r="N706" s="367"/>
      <c r="O706" s="367"/>
      <c r="P706" s="367"/>
      <c r="Q706" s="367">
        <v>0.4</v>
      </c>
    </row>
    <row r="707" spans="1:17" ht="15" x14ac:dyDescent="0.25">
      <c r="A707" s="365" t="s">
        <v>870</v>
      </c>
      <c r="H707" s="366">
        <v>36</v>
      </c>
      <c r="J707" s="367"/>
      <c r="K707" s="367"/>
      <c r="L707" s="367"/>
      <c r="M707" s="367"/>
      <c r="N707" s="367"/>
      <c r="O707" s="367"/>
      <c r="P707" s="367"/>
      <c r="Q707" s="367">
        <v>0.6</v>
      </c>
    </row>
    <row r="708" spans="1:17" ht="15" x14ac:dyDescent="0.25">
      <c r="A708" s="365" t="s">
        <v>871</v>
      </c>
      <c r="H708" s="366">
        <v>36</v>
      </c>
      <c r="J708" s="367"/>
      <c r="K708" s="367"/>
      <c r="L708" s="367"/>
      <c r="M708" s="367"/>
      <c r="N708" s="367"/>
      <c r="O708" s="367"/>
      <c r="P708" s="367"/>
      <c r="Q708" s="367">
        <v>0.1</v>
      </c>
    </row>
    <row r="709" spans="1:17" ht="15" x14ac:dyDescent="0.25">
      <c r="A709" s="365" t="s">
        <v>872</v>
      </c>
      <c r="H709" s="366">
        <v>36</v>
      </c>
      <c r="J709" s="367"/>
      <c r="K709" s="367"/>
      <c r="L709" s="367"/>
      <c r="M709" s="367"/>
      <c r="N709" s="367"/>
      <c r="O709" s="367"/>
      <c r="P709" s="367"/>
      <c r="Q709" s="367">
        <v>0.4</v>
      </c>
    </row>
    <row r="710" spans="1:17" ht="15" x14ac:dyDescent="0.25">
      <c r="A710" s="365" t="s">
        <v>873</v>
      </c>
      <c r="H710" s="366">
        <v>36</v>
      </c>
      <c r="J710" s="367"/>
      <c r="K710" s="367">
        <v>0.11</v>
      </c>
      <c r="L710" s="367"/>
      <c r="M710" s="367"/>
      <c r="N710" s="367"/>
      <c r="O710" s="367"/>
      <c r="P710" s="367"/>
      <c r="Q710" s="367">
        <v>4.4000000000000004</v>
      </c>
    </row>
    <row r="711" spans="1:17" ht="15" x14ac:dyDescent="0.25">
      <c r="A711" s="365" t="s">
        <v>833</v>
      </c>
      <c r="H711" s="366">
        <v>39</v>
      </c>
      <c r="J711" s="367"/>
      <c r="K711" s="367">
        <v>0.11</v>
      </c>
      <c r="L711" s="367"/>
      <c r="M711" s="367"/>
      <c r="N711" s="367"/>
      <c r="O711" s="367"/>
      <c r="P711" s="367"/>
      <c r="Q711" s="367">
        <v>7.6</v>
      </c>
    </row>
    <row r="712" spans="1:17" ht="15" x14ac:dyDescent="0.25">
      <c r="A712" s="365" t="s">
        <v>874</v>
      </c>
      <c r="H712" s="366">
        <v>39</v>
      </c>
      <c r="J712" s="367"/>
      <c r="K712" s="367"/>
      <c r="L712" s="367"/>
      <c r="M712" s="367"/>
      <c r="N712" s="367"/>
      <c r="O712" s="367"/>
      <c r="P712" s="367"/>
      <c r="Q712" s="367">
        <v>0.4</v>
      </c>
    </row>
    <row r="713" spans="1:17" ht="15" x14ac:dyDescent="0.25">
      <c r="A713" s="365" t="s">
        <v>875</v>
      </c>
      <c r="H713" s="366">
        <v>39</v>
      </c>
      <c r="J713" s="367"/>
      <c r="K713" s="367">
        <v>0.11</v>
      </c>
      <c r="L713" s="367"/>
      <c r="M713" s="367"/>
      <c r="N713" s="367"/>
      <c r="O713" s="367"/>
      <c r="P713" s="367"/>
      <c r="Q713" s="367">
        <v>2.6</v>
      </c>
    </row>
    <row r="714" spans="1:17" ht="15" x14ac:dyDescent="0.25">
      <c r="A714" s="365" t="s">
        <v>876</v>
      </c>
      <c r="H714" s="366">
        <v>39</v>
      </c>
      <c r="J714" s="367"/>
      <c r="K714" s="367">
        <v>0.68</v>
      </c>
      <c r="L714" s="367"/>
      <c r="M714" s="367"/>
      <c r="N714" s="367"/>
      <c r="O714" s="367"/>
      <c r="P714" s="367"/>
      <c r="Q714" s="367">
        <v>8.9</v>
      </c>
    </row>
    <row r="715" spans="1:17" ht="15" x14ac:dyDescent="0.25">
      <c r="A715" s="365" t="s">
        <v>877</v>
      </c>
      <c r="H715" s="366">
        <v>39</v>
      </c>
      <c r="J715" s="367"/>
      <c r="K715" s="367">
        <v>0.32</v>
      </c>
      <c r="L715" s="367"/>
      <c r="M715" s="367"/>
      <c r="N715" s="367"/>
      <c r="O715" s="367"/>
      <c r="P715" s="367"/>
      <c r="Q715" s="367">
        <v>2.6</v>
      </c>
    </row>
    <row r="716" spans="1:17" ht="15" x14ac:dyDescent="0.25">
      <c r="A716" s="365" t="s">
        <v>878</v>
      </c>
      <c r="H716" s="366">
        <v>39</v>
      </c>
      <c r="J716" s="367"/>
      <c r="K716" s="367"/>
      <c r="L716" s="367"/>
      <c r="M716" s="367"/>
      <c r="N716" s="367"/>
      <c r="O716" s="367"/>
      <c r="P716" s="367"/>
      <c r="Q716" s="367">
        <v>0.5</v>
      </c>
    </row>
    <row r="717" spans="1:17" ht="15" x14ac:dyDescent="0.25">
      <c r="A717" s="365" t="s">
        <v>879</v>
      </c>
      <c r="H717" s="366">
        <v>39</v>
      </c>
      <c r="J717" s="367"/>
      <c r="K717" s="367"/>
      <c r="L717" s="367"/>
      <c r="M717" s="367"/>
      <c r="N717" s="367"/>
      <c r="O717" s="367"/>
      <c r="P717" s="367"/>
      <c r="Q717" s="367">
        <v>6.1</v>
      </c>
    </row>
    <row r="718" spans="1:17" ht="15" x14ac:dyDescent="0.25">
      <c r="A718" s="365" t="s">
        <v>880</v>
      </c>
      <c r="H718" s="366">
        <v>40</v>
      </c>
      <c r="J718" s="367"/>
      <c r="K718" s="367"/>
      <c r="L718" s="367"/>
      <c r="M718" s="367"/>
      <c r="N718" s="367"/>
      <c r="O718" s="367"/>
      <c r="P718" s="367"/>
      <c r="Q718" s="367">
        <v>0.4</v>
      </c>
    </row>
    <row r="719" spans="1:17" ht="15" x14ac:dyDescent="0.25">
      <c r="A719" s="365" t="s">
        <v>881</v>
      </c>
      <c r="H719" s="366">
        <v>40</v>
      </c>
      <c r="J719" s="367"/>
      <c r="K719" s="367"/>
      <c r="L719" s="367"/>
      <c r="M719" s="367"/>
      <c r="N719" s="367"/>
      <c r="O719" s="367"/>
      <c r="P719" s="367"/>
      <c r="Q719" s="367">
        <v>0.6</v>
      </c>
    </row>
    <row r="720" spans="1:17" ht="15" x14ac:dyDescent="0.25">
      <c r="A720" s="365" t="s">
        <v>882</v>
      </c>
      <c r="H720" s="366">
        <v>40</v>
      </c>
      <c r="J720" s="367"/>
      <c r="K720" s="367"/>
      <c r="L720" s="367"/>
      <c r="M720" s="367"/>
      <c r="N720" s="367"/>
      <c r="O720" s="367"/>
      <c r="P720" s="367"/>
      <c r="Q720" s="367">
        <v>0.11</v>
      </c>
    </row>
    <row r="721" spans="1:17" ht="15" x14ac:dyDescent="0.25">
      <c r="A721" s="365" t="s">
        <v>883</v>
      </c>
      <c r="H721" s="366">
        <v>40</v>
      </c>
      <c r="J721" s="367"/>
      <c r="K721" s="367">
        <v>0.17</v>
      </c>
      <c r="L721" s="367"/>
      <c r="M721" s="367"/>
      <c r="N721" s="367"/>
      <c r="O721" s="367"/>
      <c r="P721" s="367"/>
      <c r="Q721" s="367">
        <v>2.4</v>
      </c>
    </row>
    <row r="722" spans="1:17" ht="15" x14ac:dyDescent="0.25">
      <c r="A722" s="365" t="s">
        <v>884</v>
      </c>
      <c r="H722" s="366">
        <v>40</v>
      </c>
      <c r="J722" s="367"/>
      <c r="K722" s="367"/>
      <c r="L722" s="367"/>
      <c r="M722" s="367"/>
      <c r="N722" s="367"/>
      <c r="O722" s="367"/>
      <c r="P722" s="367"/>
      <c r="Q722" s="367">
        <v>0.1</v>
      </c>
    </row>
    <row r="723" spans="1:17" ht="15" x14ac:dyDescent="0.25">
      <c r="A723" s="365" t="s">
        <v>885</v>
      </c>
      <c r="H723" s="366">
        <v>40</v>
      </c>
      <c r="J723" s="367"/>
      <c r="K723" s="367">
        <v>0.12</v>
      </c>
      <c r="L723" s="367"/>
      <c r="M723" s="367"/>
      <c r="N723" s="367"/>
      <c r="O723" s="367"/>
      <c r="P723" s="367"/>
      <c r="Q723" s="367">
        <v>3.6</v>
      </c>
    </row>
    <row r="724" spans="1:17" ht="15" x14ac:dyDescent="0.25">
      <c r="A724" s="365" t="s">
        <v>886</v>
      </c>
      <c r="H724" s="366">
        <v>40</v>
      </c>
      <c r="J724" s="367"/>
      <c r="K724" s="367">
        <v>0.11</v>
      </c>
      <c r="L724" s="367"/>
      <c r="M724" s="367"/>
      <c r="N724" s="367"/>
      <c r="O724" s="367"/>
      <c r="P724" s="367"/>
      <c r="Q724" s="367">
        <v>2.5</v>
      </c>
    </row>
    <row r="725" spans="1:17" ht="15" x14ac:dyDescent="0.25">
      <c r="A725" s="365" t="s">
        <v>887</v>
      </c>
      <c r="H725" s="366">
        <v>43</v>
      </c>
      <c r="J725" s="367"/>
      <c r="K725" s="367"/>
      <c r="L725" s="367"/>
      <c r="M725" s="367"/>
      <c r="N725" s="367"/>
      <c r="O725" s="367"/>
      <c r="P725" s="367"/>
      <c r="Q725" s="367">
        <v>0.2</v>
      </c>
    </row>
    <row r="726" spans="1:17" ht="15" x14ac:dyDescent="0.25">
      <c r="A726" s="365" t="s">
        <v>888</v>
      </c>
      <c r="H726" s="366">
        <v>43</v>
      </c>
      <c r="J726" s="367"/>
      <c r="K726" s="367">
        <v>0.3</v>
      </c>
      <c r="L726" s="367"/>
      <c r="M726" s="367"/>
      <c r="N726" s="367"/>
      <c r="O726" s="367"/>
      <c r="P726" s="367"/>
      <c r="Q726" s="367">
        <v>5</v>
      </c>
    </row>
    <row r="727" spans="1:17" ht="15" x14ac:dyDescent="0.25">
      <c r="A727" s="365" t="s">
        <v>889</v>
      </c>
      <c r="H727" s="366">
        <v>44</v>
      </c>
      <c r="J727" s="367"/>
      <c r="K727" s="367"/>
      <c r="L727" s="367"/>
      <c r="M727" s="367"/>
      <c r="N727" s="367"/>
      <c r="O727" s="367"/>
      <c r="P727" s="367"/>
      <c r="Q727" s="367">
        <v>0.3</v>
      </c>
    </row>
    <row r="728" spans="1:17" ht="15" x14ac:dyDescent="0.25">
      <c r="A728" s="365" t="s">
        <v>890</v>
      </c>
      <c r="H728" s="366">
        <v>44</v>
      </c>
      <c r="J728" s="367"/>
      <c r="K728" s="367">
        <v>0.28000000000000003</v>
      </c>
      <c r="L728" s="367"/>
      <c r="M728" s="367"/>
      <c r="N728" s="367"/>
      <c r="O728" s="367"/>
      <c r="P728" s="367"/>
      <c r="Q728" s="367">
        <v>5.9</v>
      </c>
    </row>
    <row r="729" spans="1:17" ht="15" x14ac:dyDescent="0.25">
      <c r="A729" s="365" t="s">
        <v>891</v>
      </c>
      <c r="H729" s="366">
        <v>44</v>
      </c>
      <c r="J729" s="367"/>
      <c r="K729" s="367"/>
      <c r="L729" s="367"/>
      <c r="M729" s="367"/>
      <c r="N729" s="367"/>
      <c r="O729" s="367"/>
      <c r="P729" s="367"/>
      <c r="Q729" s="367">
        <v>1.4</v>
      </c>
    </row>
    <row r="730" spans="1:17" ht="15" x14ac:dyDescent="0.25">
      <c r="A730" s="365" t="s">
        <v>892</v>
      </c>
      <c r="H730" s="366">
        <v>44</v>
      </c>
      <c r="J730" s="367"/>
      <c r="K730" s="367">
        <v>0.14000000000000001</v>
      </c>
      <c r="L730" s="367"/>
      <c r="M730" s="367"/>
      <c r="N730" s="367"/>
      <c r="O730" s="367"/>
      <c r="P730" s="367"/>
      <c r="Q730" s="367">
        <v>4.9000000000000004</v>
      </c>
    </row>
    <row r="731" spans="1:17" ht="15" x14ac:dyDescent="0.25">
      <c r="A731" s="365" t="s">
        <v>893</v>
      </c>
      <c r="H731" s="366">
        <v>44</v>
      </c>
      <c r="J731" s="367"/>
      <c r="K731" s="367"/>
      <c r="L731" s="367"/>
      <c r="M731" s="367"/>
      <c r="N731" s="367"/>
      <c r="O731" s="367"/>
      <c r="P731" s="367"/>
      <c r="Q731" s="367">
        <v>5.5</v>
      </c>
    </row>
    <row r="732" spans="1:17" ht="15" x14ac:dyDescent="0.25">
      <c r="A732" s="365" t="s">
        <v>894</v>
      </c>
      <c r="H732" s="366">
        <v>44</v>
      </c>
      <c r="J732" s="367"/>
      <c r="K732" s="367"/>
      <c r="L732" s="367"/>
      <c r="M732" s="367"/>
      <c r="N732" s="367"/>
      <c r="O732" s="367"/>
      <c r="P732" s="367"/>
      <c r="Q732" s="367">
        <v>0.3</v>
      </c>
    </row>
    <row r="733" spans="1:17" ht="15" x14ac:dyDescent="0.25">
      <c r="A733" s="365" t="s">
        <v>895</v>
      </c>
      <c r="H733" s="366">
        <v>44</v>
      </c>
      <c r="J733" s="367"/>
      <c r="K733" s="367"/>
      <c r="L733" s="367"/>
      <c r="M733" s="367"/>
      <c r="N733" s="367"/>
      <c r="O733" s="367"/>
      <c r="P733" s="367"/>
      <c r="Q733" s="367">
        <v>0.6</v>
      </c>
    </row>
    <row r="734" spans="1:17" ht="15" x14ac:dyDescent="0.25">
      <c r="A734" s="365" t="s">
        <v>896</v>
      </c>
      <c r="H734" s="366">
        <v>44</v>
      </c>
      <c r="J734" s="367"/>
      <c r="K734" s="367">
        <v>0.5</v>
      </c>
      <c r="L734" s="367"/>
      <c r="M734" s="367"/>
      <c r="N734" s="367"/>
      <c r="O734" s="367"/>
      <c r="P734" s="367"/>
      <c r="Q734" s="367">
        <v>7.8</v>
      </c>
    </row>
    <row r="735" spans="1:17" ht="15" x14ac:dyDescent="0.25">
      <c r="A735" s="365" t="s">
        <v>897</v>
      </c>
      <c r="H735" s="366">
        <v>44</v>
      </c>
      <c r="J735" s="367"/>
      <c r="K735" s="367">
        <v>0.25</v>
      </c>
      <c r="L735" s="367"/>
      <c r="M735" s="367"/>
      <c r="N735" s="367"/>
      <c r="O735" s="367"/>
      <c r="P735" s="367"/>
      <c r="Q735" s="367">
        <v>3.4</v>
      </c>
    </row>
    <row r="736" spans="1:17" ht="15" x14ac:dyDescent="0.25">
      <c r="A736" s="365" t="s">
        <v>898</v>
      </c>
      <c r="H736" s="366">
        <v>44</v>
      </c>
      <c r="J736" s="367"/>
      <c r="K736" s="367">
        <v>0.13</v>
      </c>
      <c r="L736" s="367"/>
      <c r="M736" s="367"/>
      <c r="N736" s="367"/>
      <c r="O736" s="367"/>
      <c r="P736" s="367"/>
      <c r="Q736" s="367">
        <v>5.7</v>
      </c>
    </row>
    <row r="737" spans="1:17" ht="15" x14ac:dyDescent="0.25">
      <c r="A737" s="365" t="s">
        <v>899</v>
      </c>
      <c r="H737" s="366">
        <v>45</v>
      </c>
      <c r="J737" s="367"/>
      <c r="K737" s="367"/>
      <c r="L737" s="367"/>
      <c r="M737" s="367"/>
      <c r="N737" s="367"/>
      <c r="O737" s="367"/>
      <c r="P737" s="367"/>
      <c r="Q737" s="367">
        <v>4.2</v>
      </c>
    </row>
    <row r="738" spans="1:17" ht="15" x14ac:dyDescent="0.25">
      <c r="A738" s="365" t="s">
        <v>900</v>
      </c>
      <c r="H738" s="366">
        <v>45</v>
      </c>
      <c r="J738" s="367"/>
      <c r="K738" s="367">
        <v>0.03</v>
      </c>
      <c r="L738" s="367"/>
      <c r="M738" s="367"/>
      <c r="N738" s="367"/>
      <c r="O738" s="367"/>
      <c r="P738" s="367"/>
      <c r="Q738" s="367">
        <v>0.6</v>
      </c>
    </row>
    <row r="739" spans="1:17" ht="15" x14ac:dyDescent="0.25">
      <c r="A739" s="365" t="s">
        <v>901</v>
      </c>
      <c r="H739" s="366">
        <v>45</v>
      </c>
      <c r="J739" s="367"/>
      <c r="K739" s="367"/>
      <c r="L739" s="367"/>
      <c r="M739" s="367"/>
      <c r="N739" s="367"/>
      <c r="O739" s="367"/>
      <c r="P739" s="367"/>
      <c r="Q739" s="367">
        <v>0.8</v>
      </c>
    </row>
    <row r="740" spans="1:17" ht="15" x14ac:dyDescent="0.25">
      <c r="A740" s="365" t="s">
        <v>902</v>
      </c>
      <c r="H740" s="366">
        <v>45</v>
      </c>
      <c r="J740" s="367"/>
      <c r="K740" s="367">
        <v>0.21</v>
      </c>
      <c r="L740" s="367"/>
      <c r="M740" s="367"/>
      <c r="N740" s="367"/>
      <c r="O740" s="367"/>
      <c r="P740" s="367"/>
      <c r="Q740" s="367">
        <v>3.6</v>
      </c>
    </row>
    <row r="741" spans="1:17" ht="15" x14ac:dyDescent="0.25">
      <c r="A741" s="365" t="s">
        <v>903</v>
      </c>
      <c r="H741" s="366">
        <v>46</v>
      </c>
      <c r="J741" s="367"/>
      <c r="K741" s="367">
        <v>0.06</v>
      </c>
      <c r="L741" s="367"/>
      <c r="M741" s="367"/>
      <c r="N741" s="367"/>
      <c r="O741" s="367"/>
      <c r="P741" s="367"/>
      <c r="Q741" s="367">
        <v>1</v>
      </c>
    </row>
    <row r="742" spans="1:17" ht="15" x14ac:dyDescent="0.25">
      <c r="A742" s="365" t="s">
        <v>904</v>
      </c>
      <c r="H742" s="366">
        <v>46</v>
      </c>
      <c r="J742" s="367"/>
      <c r="K742" s="367">
        <v>0.06</v>
      </c>
      <c r="L742" s="367"/>
      <c r="M742" s="367"/>
      <c r="N742" s="367"/>
      <c r="O742" s="367"/>
      <c r="P742" s="367"/>
      <c r="Q742" s="367">
        <v>1.1000000000000001</v>
      </c>
    </row>
    <row r="743" spans="1:17" ht="15" x14ac:dyDescent="0.25">
      <c r="A743" s="365" t="s">
        <v>905</v>
      </c>
      <c r="H743" s="366">
        <v>46</v>
      </c>
      <c r="J743" s="367"/>
      <c r="K743" s="367"/>
      <c r="L743" s="367"/>
      <c r="M743" s="367"/>
      <c r="N743" s="367"/>
      <c r="O743" s="367"/>
      <c r="P743" s="367"/>
      <c r="Q743" s="367">
        <v>10</v>
      </c>
    </row>
    <row r="744" spans="1:17" ht="15" x14ac:dyDescent="0.25">
      <c r="A744" s="365" t="s">
        <v>906</v>
      </c>
      <c r="H744" s="366">
        <v>47</v>
      </c>
      <c r="J744" s="367"/>
      <c r="K744" s="367"/>
      <c r="L744" s="367"/>
      <c r="M744" s="367"/>
      <c r="N744" s="367"/>
      <c r="O744" s="367"/>
      <c r="P744" s="367"/>
      <c r="Q744" s="367">
        <v>0.2</v>
      </c>
    </row>
    <row r="745" spans="1:17" ht="15" x14ac:dyDescent="0.25">
      <c r="A745" s="365" t="s">
        <v>907</v>
      </c>
      <c r="H745" s="366">
        <v>47</v>
      </c>
      <c r="J745" s="367"/>
      <c r="K745" s="367"/>
      <c r="L745" s="367"/>
      <c r="M745" s="367"/>
      <c r="N745" s="367"/>
      <c r="O745" s="367"/>
      <c r="P745" s="367"/>
      <c r="Q745" s="367">
        <v>4</v>
      </c>
    </row>
    <row r="746" spans="1:17" ht="15" x14ac:dyDescent="0.25">
      <c r="A746" s="365" t="s">
        <v>907</v>
      </c>
      <c r="H746" s="366">
        <v>47</v>
      </c>
      <c r="J746" s="367"/>
      <c r="K746" s="367"/>
      <c r="L746" s="367"/>
      <c r="M746" s="367"/>
      <c r="N746" s="367"/>
      <c r="O746" s="367"/>
      <c r="P746" s="367"/>
      <c r="Q746" s="367">
        <v>4</v>
      </c>
    </row>
    <row r="747" spans="1:17" ht="15" x14ac:dyDescent="0.25">
      <c r="A747" s="365" t="s">
        <v>908</v>
      </c>
      <c r="H747" s="366">
        <v>47</v>
      </c>
      <c r="J747" s="367"/>
      <c r="K747" s="367"/>
      <c r="L747" s="367"/>
      <c r="M747" s="367"/>
      <c r="N747" s="367"/>
      <c r="O747" s="367"/>
      <c r="P747" s="367"/>
      <c r="Q747" s="367">
        <v>1.3</v>
      </c>
    </row>
    <row r="748" spans="1:17" ht="15" x14ac:dyDescent="0.25">
      <c r="A748" s="365" t="s">
        <v>909</v>
      </c>
      <c r="H748" s="366">
        <v>47.2</v>
      </c>
      <c r="J748" s="367"/>
      <c r="K748" s="367"/>
      <c r="L748" s="367"/>
      <c r="M748" s="367"/>
      <c r="N748" s="367"/>
      <c r="O748" s="367"/>
      <c r="P748" s="367"/>
      <c r="Q748" s="367">
        <v>5</v>
      </c>
    </row>
    <row r="749" spans="1:17" ht="15" x14ac:dyDescent="0.25">
      <c r="A749" s="365" t="s">
        <v>910</v>
      </c>
      <c r="H749" s="366">
        <v>48</v>
      </c>
      <c r="J749" s="367"/>
      <c r="K749" s="367">
        <v>0.15</v>
      </c>
      <c r="L749" s="367"/>
      <c r="M749" s="367"/>
      <c r="N749" s="367"/>
      <c r="O749" s="367"/>
      <c r="P749" s="367"/>
      <c r="Q749" s="367">
        <v>13</v>
      </c>
    </row>
    <row r="750" spans="1:17" ht="15" x14ac:dyDescent="0.25">
      <c r="A750" s="365" t="s">
        <v>911</v>
      </c>
      <c r="H750" s="366">
        <v>48</v>
      </c>
      <c r="J750" s="367"/>
      <c r="K750" s="367">
        <v>0.16</v>
      </c>
      <c r="L750" s="367"/>
      <c r="M750" s="367"/>
      <c r="N750" s="367"/>
      <c r="O750" s="367"/>
      <c r="P750" s="367"/>
      <c r="Q750" s="367">
        <v>9.4</v>
      </c>
    </row>
    <row r="751" spans="1:17" ht="15" x14ac:dyDescent="0.25">
      <c r="A751" s="365" t="s">
        <v>912</v>
      </c>
      <c r="H751" s="366">
        <v>49</v>
      </c>
      <c r="J751" s="367"/>
      <c r="K751" s="367"/>
      <c r="L751" s="367"/>
      <c r="M751" s="367"/>
      <c r="N751" s="367"/>
      <c r="O751" s="367"/>
      <c r="P751" s="367"/>
      <c r="Q751" s="367">
        <v>0.2</v>
      </c>
    </row>
    <row r="752" spans="1:17" ht="15" x14ac:dyDescent="0.25">
      <c r="A752" s="365" t="s">
        <v>913</v>
      </c>
      <c r="H752" s="366">
        <v>49</v>
      </c>
      <c r="J752" s="367"/>
      <c r="K752" s="367">
        <v>0.05</v>
      </c>
      <c r="L752" s="367"/>
      <c r="M752" s="367"/>
      <c r="N752" s="367"/>
      <c r="O752" s="367"/>
      <c r="P752" s="367"/>
      <c r="Q752" s="367">
        <v>1.4</v>
      </c>
    </row>
    <row r="753" spans="1:17" ht="15" x14ac:dyDescent="0.25">
      <c r="A753" s="365" t="s">
        <v>914</v>
      </c>
      <c r="H753" s="366">
        <v>49</v>
      </c>
      <c r="J753" s="367"/>
      <c r="K753" s="367"/>
      <c r="L753" s="367"/>
      <c r="M753" s="367"/>
      <c r="N753" s="367"/>
      <c r="O753" s="367"/>
      <c r="P753" s="367"/>
      <c r="Q753" s="367">
        <v>0.3</v>
      </c>
    </row>
    <row r="754" spans="1:17" ht="15" x14ac:dyDescent="0.25">
      <c r="A754" s="365" t="s">
        <v>915</v>
      </c>
      <c r="H754" s="366">
        <v>50</v>
      </c>
      <c r="J754" s="367"/>
      <c r="K754" s="367"/>
      <c r="L754" s="367"/>
      <c r="M754" s="367"/>
      <c r="N754" s="367"/>
      <c r="O754" s="367"/>
      <c r="P754" s="367"/>
      <c r="Q754" s="367">
        <v>2</v>
      </c>
    </row>
    <row r="755" spans="1:17" ht="15" x14ac:dyDescent="0.25">
      <c r="A755" s="365" t="s">
        <v>916</v>
      </c>
      <c r="H755" s="366">
        <v>51</v>
      </c>
      <c r="J755" s="367"/>
      <c r="K755" s="367">
        <v>0.1</v>
      </c>
      <c r="L755" s="367"/>
      <c r="M755" s="367"/>
      <c r="N755" s="367"/>
      <c r="O755" s="367"/>
      <c r="P755" s="367"/>
      <c r="Q755" s="367">
        <v>25.7</v>
      </c>
    </row>
    <row r="756" spans="1:17" ht="15" x14ac:dyDescent="0.25">
      <c r="A756" s="365" t="s">
        <v>917</v>
      </c>
      <c r="H756" s="366">
        <v>51</v>
      </c>
      <c r="J756" s="367"/>
      <c r="K756" s="367">
        <v>0.35</v>
      </c>
      <c r="L756" s="367"/>
      <c r="M756" s="367"/>
      <c r="N756" s="367"/>
      <c r="O756" s="367"/>
      <c r="P756" s="367"/>
      <c r="Q756" s="367">
        <v>7.4</v>
      </c>
    </row>
    <row r="757" spans="1:17" ht="15" x14ac:dyDescent="0.25">
      <c r="A757" s="365" t="s">
        <v>918</v>
      </c>
      <c r="H757" s="366">
        <v>51</v>
      </c>
      <c r="J757" s="367"/>
      <c r="K757" s="367"/>
      <c r="L757" s="367"/>
      <c r="M757" s="367"/>
      <c r="N757" s="367"/>
      <c r="O757" s="367"/>
      <c r="P757" s="367"/>
      <c r="Q757" s="367">
        <v>0.5</v>
      </c>
    </row>
    <row r="758" spans="1:17" ht="15" x14ac:dyDescent="0.25">
      <c r="A758" s="365" t="s">
        <v>919</v>
      </c>
      <c r="H758" s="366">
        <v>52</v>
      </c>
      <c r="J758" s="367"/>
      <c r="K758" s="367">
        <v>0.42</v>
      </c>
      <c r="L758" s="367"/>
      <c r="M758" s="367"/>
      <c r="N758" s="367"/>
      <c r="O758" s="367"/>
      <c r="P758" s="367"/>
      <c r="Q758" s="367">
        <v>6.8</v>
      </c>
    </row>
    <row r="759" spans="1:17" ht="15" x14ac:dyDescent="0.25">
      <c r="A759" s="365" t="s">
        <v>920</v>
      </c>
      <c r="H759" s="366">
        <v>53</v>
      </c>
      <c r="J759" s="367"/>
      <c r="K759" s="367"/>
      <c r="L759" s="367"/>
      <c r="M759" s="367"/>
      <c r="N759" s="367"/>
      <c r="O759" s="367"/>
      <c r="P759" s="367"/>
      <c r="Q759" s="367">
        <v>5.9</v>
      </c>
    </row>
    <row r="760" spans="1:17" ht="15" x14ac:dyDescent="0.25">
      <c r="A760" s="365" t="s">
        <v>921</v>
      </c>
      <c r="H760" s="366">
        <v>53</v>
      </c>
      <c r="J760" s="367"/>
      <c r="K760" s="367"/>
      <c r="L760" s="367"/>
      <c r="M760" s="367"/>
      <c r="N760" s="367"/>
      <c r="O760" s="367"/>
      <c r="P760" s="367"/>
      <c r="Q760" s="367">
        <v>0.5</v>
      </c>
    </row>
    <row r="761" spans="1:17" ht="15" x14ac:dyDescent="0.25">
      <c r="A761" s="365" t="s">
        <v>922</v>
      </c>
      <c r="H761" s="366">
        <v>53</v>
      </c>
      <c r="J761" s="367"/>
      <c r="K761" s="367">
        <v>0.5</v>
      </c>
      <c r="L761" s="367"/>
      <c r="M761" s="367"/>
      <c r="N761" s="367"/>
      <c r="O761" s="367"/>
      <c r="P761" s="367"/>
      <c r="Q761" s="367">
        <v>2.2000000000000002</v>
      </c>
    </row>
    <row r="762" spans="1:17" ht="15" x14ac:dyDescent="0.25">
      <c r="A762" s="365" t="s">
        <v>923</v>
      </c>
      <c r="H762" s="366">
        <v>54</v>
      </c>
      <c r="J762" s="367"/>
      <c r="K762" s="367">
        <v>0.23</v>
      </c>
      <c r="L762" s="367"/>
      <c r="M762" s="367"/>
      <c r="N762" s="367"/>
      <c r="O762" s="367"/>
      <c r="P762" s="367"/>
      <c r="Q762" s="367">
        <v>2</v>
      </c>
    </row>
    <row r="763" spans="1:17" ht="15" x14ac:dyDescent="0.25">
      <c r="A763" s="365" t="s">
        <v>924</v>
      </c>
      <c r="H763" s="366">
        <v>55</v>
      </c>
      <c r="J763" s="367"/>
      <c r="K763" s="367">
        <v>0.63</v>
      </c>
      <c r="L763" s="367"/>
      <c r="M763" s="367"/>
      <c r="N763" s="367"/>
      <c r="O763" s="367"/>
      <c r="P763" s="367"/>
      <c r="Q763" s="367">
        <v>9.6999999999999993</v>
      </c>
    </row>
    <row r="764" spans="1:17" ht="15" x14ac:dyDescent="0.25">
      <c r="A764" s="365" t="s">
        <v>925</v>
      </c>
      <c r="H764" s="366">
        <v>55</v>
      </c>
      <c r="J764" s="367"/>
      <c r="K764" s="367"/>
      <c r="L764" s="367"/>
      <c r="M764" s="367"/>
      <c r="N764" s="367"/>
      <c r="O764" s="367"/>
      <c r="P764" s="367"/>
      <c r="Q764" s="367">
        <v>0.4</v>
      </c>
    </row>
    <row r="765" spans="1:17" ht="15" x14ac:dyDescent="0.25">
      <c r="A765" s="365" t="s">
        <v>926</v>
      </c>
      <c r="H765" s="366">
        <v>55</v>
      </c>
      <c r="J765" s="367"/>
      <c r="K765" s="367"/>
      <c r="L765" s="367"/>
      <c r="M765" s="367"/>
      <c r="N765" s="367"/>
      <c r="O765" s="367"/>
      <c r="P765" s="367"/>
      <c r="Q765" s="367">
        <v>0.4</v>
      </c>
    </row>
    <row r="766" spans="1:17" ht="15" x14ac:dyDescent="0.25">
      <c r="A766" s="365" t="s">
        <v>927</v>
      </c>
      <c r="H766" s="366">
        <v>56</v>
      </c>
      <c r="J766" s="367"/>
      <c r="K766" s="367"/>
      <c r="L766" s="367"/>
      <c r="M766" s="367"/>
      <c r="N766" s="367"/>
      <c r="O766" s="367"/>
      <c r="P766" s="367"/>
      <c r="Q766" s="367">
        <v>2.4</v>
      </c>
    </row>
    <row r="767" spans="1:17" ht="15" x14ac:dyDescent="0.25">
      <c r="A767" s="365" t="s">
        <v>928</v>
      </c>
      <c r="H767" s="366">
        <v>56</v>
      </c>
      <c r="J767" s="367"/>
      <c r="K767" s="367"/>
      <c r="L767" s="367"/>
      <c r="M767" s="367"/>
      <c r="N767" s="367"/>
      <c r="O767" s="367"/>
      <c r="P767" s="367"/>
      <c r="Q767" s="367">
        <v>0.5</v>
      </c>
    </row>
    <row r="768" spans="1:17" ht="15" x14ac:dyDescent="0.25">
      <c r="A768" s="365" t="s">
        <v>929</v>
      </c>
      <c r="H768" s="366">
        <v>56</v>
      </c>
      <c r="J768" s="367"/>
      <c r="K768" s="367">
        <v>0.56000000000000005</v>
      </c>
      <c r="L768" s="367"/>
      <c r="M768" s="367"/>
      <c r="N768" s="367"/>
      <c r="O768" s="367"/>
      <c r="P768" s="367"/>
      <c r="Q768" s="367">
        <v>3.7</v>
      </c>
    </row>
    <row r="769" spans="1:17" ht="15" x14ac:dyDescent="0.25">
      <c r="A769" s="365" t="s">
        <v>930</v>
      </c>
      <c r="H769" s="366">
        <v>57.2</v>
      </c>
      <c r="J769" s="367"/>
      <c r="K769" s="367">
        <v>2.1</v>
      </c>
      <c r="L769" s="367"/>
      <c r="M769" s="367"/>
      <c r="N769" s="367"/>
      <c r="O769" s="367"/>
      <c r="P769" s="367"/>
      <c r="Q769" s="367">
        <v>19.399999999999999</v>
      </c>
    </row>
    <row r="770" spans="1:17" ht="15" x14ac:dyDescent="0.25">
      <c r="A770" s="365" t="s">
        <v>931</v>
      </c>
      <c r="H770" s="366">
        <v>58</v>
      </c>
      <c r="J770" s="367"/>
      <c r="K770" s="367">
        <v>0.36</v>
      </c>
      <c r="L770" s="367"/>
      <c r="M770" s="367"/>
      <c r="N770" s="367"/>
      <c r="O770" s="367"/>
      <c r="P770" s="367"/>
      <c r="Q770" s="367">
        <v>6.6</v>
      </c>
    </row>
    <row r="771" spans="1:17" ht="15" x14ac:dyDescent="0.25">
      <c r="A771" s="365" t="s">
        <v>932</v>
      </c>
      <c r="H771" s="366">
        <v>58</v>
      </c>
      <c r="J771" s="367"/>
      <c r="K771" s="367"/>
      <c r="L771" s="367"/>
      <c r="M771" s="367"/>
      <c r="N771" s="367"/>
      <c r="O771" s="367"/>
      <c r="P771" s="367"/>
      <c r="Q771" s="367">
        <v>40</v>
      </c>
    </row>
    <row r="772" spans="1:17" ht="15" x14ac:dyDescent="0.25">
      <c r="A772" s="365" t="s">
        <v>933</v>
      </c>
      <c r="H772" s="366">
        <v>59</v>
      </c>
      <c r="J772" s="367"/>
      <c r="K772" s="367"/>
      <c r="L772" s="367"/>
      <c r="M772" s="367"/>
      <c r="N772" s="367"/>
      <c r="O772" s="367"/>
      <c r="P772" s="367"/>
      <c r="Q772" s="367">
        <v>0.1</v>
      </c>
    </row>
    <row r="773" spans="1:17" ht="15" x14ac:dyDescent="0.25">
      <c r="A773" s="365" t="s">
        <v>934</v>
      </c>
      <c r="H773" s="366">
        <v>60</v>
      </c>
      <c r="J773" s="367"/>
      <c r="K773" s="367"/>
      <c r="L773" s="367"/>
      <c r="M773" s="367"/>
      <c r="N773" s="367"/>
      <c r="O773" s="367"/>
      <c r="P773" s="367"/>
      <c r="Q773" s="367">
        <v>6.6</v>
      </c>
    </row>
    <row r="774" spans="1:17" ht="15" x14ac:dyDescent="0.25">
      <c r="A774" s="365" t="s">
        <v>935</v>
      </c>
      <c r="H774" s="366">
        <v>61</v>
      </c>
      <c r="J774" s="367"/>
      <c r="K774" s="367"/>
      <c r="L774" s="367"/>
      <c r="M774" s="367"/>
      <c r="N774" s="367"/>
      <c r="O774" s="367"/>
      <c r="P774" s="367"/>
      <c r="Q774" s="367">
        <v>1.9</v>
      </c>
    </row>
    <row r="775" spans="1:17" ht="15" x14ac:dyDescent="0.25">
      <c r="A775" s="365" t="s">
        <v>936</v>
      </c>
      <c r="H775" s="366">
        <v>61.9</v>
      </c>
      <c r="J775" s="367"/>
      <c r="K775" s="367">
        <v>14</v>
      </c>
      <c r="L775" s="367"/>
      <c r="M775" s="367"/>
      <c r="N775" s="367"/>
      <c r="O775" s="367"/>
      <c r="P775" s="367"/>
      <c r="Q775" s="367">
        <v>300</v>
      </c>
    </row>
    <row r="776" spans="1:17" ht="15" x14ac:dyDescent="0.25">
      <c r="A776" s="365" t="s">
        <v>937</v>
      </c>
      <c r="H776" s="366">
        <v>63</v>
      </c>
      <c r="J776" s="367"/>
      <c r="K776" s="367"/>
      <c r="L776" s="367"/>
      <c r="M776" s="367"/>
      <c r="N776" s="367"/>
      <c r="O776" s="367"/>
      <c r="P776" s="367"/>
      <c r="Q776" s="367">
        <v>1.3</v>
      </c>
    </row>
    <row r="777" spans="1:17" ht="15" x14ac:dyDescent="0.25">
      <c r="A777" s="365" t="s">
        <v>938</v>
      </c>
      <c r="H777" s="366">
        <v>65.7</v>
      </c>
      <c r="J777" s="367"/>
      <c r="K777" s="367">
        <v>1.0900000000000001</v>
      </c>
      <c r="L777" s="367"/>
      <c r="M777" s="367"/>
      <c r="N777" s="367"/>
      <c r="O777" s="367"/>
      <c r="P777" s="367"/>
      <c r="Q777" s="367">
        <v>29.8</v>
      </c>
    </row>
    <row r="778" spans="1:17" ht="15" x14ac:dyDescent="0.25">
      <c r="A778" s="365" t="s">
        <v>939</v>
      </c>
      <c r="H778" s="366">
        <v>66</v>
      </c>
      <c r="J778" s="367"/>
      <c r="K778" s="367">
        <v>0.27</v>
      </c>
      <c r="L778" s="367"/>
      <c r="M778" s="367"/>
      <c r="N778" s="367"/>
      <c r="O778" s="367"/>
      <c r="P778" s="367"/>
      <c r="Q778" s="367">
        <v>7.4</v>
      </c>
    </row>
    <row r="779" spans="1:17" ht="15" x14ac:dyDescent="0.25">
      <c r="A779" s="365" t="s">
        <v>940</v>
      </c>
      <c r="H779" s="366">
        <v>73</v>
      </c>
      <c r="J779" s="367"/>
      <c r="K779" s="367">
        <v>0.4</v>
      </c>
      <c r="L779" s="367"/>
      <c r="M779" s="367"/>
      <c r="N779" s="367"/>
      <c r="O779" s="367"/>
      <c r="P779" s="367"/>
      <c r="Q779" s="367">
        <v>7.8</v>
      </c>
    </row>
    <row r="780" spans="1:17" ht="15" x14ac:dyDescent="0.25">
      <c r="A780" s="365" t="s">
        <v>941</v>
      </c>
      <c r="H780" s="366">
        <v>73</v>
      </c>
      <c r="J780" s="367"/>
      <c r="K780" s="367"/>
      <c r="L780" s="367"/>
      <c r="M780" s="367"/>
      <c r="N780" s="367"/>
      <c r="O780" s="367"/>
      <c r="P780" s="367"/>
      <c r="Q780" s="367">
        <v>0.1</v>
      </c>
    </row>
    <row r="781" spans="1:17" ht="15" x14ac:dyDescent="0.25">
      <c r="A781" s="365" t="s">
        <v>942</v>
      </c>
      <c r="H781" s="366">
        <v>77</v>
      </c>
      <c r="J781" s="367"/>
      <c r="K781" s="367"/>
      <c r="L781" s="367"/>
      <c r="M781" s="367"/>
      <c r="N781" s="367"/>
      <c r="O781" s="367"/>
      <c r="P781" s="367"/>
      <c r="Q781" s="367">
        <v>0.9</v>
      </c>
    </row>
    <row r="782" spans="1:17" ht="15" x14ac:dyDescent="0.25">
      <c r="A782" s="365" t="s">
        <v>943</v>
      </c>
      <c r="H782" s="366">
        <v>81</v>
      </c>
      <c r="J782" s="367"/>
      <c r="K782" s="367">
        <v>0.18</v>
      </c>
      <c r="L782" s="367"/>
      <c r="M782" s="367"/>
      <c r="N782" s="367"/>
      <c r="O782" s="367"/>
      <c r="P782" s="367"/>
      <c r="Q782" s="367">
        <v>1.9</v>
      </c>
    </row>
    <row r="783" spans="1:17" ht="15" x14ac:dyDescent="0.25">
      <c r="A783" s="365" t="s">
        <v>944</v>
      </c>
      <c r="H783" s="366">
        <v>81</v>
      </c>
      <c r="J783" s="367"/>
      <c r="K783" s="367"/>
      <c r="L783" s="367"/>
      <c r="M783" s="367"/>
      <c r="N783" s="367"/>
      <c r="O783" s="367"/>
      <c r="P783" s="367"/>
      <c r="Q783" s="367">
        <v>1.1000000000000001</v>
      </c>
    </row>
    <row r="784" spans="1:17" ht="15" x14ac:dyDescent="0.25">
      <c r="A784" s="365" t="s">
        <v>945</v>
      </c>
      <c r="H784" s="366">
        <v>82</v>
      </c>
      <c r="J784" s="367"/>
      <c r="K784" s="367"/>
      <c r="L784" s="367"/>
      <c r="M784" s="367"/>
      <c r="N784" s="367"/>
      <c r="O784" s="367"/>
      <c r="P784" s="367"/>
      <c r="Q784" s="367">
        <v>4.4000000000000004</v>
      </c>
    </row>
    <row r="785" spans="1:17" ht="15" x14ac:dyDescent="0.25">
      <c r="A785" s="365" t="s">
        <v>946</v>
      </c>
      <c r="H785" s="366">
        <v>83</v>
      </c>
      <c r="J785" s="367"/>
      <c r="K785" s="367"/>
      <c r="L785" s="367"/>
      <c r="M785" s="367"/>
      <c r="N785" s="367"/>
      <c r="O785" s="367"/>
      <c r="P785" s="367"/>
      <c r="Q785" s="367">
        <v>4</v>
      </c>
    </row>
    <row r="786" spans="1:17" ht="15" x14ac:dyDescent="0.25">
      <c r="A786" s="365" t="s">
        <v>947</v>
      </c>
      <c r="H786" s="366">
        <v>84</v>
      </c>
      <c r="J786" s="367"/>
      <c r="K786" s="367">
        <v>0.15</v>
      </c>
      <c r="L786" s="367"/>
      <c r="M786" s="367"/>
      <c r="N786" s="367"/>
      <c r="O786" s="367"/>
      <c r="P786" s="367"/>
      <c r="Q786" s="367">
        <v>1.7</v>
      </c>
    </row>
    <row r="787" spans="1:17" ht="15" x14ac:dyDescent="0.25">
      <c r="A787" s="365" t="s">
        <v>948</v>
      </c>
      <c r="H787" s="366">
        <v>84</v>
      </c>
      <c r="J787" s="367"/>
      <c r="K787" s="367">
        <v>0.23</v>
      </c>
      <c r="L787" s="367"/>
      <c r="M787" s="367"/>
      <c r="N787" s="367"/>
      <c r="O787" s="367"/>
      <c r="P787" s="367"/>
      <c r="Q787" s="367">
        <v>2.5</v>
      </c>
    </row>
    <row r="788" spans="1:17" ht="15" x14ac:dyDescent="0.25">
      <c r="A788" s="365" t="s">
        <v>949</v>
      </c>
      <c r="H788" s="366">
        <v>86</v>
      </c>
      <c r="J788" s="367"/>
      <c r="K788" s="367">
        <v>0.09</v>
      </c>
      <c r="L788" s="367"/>
      <c r="M788" s="367"/>
      <c r="N788" s="367"/>
      <c r="O788" s="367"/>
      <c r="P788" s="367"/>
      <c r="Q788" s="367">
        <v>6</v>
      </c>
    </row>
    <row r="789" spans="1:17" ht="15" x14ac:dyDescent="0.25">
      <c r="A789" s="365" t="s">
        <v>950</v>
      </c>
      <c r="H789" s="366">
        <v>86.1</v>
      </c>
      <c r="J789" s="367"/>
      <c r="K789" s="367"/>
      <c r="L789" s="367"/>
      <c r="M789" s="367"/>
      <c r="N789" s="367"/>
      <c r="O789" s="367"/>
      <c r="P789" s="367"/>
      <c r="Q789" s="367">
        <v>12.2</v>
      </c>
    </row>
    <row r="790" spans="1:17" ht="15" x14ac:dyDescent="0.25">
      <c r="A790" s="365" t="s">
        <v>951</v>
      </c>
      <c r="H790" s="366">
        <v>88</v>
      </c>
      <c r="J790" s="367"/>
      <c r="K790" s="367">
        <v>4</v>
      </c>
      <c r="L790" s="367"/>
      <c r="M790" s="367"/>
      <c r="N790" s="367"/>
      <c r="O790" s="367"/>
      <c r="P790" s="367"/>
      <c r="Q790" s="367">
        <v>4.7</v>
      </c>
    </row>
    <row r="791" spans="1:17" ht="15" x14ac:dyDescent="0.25">
      <c r="A791" s="365" t="s">
        <v>952</v>
      </c>
      <c r="H791" s="366">
        <v>94</v>
      </c>
      <c r="J791" s="367"/>
      <c r="K791" s="367">
        <v>0.65</v>
      </c>
      <c r="L791" s="367"/>
      <c r="M791" s="367"/>
      <c r="N791" s="367"/>
      <c r="O791" s="367"/>
      <c r="P791" s="367"/>
      <c r="Q791" s="367">
        <v>8.8000000000000007</v>
      </c>
    </row>
    <row r="792" spans="1:17" ht="15" x14ac:dyDescent="0.25">
      <c r="A792" s="365" t="s">
        <v>953</v>
      </c>
      <c r="H792" s="366">
        <v>100</v>
      </c>
      <c r="J792" s="367"/>
      <c r="K792" s="367">
        <v>2.2599999999999998</v>
      </c>
      <c r="L792" s="367"/>
      <c r="M792" s="367"/>
      <c r="N792" s="367"/>
      <c r="O792" s="367"/>
      <c r="P792" s="367"/>
      <c r="Q792" s="367">
        <v>11</v>
      </c>
    </row>
    <row r="793" spans="1:17" ht="15" x14ac:dyDescent="0.25">
      <c r="A793" s="365" t="s">
        <v>954</v>
      </c>
      <c r="H793" s="366">
        <v>105</v>
      </c>
      <c r="J793" s="367"/>
      <c r="K793" s="367">
        <v>40</v>
      </c>
      <c r="L793" s="367"/>
      <c r="M793" s="367"/>
      <c r="N793" s="367"/>
      <c r="O793" s="367"/>
      <c r="P793" s="367"/>
      <c r="Q793" s="367">
        <v>100</v>
      </c>
    </row>
    <row r="794" spans="1:17" ht="15" x14ac:dyDescent="0.25">
      <c r="A794" s="365" t="s">
        <v>955</v>
      </c>
      <c r="H794" s="366">
        <v>107</v>
      </c>
      <c r="J794" s="367"/>
      <c r="K794" s="367">
        <v>0.3</v>
      </c>
      <c r="L794" s="367"/>
      <c r="M794" s="367"/>
      <c r="N794" s="367"/>
      <c r="O794" s="367"/>
      <c r="P794" s="367"/>
      <c r="Q794" s="367">
        <v>4.0999999999999996</v>
      </c>
    </row>
    <row r="795" spans="1:17" ht="15" x14ac:dyDescent="0.25">
      <c r="A795" s="365" t="s">
        <v>956</v>
      </c>
      <c r="H795" s="366">
        <v>159</v>
      </c>
      <c r="J795" s="367"/>
      <c r="K795" s="367">
        <v>3.2</v>
      </c>
      <c r="L795" s="367"/>
      <c r="M795" s="367"/>
      <c r="N795" s="367"/>
      <c r="O795" s="367"/>
      <c r="P795" s="367"/>
      <c r="Q795" s="367"/>
    </row>
    <row r="796" spans="1:17" ht="15" x14ac:dyDescent="0.25">
      <c r="A796" s="365" t="s">
        <v>957</v>
      </c>
      <c r="H796" s="366">
        <v>160</v>
      </c>
      <c r="J796" s="367"/>
      <c r="K796" s="367"/>
      <c r="L796" s="367"/>
      <c r="M796" s="367"/>
      <c r="N796" s="367"/>
      <c r="O796" s="367"/>
      <c r="P796" s="367"/>
      <c r="Q796" s="367">
        <v>6.3</v>
      </c>
    </row>
    <row r="797" spans="1:17" ht="15" x14ac:dyDescent="0.25">
      <c r="A797" s="365" t="s">
        <v>958</v>
      </c>
      <c r="H797" s="366">
        <v>166</v>
      </c>
      <c r="J797" s="367"/>
      <c r="K797" s="367">
        <v>6.4</v>
      </c>
      <c r="L797" s="367"/>
      <c r="M797" s="367"/>
      <c r="N797" s="367"/>
      <c r="O797" s="367"/>
      <c r="P797" s="367"/>
      <c r="Q797" s="367">
        <v>828</v>
      </c>
    </row>
    <row r="798" spans="1:17" ht="15" x14ac:dyDescent="0.25">
      <c r="A798" s="365" t="s">
        <v>959</v>
      </c>
      <c r="H798" s="366">
        <v>168</v>
      </c>
      <c r="J798" s="367"/>
      <c r="K798" s="367">
        <v>3.8</v>
      </c>
      <c r="L798" s="367"/>
      <c r="M798" s="367"/>
      <c r="N798" s="367"/>
      <c r="O798" s="367"/>
      <c r="P798" s="367"/>
      <c r="Q798" s="367"/>
    </row>
    <row r="799" spans="1:17" ht="15" x14ac:dyDescent="0.25">
      <c r="A799" s="365" t="s">
        <v>960</v>
      </c>
      <c r="H799" s="366">
        <v>187</v>
      </c>
      <c r="J799" s="367"/>
      <c r="K799" s="367">
        <v>4</v>
      </c>
      <c r="L799" s="367"/>
      <c r="M799" s="367"/>
      <c r="N799" s="367"/>
      <c r="O799" s="367"/>
      <c r="P799" s="367"/>
      <c r="Q799" s="367"/>
    </row>
    <row r="800" spans="1:17" ht="15" x14ac:dyDescent="0.25">
      <c r="A800" s="365" t="s">
        <v>961</v>
      </c>
      <c r="H800" s="366">
        <v>204</v>
      </c>
      <c r="J800" s="367"/>
      <c r="K800" s="367"/>
      <c r="L800" s="367"/>
      <c r="M800" s="367"/>
      <c r="N800" s="367"/>
      <c r="O800" s="367"/>
      <c r="P800" s="367"/>
      <c r="Q800" s="367">
        <v>9.8000000000000007</v>
      </c>
    </row>
    <row r="801" spans="1:29" ht="15" x14ac:dyDescent="0.25">
      <c r="A801" s="365" t="s">
        <v>962</v>
      </c>
      <c r="H801" s="366">
        <v>255</v>
      </c>
      <c r="J801" s="367"/>
      <c r="K801" s="367">
        <v>243</v>
      </c>
      <c r="L801" s="367"/>
      <c r="M801" s="367"/>
      <c r="N801" s="367"/>
      <c r="O801" s="367"/>
      <c r="P801" s="367"/>
      <c r="Q801" s="367">
        <v>280</v>
      </c>
    </row>
    <row r="802" spans="1:29" ht="15" x14ac:dyDescent="0.25">
      <c r="A802" s="365" t="s">
        <v>963</v>
      </c>
      <c r="H802" s="366">
        <v>265</v>
      </c>
      <c r="J802" s="367"/>
      <c r="K802" s="367">
        <v>76</v>
      </c>
      <c r="L802" s="367"/>
      <c r="M802" s="367"/>
      <c r="N802" s="367"/>
      <c r="O802" s="367"/>
      <c r="P802" s="367"/>
      <c r="Q802" s="367"/>
    </row>
    <row r="803" spans="1:29" ht="15" x14ac:dyDescent="0.25">
      <c r="A803" s="365" t="s">
        <v>964</v>
      </c>
      <c r="H803" s="366">
        <v>280</v>
      </c>
      <c r="J803" s="367"/>
      <c r="K803" s="367">
        <v>49</v>
      </c>
      <c r="L803" s="367"/>
      <c r="M803" s="367"/>
      <c r="N803" s="367"/>
      <c r="O803" s="367"/>
      <c r="P803" s="367"/>
      <c r="Q803" s="367">
        <v>210</v>
      </c>
    </row>
    <row r="804" spans="1:29" ht="15" x14ac:dyDescent="0.25">
      <c r="A804" s="365" t="s">
        <v>965</v>
      </c>
      <c r="H804" s="366">
        <v>310</v>
      </c>
      <c r="J804" s="367"/>
      <c r="K804" s="367"/>
      <c r="L804" s="367"/>
      <c r="M804" s="367"/>
      <c r="N804" s="367"/>
      <c r="O804" s="367"/>
      <c r="P804" s="367"/>
      <c r="Q804" s="367">
        <v>149</v>
      </c>
    </row>
    <row r="805" spans="1:29" ht="15" x14ac:dyDescent="0.25">
      <c r="A805" s="365" t="s">
        <v>966</v>
      </c>
      <c r="H805" s="366">
        <v>316</v>
      </c>
      <c r="J805" s="367"/>
      <c r="K805" s="367">
        <v>215</v>
      </c>
      <c r="L805" s="367"/>
      <c r="M805" s="367"/>
      <c r="N805" s="367"/>
      <c r="O805" s="367"/>
      <c r="P805" s="367"/>
      <c r="Q805" s="367">
        <v>390</v>
      </c>
    </row>
    <row r="806" spans="1:29" ht="15" x14ac:dyDescent="0.25">
      <c r="A806" s="365" t="s">
        <v>967</v>
      </c>
      <c r="H806" s="366">
        <v>360</v>
      </c>
      <c r="J806" s="367"/>
      <c r="K806" s="367"/>
      <c r="L806" s="367"/>
      <c r="M806" s="367"/>
      <c r="N806" s="367"/>
      <c r="O806" s="367"/>
      <c r="P806" s="367"/>
      <c r="Q806" s="367">
        <v>350</v>
      </c>
    </row>
    <row r="807" spans="1:29" ht="15" x14ac:dyDescent="0.25">
      <c r="A807" s="365" t="s">
        <v>968</v>
      </c>
      <c r="H807" s="366">
        <v>360</v>
      </c>
      <c r="J807" s="367"/>
      <c r="K807" s="367"/>
      <c r="L807" s="367"/>
      <c r="M807" s="367"/>
      <c r="N807" s="367"/>
      <c r="O807" s="367"/>
      <c r="P807" s="367"/>
      <c r="Q807" s="367">
        <v>390</v>
      </c>
      <c r="R807" s="367"/>
      <c r="S807" s="367"/>
      <c r="T807" s="367"/>
      <c r="U807" s="367"/>
      <c r="V807" s="367"/>
      <c r="W807" s="367"/>
      <c r="X807" s="367"/>
      <c r="Y807" s="367"/>
      <c r="Z807" s="367"/>
      <c r="AA807" s="367"/>
      <c r="AB807" s="367"/>
      <c r="AC807" s="367"/>
    </row>
    <row r="808" spans="1:29" ht="15" x14ac:dyDescent="0.25">
      <c r="A808" s="365" t="s">
        <v>617</v>
      </c>
      <c r="H808" s="366">
        <v>27</v>
      </c>
      <c r="J808" s="367"/>
      <c r="K808" s="367"/>
      <c r="L808" s="367">
        <v>43</v>
      </c>
      <c r="M808" s="367">
        <v>5.5</v>
      </c>
      <c r="N808" s="367">
        <v>10</v>
      </c>
      <c r="O808" s="367"/>
      <c r="P808" s="367">
        <v>34</v>
      </c>
      <c r="Q808" s="367"/>
      <c r="R808" s="367">
        <v>12</v>
      </c>
      <c r="S808" s="367">
        <v>0.5</v>
      </c>
      <c r="T808" s="367">
        <v>21</v>
      </c>
      <c r="U808" s="367"/>
      <c r="V808" s="367"/>
      <c r="W808" s="367"/>
      <c r="X808" s="367"/>
      <c r="Y808" s="367"/>
      <c r="Z808" s="367"/>
      <c r="AA808" s="367"/>
      <c r="AB808" s="367"/>
      <c r="AC808" s="367"/>
    </row>
    <row r="809" spans="1:29" ht="15" x14ac:dyDescent="0.25">
      <c r="A809" s="365" t="s">
        <v>246</v>
      </c>
      <c r="H809" s="366">
        <v>96</v>
      </c>
      <c r="J809" s="367"/>
      <c r="K809" s="367"/>
      <c r="L809" s="367">
        <v>280</v>
      </c>
      <c r="M809" s="367">
        <v>7.5</v>
      </c>
      <c r="N809" s="367">
        <v>18</v>
      </c>
      <c r="O809" s="367"/>
      <c r="P809" s="367">
        <v>120</v>
      </c>
      <c r="Q809" s="367"/>
      <c r="R809" s="367">
        <v>190</v>
      </c>
      <c r="S809" s="367">
        <v>4.0999999999999996</v>
      </c>
      <c r="T809" s="367">
        <v>360</v>
      </c>
      <c r="U809" s="367"/>
      <c r="V809" s="367"/>
      <c r="W809" s="367"/>
      <c r="X809" s="367"/>
      <c r="Y809" s="367"/>
      <c r="Z809" s="367"/>
      <c r="AA809" s="367"/>
      <c r="AB809" s="367"/>
      <c r="AC809" s="367"/>
    </row>
    <row r="810" spans="1:29" ht="15" x14ac:dyDescent="0.25">
      <c r="A810" s="365" t="s">
        <v>510</v>
      </c>
      <c r="H810" s="366">
        <v>95</v>
      </c>
      <c r="J810" s="367"/>
      <c r="K810" s="367"/>
      <c r="L810" s="367">
        <v>190</v>
      </c>
      <c r="M810" s="367">
        <v>5.5</v>
      </c>
      <c r="N810" s="367">
        <v>12</v>
      </c>
      <c r="O810" s="367"/>
      <c r="P810" s="367">
        <v>86</v>
      </c>
      <c r="Q810" s="367"/>
      <c r="R810" s="367">
        <v>120</v>
      </c>
      <c r="S810" s="367">
        <v>2.9</v>
      </c>
      <c r="T810" s="367">
        <v>220</v>
      </c>
      <c r="U810" s="367"/>
      <c r="V810" s="367"/>
      <c r="W810" s="367"/>
      <c r="X810" s="367"/>
      <c r="Y810" s="367"/>
      <c r="Z810" s="367"/>
      <c r="AA810" s="367"/>
      <c r="AB810" s="367"/>
      <c r="AC810" s="367"/>
    </row>
    <row r="811" spans="1:29" ht="15" x14ac:dyDescent="0.25">
      <c r="A811" s="365" t="s">
        <v>247</v>
      </c>
      <c r="H811" s="366">
        <v>39</v>
      </c>
      <c r="J811" s="367"/>
      <c r="K811" s="367"/>
      <c r="L811" s="367">
        <v>336</v>
      </c>
      <c r="M811" s="367">
        <v>3.6</v>
      </c>
      <c r="N811" s="367">
        <v>8</v>
      </c>
      <c r="O811" s="367"/>
      <c r="P811" s="367">
        <v>31</v>
      </c>
      <c r="Q811" s="367"/>
      <c r="R811" s="367">
        <v>245</v>
      </c>
      <c r="S811" s="367">
        <v>7.4</v>
      </c>
      <c r="T811" s="367">
        <v>29</v>
      </c>
      <c r="U811" s="367"/>
      <c r="V811" s="367"/>
      <c r="W811" s="367"/>
      <c r="X811" s="367"/>
      <c r="Y811" s="367"/>
      <c r="Z811" s="367"/>
      <c r="AA811" s="367"/>
      <c r="AB811" s="367"/>
      <c r="AC811" s="367"/>
    </row>
    <row r="812" spans="1:29" ht="15" x14ac:dyDescent="0.25">
      <c r="A812" s="365" t="s">
        <v>248</v>
      </c>
      <c r="H812" s="366">
        <v>36</v>
      </c>
      <c r="J812" s="367"/>
      <c r="K812" s="367"/>
      <c r="L812" s="367">
        <v>232</v>
      </c>
      <c r="M812" s="367">
        <v>3</v>
      </c>
      <c r="N812" s="367">
        <v>4.5999999999999996</v>
      </c>
      <c r="O812" s="367"/>
      <c r="P812" s="367">
        <v>12</v>
      </c>
      <c r="Q812" s="367"/>
      <c r="R812" s="367">
        <v>224</v>
      </c>
      <c r="S812" s="367">
        <v>5.7</v>
      </c>
      <c r="T812" s="367">
        <v>250</v>
      </c>
      <c r="U812" s="367"/>
      <c r="V812" s="367"/>
      <c r="W812" s="367"/>
      <c r="X812" s="367"/>
      <c r="Y812" s="367"/>
      <c r="Z812" s="367"/>
      <c r="AA812" s="367"/>
      <c r="AB812" s="367"/>
      <c r="AC812" s="367"/>
    </row>
    <row r="813" spans="1:29" ht="15" x14ac:dyDescent="0.25">
      <c r="A813" s="365" t="s">
        <v>249</v>
      </c>
      <c r="H813" s="366">
        <v>60</v>
      </c>
      <c r="J813" s="367"/>
      <c r="K813" s="367"/>
      <c r="L813" s="367">
        <v>310</v>
      </c>
      <c r="M813" s="367">
        <v>10</v>
      </c>
      <c r="N813" s="367">
        <v>22</v>
      </c>
      <c r="O813" s="367"/>
      <c r="P813" s="367">
        <v>75</v>
      </c>
      <c r="Q813" s="367"/>
      <c r="R813" s="367">
        <v>28</v>
      </c>
      <c r="S813" s="367">
        <v>9.1999999999999993</v>
      </c>
      <c r="T813" s="367">
        <v>340</v>
      </c>
      <c r="U813" s="367"/>
      <c r="V813" s="367"/>
      <c r="W813" s="367"/>
      <c r="X813" s="367"/>
      <c r="Y813" s="367"/>
      <c r="Z813" s="367"/>
      <c r="AA813" s="367"/>
      <c r="AB813" s="367"/>
      <c r="AC813" s="367"/>
    </row>
    <row r="814" spans="1:29" ht="15" x14ac:dyDescent="0.25">
      <c r="A814" s="365" t="s">
        <v>250</v>
      </c>
      <c r="H814" s="366">
        <v>93</v>
      </c>
      <c r="J814" s="367"/>
      <c r="K814" s="367"/>
      <c r="L814" s="367">
        <v>43</v>
      </c>
      <c r="M814" s="367">
        <v>15</v>
      </c>
      <c r="N814" s="367">
        <v>38</v>
      </c>
      <c r="O814" s="367"/>
      <c r="P814" s="367">
        <v>259</v>
      </c>
      <c r="Q814" s="367"/>
      <c r="R814" s="367">
        <v>1</v>
      </c>
      <c r="S814" s="367"/>
      <c r="T814" s="367">
        <v>1034</v>
      </c>
      <c r="U814" s="367"/>
      <c r="V814" s="367"/>
      <c r="W814" s="367"/>
      <c r="X814" s="367"/>
      <c r="Y814" s="367"/>
      <c r="Z814" s="367"/>
      <c r="AA814" s="367"/>
      <c r="AB814" s="367"/>
      <c r="AC814" s="367"/>
    </row>
    <row r="815" spans="1:29" ht="15" x14ac:dyDescent="0.25">
      <c r="A815" s="365" t="s">
        <v>251</v>
      </c>
      <c r="H815" s="366">
        <v>45</v>
      </c>
      <c r="J815" s="367"/>
      <c r="K815" s="367"/>
      <c r="L815" s="367">
        <v>47</v>
      </c>
      <c r="M815" s="367">
        <v>3</v>
      </c>
      <c r="N815" s="367">
        <v>17</v>
      </c>
      <c r="O815" s="367"/>
      <c r="P815" s="367">
        <v>39</v>
      </c>
      <c r="Q815" s="367"/>
      <c r="R815" s="367">
        <v>29</v>
      </c>
      <c r="S815" s="367">
        <v>1.9</v>
      </c>
      <c r="T815" s="367"/>
      <c r="U815" s="367"/>
      <c r="V815" s="367"/>
      <c r="W815" s="367"/>
      <c r="X815" s="367"/>
      <c r="Y815" s="367"/>
      <c r="Z815" s="367"/>
      <c r="AA815" s="367"/>
      <c r="AB815" s="367"/>
      <c r="AC815" s="367">
        <v>0.05</v>
      </c>
    </row>
    <row r="816" spans="1:29" ht="15" x14ac:dyDescent="0.25">
      <c r="A816" s="365" t="s">
        <v>418</v>
      </c>
      <c r="H816" s="366">
        <v>60</v>
      </c>
      <c r="J816" s="367"/>
      <c r="K816" s="367"/>
      <c r="L816" s="367">
        <v>550</v>
      </c>
      <c r="M816" s="367">
        <v>35</v>
      </c>
      <c r="N816" s="367">
        <v>38</v>
      </c>
      <c r="O816" s="367"/>
      <c r="P816" s="367">
        <v>110</v>
      </c>
      <c r="Q816" s="367"/>
      <c r="R816" s="367">
        <v>160</v>
      </c>
      <c r="S816" s="367">
        <v>4.5</v>
      </c>
      <c r="T816" s="367">
        <v>260</v>
      </c>
      <c r="U816" s="367"/>
      <c r="V816" s="367"/>
      <c r="W816" s="367"/>
      <c r="X816" s="367"/>
      <c r="Y816" s="367"/>
      <c r="Z816" s="367"/>
      <c r="AA816" s="367"/>
      <c r="AB816" s="367"/>
      <c r="AC816" s="367"/>
    </row>
    <row r="817" spans="1:29" ht="15" x14ac:dyDescent="0.25">
      <c r="A817" s="365" t="s">
        <v>418</v>
      </c>
      <c r="H817" s="366"/>
      <c r="J817" s="367"/>
      <c r="K817" s="367"/>
      <c r="L817" s="367"/>
      <c r="M817" s="367"/>
      <c r="N817" s="367"/>
      <c r="O817" s="367"/>
      <c r="P817" s="367"/>
      <c r="Q817" s="367"/>
      <c r="R817" s="367"/>
      <c r="S817" s="367"/>
      <c r="T817" s="367"/>
      <c r="U817" s="367"/>
      <c r="V817" s="367"/>
      <c r="W817" s="367"/>
      <c r="X817" s="367"/>
      <c r="Y817" s="367"/>
      <c r="Z817" s="367"/>
      <c r="AA817" s="367"/>
      <c r="AB817" s="367"/>
      <c r="AC817" s="367"/>
    </row>
    <row r="818" spans="1:29" ht="15" x14ac:dyDescent="0.25">
      <c r="A818" s="365" t="s">
        <v>252</v>
      </c>
      <c r="H818" s="366">
        <v>61</v>
      </c>
      <c r="J818" s="367"/>
      <c r="K818" s="367"/>
      <c r="L818" s="367">
        <v>514</v>
      </c>
      <c r="M818" s="367">
        <v>33</v>
      </c>
      <c r="N818" s="367">
        <v>34</v>
      </c>
      <c r="O818" s="367"/>
      <c r="P818" s="367">
        <v>77</v>
      </c>
      <c r="Q818" s="367"/>
      <c r="R818" s="367">
        <v>161</v>
      </c>
      <c r="S818" s="367">
        <v>53</v>
      </c>
      <c r="T818" s="367">
        <v>238</v>
      </c>
      <c r="U818" s="367"/>
      <c r="V818" s="367"/>
      <c r="W818" s="367"/>
      <c r="X818" s="367"/>
      <c r="Y818" s="367"/>
      <c r="Z818" s="367"/>
      <c r="AA818" s="367">
        <v>1.34</v>
      </c>
      <c r="AB818" s="367"/>
      <c r="AC818" s="367">
        <v>0.04</v>
      </c>
    </row>
    <row r="819" spans="1:29" ht="15" x14ac:dyDescent="0.25">
      <c r="A819" s="365" t="s">
        <v>418</v>
      </c>
      <c r="H819" s="366">
        <v>60</v>
      </c>
      <c r="J819" s="367"/>
      <c r="K819" s="367"/>
      <c r="L819" s="367"/>
      <c r="M819" s="367"/>
      <c r="N819" s="367">
        <v>46</v>
      </c>
      <c r="O819" s="367"/>
      <c r="P819" s="367"/>
      <c r="Q819" s="367"/>
      <c r="R819" s="367">
        <v>156</v>
      </c>
      <c r="S819" s="367"/>
      <c r="T819" s="367"/>
      <c r="U819" s="367"/>
      <c r="V819" s="367"/>
      <c r="W819" s="367"/>
      <c r="X819" s="367"/>
      <c r="Y819" s="367"/>
      <c r="Z819" s="367"/>
      <c r="AA819" s="367"/>
      <c r="AB819" s="367"/>
      <c r="AC819" s="367"/>
    </row>
    <row r="820" spans="1:29" ht="15" x14ac:dyDescent="0.25">
      <c r="A820" s="365" t="s">
        <v>418</v>
      </c>
      <c r="H820" s="366">
        <v>61</v>
      </c>
      <c r="J820" s="367"/>
      <c r="K820" s="367"/>
      <c r="L820" s="367">
        <v>560</v>
      </c>
      <c r="M820" s="367">
        <v>37</v>
      </c>
      <c r="N820" s="367">
        <v>41</v>
      </c>
      <c r="O820" s="367"/>
      <c r="P820" s="367">
        <v>114</v>
      </c>
      <c r="Q820" s="367"/>
      <c r="R820" s="367">
        <v>160</v>
      </c>
      <c r="S820" s="367">
        <v>4.7</v>
      </c>
      <c r="T820" s="367">
        <v>260</v>
      </c>
      <c r="U820" s="367"/>
      <c r="V820" s="367"/>
      <c r="W820" s="367"/>
      <c r="X820" s="367"/>
      <c r="Y820" s="367"/>
      <c r="Z820" s="367"/>
      <c r="AA820" s="367"/>
      <c r="AB820" s="367"/>
      <c r="AC820" s="367">
        <v>0.02</v>
      </c>
    </row>
    <row r="821" spans="1:29" ht="15" x14ac:dyDescent="0.25">
      <c r="A821" s="365" t="s">
        <v>253</v>
      </c>
      <c r="H821" s="366">
        <v>28</v>
      </c>
      <c r="J821" s="367"/>
      <c r="K821" s="367"/>
      <c r="L821" s="367">
        <v>585</v>
      </c>
      <c r="M821" s="367">
        <v>8.4</v>
      </c>
      <c r="N821" s="367">
        <v>88</v>
      </c>
      <c r="O821" s="367"/>
      <c r="P821" s="367">
        <v>33</v>
      </c>
      <c r="Q821" s="367"/>
      <c r="R821" s="367">
        <v>910</v>
      </c>
      <c r="S821" s="367">
        <v>3.6</v>
      </c>
      <c r="T821" s="367">
        <v>211</v>
      </c>
      <c r="U821" s="367"/>
      <c r="V821" s="367"/>
      <c r="W821" s="367"/>
      <c r="X821" s="367"/>
      <c r="Y821" s="367"/>
      <c r="Z821" s="367"/>
      <c r="AA821" s="367"/>
      <c r="AB821" s="367"/>
      <c r="AC821" s="367"/>
    </row>
    <row r="822" spans="1:29" ht="15" x14ac:dyDescent="0.25">
      <c r="A822" s="365" t="s">
        <v>254</v>
      </c>
      <c r="H822" s="366">
        <v>41</v>
      </c>
      <c r="J822" s="367"/>
      <c r="K822" s="367"/>
      <c r="L822" s="367">
        <v>274</v>
      </c>
      <c r="M822" s="367">
        <v>6</v>
      </c>
      <c r="N822" s="367">
        <v>13</v>
      </c>
      <c r="O822" s="367"/>
      <c r="P822" s="367">
        <v>101</v>
      </c>
      <c r="Q822" s="367"/>
      <c r="R822" s="367">
        <v>130</v>
      </c>
      <c r="S822" s="367">
        <v>0.4</v>
      </c>
      <c r="T822" s="367">
        <v>2</v>
      </c>
      <c r="U822" s="367"/>
      <c r="V822" s="367"/>
      <c r="W822" s="367"/>
      <c r="X822" s="367"/>
      <c r="Y822" s="367"/>
      <c r="Z822" s="367"/>
      <c r="AA822" s="367"/>
      <c r="AB822" s="367"/>
      <c r="AC822" s="367"/>
    </row>
    <row r="823" spans="1:29" ht="15" x14ac:dyDescent="0.25">
      <c r="A823" s="365" t="s">
        <v>262</v>
      </c>
      <c r="H823" s="366">
        <v>39</v>
      </c>
      <c r="J823" s="367"/>
      <c r="K823" s="367"/>
      <c r="L823" s="367">
        <v>71</v>
      </c>
      <c r="M823" s="367">
        <v>4</v>
      </c>
      <c r="N823" s="367">
        <v>2</v>
      </c>
      <c r="O823" s="367"/>
      <c r="P823" s="367">
        <v>56</v>
      </c>
      <c r="Q823" s="367"/>
      <c r="R823" s="367">
        <v>64</v>
      </c>
      <c r="S823" s="367">
        <v>2.2000000000000002</v>
      </c>
      <c r="T823" s="367">
        <v>10</v>
      </c>
      <c r="U823" s="367"/>
      <c r="V823" s="367"/>
      <c r="W823" s="367"/>
      <c r="X823" s="367"/>
      <c r="Y823" s="367"/>
      <c r="Z823" s="367"/>
      <c r="AA823" s="367"/>
      <c r="AB823" s="367"/>
      <c r="AC823" s="367"/>
    </row>
    <row r="824" spans="1:29" ht="15" x14ac:dyDescent="0.25">
      <c r="A824" s="365" t="s">
        <v>263</v>
      </c>
      <c r="H824" s="366">
        <v>52</v>
      </c>
      <c r="J824" s="367"/>
      <c r="K824" s="367"/>
      <c r="L824" s="367">
        <v>162</v>
      </c>
      <c r="M824" s="367">
        <v>20</v>
      </c>
      <c r="N824" s="367">
        <v>30</v>
      </c>
      <c r="O824" s="367"/>
      <c r="P824" s="367">
        <v>170</v>
      </c>
      <c r="Q824" s="367"/>
      <c r="R824" s="367">
        <v>272</v>
      </c>
      <c r="S824" s="367">
        <v>0.1</v>
      </c>
      <c r="T824" s="367">
        <v>6</v>
      </c>
      <c r="U824" s="367"/>
      <c r="V824" s="367"/>
      <c r="W824" s="367"/>
      <c r="X824" s="367"/>
      <c r="Y824" s="367"/>
      <c r="Z824" s="367"/>
      <c r="AA824" s="367"/>
      <c r="AB824" s="367"/>
      <c r="AC824" s="367"/>
    </row>
    <row r="825" spans="1:29" ht="15" x14ac:dyDescent="0.25">
      <c r="A825" s="365" t="s">
        <v>460</v>
      </c>
      <c r="H825" s="366">
        <v>20</v>
      </c>
      <c r="J825" s="367"/>
      <c r="K825" s="367"/>
      <c r="L825" s="367">
        <v>48</v>
      </c>
      <c r="M825" s="367">
        <v>3.5</v>
      </c>
      <c r="N825" s="367">
        <v>115</v>
      </c>
      <c r="O825" s="367"/>
      <c r="P825" s="367">
        <v>21</v>
      </c>
      <c r="Q825" s="367"/>
      <c r="R825" s="367">
        <v>6.9</v>
      </c>
      <c r="S825" s="367">
        <v>0.56000000000000005</v>
      </c>
      <c r="T825" s="367">
        <v>345</v>
      </c>
      <c r="U825" s="367"/>
      <c r="V825" s="367"/>
      <c r="W825" s="367"/>
      <c r="X825" s="367"/>
      <c r="Y825" s="367"/>
      <c r="Z825" s="367"/>
      <c r="AA825" s="367"/>
      <c r="AB825" s="367"/>
      <c r="AC825" s="367"/>
    </row>
    <row r="826" spans="1:29" ht="15" x14ac:dyDescent="0.25">
      <c r="A826" s="365" t="s">
        <v>264</v>
      </c>
      <c r="H826" s="366">
        <v>90</v>
      </c>
      <c r="J826" s="367"/>
      <c r="K826" s="367"/>
      <c r="L826" s="367">
        <v>330</v>
      </c>
      <c r="M826" s="367">
        <v>14</v>
      </c>
      <c r="N826" s="367">
        <v>22</v>
      </c>
      <c r="O826" s="367"/>
      <c r="P826" s="367">
        <v>98</v>
      </c>
      <c r="Q826" s="367"/>
      <c r="R826" s="367">
        <v>290</v>
      </c>
      <c r="S826" s="367">
        <v>12</v>
      </c>
      <c r="T826" s="367">
        <v>290</v>
      </c>
      <c r="U826" s="367"/>
      <c r="V826" s="367"/>
      <c r="W826" s="367"/>
      <c r="X826" s="367"/>
      <c r="Y826" s="367"/>
      <c r="Z826" s="367"/>
      <c r="AA826" s="367"/>
      <c r="AB826" s="367"/>
      <c r="AC826" s="367"/>
    </row>
    <row r="827" spans="1:29" ht="15" x14ac:dyDescent="0.25">
      <c r="A827" s="365" t="s">
        <v>265</v>
      </c>
      <c r="H827" s="366">
        <v>85</v>
      </c>
      <c r="J827" s="367"/>
      <c r="K827" s="367"/>
      <c r="L827" s="367">
        <v>300</v>
      </c>
      <c r="M827" s="367">
        <v>9</v>
      </c>
      <c r="N827" s="367">
        <v>28</v>
      </c>
      <c r="O827" s="367"/>
      <c r="P827" s="367">
        <v>110</v>
      </c>
      <c r="Q827" s="367"/>
      <c r="R827" s="367">
        <v>220</v>
      </c>
      <c r="S827" s="367">
        <v>5.4</v>
      </c>
      <c r="T827" s="367">
        <v>370</v>
      </c>
      <c r="U827" s="367"/>
      <c r="V827" s="367"/>
      <c r="W827" s="367"/>
      <c r="X827" s="367"/>
      <c r="Y827" s="367"/>
      <c r="Z827" s="367"/>
      <c r="AA827" s="367"/>
      <c r="AB827" s="367"/>
      <c r="AC827" s="367"/>
    </row>
    <row r="828" spans="1:29" ht="15" x14ac:dyDescent="0.25">
      <c r="A828" s="365" t="s">
        <v>442</v>
      </c>
      <c r="H828" s="366">
        <v>35</v>
      </c>
      <c r="J828" s="367"/>
      <c r="K828" s="367"/>
      <c r="L828" s="367">
        <v>50</v>
      </c>
      <c r="M828" s="367">
        <v>4.2</v>
      </c>
      <c r="N828" s="367">
        <v>11</v>
      </c>
      <c r="O828" s="367"/>
      <c r="P828" s="367">
        <v>127</v>
      </c>
      <c r="Q828" s="367"/>
      <c r="R828" s="367">
        <v>40</v>
      </c>
      <c r="S828" s="367"/>
      <c r="T828" s="367">
        <v>0.8</v>
      </c>
      <c r="U828" s="367"/>
      <c r="V828" s="367"/>
      <c r="W828" s="367"/>
      <c r="X828" s="367"/>
      <c r="Y828" s="367"/>
      <c r="Z828" s="367"/>
      <c r="AA828" s="367"/>
      <c r="AB828" s="367"/>
      <c r="AC828" s="367"/>
    </row>
    <row r="829" spans="1:29" ht="15" x14ac:dyDescent="0.25">
      <c r="A829" s="365" t="s">
        <v>255</v>
      </c>
      <c r="H829" s="366">
        <v>34.6</v>
      </c>
      <c r="J829" s="367"/>
      <c r="K829" s="367"/>
      <c r="L829" s="367">
        <v>56</v>
      </c>
      <c r="M829" s="367">
        <v>3.9</v>
      </c>
      <c r="N829" s="367">
        <v>10.8</v>
      </c>
      <c r="O829" s="367"/>
      <c r="P829" s="367">
        <v>171</v>
      </c>
      <c r="Q829" s="367"/>
      <c r="R829" s="367">
        <v>45.4</v>
      </c>
      <c r="S829" s="367"/>
      <c r="T829" s="367">
        <v>0.4</v>
      </c>
      <c r="U829" s="367"/>
      <c r="V829" s="367"/>
      <c r="W829" s="367"/>
      <c r="X829" s="367"/>
      <c r="Y829" s="367"/>
      <c r="Z829" s="367"/>
      <c r="AA829" s="367">
        <v>0.3</v>
      </c>
      <c r="AB829" s="367"/>
      <c r="AC829" s="367"/>
    </row>
    <row r="830" spans="1:29" ht="15" x14ac:dyDescent="0.25">
      <c r="A830" s="365" t="s">
        <v>256</v>
      </c>
      <c r="H830" s="366">
        <v>37</v>
      </c>
      <c r="J830" s="367"/>
      <c r="K830" s="367"/>
      <c r="L830" s="367">
        <v>145</v>
      </c>
      <c r="M830" s="367">
        <v>15</v>
      </c>
      <c r="N830" s="367">
        <v>53</v>
      </c>
      <c r="O830" s="367"/>
      <c r="P830" s="367">
        <v>34</v>
      </c>
      <c r="Q830" s="367"/>
      <c r="R830" s="367">
        <v>59</v>
      </c>
      <c r="S830" s="367">
        <v>3</v>
      </c>
      <c r="T830" s="367">
        <v>80</v>
      </c>
      <c r="U830" s="367"/>
      <c r="V830" s="367"/>
      <c r="W830" s="367"/>
      <c r="X830" s="367"/>
      <c r="Y830" s="367"/>
      <c r="Z830" s="367"/>
      <c r="AA830" s="367">
        <v>0.61</v>
      </c>
      <c r="AB830" s="367"/>
      <c r="AC830" s="367"/>
    </row>
    <row r="831" spans="1:29" ht="15" x14ac:dyDescent="0.25">
      <c r="A831" s="365" t="s">
        <v>257</v>
      </c>
      <c r="H831" s="366">
        <v>19.399999999999999</v>
      </c>
      <c r="J831" s="367"/>
      <c r="K831" s="367"/>
      <c r="L831" s="367">
        <v>2686</v>
      </c>
      <c r="M831" s="367">
        <v>45</v>
      </c>
      <c r="N831" s="367">
        <v>52.3</v>
      </c>
      <c r="O831" s="367"/>
      <c r="P831" s="367">
        <v>90</v>
      </c>
      <c r="Q831" s="367"/>
      <c r="R831" s="367">
        <v>3750</v>
      </c>
      <c r="S831" s="367">
        <v>0.4</v>
      </c>
      <c r="T831" s="367">
        <v>12.2</v>
      </c>
      <c r="U831" s="367"/>
      <c r="V831" s="367"/>
      <c r="W831" s="367"/>
      <c r="X831" s="367"/>
      <c r="Y831" s="367"/>
      <c r="Z831" s="367"/>
      <c r="AA831" s="367">
        <v>13</v>
      </c>
      <c r="AB831" s="367"/>
      <c r="AC831" s="367"/>
    </row>
    <row r="832" spans="1:29" ht="15" x14ac:dyDescent="0.25">
      <c r="A832" s="365" t="s">
        <v>443</v>
      </c>
      <c r="H832" s="366">
        <v>21</v>
      </c>
      <c r="J832" s="367"/>
      <c r="K832" s="367"/>
      <c r="L832" s="367">
        <v>2600</v>
      </c>
      <c r="M832" s="367">
        <v>55</v>
      </c>
      <c r="N832" s="367">
        <v>50</v>
      </c>
      <c r="O832" s="367"/>
      <c r="P832" s="367">
        <v>100</v>
      </c>
      <c r="Q832" s="367"/>
      <c r="R832" s="367">
        <v>3800</v>
      </c>
      <c r="S832" s="367">
        <v>0.2</v>
      </c>
      <c r="T832" s="367">
        <v>1</v>
      </c>
      <c r="U832" s="367"/>
      <c r="V832" s="367"/>
      <c r="W832" s="367"/>
      <c r="X832" s="367"/>
      <c r="Y832" s="367"/>
      <c r="Z832" s="367"/>
      <c r="AA832" s="367"/>
      <c r="AB832" s="367"/>
      <c r="AC832" s="367">
        <v>0.27</v>
      </c>
    </row>
    <row r="833" spans="1:29" ht="15" x14ac:dyDescent="0.25">
      <c r="A833" s="365" t="s">
        <v>443</v>
      </c>
      <c r="H833" s="366">
        <v>18</v>
      </c>
      <c r="J833" s="367"/>
      <c r="K833" s="367"/>
      <c r="L833" s="367">
        <v>2720</v>
      </c>
      <c r="M833" s="367">
        <v>53</v>
      </c>
      <c r="N833" s="367">
        <v>135</v>
      </c>
      <c r="O833" s="367"/>
      <c r="P833" s="367">
        <v>56</v>
      </c>
      <c r="Q833" s="367"/>
      <c r="R833" s="367">
        <v>3940</v>
      </c>
      <c r="S833" s="367"/>
      <c r="T833" s="367">
        <v>4.8</v>
      </c>
      <c r="U833" s="367"/>
      <c r="V833" s="367"/>
      <c r="W833" s="367"/>
      <c r="X833" s="367"/>
      <c r="Y833" s="367"/>
      <c r="Z833" s="367"/>
      <c r="AA833" s="367"/>
      <c r="AB833" s="367"/>
      <c r="AC833" s="367">
        <v>0.1</v>
      </c>
    </row>
    <row r="834" spans="1:29" ht="15" x14ac:dyDescent="0.25">
      <c r="A834" s="365" t="s">
        <v>258</v>
      </c>
      <c r="H834" s="366">
        <v>29</v>
      </c>
      <c r="J834" s="367"/>
      <c r="K834" s="367"/>
      <c r="L834" s="367">
        <v>7.5</v>
      </c>
      <c r="M834" s="367">
        <v>0.7</v>
      </c>
      <c r="N834" s="367">
        <v>1.6</v>
      </c>
      <c r="O834" s="367"/>
      <c r="P834" s="367">
        <v>57</v>
      </c>
      <c r="Q834" s="367"/>
      <c r="R834" s="367">
        <v>43</v>
      </c>
      <c r="S834" s="367">
        <v>1.6</v>
      </c>
      <c r="T834" s="367">
        <v>57</v>
      </c>
      <c r="U834" s="367"/>
      <c r="V834" s="367"/>
      <c r="W834" s="367"/>
      <c r="X834" s="367"/>
      <c r="Y834" s="367"/>
      <c r="Z834" s="367"/>
      <c r="AA834" s="367"/>
      <c r="AB834" s="367"/>
      <c r="AC834" s="367"/>
    </row>
    <row r="835" spans="1:29" ht="15" x14ac:dyDescent="0.25">
      <c r="A835" s="365" t="s">
        <v>259</v>
      </c>
      <c r="H835" s="366">
        <v>51</v>
      </c>
      <c r="J835" s="367"/>
      <c r="K835" s="367"/>
      <c r="L835" s="367">
        <v>340</v>
      </c>
      <c r="M835" s="367">
        <v>13</v>
      </c>
      <c r="N835" s="367">
        <v>42</v>
      </c>
      <c r="O835" s="367"/>
      <c r="P835" s="367">
        <v>56</v>
      </c>
      <c r="Q835" s="367"/>
      <c r="R835" s="367">
        <v>502</v>
      </c>
      <c r="S835" s="367">
        <v>6.8</v>
      </c>
      <c r="T835" s="367">
        <v>71</v>
      </c>
      <c r="U835" s="367"/>
      <c r="V835" s="367"/>
      <c r="W835" s="367"/>
      <c r="X835" s="367"/>
      <c r="Y835" s="367"/>
      <c r="Z835" s="367"/>
      <c r="AA835" s="367"/>
      <c r="AB835" s="367"/>
      <c r="AC835" s="367"/>
    </row>
    <row r="836" spans="1:29" ht="15" x14ac:dyDescent="0.25">
      <c r="A836" s="365" t="s">
        <v>260</v>
      </c>
      <c r="H836" s="366"/>
      <c r="J836" s="367"/>
      <c r="K836" s="367"/>
      <c r="L836" s="367">
        <v>28</v>
      </c>
      <c r="M836" s="367"/>
      <c r="N836" s="367">
        <v>66</v>
      </c>
      <c r="O836" s="367"/>
      <c r="P836" s="367"/>
      <c r="Q836" s="367"/>
      <c r="R836" s="367">
        <v>30</v>
      </c>
      <c r="S836" s="367"/>
      <c r="T836" s="367">
        <v>168</v>
      </c>
      <c r="U836" s="367"/>
      <c r="V836" s="367"/>
      <c r="W836" s="367"/>
      <c r="X836" s="367"/>
      <c r="Y836" s="367"/>
      <c r="Z836" s="367"/>
      <c r="AA836" s="367"/>
      <c r="AB836" s="367"/>
      <c r="AC836" s="367"/>
    </row>
    <row r="837" spans="1:29" ht="15" x14ac:dyDescent="0.25">
      <c r="A837" s="365" t="s">
        <v>261</v>
      </c>
      <c r="H837" s="366">
        <v>43</v>
      </c>
      <c r="J837" s="367"/>
      <c r="K837" s="367"/>
      <c r="L837" s="367">
        <v>74</v>
      </c>
      <c r="M837" s="367">
        <v>4</v>
      </c>
      <c r="N837" s="367">
        <v>14</v>
      </c>
      <c r="O837" s="367"/>
      <c r="P837" s="367">
        <v>45</v>
      </c>
      <c r="Q837" s="367"/>
      <c r="R837" s="367">
        <v>90</v>
      </c>
      <c r="S837" s="367">
        <v>3.2</v>
      </c>
      <c r="T837" s="367">
        <v>21</v>
      </c>
      <c r="U837" s="367"/>
      <c r="V837" s="367"/>
      <c r="W837" s="367"/>
      <c r="X837" s="367"/>
      <c r="Y837" s="367"/>
      <c r="Z837" s="367"/>
      <c r="AA837" s="367"/>
      <c r="AB837" s="367"/>
      <c r="AC837" s="367"/>
    </row>
    <row r="838" spans="1:29" ht="15" x14ac:dyDescent="0.25">
      <c r="A838" s="365" t="s">
        <v>370</v>
      </c>
      <c r="H838" s="366">
        <v>43</v>
      </c>
      <c r="J838" s="367"/>
      <c r="K838" s="367"/>
      <c r="L838" s="367">
        <v>84</v>
      </c>
      <c r="M838" s="367">
        <v>1.5</v>
      </c>
      <c r="N838" s="367">
        <v>1.6</v>
      </c>
      <c r="O838" s="367"/>
      <c r="P838" s="367">
        <v>71</v>
      </c>
      <c r="Q838" s="367"/>
      <c r="R838" s="367">
        <v>58</v>
      </c>
      <c r="S838" s="367">
        <v>2</v>
      </c>
      <c r="T838" s="367">
        <v>7</v>
      </c>
      <c r="U838" s="367"/>
      <c r="V838" s="367"/>
      <c r="W838" s="367"/>
      <c r="X838" s="367"/>
      <c r="Y838" s="367"/>
      <c r="Z838" s="367"/>
      <c r="AA838" s="367"/>
      <c r="AB838" s="367"/>
      <c r="AC838" s="367">
        <v>-0.02</v>
      </c>
    </row>
    <row r="839" spans="1:29" ht="15" x14ac:dyDescent="0.25">
      <c r="A839" s="365" t="s">
        <v>969</v>
      </c>
      <c r="H839" s="366">
        <v>85</v>
      </c>
      <c r="J839" s="367"/>
      <c r="K839" s="367"/>
      <c r="L839" s="367">
        <v>300</v>
      </c>
      <c r="M839" s="367">
        <v>9</v>
      </c>
      <c r="N839" s="367">
        <v>28</v>
      </c>
      <c r="O839" s="367"/>
      <c r="P839" s="367">
        <v>110</v>
      </c>
      <c r="Q839" s="367"/>
      <c r="R839" s="367">
        <v>220</v>
      </c>
      <c r="S839" s="367">
        <v>5.4</v>
      </c>
      <c r="T839" s="367">
        <v>370</v>
      </c>
      <c r="U839" s="367"/>
      <c r="V839" s="367"/>
      <c r="W839" s="367"/>
      <c r="X839" s="367"/>
      <c r="Y839" s="367"/>
      <c r="Z839" s="367"/>
      <c r="AA839" s="367"/>
      <c r="AB839" s="367"/>
      <c r="AC839" s="367">
        <v>-0.06</v>
      </c>
    </row>
    <row r="840" spans="1:29" ht="15" x14ac:dyDescent="0.25">
      <c r="A840" s="365" t="s">
        <v>266</v>
      </c>
      <c r="H840" s="366">
        <v>23</v>
      </c>
      <c r="J840" s="367"/>
      <c r="K840" s="367"/>
      <c r="L840" s="367">
        <v>87</v>
      </c>
      <c r="M840" s="367">
        <v>6</v>
      </c>
      <c r="N840" s="367">
        <v>73</v>
      </c>
      <c r="O840" s="367"/>
      <c r="P840" s="367"/>
      <c r="Q840" s="367"/>
      <c r="R840" s="367">
        <v>25</v>
      </c>
      <c r="S840" s="367"/>
      <c r="T840" s="367">
        <v>383</v>
      </c>
      <c r="U840" s="367"/>
      <c r="V840" s="367"/>
      <c r="W840" s="367"/>
      <c r="X840" s="367"/>
      <c r="Y840" s="367"/>
      <c r="Z840" s="367"/>
      <c r="AA840" s="367"/>
      <c r="AB840" s="367"/>
      <c r="AC840" s="367"/>
    </row>
    <row r="841" spans="1:29" ht="15" x14ac:dyDescent="0.25">
      <c r="A841" s="365" t="s">
        <v>267</v>
      </c>
      <c r="H841" s="366">
        <v>32</v>
      </c>
      <c r="J841" s="367"/>
      <c r="K841" s="367"/>
      <c r="L841" s="367">
        <v>244</v>
      </c>
      <c r="M841" s="367">
        <v>21</v>
      </c>
      <c r="N841" s="367">
        <v>42</v>
      </c>
      <c r="O841" s="367"/>
      <c r="P841" s="367"/>
      <c r="Q841" s="367"/>
      <c r="R841" s="367">
        <v>144</v>
      </c>
      <c r="S841" s="367">
        <v>1.6</v>
      </c>
      <c r="T841" s="367">
        <v>247</v>
      </c>
      <c r="U841" s="367"/>
      <c r="V841" s="367"/>
      <c r="W841" s="367"/>
      <c r="X841" s="367"/>
      <c r="Y841" s="367"/>
      <c r="Z841" s="367"/>
      <c r="AA841" s="367"/>
      <c r="AB841" s="367"/>
      <c r="AC841" s="367"/>
    </row>
    <row r="842" spans="1:29" ht="15" x14ac:dyDescent="0.25">
      <c r="A842" s="365" t="s">
        <v>268</v>
      </c>
      <c r="H842" s="366">
        <v>55</v>
      </c>
      <c r="J842" s="367"/>
      <c r="K842" s="367"/>
      <c r="L842" s="367">
        <v>955</v>
      </c>
      <c r="M842" s="367">
        <v>31</v>
      </c>
      <c r="N842" s="367">
        <v>13</v>
      </c>
      <c r="O842" s="367"/>
      <c r="P842" s="367">
        <v>133</v>
      </c>
      <c r="Q842" s="367"/>
      <c r="R842" s="367">
        <v>56</v>
      </c>
      <c r="S842" s="367">
        <v>10</v>
      </c>
      <c r="T842" s="367">
        <v>6</v>
      </c>
      <c r="U842" s="367"/>
      <c r="V842" s="367"/>
      <c r="W842" s="367"/>
      <c r="X842" s="367"/>
      <c r="Y842" s="367"/>
      <c r="Z842" s="367"/>
      <c r="AA842" s="367"/>
      <c r="AB842" s="367"/>
      <c r="AC842" s="367"/>
    </row>
    <row r="843" spans="1:29" ht="15" x14ac:dyDescent="0.25">
      <c r="A843" s="365" t="s">
        <v>269</v>
      </c>
      <c r="H843" s="366">
        <v>60</v>
      </c>
      <c r="J843" s="367"/>
      <c r="K843" s="367"/>
      <c r="L843" s="367">
        <v>409</v>
      </c>
      <c r="M843" s="367">
        <v>12</v>
      </c>
      <c r="N843" s="367">
        <v>29</v>
      </c>
      <c r="O843" s="367"/>
      <c r="P843" s="367">
        <v>89</v>
      </c>
      <c r="Q843" s="367"/>
      <c r="R843" s="367">
        <v>182</v>
      </c>
      <c r="S843" s="367">
        <v>3.8</v>
      </c>
      <c r="T843" s="367">
        <v>149</v>
      </c>
      <c r="U843" s="367"/>
      <c r="V843" s="367"/>
      <c r="W843" s="367"/>
      <c r="X843" s="367"/>
      <c r="Y843" s="367"/>
      <c r="Z843" s="367"/>
      <c r="AA843" s="367">
        <v>2.4500000000000002</v>
      </c>
      <c r="AB843" s="367"/>
      <c r="AC843" s="367">
        <v>0.13</v>
      </c>
    </row>
    <row r="844" spans="1:29" ht="15" x14ac:dyDescent="0.25">
      <c r="A844" s="365" t="s">
        <v>270</v>
      </c>
      <c r="H844" s="366">
        <v>95</v>
      </c>
      <c r="J844" s="367"/>
      <c r="K844" s="367"/>
      <c r="L844" s="367">
        <v>1400</v>
      </c>
      <c r="M844" s="367">
        <v>196</v>
      </c>
      <c r="N844" s="367">
        <v>79</v>
      </c>
      <c r="O844" s="367"/>
      <c r="P844" s="367">
        <v>233</v>
      </c>
      <c r="Q844" s="367"/>
      <c r="R844" s="367">
        <v>2430</v>
      </c>
      <c r="S844" s="367">
        <v>1.5</v>
      </c>
      <c r="T844" s="367">
        <v>79</v>
      </c>
      <c r="U844" s="367"/>
      <c r="V844" s="367"/>
      <c r="W844" s="367"/>
      <c r="X844" s="367"/>
      <c r="Y844" s="367"/>
      <c r="Z844" s="367"/>
      <c r="AA844" s="367"/>
      <c r="AB844" s="367"/>
      <c r="AC844" s="367"/>
    </row>
    <row r="845" spans="1:29" ht="15" x14ac:dyDescent="0.25">
      <c r="A845" s="365" t="s">
        <v>446</v>
      </c>
      <c r="H845" s="366">
        <v>48</v>
      </c>
      <c r="J845" s="367"/>
      <c r="K845" s="367"/>
      <c r="L845" s="367">
        <v>130</v>
      </c>
      <c r="M845" s="367">
        <v>0.7</v>
      </c>
      <c r="N845" s="367">
        <v>2.7</v>
      </c>
      <c r="O845" s="367"/>
      <c r="P845" s="367">
        <v>53</v>
      </c>
      <c r="Q845" s="367"/>
      <c r="R845" s="367">
        <v>31</v>
      </c>
      <c r="S845" s="367">
        <v>3.8</v>
      </c>
      <c r="T845" s="367">
        <v>10</v>
      </c>
      <c r="U845" s="367"/>
      <c r="V845" s="367"/>
      <c r="W845" s="367"/>
      <c r="X845" s="367"/>
      <c r="Y845" s="367"/>
      <c r="Z845" s="367"/>
      <c r="AA845" s="367"/>
      <c r="AB845" s="367"/>
      <c r="AC845" s="367">
        <v>-0.02</v>
      </c>
    </row>
    <row r="846" spans="1:29" ht="15" x14ac:dyDescent="0.25">
      <c r="A846" s="365" t="s">
        <v>446</v>
      </c>
      <c r="H846" s="366">
        <v>50</v>
      </c>
      <c r="J846" s="367"/>
      <c r="K846" s="367"/>
      <c r="L846" s="367">
        <v>150</v>
      </c>
      <c r="M846" s="367">
        <v>1.1000000000000001</v>
      </c>
      <c r="N846" s="367">
        <v>4</v>
      </c>
      <c r="O846" s="367"/>
      <c r="P846" s="367">
        <v>116</v>
      </c>
      <c r="Q846" s="367"/>
      <c r="R846" s="367">
        <v>38</v>
      </c>
      <c r="S846" s="367">
        <v>3</v>
      </c>
      <c r="T846" s="367">
        <v>2.5</v>
      </c>
      <c r="U846" s="367"/>
      <c r="V846" s="367"/>
      <c r="W846" s="367"/>
      <c r="X846" s="367"/>
      <c r="Y846" s="367"/>
      <c r="Z846" s="367"/>
      <c r="AA846" s="367"/>
      <c r="AB846" s="367"/>
      <c r="AC846" s="367"/>
    </row>
    <row r="847" spans="1:29" ht="15" x14ac:dyDescent="0.25">
      <c r="A847" s="365" t="s">
        <v>271</v>
      </c>
      <c r="H847" s="366">
        <v>48</v>
      </c>
      <c r="J847" s="367"/>
      <c r="K847" s="367"/>
      <c r="L847" s="367">
        <v>130</v>
      </c>
      <c r="M847" s="367">
        <v>0.7</v>
      </c>
      <c r="N847" s="367">
        <v>3</v>
      </c>
      <c r="O847" s="367"/>
      <c r="P847" s="367">
        <v>53</v>
      </c>
      <c r="Q847" s="367"/>
      <c r="R847" s="367">
        <v>31</v>
      </c>
      <c r="S847" s="367">
        <v>3.7</v>
      </c>
      <c r="T847" s="367">
        <v>10</v>
      </c>
      <c r="U847" s="367"/>
      <c r="V847" s="367"/>
      <c r="W847" s="367"/>
      <c r="X847" s="367"/>
      <c r="Y847" s="367"/>
      <c r="Z847" s="367"/>
      <c r="AA847" s="367"/>
      <c r="AB847" s="367"/>
      <c r="AC847" s="367"/>
    </row>
    <row r="848" spans="1:29" ht="15" x14ac:dyDescent="0.25">
      <c r="A848" s="365" t="s">
        <v>273</v>
      </c>
      <c r="H848" s="366">
        <v>28</v>
      </c>
      <c r="J848" s="367"/>
      <c r="K848" s="367"/>
      <c r="L848" s="367">
        <v>134</v>
      </c>
      <c r="M848" s="367">
        <v>12</v>
      </c>
      <c r="N848" s="367">
        <v>295</v>
      </c>
      <c r="O848" s="367"/>
      <c r="P848" s="367">
        <v>123</v>
      </c>
      <c r="Q848" s="367"/>
      <c r="R848" s="367">
        <v>19</v>
      </c>
      <c r="S848" s="367"/>
      <c r="T848" s="367"/>
      <c r="U848" s="367"/>
      <c r="V848" s="367"/>
      <c r="W848" s="367"/>
      <c r="X848" s="367"/>
      <c r="Y848" s="367"/>
      <c r="Z848" s="367"/>
      <c r="AA848" s="367"/>
      <c r="AB848" s="367"/>
      <c r="AC848" s="367"/>
    </row>
    <row r="849" spans="1:29" ht="15" x14ac:dyDescent="0.25">
      <c r="A849" s="365" t="s">
        <v>274</v>
      </c>
      <c r="H849" s="366">
        <v>44</v>
      </c>
      <c r="J849" s="367"/>
      <c r="K849" s="367"/>
      <c r="L849" s="367">
        <v>15</v>
      </c>
      <c r="M849" s="367">
        <v>1.2</v>
      </c>
      <c r="N849" s="367">
        <v>21</v>
      </c>
      <c r="O849" s="367"/>
      <c r="P849" s="367">
        <v>29</v>
      </c>
      <c r="Q849" s="367"/>
      <c r="R849" s="367">
        <v>5</v>
      </c>
      <c r="S849" s="367">
        <v>0.4</v>
      </c>
      <c r="T849" s="367">
        <v>6</v>
      </c>
      <c r="U849" s="367"/>
      <c r="V849" s="367"/>
      <c r="W849" s="367"/>
      <c r="X849" s="367"/>
      <c r="Y849" s="367"/>
      <c r="Z849" s="367"/>
      <c r="AA849" s="367"/>
      <c r="AB849" s="367"/>
      <c r="AC849" s="367"/>
    </row>
    <row r="850" spans="1:29" ht="15" x14ac:dyDescent="0.25">
      <c r="A850" s="365" t="s">
        <v>275</v>
      </c>
      <c r="H850" s="366">
        <v>30</v>
      </c>
      <c r="J850" s="367"/>
      <c r="K850" s="367"/>
      <c r="L850" s="367">
        <v>196</v>
      </c>
      <c r="M850" s="367">
        <v>11.8</v>
      </c>
      <c r="N850" s="367">
        <v>105</v>
      </c>
      <c r="O850" s="367"/>
      <c r="P850" s="367">
        <v>149</v>
      </c>
      <c r="Q850" s="367"/>
      <c r="R850" s="367">
        <v>169</v>
      </c>
      <c r="S850" s="367"/>
      <c r="T850" s="367">
        <v>0.2</v>
      </c>
      <c r="U850" s="367"/>
      <c r="V850" s="367"/>
      <c r="W850" s="367"/>
      <c r="X850" s="367"/>
      <c r="Y850" s="367"/>
      <c r="Z850" s="367"/>
      <c r="AA850" s="367">
        <v>0.9</v>
      </c>
      <c r="AB850" s="367"/>
      <c r="AC850" s="367"/>
    </row>
    <row r="851" spans="1:29" ht="15" x14ac:dyDescent="0.25">
      <c r="A851" s="365" t="s">
        <v>276</v>
      </c>
      <c r="H851" s="366">
        <v>68</v>
      </c>
      <c r="J851" s="367"/>
      <c r="K851" s="367"/>
      <c r="L851" s="367">
        <v>373</v>
      </c>
      <c r="M851" s="367">
        <v>24</v>
      </c>
      <c r="N851" s="367">
        <v>6</v>
      </c>
      <c r="O851" s="367"/>
      <c r="P851" s="367">
        <v>233</v>
      </c>
      <c r="Q851" s="367"/>
      <c r="R851" s="367">
        <v>250</v>
      </c>
      <c r="S851" s="367">
        <v>12</v>
      </c>
      <c r="T851" s="367">
        <v>117</v>
      </c>
      <c r="U851" s="367"/>
      <c r="V851" s="367"/>
      <c r="W851" s="367"/>
      <c r="X851" s="367"/>
      <c r="Y851" s="367"/>
      <c r="Z851" s="367"/>
      <c r="AA851" s="367">
        <v>0.09</v>
      </c>
      <c r="AB851" s="367"/>
      <c r="AC851" s="367">
        <v>0.03</v>
      </c>
    </row>
    <row r="852" spans="1:29" ht="15" x14ac:dyDescent="0.25">
      <c r="A852" s="365" t="s">
        <v>450</v>
      </c>
      <c r="H852" s="366"/>
      <c r="J852" s="367"/>
      <c r="K852" s="367"/>
      <c r="L852" s="367"/>
      <c r="M852" s="367"/>
      <c r="N852" s="367"/>
      <c r="O852" s="367"/>
      <c r="P852" s="367"/>
      <c r="Q852" s="367"/>
      <c r="R852" s="367">
        <v>250</v>
      </c>
      <c r="S852" s="367"/>
      <c r="T852" s="367"/>
      <c r="U852" s="367"/>
      <c r="V852" s="367"/>
      <c r="W852" s="367"/>
      <c r="X852" s="367"/>
      <c r="Y852" s="367"/>
      <c r="Z852" s="367"/>
      <c r="AA852" s="367"/>
      <c r="AB852" s="367"/>
      <c r="AC852" s="367"/>
    </row>
    <row r="853" spans="1:29" ht="15" x14ac:dyDescent="0.25">
      <c r="A853" s="365" t="s">
        <v>450</v>
      </c>
      <c r="H853" s="366"/>
      <c r="J853" s="367"/>
      <c r="K853" s="367"/>
      <c r="L853" s="367">
        <v>350</v>
      </c>
      <c r="M853" s="367">
        <v>23</v>
      </c>
      <c r="N853" s="367">
        <v>5.7</v>
      </c>
      <c r="O853" s="367"/>
      <c r="P853" s="367">
        <v>215</v>
      </c>
      <c r="Q853" s="367"/>
      <c r="R853" s="367">
        <v>250</v>
      </c>
      <c r="S853" s="367"/>
      <c r="T853" s="367"/>
      <c r="U853" s="367"/>
      <c r="V853" s="367"/>
      <c r="W853" s="367"/>
      <c r="X853" s="367"/>
      <c r="Y853" s="367"/>
      <c r="Z853" s="367"/>
      <c r="AA853" s="367"/>
      <c r="AB853" s="367"/>
      <c r="AC853" s="367"/>
    </row>
    <row r="854" spans="1:29" ht="15" x14ac:dyDescent="0.25">
      <c r="A854" s="365" t="s">
        <v>385</v>
      </c>
      <c r="H854" s="366">
        <v>60</v>
      </c>
      <c r="J854" s="367"/>
      <c r="K854" s="367"/>
      <c r="L854" s="367">
        <v>380</v>
      </c>
      <c r="M854" s="367">
        <v>25</v>
      </c>
      <c r="N854" s="367">
        <v>3.3</v>
      </c>
      <c r="O854" s="367"/>
      <c r="P854" s="367">
        <v>300</v>
      </c>
      <c r="Q854" s="367"/>
      <c r="R854" s="367">
        <v>250</v>
      </c>
      <c r="S854" s="367">
        <v>11</v>
      </c>
      <c r="T854" s="367">
        <v>120</v>
      </c>
      <c r="U854" s="367"/>
      <c r="V854" s="367"/>
      <c r="W854" s="367"/>
      <c r="X854" s="367"/>
      <c r="Y854" s="367"/>
      <c r="Z854" s="367"/>
      <c r="AA854" s="367">
        <v>0.1</v>
      </c>
      <c r="AB854" s="367"/>
      <c r="AC854" s="367">
        <v>-0.03</v>
      </c>
    </row>
    <row r="855" spans="1:29" ht="15" x14ac:dyDescent="0.25">
      <c r="A855" s="365" t="s">
        <v>461</v>
      </c>
      <c r="H855" s="366">
        <v>90</v>
      </c>
      <c r="J855" s="367"/>
      <c r="K855" s="367"/>
      <c r="L855" s="367">
        <v>400</v>
      </c>
      <c r="M855" s="367">
        <v>24</v>
      </c>
      <c r="N855" s="367">
        <v>1.6</v>
      </c>
      <c r="O855" s="367"/>
      <c r="P855" s="367">
        <v>150</v>
      </c>
      <c r="Q855" s="367"/>
      <c r="R855" s="367">
        <v>220</v>
      </c>
      <c r="S855" s="367">
        <v>9.6</v>
      </c>
      <c r="T855" s="367">
        <v>100</v>
      </c>
      <c r="U855" s="367"/>
      <c r="V855" s="367"/>
      <c r="W855" s="367"/>
      <c r="X855" s="367"/>
      <c r="Y855" s="367"/>
      <c r="Z855" s="367"/>
      <c r="AA855" s="367"/>
      <c r="AB855" s="367"/>
      <c r="AC855" s="367">
        <v>-0.1</v>
      </c>
    </row>
    <row r="856" spans="1:29" ht="15" x14ac:dyDescent="0.25">
      <c r="A856" s="365" t="s">
        <v>462</v>
      </c>
      <c r="H856" s="366"/>
      <c r="J856" s="367"/>
      <c r="K856" s="367"/>
      <c r="L856" s="367">
        <v>400</v>
      </c>
      <c r="M856" s="367">
        <v>22</v>
      </c>
      <c r="N856" s="367">
        <v>6.8</v>
      </c>
      <c r="O856" s="367"/>
      <c r="P856" s="367">
        <v>160</v>
      </c>
      <c r="Q856" s="367"/>
      <c r="R856" s="367">
        <v>220</v>
      </c>
      <c r="S856" s="367">
        <v>9.4</v>
      </c>
      <c r="T856" s="367">
        <v>100</v>
      </c>
      <c r="U856" s="367"/>
      <c r="V856" s="367"/>
      <c r="W856" s="367"/>
      <c r="X856" s="367"/>
      <c r="Y856" s="367"/>
      <c r="Z856" s="367"/>
      <c r="AA856" s="367"/>
      <c r="AB856" s="367"/>
      <c r="AC856" s="367"/>
    </row>
    <row r="857" spans="1:29" ht="15" x14ac:dyDescent="0.25">
      <c r="A857" s="365" t="s">
        <v>462</v>
      </c>
      <c r="H857" s="366">
        <v>90</v>
      </c>
      <c r="J857" s="367"/>
      <c r="K857" s="367"/>
      <c r="L857" s="367">
        <v>400</v>
      </c>
      <c r="M857" s="367">
        <v>24</v>
      </c>
      <c r="N857" s="367">
        <v>3</v>
      </c>
      <c r="O857" s="367"/>
      <c r="P857" s="367">
        <v>150</v>
      </c>
      <c r="Q857" s="367"/>
      <c r="R857" s="367">
        <v>220</v>
      </c>
      <c r="S857" s="367">
        <v>9.8000000000000007</v>
      </c>
      <c r="T857" s="367">
        <v>93</v>
      </c>
      <c r="U857" s="367"/>
      <c r="V857" s="367"/>
      <c r="W857" s="367"/>
      <c r="X857" s="367"/>
      <c r="Y857" s="367"/>
      <c r="Z857" s="367"/>
      <c r="AA857" s="367"/>
      <c r="AB857" s="367"/>
      <c r="AC857" s="367">
        <v>-0.1</v>
      </c>
    </row>
    <row r="858" spans="1:29" ht="15" x14ac:dyDescent="0.25">
      <c r="A858" s="365" t="s">
        <v>461</v>
      </c>
      <c r="H858" s="366"/>
      <c r="J858" s="367"/>
      <c r="K858" s="367"/>
      <c r="L858" s="367">
        <v>380</v>
      </c>
      <c r="M858" s="367">
        <v>22</v>
      </c>
      <c r="N858" s="367">
        <v>1.8</v>
      </c>
      <c r="O858" s="367"/>
      <c r="P858" s="367">
        <v>140</v>
      </c>
      <c r="Q858" s="367"/>
      <c r="R858" s="367">
        <v>220</v>
      </c>
      <c r="S858" s="367">
        <v>9.5</v>
      </c>
      <c r="T858" s="367">
        <v>94</v>
      </c>
      <c r="U858" s="367"/>
      <c r="V858" s="367"/>
      <c r="W858" s="367"/>
      <c r="X858" s="367"/>
      <c r="Y858" s="367"/>
      <c r="Z858" s="367"/>
      <c r="AA858" s="367"/>
      <c r="AB858" s="367"/>
      <c r="AC858" s="367"/>
    </row>
    <row r="859" spans="1:29" ht="15" x14ac:dyDescent="0.25">
      <c r="A859" s="365" t="s">
        <v>277</v>
      </c>
      <c r="H859" s="366">
        <v>88</v>
      </c>
      <c r="J859" s="367"/>
      <c r="K859" s="367"/>
      <c r="L859" s="367">
        <v>350</v>
      </c>
      <c r="M859" s="367">
        <v>20</v>
      </c>
      <c r="N859" s="367">
        <v>4.4000000000000004</v>
      </c>
      <c r="O859" s="367"/>
      <c r="P859" s="367">
        <v>131</v>
      </c>
      <c r="Q859" s="367"/>
      <c r="R859" s="367">
        <v>200</v>
      </c>
      <c r="S859" s="367">
        <v>10</v>
      </c>
      <c r="T859" s="367">
        <v>90</v>
      </c>
      <c r="U859" s="367"/>
      <c r="V859" s="367"/>
      <c r="W859" s="367"/>
      <c r="X859" s="367"/>
      <c r="Y859" s="367"/>
      <c r="Z859" s="367"/>
      <c r="AA859" s="367"/>
      <c r="AB859" s="367"/>
      <c r="AC859" s="367"/>
    </row>
    <row r="860" spans="1:29" ht="15" x14ac:dyDescent="0.25">
      <c r="A860" s="365" t="s">
        <v>278</v>
      </c>
      <c r="H860" s="366">
        <v>46.3</v>
      </c>
      <c r="J860" s="367"/>
      <c r="K860" s="367"/>
      <c r="L860" s="367">
        <v>254</v>
      </c>
      <c r="M860" s="367">
        <v>21.7</v>
      </c>
      <c r="N860" s="367">
        <v>31.6</v>
      </c>
      <c r="O860" s="367"/>
      <c r="P860" s="367">
        <v>156</v>
      </c>
      <c r="Q860" s="367"/>
      <c r="R860" s="367">
        <v>457</v>
      </c>
      <c r="S860" s="367"/>
      <c r="T860" s="367">
        <v>0.1</v>
      </c>
      <c r="U860" s="367"/>
      <c r="V860" s="367"/>
      <c r="W860" s="367"/>
      <c r="X860" s="367"/>
      <c r="Y860" s="367"/>
      <c r="Z860" s="367"/>
      <c r="AA860" s="367">
        <v>1</v>
      </c>
      <c r="AB860" s="367"/>
      <c r="AC860" s="367"/>
    </row>
    <row r="861" spans="1:29" ht="15" x14ac:dyDescent="0.25">
      <c r="A861" s="365" t="s">
        <v>522</v>
      </c>
      <c r="H861" s="366">
        <v>46</v>
      </c>
      <c r="J861" s="367"/>
      <c r="K861" s="367"/>
      <c r="L861" s="367">
        <v>140</v>
      </c>
      <c r="M861" s="367">
        <v>6.2</v>
      </c>
      <c r="N861" s="367">
        <v>61</v>
      </c>
      <c r="O861" s="367"/>
      <c r="P861" s="367">
        <v>150</v>
      </c>
      <c r="Q861" s="367"/>
      <c r="R861" s="367">
        <v>6.7</v>
      </c>
      <c r="S861" s="367">
        <v>4.8</v>
      </c>
      <c r="T861" s="367">
        <v>33</v>
      </c>
      <c r="U861" s="367"/>
      <c r="V861" s="367"/>
      <c r="W861" s="367"/>
      <c r="X861" s="367"/>
      <c r="Y861" s="367"/>
      <c r="Z861" s="367"/>
      <c r="AA861" s="367"/>
      <c r="AB861" s="367"/>
      <c r="AC861" s="367">
        <v>-0.02</v>
      </c>
    </row>
    <row r="862" spans="1:29" ht="15" x14ac:dyDescent="0.25">
      <c r="A862" s="365" t="s">
        <v>279</v>
      </c>
      <c r="H862" s="366">
        <v>46</v>
      </c>
      <c r="J862" s="367"/>
      <c r="K862" s="367"/>
      <c r="L862" s="367">
        <v>140</v>
      </c>
      <c r="M862" s="367">
        <v>6.2</v>
      </c>
      <c r="N862" s="367">
        <v>61</v>
      </c>
      <c r="O862" s="367"/>
      <c r="P862" s="367">
        <v>150</v>
      </c>
      <c r="Q862" s="367"/>
      <c r="R862" s="367">
        <v>7</v>
      </c>
      <c r="S862" s="367">
        <v>4.8</v>
      </c>
      <c r="T862" s="367">
        <v>33</v>
      </c>
      <c r="U862" s="367"/>
      <c r="V862" s="367"/>
      <c r="W862" s="367"/>
      <c r="X862" s="367"/>
      <c r="Y862" s="367"/>
      <c r="Z862" s="367"/>
      <c r="AA862" s="367"/>
      <c r="AB862" s="367"/>
      <c r="AC862" s="367"/>
    </row>
    <row r="863" spans="1:29" ht="15" x14ac:dyDescent="0.25">
      <c r="A863" s="365" t="s">
        <v>280</v>
      </c>
      <c r="H863" s="366">
        <v>32</v>
      </c>
      <c r="J863" s="367"/>
      <c r="K863" s="367"/>
      <c r="L863" s="367">
        <v>4160</v>
      </c>
      <c r="M863" s="367">
        <v>149</v>
      </c>
      <c r="N863" s="367">
        <v>327</v>
      </c>
      <c r="O863" s="367"/>
      <c r="P863" s="367">
        <v>41</v>
      </c>
      <c r="Q863" s="367"/>
      <c r="R863" s="367">
        <v>8030</v>
      </c>
      <c r="S863" s="367">
        <v>2.5</v>
      </c>
      <c r="T863" s="367">
        <v>704</v>
      </c>
      <c r="U863" s="367"/>
      <c r="V863" s="367"/>
      <c r="W863" s="367"/>
      <c r="X863" s="367"/>
      <c r="Y863" s="367"/>
      <c r="Z863" s="367"/>
      <c r="AA863" s="367"/>
      <c r="AB863" s="367"/>
      <c r="AC863" s="367"/>
    </row>
    <row r="864" spans="1:29" ht="15" x14ac:dyDescent="0.25">
      <c r="A864" s="365" t="s">
        <v>281</v>
      </c>
      <c r="H864" s="366">
        <v>23</v>
      </c>
      <c r="J864" s="367"/>
      <c r="K864" s="367"/>
      <c r="L864" s="367">
        <v>375</v>
      </c>
      <c r="M864" s="367">
        <v>2.8</v>
      </c>
      <c r="N864" s="367">
        <v>540</v>
      </c>
      <c r="O864" s="367"/>
      <c r="P864" s="367">
        <v>29</v>
      </c>
      <c r="Q864" s="367"/>
      <c r="R864" s="367">
        <v>196</v>
      </c>
      <c r="S864" s="367">
        <v>2</v>
      </c>
      <c r="T864" s="367">
        <v>1760</v>
      </c>
      <c r="U864" s="367"/>
      <c r="V864" s="367"/>
      <c r="W864" s="367"/>
      <c r="X864" s="367"/>
      <c r="Y864" s="367"/>
      <c r="Z864" s="367"/>
      <c r="AA864" s="367"/>
      <c r="AB864" s="367"/>
      <c r="AC864" s="367"/>
    </row>
    <row r="865" spans="1:29" ht="15" x14ac:dyDescent="0.25">
      <c r="A865" s="365" t="s">
        <v>282</v>
      </c>
      <c r="H865" s="366">
        <v>49</v>
      </c>
      <c r="J865" s="367"/>
      <c r="K865" s="367"/>
      <c r="L865" s="367">
        <v>92</v>
      </c>
      <c r="M865" s="367">
        <v>1.6</v>
      </c>
      <c r="N865" s="367">
        <v>2.8</v>
      </c>
      <c r="O865" s="367"/>
      <c r="P865" s="367">
        <v>79</v>
      </c>
      <c r="Q865" s="367"/>
      <c r="R865" s="367">
        <v>69</v>
      </c>
      <c r="S865" s="367">
        <v>8</v>
      </c>
      <c r="T865" s="367">
        <v>26</v>
      </c>
      <c r="U865" s="367"/>
      <c r="V865" s="367"/>
      <c r="W865" s="367"/>
      <c r="X865" s="367"/>
      <c r="Y865" s="367"/>
      <c r="Z865" s="367"/>
      <c r="AA865" s="367"/>
      <c r="AB865" s="367"/>
      <c r="AC865" s="367"/>
    </row>
    <row r="866" spans="1:29" ht="15" x14ac:dyDescent="0.25">
      <c r="A866" s="365" t="s">
        <v>283</v>
      </c>
      <c r="H866" s="366">
        <v>21</v>
      </c>
      <c r="J866" s="367"/>
      <c r="K866" s="367"/>
      <c r="L866" s="367">
        <v>367</v>
      </c>
      <c r="M866" s="367">
        <v>1.4</v>
      </c>
      <c r="N866" s="367">
        <v>110</v>
      </c>
      <c r="O866" s="367"/>
      <c r="P866" s="367">
        <v>44</v>
      </c>
      <c r="Q866" s="367"/>
      <c r="R866" s="367">
        <v>640</v>
      </c>
      <c r="S866" s="367">
        <v>0.8</v>
      </c>
      <c r="T866" s="367">
        <v>411</v>
      </c>
      <c r="U866" s="367"/>
      <c r="V866" s="367"/>
      <c r="W866" s="367"/>
      <c r="X866" s="367"/>
      <c r="Y866" s="367"/>
      <c r="Z866" s="367"/>
      <c r="AA866" s="367"/>
      <c r="AB866" s="367"/>
      <c r="AC866" s="367"/>
    </row>
    <row r="867" spans="1:29" ht="15" x14ac:dyDescent="0.25">
      <c r="A867" s="365" t="s">
        <v>284</v>
      </c>
      <c r="H867" s="366">
        <v>43</v>
      </c>
      <c r="J867" s="367"/>
      <c r="K867" s="367"/>
      <c r="L867" s="367">
        <v>163</v>
      </c>
      <c r="M867" s="367">
        <v>1.2</v>
      </c>
      <c r="N867" s="367">
        <v>4.4000000000000004</v>
      </c>
      <c r="O867" s="367"/>
      <c r="P867" s="367"/>
      <c r="Q867" s="367"/>
      <c r="R867" s="367">
        <v>101</v>
      </c>
      <c r="S867" s="367">
        <v>2.8</v>
      </c>
      <c r="T867" s="367">
        <v>36</v>
      </c>
      <c r="U867" s="367"/>
      <c r="V867" s="367"/>
      <c r="W867" s="367"/>
      <c r="X867" s="367"/>
      <c r="Y867" s="367"/>
      <c r="Z867" s="367"/>
      <c r="AA867" s="367"/>
      <c r="AB867" s="367"/>
      <c r="AC867" s="367"/>
    </row>
    <row r="868" spans="1:29" ht="15" x14ac:dyDescent="0.25">
      <c r="A868" s="365" t="s">
        <v>285</v>
      </c>
      <c r="H868" s="366">
        <v>28</v>
      </c>
      <c r="J868" s="367"/>
      <c r="K868" s="367"/>
      <c r="L868" s="367">
        <v>83</v>
      </c>
      <c r="M868" s="367">
        <v>6</v>
      </c>
      <c r="N868" s="367">
        <v>5</v>
      </c>
      <c r="O868" s="367"/>
      <c r="P868" s="367"/>
      <c r="Q868" s="367"/>
      <c r="R868" s="367">
        <v>22</v>
      </c>
      <c r="S868" s="367">
        <v>1.9</v>
      </c>
      <c r="T868" s="367">
        <v>16</v>
      </c>
      <c r="U868" s="367"/>
      <c r="V868" s="367"/>
      <c r="W868" s="367"/>
      <c r="X868" s="367"/>
      <c r="Y868" s="367"/>
      <c r="Z868" s="367"/>
      <c r="AA868" s="367"/>
      <c r="AB868" s="367"/>
      <c r="AC868" s="367"/>
    </row>
    <row r="869" spans="1:29" ht="15" x14ac:dyDescent="0.25">
      <c r="A869" s="365" t="s">
        <v>285</v>
      </c>
      <c r="H869" s="366">
        <v>41</v>
      </c>
      <c r="J869" s="367"/>
      <c r="K869" s="367"/>
      <c r="L869" s="367">
        <v>320</v>
      </c>
      <c r="M869" s="367">
        <v>28</v>
      </c>
      <c r="N869" s="367">
        <v>23</v>
      </c>
      <c r="O869" s="367"/>
      <c r="P869" s="367">
        <v>205</v>
      </c>
      <c r="Q869" s="367"/>
      <c r="R869" s="367">
        <v>150</v>
      </c>
      <c r="S869" s="367">
        <v>4.5999999999999996</v>
      </c>
      <c r="T869" s="367">
        <v>59</v>
      </c>
      <c r="U869" s="367"/>
      <c r="V869" s="367"/>
      <c r="W869" s="367"/>
      <c r="X869" s="367"/>
      <c r="Y869" s="367"/>
      <c r="Z869" s="367"/>
      <c r="AA869" s="367"/>
      <c r="AB869" s="367"/>
      <c r="AC869" s="367"/>
    </row>
    <row r="870" spans="1:29" ht="15" x14ac:dyDescent="0.25">
      <c r="A870" s="365" t="s">
        <v>459</v>
      </c>
      <c r="H870" s="366">
        <v>41</v>
      </c>
      <c r="J870" s="367"/>
      <c r="K870" s="367"/>
      <c r="L870" s="367">
        <v>320</v>
      </c>
      <c r="M870" s="367">
        <v>28</v>
      </c>
      <c r="N870" s="367">
        <v>23</v>
      </c>
      <c r="O870" s="367"/>
      <c r="P870" s="367">
        <v>205</v>
      </c>
      <c r="Q870" s="367"/>
      <c r="R870" s="367">
        <v>150</v>
      </c>
      <c r="S870" s="367">
        <v>4.5999999999999996</v>
      </c>
      <c r="T870" s="367">
        <v>59</v>
      </c>
      <c r="U870" s="367"/>
      <c r="V870" s="367"/>
      <c r="W870" s="367"/>
      <c r="X870" s="367"/>
      <c r="Y870" s="367"/>
      <c r="Z870" s="367"/>
      <c r="AA870" s="367"/>
      <c r="AB870" s="367"/>
      <c r="AC870" s="367">
        <v>0.45</v>
      </c>
    </row>
    <row r="871" spans="1:29" ht="15" x14ac:dyDescent="0.25">
      <c r="A871" s="365" t="s">
        <v>285</v>
      </c>
      <c r="H871" s="366">
        <v>42</v>
      </c>
      <c r="J871" s="367"/>
      <c r="K871" s="367"/>
      <c r="L871" s="367">
        <v>510</v>
      </c>
      <c r="M871" s="367">
        <v>43</v>
      </c>
      <c r="N871" s="367">
        <v>180</v>
      </c>
      <c r="O871" s="367"/>
      <c r="P871" s="367">
        <v>97</v>
      </c>
      <c r="Q871" s="367"/>
      <c r="R871" s="367">
        <v>85</v>
      </c>
      <c r="S871" s="367">
        <v>1.1000000000000001</v>
      </c>
      <c r="T871" s="367">
        <v>48</v>
      </c>
      <c r="U871" s="367"/>
      <c r="V871" s="367"/>
      <c r="W871" s="367"/>
      <c r="X871" s="367"/>
      <c r="Y871" s="367"/>
      <c r="Z871" s="367"/>
      <c r="AA871" s="367"/>
      <c r="AB871" s="367"/>
      <c r="AC871" s="367"/>
    </row>
    <row r="872" spans="1:29" ht="15" x14ac:dyDescent="0.25">
      <c r="A872" s="365" t="s">
        <v>285</v>
      </c>
      <c r="H872" s="366"/>
      <c r="J872" s="367"/>
      <c r="K872" s="367"/>
      <c r="L872" s="367">
        <v>114</v>
      </c>
      <c r="M872" s="367">
        <v>2.8</v>
      </c>
      <c r="N872" s="367">
        <v>7</v>
      </c>
      <c r="O872" s="367"/>
      <c r="P872" s="367">
        <v>52</v>
      </c>
      <c r="Q872" s="367"/>
      <c r="R872" s="367">
        <v>77</v>
      </c>
      <c r="S872" s="367">
        <v>7</v>
      </c>
      <c r="T872" s="367">
        <v>53</v>
      </c>
      <c r="U872" s="367"/>
      <c r="V872" s="367"/>
      <c r="W872" s="367"/>
      <c r="X872" s="367"/>
      <c r="Y872" s="367"/>
      <c r="Z872" s="367"/>
      <c r="AA872" s="367"/>
      <c r="AB872" s="367"/>
      <c r="AC872" s="367"/>
    </row>
    <row r="873" spans="1:29" ht="15" x14ac:dyDescent="0.25">
      <c r="A873" s="365" t="s">
        <v>286</v>
      </c>
      <c r="H873" s="366">
        <v>22</v>
      </c>
      <c r="J873" s="367"/>
      <c r="K873" s="367"/>
      <c r="L873" s="367">
        <v>604</v>
      </c>
      <c r="M873" s="367">
        <v>34</v>
      </c>
      <c r="N873" s="367">
        <v>218</v>
      </c>
      <c r="O873" s="367"/>
      <c r="P873" s="367">
        <v>95</v>
      </c>
      <c r="Q873" s="367"/>
      <c r="R873" s="367">
        <v>940</v>
      </c>
      <c r="S873" s="367">
        <v>0.7</v>
      </c>
      <c r="T873" s="367">
        <v>261</v>
      </c>
      <c r="U873" s="367"/>
      <c r="V873" s="367"/>
      <c r="W873" s="367"/>
      <c r="X873" s="367"/>
      <c r="Y873" s="367"/>
      <c r="Z873" s="367"/>
      <c r="AA873" s="367"/>
      <c r="AB873" s="367"/>
      <c r="AC873" s="367"/>
    </row>
    <row r="874" spans="1:29" ht="15" x14ac:dyDescent="0.25">
      <c r="A874" s="365" t="s">
        <v>287</v>
      </c>
      <c r="H874" s="366">
        <v>35</v>
      </c>
      <c r="J874" s="367"/>
      <c r="K874" s="367"/>
      <c r="L874" s="367">
        <v>63</v>
      </c>
      <c r="M874" s="367">
        <v>2</v>
      </c>
      <c r="N874" s="367">
        <v>55</v>
      </c>
      <c r="O874" s="367"/>
      <c r="P874" s="367"/>
      <c r="Q874" s="367"/>
      <c r="R874" s="367">
        <v>72</v>
      </c>
      <c r="S874" s="367">
        <v>0.6</v>
      </c>
      <c r="T874" s="367">
        <v>64</v>
      </c>
      <c r="U874" s="367"/>
      <c r="V874" s="367"/>
      <c r="W874" s="367"/>
      <c r="X874" s="367"/>
      <c r="Y874" s="367"/>
      <c r="Z874" s="367"/>
      <c r="AA874" s="367"/>
      <c r="AB874" s="367"/>
      <c r="AC874" s="367"/>
    </row>
    <row r="875" spans="1:29" ht="15" x14ac:dyDescent="0.25">
      <c r="A875" s="365" t="s">
        <v>288</v>
      </c>
      <c r="H875" s="366">
        <v>84</v>
      </c>
      <c r="J875" s="367"/>
      <c r="K875" s="367"/>
      <c r="L875" s="367">
        <v>14</v>
      </c>
      <c r="M875" s="367">
        <v>3.4</v>
      </c>
      <c r="N875" s="367"/>
      <c r="O875" s="367"/>
      <c r="P875" s="367">
        <v>213</v>
      </c>
      <c r="Q875" s="367"/>
      <c r="R875" s="367">
        <v>2</v>
      </c>
      <c r="S875" s="367">
        <v>0.3</v>
      </c>
      <c r="T875" s="367">
        <v>967</v>
      </c>
      <c r="U875" s="367"/>
      <c r="V875" s="367"/>
      <c r="W875" s="367"/>
      <c r="X875" s="367"/>
      <c r="Y875" s="367"/>
      <c r="Z875" s="367"/>
      <c r="AA875" s="367"/>
      <c r="AB875" s="367"/>
      <c r="AC875" s="367"/>
    </row>
    <row r="876" spans="1:29" ht="15" x14ac:dyDescent="0.25">
      <c r="A876" s="365" t="s">
        <v>289</v>
      </c>
      <c r="H876" s="366">
        <v>23</v>
      </c>
      <c r="J876" s="367"/>
      <c r="K876" s="367"/>
      <c r="L876" s="367">
        <v>196</v>
      </c>
      <c r="M876" s="367">
        <v>6</v>
      </c>
      <c r="N876" s="367">
        <v>94</v>
      </c>
      <c r="O876" s="367"/>
      <c r="P876" s="367">
        <v>17</v>
      </c>
      <c r="Q876" s="367"/>
      <c r="R876" s="367">
        <v>124</v>
      </c>
      <c r="S876" s="367">
        <v>0.6</v>
      </c>
      <c r="T876" s="367">
        <v>312</v>
      </c>
      <c r="U876" s="367"/>
      <c r="V876" s="367"/>
      <c r="W876" s="367"/>
      <c r="X876" s="367"/>
      <c r="Y876" s="367"/>
      <c r="Z876" s="367"/>
      <c r="AA876" s="367"/>
      <c r="AB876" s="367"/>
      <c r="AC876" s="367"/>
    </row>
    <row r="877" spans="1:29" ht="15" x14ac:dyDescent="0.25">
      <c r="A877" s="365" t="s">
        <v>290</v>
      </c>
      <c r="H877" s="366">
        <v>42</v>
      </c>
      <c r="J877" s="367"/>
      <c r="K877" s="367"/>
      <c r="L877" s="367">
        <v>465</v>
      </c>
      <c r="M877" s="367">
        <v>5.0999999999999996</v>
      </c>
      <c r="N877" s="367">
        <v>5</v>
      </c>
      <c r="O877" s="367"/>
      <c r="P877" s="367">
        <v>79</v>
      </c>
      <c r="Q877" s="367"/>
      <c r="R877" s="367">
        <v>184</v>
      </c>
      <c r="S877" s="367">
        <v>2.7</v>
      </c>
      <c r="T877" s="367">
        <v>252</v>
      </c>
      <c r="U877" s="367"/>
      <c r="V877" s="367"/>
      <c r="W877" s="367"/>
      <c r="X877" s="367"/>
      <c r="Y877" s="367"/>
      <c r="Z877" s="367"/>
      <c r="AA877" s="367"/>
      <c r="AB877" s="367"/>
      <c r="AC877" s="367"/>
    </row>
    <row r="878" spans="1:29" ht="15" x14ac:dyDescent="0.25">
      <c r="A878" s="365" t="s">
        <v>291</v>
      </c>
      <c r="H878" s="366">
        <v>38</v>
      </c>
      <c r="J878" s="367"/>
      <c r="K878" s="367"/>
      <c r="L878" s="367">
        <v>5540</v>
      </c>
      <c r="M878" s="367">
        <v>307</v>
      </c>
      <c r="N878" s="367">
        <v>360</v>
      </c>
      <c r="O878" s="367"/>
      <c r="P878" s="367">
        <v>71</v>
      </c>
      <c r="Q878" s="367"/>
      <c r="R878" s="367">
        <v>9010</v>
      </c>
      <c r="S878" s="367">
        <v>2.8</v>
      </c>
      <c r="T878" s="367">
        <v>218</v>
      </c>
      <c r="U878" s="367"/>
      <c r="V878" s="367"/>
      <c r="W878" s="367"/>
      <c r="X878" s="367"/>
      <c r="Y878" s="367"/>
      <c r="Z878" s="367"/>
      <c r="AA878" s="367"/>
      <c r="AB878" s="367"/>
      <c r="AC878" s="367"/>
    </row>
    <row r="879" spans="1:29" ht="15" x14ac:dyDescent="0.25">
      <c r="A879" s="365" t="s">
        <v>292</v>
      </c>
      <c r="H879" s="366">
        <v>21</v>
      </c>
      <c r="J879" s="367"/>
      <c r="K879" s="367"/>
      <c r="L879" s="367">
        <v>3100</v>
      </c>
      <c r="M879" s="367">
        <v>53</v>
      </c>
      <c r="N879" s="367">
        <v>431</v>
      </c>
      <c r="O879" s="367"/>
      <c r="P879" s="367">
        <v>16</v>
      </c>
      <c r="Q879" s="367"/>
      <c r="R879" s="367">
        <v>5770</v>
      </c>
      <c r="S879" s="367">
        <v>2.5</v>
      </c>
      <c r="T879" s="367">
        <v>2</v>
      </c>
      <c r="U879" s="367"/>
      <c r="V879" s="367"/>
      <c r="W879" s="367"/>
      <c r="X879" s="367"/>
      <c r="Y879" s="367"/>
      <c r="Z879" s="367"/>
      <c r="AA879" s="367"/>
      <c r="AB879" s="367"/>
      <c r="AC879" s="367"/>
    </row>
    <row r="880" spans="1:29" ht="15" x14ac:dyDescent="0.25">
      <c r="A880" s="365" t="s">
        <v>293</v>
      </c>
      <c r="H880" s="366">
        <v>30</v>
      </c>
      <c r="J880" s="367"/>
      <c r="K880" s="367"/>
      <c r="L880" s="367">
        <v>440</v>
      </c>
      <c r="M880" s="367">
        <v>46</v>
      </c>
      <c r="N880" s="367">
        <v>22</v>
      </c>
      <c r="O880" s="367"/>
      <c r="P880" s="367">
        <v>74</v>
      </c>
      <c r="Q880" s="367"/>
      <c r="R880" s="367">
        <v>238</v>
      </c>
      <c r="S880" s="367">
        <v>0.4</v>
      </c>
      <c r="T880" s="367">
        <v>20</v>
      </c>
      <c r="U880" s="367"/>
      <c r="V880" s="367"/>
      <c r="W880" s="367"/>
      <c r="X880" s="367"/>
      <c r="Y880" s="367"/>
      <c r="Z880" s="367"/>
      <c r="AA880" s="367"/>
      <c r="AB880" s="367"/>
      <c r="AC880" s="367"/>
    </row>
    <row r="881" spans="1:29" ht="15" x14ac:dyDescent="0.25">
      <c r="A881" s="365" t="s">
        <v>294</v>
      </c>
      <c r="H881" s="366">
        <v>34</v>
      </c>
      <c r="J881" s="367"/>
      <c r="K881" s="367"/>
      <c r="L881" s="367">
        <v>430</v>
      </c>
      <c r="M881" s="367">
        <v>10</v>
      </c>
      <c r="N881" s="367">
        <v>230</v>
      </c>
      <c r="O881" s="367"/>
      <c r="P881" s="367"/>
      <c r="Q881" s="367"/>
      <c r="R881" s="367">
        <v>250</v>
      </c>
      <c r="S881" s="367"/>
      <c r="T881" s="367">
        <v>1560</v>
      </c>
      <c r="U881" s="367"/>
      <c r="V881" s="367"/>
      <c r="W881" s="367"/>
      <c r="X881" s="367"/>
      <c r="Y881" s="367"/>
      <c r="Z881" s="367"/>
      <c r="AA881" s="367"/>
      <c r="AB881" s="367"/>
      <c r="AC881" s="367"/>
    </row>
    <row r="882" spans="1:29" ht="15" x14ac:dyDescent="0.25">
      <c r="A882" s="365" t="s">
        <v>295</v>
      </c>
      <c r="H882" s="366">
        <v>27</v>
      </c>
      <c r="J882" s="367"/>
      <c r="K882" s="367"/>
      <c r="L882" s="367">
        <v>178</v>
      </c>
      <c r="M882" s="367">
        <v>2.9</v>
      </c>
      <c r="N882" s="367">
        <v>3.6</v>
      </c>
      <c r="O882" s="367"/>
      <c r="P882" s="367">
        <v>36</v>
      </c>
      <c r="Q882" s="367"/>
      <c r="R882" s="367">
        <v>45</v>
      </c>
      <c r="S882" s="367">
        <v>1.9</v>
      </c>
      <c r="T882" s="367">
        <v>10</v>
      </c>
      <c r="U882" s="367"/>
      <c r="V882" s="367"/>
      <c r="W882" s="367"/>
      <c r="X882" s="367"/>
      <c r="Y882" s="367"/>
      <c r="Z882" s="367"/>
      <c r="AA882" s="367"/>
      <c r="AB882" s="367"/>
      <c r="AC882" s="367"/>
    </row>
    <row r="883" spans="1:29" ht="15" x14ac:dyDescent="0.25">
      <c r="A883" s="365" t="s">
        <v>296</v>
      </c>
      <c r="H883" s="366">
        <v>23</v>
      </c>
      <c r="J883" s="367"/>
      <c r="K883" s="367"/>
      <c r="L883" s="367">
        <v>170</v>
      </c>
      <c r="M883" s="367">
        <v>2.7</v>
      </c>
      <c r="N883" s="367">
        <v>0</v>
      </c>
      <c r="O883" s="367"/>
      <c r="P883" s="367">
        <v>56</v>
      </c>
      <c r="Q883" s="367"/>
      <c r="R883" s="367">
        <v>243</v>
      </c>
      <c r="S883" s="367">
        <v>0.4</v>
      </c>
      <c r="T883" s="367">
        <v>2</v>
      </c>
      <c r="U883" s="367"/>
      <c r="V883" s="367"/>
      <c r="W883" s="367"/>
      <c r="X883" s="367"/>
      <c r="Y883" s="367"/>
      <c r="Z883" s="367"/>
      <c r="AA883" s="367"/>
      <c r="AB883" s="367"/>
      <c r="AC883" s="367"/>
    </row>
    <row r="884" spans="1:29" ht="15" x14ac:dyDescent="0.25">
      <c r="A884" s="365" t="s">
        <v>297</v>
      </c>
      <c r="H884" s="366">
        <v>21</v>
      </c>
      <c r="J884" s="367"/>
      <c r="K884" s="367"/>
      <c r="L884" s="367">
        <v>73</v>
      </c>
      <c r="M884" s="367">
        <v>12</v>
      </c>
      <c r="N884" s="367">
        <v>19</v>
      </c>
      <c r="O884" s="367"/>
      <c r="P884" s="367">
        <v>77</v>
      </c>
      <c r="Q884" s="367"/>
      <c r="R884" s="367">
        <v>51</v>
      </c>
      <c r="S884" s="367">
        <v>0.5</v>
      </c>
      <c r="T884" s="367">
        <v>33</v>
      </c>
      <c r="U884" s="367"/>
      <c r="V884" s="367"/>
      <c r="W884" s="367"/>
      <c r="X884" s="367"/>
      <c r="Y884" s="367"/>
      <c r="Z884" s="367"/>
      <c r="AA884" s="367"/>
      <c r="AB884" s="367"/>
      <c r="AC884" s="367"/>
    </row>
    <row r="885" spans="1:29" ht="15" x14ac:dyDescent="0.25">
      <c r="A885" s="365" t="s">
        <v>297</v>
      </c>
      <c r="H885" s="366">
        <v>23</v>
      </c>
      <c r="J885" s="367"/>
      <c r="K885" s="367"/>
      <c r="L885" s="367">
        <v>26</v>
      </c>
      <c r="M885" s="367">
        <v>3.8</v>
      </c>
      <c r="N885" s="367">
        <v>21</v>
      </c>
      <c r="O885" s="367"/>
      <c r="P885" s="367">
        <v>88</v>
      </c>
      <c r="Q885" s="367"/>
      <c r="R885" s="367">
        <v>6</v>
      </c>
      <c r="S885" s="367">
        <v>0.4</v>
      </c>
      <c r="T885" s="367">
        <v>8</v>
      </c>
      <c r="U885" s="367"/>
      <c r="V885" s="367"/>
      <c r="W885" s="367"/>
      <c r="X885" s="367"/>
      <c r="Y885" s="367"/>
      <c r="Z885" s="367"/>
      <c r="AA885" s="367"/>
      <c r="AB885" s="367"/>
      <c r="AC885" s="367"/>
    </row>
    <row r="886" spans="1:29" ht="15" x14ac:dyDescent="0.25">
      <c r="A886" s="365" t="s">
        <v>413</v>
      </c>
      <c r="H886" s="366">
        <v>35</v>
      </c>
      <c r="J886" s="367"/>
      <c r="K886" s="367"/>
      <c r="L886" s="367">
        <v>140</v>
      </c>
      <c r="M886" s="367">
        <v>1.3</v>
      </c>
      <c r="N886" s="367">
        <v>3.4</v>
      </c>
      <c r="O886" s="367"/>
      <c r="P886" s="367">
        <v>50</v>
      </c>
      <c r="Q886" s="367"/>
      <c r="R886" s="367">
        <v>52</v>
      </c>
      <c r="S886" s="367">
        <v>14</v>
      </c>
      <c r="T886" s="367">
        <v>4</v>
      </c>
      <c r="U886" s="367"/>
      <c r="V886" s="367"/>
      <c r="W886" s="367"/>
      <c r="X886" s="367"/>
      <c r="Y886" s="367"/>
      <c r="Z886" s="367"/>
      <c r="AA886" s="367"/>
      <c r="AB886" s="367"/>
      <c r="AC886" s="367">
        <v>-0.02</v>
      </c>
    </row>
    <row r="887" spans="1:29" ht="15" x14ac:dyDescent="0.25">
      <c r="A887" s="365" t="s">
        <v>413</v>
      </c>
      <c r="H887" s="366"/>
      <c r="J887" s="367"/>
      <c r="K887" s="367"/>
      <c r="L887" s="367"/>
      <c r="M887" s="367"/>
      <c r="N887" s="367"/>
      <c r="O887" s="367"/>
      <c r="P887" s="367"/>
      <c r="Q887" s="367"/>
      <c r="R887" s="367">
        <v>49</v>
      </c>
      <c r="S887" s="367"/>
      <c r="T887" s="367"/>
      <c r="U887" s="367"/>
      <c r="V887" s="367"/>
      <c r="W887" s="367"/>
      <c r="X887" s="367"/>
      <c r="Y887" s="367"/>
      <c r="Z887" s="367"/>
      <c r="AA887" s="367"/>
      <c r="AB887" s="367"/>
      <c r="AC887" s="367"/>
    </row>
    <row r="888" spans="1:29" ht="15" x14ac:dyDescent="0.25">
      <c r="A888" s="365" t="s">
        <v>581</v>
      </c>
      <c r="H888" s="366">
        <v>29</v>
      </c>
      <c r="J888" s="367"/>
      <c r="K888" s="367"/>
      <c r="L888" s="367">
        <v>140</v>
      </c>
      <c r="M888" s="367">
        <v>1.8</v>
      </c>
      <c r="N888" s="367">
        <v>5.67</v>
      </c>
      <c r="O888" s="367"/>
      <c r="P888" s="367">
        <v>60.4</v>
      </c>
      <c r="Q888" s="367"/>
      <c r="R888" s="367">
        <v>51</v>
      </c>
      <c r="S888" s="367">
        <v>13.6</v>
      </c>
      <c r="T888" s="367">
        <v>1</v>
      </c>
      <c r="U888" s="367"/>
      <c r="V888" s="367"/>
      <c r="W888" s="367"/>
      <c r="X888" s="367"/>
      <c r="Y888" s="367"/>
      <c r="Z888" s="367"/>
      <c r="AA888" s="367">
        <v>0.21</v>
      </c>
      <c r="AB888" s="367"/>
      <c r="AC888" s="367"/>
    </row>
    <row r="889" spans="1:29" ht="15" x14ac:dyDescent="0.25">
      <c r="A889" s="365" t="s">
        <v>413</v>
      </c>
      <c r="H889" s="366"/>
      <c r="J889" s="367"/>
      <c r="K889" s="367"/>
      <c r="L889" s="367"/>
      <c r="M889" s="367"/>
      <c r="N889" s="367"/>
      <c r="O889" s="367"/>
      <c r="P889" s="367"/>
      <c r="Q889" s="367"/>
      <c r="R889" s="367">
        <v>54</v>
      </c>
      <c r="S889" s="367"/>
      <c r="T889" s="367"/>
      <c r="U889" s="367"/>
      <c r="V889" s="367"/>
      <c r="W889" s="367"/>
      <c r="X889" s="367"/>
      <c r="Y889" s="367"/>
      <c r="Z889" s="367"/>
      <c r="AA889" s="367"/>
      <c r="AB889" s="367"/>
      <c r="AC889" s="367"/>
    </row>
    <row r="890" spans="1:29" ht="15" x14ac:dyDescent="0.25">
      <c r="A890" s="365" t="s">
        <v>413</v>
      </c>
      <c r="H890" s="366"/>
      <c r="J890" s="367"/>
      <c r="K890" s="367"/>
      <c r="L890" s="367"/>
      <c r="M890" s="367"/>
      <c r="N890" s="367"/>
      <c r="O890" s="367"/>
      <c r="P890" s="367"/>
      <c r="Q890" s="367"/>
      <c r="R890" s="367">
        <v>48</v>
      </c>
      <c r="S890" s="367"/>
      <c r="T890" s="367"/>
      <c r="U890" s="367"/>
      <c r="V890" s="367"/>
      <c r="W890" s="367"/>
      <c r="X890" s="367"/>
      <c r="Y890" s="367"/>
      <c r="Z890" s="367"/>
      <c r="AA890" s="367"/>
      <c r="AB890" s="367"/>
      <c r="AC890" s="367"/>
    </row>
    <row r="891" spans="1:29" ht="15" x14ac:dyDescent="0.25">
      <c r="A891" s="365" t="s">
        <v>298</v>
      </c>
      <c r="H891" s="366">
        <v>28</v>
      </c>
      <c r="J891" s="367"/>
      <c r="K891" s="367"/>
      <c r="L891" s="367">
        <v>140</v>
      </c>
      <c r="M891" s="367">
        <v>1.9</v>
      </c>
      <c r="N891" s="367">
        <v>5.5</v>
      </c>
      <c r="O891" s="367"/>
      <c r="P891" s="367">
        <v>55</v>
      </c>
      <c r="Q891" s="367"/>
      <c r="R891" s="367">
        <v>52</v>
      </c>
      <c r="S891" s="367">
        <v>13.3</v>
      </c>
      <c r="T891" s="367">
        <v>1</v>
      </c>
      <c r="U891" s="367"/>
      <c r="V891" s="367"/>
      <c r="W891" s="367"/>
      <c r="X891" s="367"/>
      <c r="Y891" s="367"/>
      <c r="Z891" s="367"/>
      <c r="AA891" s="367">
        <v>0.22</v>
      </c>
      <c r="AB891" s="367"/>
      <c r="AC891" s="367"/>
    </row>
    <row r="892" spans="1:29" ht="15" x14ac:dyDescent="0.25">
      <c r="A892" s="365" t="s">
        <v>299</v>
      </c>
      <c r="H892" s="366">
        <v>40</v>
      </c>
      <c r="J892" s="367"/>
      <c r="K892" s="367"/>
      <c r="L892" s="367">
        <v>140</v>
      </c>
      <c r="M892" s="367">
        <v>1.3</v>
      </c>
      <c r="N892" s="367">
        <v>4.8</v>
      </c>
      <c r="O892" s="367"/>
      <c r="P892" s="367">
        <v>61</v>
      </c>
      <c r="Q892" s="367"/>
      <c r="R892" s="367">
        <v>50</v>
      </c>
      <c r="S892" s="367">
        <v>14</v>
      </c>
      <c r="T892" s="367">
        <v>1</v>
      </c>
      <c r="U892" s="367"/>
      <c r="V892" s="367"/>
      <c r="W892" s="367"/>
      <c r="X892" s="367"/>
      <c r="Y892" s="367"/>
      <c r="Z892" s="367"/>
      <c r="AA892" s="367"/>
      <c r="AB892" s="367"/>
      <c r="AC892" s="367"/>
    </row>
    <row r="893" spans="1:29" ht="15" x14ac:dyDescent="0.25">
      <c r="A893" s="365" t="s">
        <v>413</v>
      </c>
      <c r="H893" s="366"/>
      <c r="J893" s="367"/>
      <c r="K893" s="367"/>
      <c r="L893" s="367"/>
      <c r="M893" s="367"/>
      <c r="N893" s="367"/>
      <c r="O893" s="367"/>
      <c r="P893" s="367"/>
      <c r="Q893" s="367"/>
      <c r="R893" s="367">
        <v>51</v>
      </c>
      <c r="S893" s="367"/>
      <c r="T893" s="367"/>
      <c r="U893" s="367"/>
      <c r="V893" s="367"/>
      <c r="W893" s="367"/>
      <c r="X893" s="367"/>
      <c r="Y893" s="367"/>
      <c r="Z893" s="367"/>
      <c r="AA893" s="367"/>
      <c r="AB893" s="367"/>
      <c r="AC893" s="367"/>
    </row>
    <row r="894" spans="1:29" ht="15" x14ac:dyDescent="0.25">
      <c r="A894" s="365" t="s">
        <v>413</v>
      </c>
      <c r="H894" s="366">
        <v>35</v>
      </c>
      <c r="J894" s="367"/>
      <c r="K894" s="367"/>
      <c r="L894" s="367">
        <v>140</v>
      </c>
      <c r="M894" s="367">
        <v>1.3</v>
      </c>
      <c r="N894" s="367">
        <v>3.4</v>
      </c>
      <c r="O894" s="367"/>
      <c r="P894" s="367">
        <v>50</v>
      </c>
      <c r="Q894" s="367"/>
      <c r="R894" s="367">
        <v>52</v>
      </c>
      <c r="S894" s="367">
        <v>14</v>
      </c>
      <c r="T894" s="367">
        <v>4</v>
      </c>
      <c r="U894" s="367"/>
      <c r="V894" s="367"/>
      <c r="W894" s="367"/>
      <c r="X894" s="367"/>
      <c r="Y894" s="367"/>
      <c r="Z894" s="367"/>
      <c r="AA894" s="367"/>
      <c r="AB894" s="367"/>
      <c r="AC894" s="367">
        <v>-0.02</v>
      </c>
    </row>
    <row r="895" spans="1:29" ht="15" x14ac:dyDescent="0.25">
      <c r="A895" s="365" t="s">
        <v>413</v>
      </c>
      <c r="H895" s="366"/>
      <c r="J895" s="367"/>
      <c r="K895" s="367"/>
      <c r="L895" s="367"/>
      <c r="M895" s="367"/>
      <c r="N895" s="367"/>
      <c r="O895" s="367"/>
      <c r="P895" s="367"/>
      <c r="Q895" s="367"/>
      <c r="R895" s="367">
        <v>49</v>
      </c>
      <c r="S895" s="367"/>
      <c r="T895" s="367"/>
      <c r="U895" s="367"/>
      <c r="V895" s="367"/>
      <c r="W895" s="367"/>
      <c r="X895" s="367"/>
      <c r="Y895" s="367"/>
      <c r="Z895" s="367"/>
      <c r="AA895" s="367"/>
      <c r="AB895" s="367"/>
      <c r="AC895" s="367"/>
    </row>
    <row r="896" spans="1:29" ht="15" x14ac:dyDescent="0.25">
      <c r="A896" s="365" t="s">
        <v>581</v>
      </c>
      <c r="H896" s="366">
        <v>29</v>
      </c>
      <c r="J896" s="367"/>
      <c r="K896" s="367"/>
      <c r="L896" s="367">
        <v>140</v>
      </c>
      <c r="M896" s="367">
        <v>1.8</v>
      </c>
      <c r="N896" s="367">
        <v>5.67</v>
      </c>
      <c r="O896" s="367"/>
      <c r="P896" s="367">
        <v>60.4</v>
      </c>
      <c r="Q896" s="367"/>
      <c r="R896" s="367">
        <v>51</v>
      </c>
      <c r="S896" s="367">
        <v>13.6</v>
      </c>
      <c r="T896" s="367">
        <v>1</v>
      </c>
      <c r="U896" s="367"/>
      <c r="V896" s="367"/>
      <c r="W896" s="367"/>
      <c r="X896" s="367"/>
      <c r="Y896" s="367"/>
      <c r="Z896" s="367"/>
      <c r="AA896" s="367">
        <v>0.21</v>
      </c>
      <c r="AB896" s="367"/>
      <c r="AC896" s="367"/>
    </row>
    <row r="897" spans="1:29" ht="15" x14ac:dyDescent="0.25">
      <c r="A897" s="365" t="s">
        <v>413</v>
      </c>
      <c r="H897" s="366"/>
      <c r="J897" s="367"/>
      <c r="K897" s="367"/>
      <c r="L897" s="367"/>
      <c r="M897" s="367"/>
      <c r="N897" s="367"/>
      <c r="O897" s="367"/>
      <c r="P897" s="367"/>
      <c r="Q897" s="367"/>
      <c r="R897" s="367">
        <v>54</v>
      </c>
      <c r="S897" s="367"/>
      <c r="T897" s="367"/>
      <c r="U897" s="367"/>
      <c r="V897" s="367"/>
      <c r="W897" s="367"/>
      <c r="X897" s="367"/>
      <c r="Y897" s="367"/>
      <c r="Z897" s="367"/>
      <c r="AA897" s="367"/>
      <c r="AB897" s="367"/>
      <c r="AC897" s="367"/>
    </row>
    <row r="898" spans="1:29" ht="15" x14ac:dyDescent="0.25">
      <c r="A898" s="365" t="s">
        <v>413</v>
      </c>
      <c r="H898" s="366"/>
      <c r="J898" s="367"/>
      <c r="K898" s="367"/>
      <c r="L898" s="367"/>
      <c r="M898" s="367"/>
      <c r="N898" s="367"/>
      <c r="O898" s="367"/>
      <c r="P898" s="367"/>
      <c r="Q898" s="367"/>
      <c r="R898" s="367">
        <v>48</v>
      </c>
      <c r="S898" s="367"/>
      <c r="T898" s="367"/>
      <c r="U898" s="367"/>
      <c r="V898" s="367"/>
      <c r="W898" s="367"/>
      <c r="X898" s="367"/>
      <c r="Y898" s="367"/>
      <c r="Z898" s="367"/>
      <c r="AA898" s="367"/>
      <c r="AB898" s="367"/>
      <c r="AC898" s="367"/>
    </row>
    <row r="899" spans="1:29" ht="15" x14ac:dyDescent="0.25">
      <c r="A899" s="365" t="s">
        <v>298</v>
      </c>
      <c r="H899" s="366">
        <v>28</v>
      </c>
      <c r="J899" s="367"/>
      <c r="K899" s="367"/>
      <c r="L899" s="367">
        <v>140</v>
      </c>
      <c r="M899" s="367">
        <v>1.9</v>
      </c>
      <c r="N899" s="367">
        <v>5.5</v>
      </c>
      <c r="O899" s="367"/>
      <c r="P899" s="367">
        <v>55</v>
      </c>
      <c r="Q899" s="367"/>
      <c r="R899" s="367">
        <v>52</v>
      </c>
      <c r="S899" s="367">
        <v>13.3</v>
      </c>
      <c r="T899" s="367">
        <v>1</v>
      </c>
      <c r="U899" s="367"/>
      <c r="V899" s="367"/>
      <c r="W899" s="367"/>
      <c r="X899" s="367"/>
      <c r="Y899" s="367"/>
      <c r="Z899" s="367"/>
      <c r="AA899" s="367">
        <v>0.22</v>
      </c>
      <c r="AB899" s="367"/>
      <c r="AC899" s="367"/>
    </row>
    <row r="900" spans="1:29" ht="15" x14ac:dyDescent="0.25">
      <c r="A900" s="365" t="s">
        <v>299</v>
      </c>
      <c r="H900" s="366">
        <v>40</v>
      </c>
      <c r="J900" s="367"/>
      <c r="K900" s="367"/>
      <c r="L900" s="367">
        <v>140</v>
      </c>
      <c r="M900" s="367">
        <v>1.3</v>
      </c>
      <c r="N900" s="367">
        <v>4.8</v>
      </c>
      <c r="O900" s="367"/>
      <c r="P900" s="367">
        <v>61</v>
      </c>
      <c r="Q900" s="367"/>
      <c r="R900" s="367">
        <v>50</v>
      </c>
      <c r="S900" s="367">
        <v>14</v>
      </c>
      <c r="T900" s="367">
        <v>1</v>
      </c>
      <c r="U900" s="367"/>
      <c r="V900" s="367"/>
      <c r="W900" s="367"/>
      <c r="X900" s="367"/>
      <c r="Y900" s="367"/>
      <c r="Z900" s="367"/>
      <c r="AA900" s="367"/>
      <c r="AB900" s="367"/>
      <c r="AC900" s="367"/>
    </row>
    <row r="901" spans="1:29" ht="15" x14ac:dyDescent="0.25">
      <c r="A901" s="365" t="s">
        <v>413</v>
      </c>
      <c r="H901" s="366"/>
      <c r="J901" s="367"/>
      <c r="K901" s="367"/>
      <c r="L901" s="367"/>
      <c r="M901" s="367"/>
      <c r="N901" s="367"/>
      <c r="O901" s="367"/>
      <c r="P901" s="367"/>
      <c r="Q901" s="367"/>
      <c r="R901" s="367">
        <v>51</v>
      </c>
      <c r="S901" s="367"/>
      <c r="T901" s="367"/>
      <c r="U901" s="367"/>
      <c r="V901" s="367"/>
      <c r="W901" s="367"/>
      <c r="X901" s="367"/>
      <c r="Y901" s="367"/>
      <c r="Z901" s="367"/>
      <c r="AA901" s="367"/>
      <c r="AB901" s="367"/>
      <c r="AC901" s="367"/>
    </row>
    <row r="902" spans="1:29" ht="15" x14ac:dyDescent="0.25">
      <c r="A902" s="365" t="s">
        <v>520</v>
      </c>
      <c r="H902" s="366">
        <v>50</v>
      </c>
      <c r="J902" s="367"/>
      <c r="K902" s="367"/>
      <c r="L902" s="367">
        <v>210</v>
      </c>
      <c r="M902" s="367">
        <v>20</v>
      </c>
      <c r="N902" s="367">
        <v>61</v>
      </c>
      <c r="O902" s="367"/>
      <c r="P902" s="367">
        <v>44</v>
      </c>
      <c r="Q902" s="367"/>
      <c r="R902" s="367">
        <v>65</v>
      </c>
      <c r="S902" s="367">
        <v>5.2</v>
      </c>
      <c r="T902" s="367">
        <v>250</v>
      </c>
      <c r="U902" s="367"/>
      <c r="V902" s="367"/>
      <c r="W902" s="367"/>
      <c r="X902" s="367"/>
      <c r="Y902" s="367"/>
      <c r="Z902" s="367"/>
      <c r="AA902" s="367"/>
      <c r="AB902" s="367"/>
      <c r="AC902" s="367">
        <v>-0.02</v>
      </c>
    </row>
    <row r="903" spans="1:29" ht="15" x14ac:dyDescent="0.25">
      <c r="A903" s="365" t="s">
        <v>300</v>
      </c>
      <c r="H903" s="366">
        <v>50</v>
      </c>
      <c r="J903" s="367"/>
      <c r="K903" s="367"/>
      <c r="L903" s="367">
        <v>210</v>
      </c>
      <c r="M903" s="367">
        <v>20</v>
      </c>
      <c r="N903" s="367">
        <v>61</v>
      </c>
      <c r="O903" s="367"/>
      <c r="P903" s="367">
        <v>44</v>
      </c>
      <c r="Q903" s="367"/>
      <c r="R903" s="367">
        <v>65</v>
      </c>
      <c r="S903" s="367">
        <v>5.2</v>
      </c>
      <c r="T903" s="367">
        <v>250</v>
      </c>
      <c r="U903" s="367"/>
      <c r="V903" s="367"/>
      <c r="W903" s="367"/>
      <c r="X903" s="367"/>
      <c r="Y903" s="367"/>
      <c r="Z903" s="367"/>
      <c r="AA903" s="367"/>
      <c r="AB903" s="367"/>
      <c r="AC903" s="367"/>
    </row>
    <row r="904" spans="1:29" ht="15" x14ac:dyDescent="0.25">
      <c r="A904" s="365" t="s">
        <v>301</v>
      </c>
      <c r="H904" s="366">
        <v>40</v>
      </c>
      <c r="J904" s="367"/>
      <c r="K904" s="367"/>
      <c r="L904" s="367">
        <v>151</v>
      </c>
      <c r="M904" s="367">
        <v>3.6</v>
      </c>
      <c r="N904" s="367">
        <v>8.4</v>
      </c>
      <c r="O904" s="367"/>
      <c r="P904" s="367">
        <v>54</v>
      </c>
      <c r="Q904" s="367"/>
      <c r="R904" s="367">
        <v>47</v>
      </c>
      <c r="S904" s="367">
        <v>20</v>
      </c>
      <c r="T904" s="367">
        <v>164</v>
      </c>
      <c r="U904" s="367"/>
      <c r="V904" s="367"/>
      <c r="W904" s="367"/>
      <c r="X904" s="367"/>
      <c r="Y904" s="367"/>
      <c r="Z904" s="367"/>
      <c r="AA904" s="367"/>
      <c r="AB904" s="367"/>
      <c r="AC904" s="367"/>
    </row>
    <row r="905" spans="1:29" ht="15" x14ac:dyDescent="0.25">
      <c r="A905" s="365" t="s">
        <v>302</v>
      </c>
      <c r="H905" s="366">
        <v>43</v>
      </c>
      <c r="J905" s="367"/>
      <c r="K905" s="367"/>
      <c r="L905" s="367">
        <v>235</v>
      </c>
      <c r="M905" s="367">
        <v>4</v>
      </c>
      <c r="N905" s="367">
        <v>33</v>
      </c>
      <c r="O905" s="367"/>
      <c r="P905" s="367">
        <v>34</v>
      </c>
      <c r="Q905" s="367"/>
      <c r="R905" s="367">
        <v>70</v>
      </c>
      <c r="S905" s="367">
        <v>9.1999999999999993</v>
      </c>
      <c r="T905" s="367">
        <v>406</v>
      </c>
      <c r="U905" s="367"/>
      <c r="V905" s="367"/>
      <c r="W905" s="367"/>
      <c r="X905" s="367"/>
      <c r="Y905" s="367"/>
      <c r="Z905" s="367"/>
      <c r="AA905" s="367">
        <v>0.8</v>
      </c>
      <c r="AB905" s="367"/>
      <c r="AC905" s="367"/>
    </row>
    <row r="906" spans="1:29" ht="15" x14ac:dyDescent="0.25">
      <c r="A906" s="365" t="s">
        <v>303</v>
      </c>
      <c r="H906" s="366">
        <v>39</v>
      </c>
      <c r="J906" s="367"/>
      <c r="K906" s="367"/>
      <c r="L906" s="367">
        <v>505</v>
      </c>
      <c r="M906" s="367">
        <v>4</v>
      </c>
      <c r="N906" s="367">
        <v>6</v>
      </c>
      <c r="O906" s="367"/>
      <c r="P906" s="367">
        <v>68</v>
      </c>
      <c r="Q906" s="367"/>
      <c r="R906" s="367">
        <v>250</v>
      </c>
      <c r="S906" s="367">
        <v>2.5</v>
      </c>
      <c r="T906" s="367">
        <v>273</v>
      </c>
      <c r="U906" s="367"/>
      <c r="V906" s="367"/>
      <c r="W906" s="367"/>
      <c r="X906" s="367"/>
      <c r="Y906" s="367"/>
      <c r="Z906" s="367"/>
      <c r="AA906" s="367"/>
      <c r="AB906" s="367"/>
      <c r="AC906" s="367"/>
    </row>
    <row r="907" spans="1:29" ht="15" x14ac:dyDescent="0.25">
      <c r="A907" s="365" t="s">
        <v>304</v>
      </c>
      <c r="H907" s="366">
        <v>42</v>
      </c>
      <c r="J907" s="367"/>
      <c r="K907" s="367"/>
      <c r="L907" s="367">
        <v>720</v>
      </c>
      <c r="M907" s="367">
        <v>11</v>
      </c>
      <c r="N907" s="367">
        <v>116</v>
      </c>
      <c r="O907" s="367"/>
      <c r="P907" s="367">
        <v>85</v>
      </c>
      <c r="Q907" s="367"/>
      <c r="R907" s="367">
        <v>840</v>
      </c>
      <c r="S907" s="367">
        <v>4.9000000000000004</v>
      </c>
      <c r="T907" s="367">
        <v>558</v>
      </c>
      <c r="U907" s="367"/>
      <c r="V907" s="367"/>
      <c r="W907" s="367"/>
      <c r="X907" s="367"/>
      <c r="Y907" s="367"/>
      <c r="Z907" s="367"/>
      <c r="AA907" s="367"/>
      <c r="AB907" s="367"/>
      <c r="AC907" s="367"/>
    </row>
    <row r="908" spans="1:29" ht="15" x14ac:dyDescent="0.25">
      <c r="A908" s="365" t="s">
        <v>305</v>
      </c>
      <c r="H908" s="366">
        <v>21</v>
      </c>
      <c r="J908" s="367"/>
      <c r="K908" s="367"/>
      <c r="L908" s="367">
        <v>275</v>
      </c>
      <c r="M908" s="367">
        <v>2.6</v>
      </c>
      <c r="N908" s="367">
        <v>70</v>
      </c>
      <c r="O908" s="367"/>
      <c r="P908" s="367">
        <v>42</v>
      </c>
      <c r="Q908" s="367"/>
      <c r="R908" s="367">
        <v>470</v>
      </c>
      <c r="S908" s="367">
        <v>0.5</v>
      </c>
      <c r="T908" s="367">
        <v>2</v>
      </c>
      <c r="U908" s="367"/>
      <c r="V908" s="367"/>
      <c r="W908" s="367"/>
      <c r="X908" s="367"/>
      <c r="Y908" s="367"/>
      <c r="Z908" s="367"/>
      <c r="AA908" s="367"/>
      <c r="AB908" s="367"/>
      <c r="AC908" s="367"/>
    </row>
    <row r="909" spans="1:29" ht="15" x14ac:dyDescent="0.25">
      <c r="A909" s="365" t="s">
        <v>306</v>
      </c>
      <c r="H909" s="366">
        <v>40</v>
      </c>
      <c r="J909" s="367"/>
      <c r="K909" s="367"/>
      <c r="L909" s="367">
        <v>54</v>
      </c>
      <c r="M909" s="367">
        <v>4</v>
      </c>
      <c r="N909" s="367">
        <v>13</v>
      </c>
      <c r="O909" s="367"/>
      <c r="P909" s="367">
        <v>38</v>
      </c>
      <c r="Q909" s="367"/>
      <c r="R909" s="367">
        <v>47</v>
      </c>
      <c r="S909" s="367">
        <v>4</v>
      </c>
      <c r="T909" s="367"/>
      <c r="U909" s="367"/>
      <c r="V909" s="367"/>
      <c r="W909" s="367"/>
      <c r="X909" s="367"/>
      <c r="Y909" s="367"/>
      <c r="Z909" s="367"/>
      <c r="AA909" s="367">
        <v>0.02</v>
      </c>
      <c r="AB909" s="367"/>
      <c r="AC909" s="367"/>
    </row>
    <row r="910" spans="1:29" ht="15" x14ac:dyDescent="0.25">
      <c r="A910" s="365" t="s">
        <v>307</v>
      </c>
      <c r="H910" s="366">
        <v>57</v>
      </c>
      <c r="J910" s="367"/>
      <c r="K910" s="367"/>
      <c r="L910" s="367">
        <v>80</v>
      </c>
      <c r="M910" s="367">
        <v>1</v>
      </c>
      <c r="N910" s="367">
        <v>1.4</v>
      </c>
      <c r="O910" s="367"/>
      <c r="P910" s="367">
        <v>63</v>
      </c>
      <c r="Q910" s="367"/>
      <c r="R910" s="367">
        <v>22</v>
      </c>
      <c r="S910" s="367">
        <v>4.3</v>
      </c>
      <c r="T910" s="367">
        <v>50</v>
      </c>
      <c r="U910" s="367"/>
      <c r="V910" s="367"/>
      <c r="W910" s="367"/>
      <c r="X910" s="367"/>
      <c r="Y910" s="367"/>
      <c r="Z910" s="367"/>
      <c r="AA910" s="367"/>
      <c r="AB910" s="367"/>
      <c r="AC910" s="367"/>
    </row>
    <row r="911" spans="1:29" ht="15" x14ac:dyDescent="0.25">
      <c r="A911" s="365" t="s">
        <v>308</v>
      </c>
      <c r="H911" s="366">
        <v>38</v>
      </c>
      <c r="J911" s="367"/>
      <c r="K911" s="367"/>
      <c r="L911" s="367">
        <v>555</v>
      </c>
      <c r="M911" s="367">
        <v>4.8</v>
      </c>
      <c r="N911" s="367">
        <v>170</v>
      </c>
      <c r="O911" s="367"/>
      <c r="P911" s="367">
        <v>44</v>
      </c>
      <c r="Q911" s="367"/>
      <c r="R911" s="367">
        <v>1160</v>
      </c>
      <c r="S911" s="367">
        <v>1.4</v>
      </c>
      <c r="T911" s="367">
        <v>4</v>
      </c>
      <c r="U911" s="367"/>
      <c r="V911" s="367"/>
      <c r="W911" s="367"/>
      <c r="X911" s="367"/>
      <c r="Y911" s="367"/>
      <c r="Z911" s="367"/>
      <c r="AA911" s="367"/>
      <c r="AB911" s="367"/>
      <c r="AC911" s="367"/>
    </row>
    <row r="912" spans="1:29" ht="15" x14ac:dyDescent="0.25">
      <c r="A912" s="365" t="s">
        <v>599</v>
      </c>
      <c r="H912" s="366">
        <v>26</v>
      </c>
      <c r="J912" s="367"/>
      <c r="K912" s="367"/>
      <c r="L912" s="367">
        <v>260</v>
      </c>
      <c r="M912" s="367">
        <v>25</v>
      </c>
      <c r="N912" s="367">
        <v>30</v>
      </c>
      <c r="O912" s="367"/>
      <c r="P912" s="367">
        <v>119</v>
      </c>
      <c r="Q912" s="367"/>
      <c r="R912" s="367">
        <v>420</v>
      </c>
      <c r="S912" s="367">
        <v>-0.1</v>
      </c>
      <c r="T912" s="367">
        <v>42</v>
      </c>
      <c r="U912" s="367"/>
      <c r="V912" s="367"/>
      <c r="W912" s="367"/>
      <c r="X912" s="367"/>
      <c r="Y912" s="367"/>
      <c r="Z912" s="367"/>
      <c r="AA912" s="367"/>
      <c r="AB912" s="367"/>
      <c r="AC912" s="367">
        <v>0.95</v>
      </c>
    </row>
    <row r="913" spans="1:29" ht="15" x14ac:dyDescent="0.25">
      <c r="A913" s="365" t="s">
        <v>309</v>
      </c>
      <c r="H913" s="366">
        <v>21</v>
      </c>
      <c r="J913" s="367"/>
      <c r="K913" s="367"/>
      <c r="L913" s="367">
        <v>165</v>
      </c>
      <c r="M913" s="367">
        <v>14.8</v>
      </c>
      <c r="N913" s="367">
        <v>20.8</v>
      </c>
      <c r="O913" s="367"/>
      <c r="P913" s="367">
        <v>141</v>
      </c>
      <c r="Q913" s="367"/>
      <c r="R913" s="367">
        <v>255</v>
      </c>
      <c r="S913" s="367">
        <v>0.05</v>
      </c>
      <c r="T913" s="367">
        <v>46.5</v>
      </c>
      <c r="U913" s="367"/>
      <c r="V913" s="367"/>
      <c r="W913" s="367"/>
      <c r="X913" s="367"/>
      <c r="Y913" s="367"/>
      <c r="Z913" s="367"/>
      <c r="AA913" s="367">
        <v>0.5</v>
      </c>
      <c r="AB913" s="367"/>
      <c r="AC913" s="367"/>
    </row>
    <row r="914" spans="1:29" ht="15" x14ac:dyDescent="0.25">
      <c r="A914" s="365" t="s">
        <v>310</v>
      </c>
      <c r="H914" s="366">
        <v>56</v>
      </c>
      <c r="J914" s="367"/>
      <c r="K914" s="367"/>
      <c r="L914" s="367">
        <v>296</v>
      </c>
      <c r="M914" s="367">
        <v>5</v>
      </c>
      <c r="N914" s="367">
        <v>50</v>
      </c>
      <c r="O914" s="367"/>
      <c r="P914" s="367">
        <v>48</v>
      </c>
      <c r="Q914" s="367"/>
      <c r="R914" s="367">
        <v>148</v>
      </c>
      <c r="S914" s="367">
        <v>2.4</v>
      </c>
      <c r="T914" s="367">
        <v>204</v>
      </c>
      <c r="U914" s="367"/>
      <c r="V914" s="367"/>
      <c r="W914" s="367"/>
      <c r="X914" s="367"/>
      <c r="Y914" s="367"/>
      <c r="Z914" s="367"/>
      <c r="AA914" s="367">
        <v>0.57999999999999996</v>
      </c>
      <c r="AB914" s="367"/>
      <c r="AC914" s="367"/>
    </row>
    <row r="915" spans="1:29" ht="15" x14ac:dyDescent="0.25">
      <c r="A915" s="365" t="s">
        <v>466</v>
      </c>
      <c r="H915" s="366">
        <v>58</v>
      </c>
      <c r="J915" s="367"/>
      <c r="K915" s="367"/>
      <c r="L915" s="367">
        <v>300</v>
      </c>
      <c r="M915" s="367">
        <v>4.3</v>
      </c>
      <c r="N915" s="367">
        <v>52</v>
      </c>
      <c r="O915" s="367"/>
      <c r="P915" s="367">
        <v>47</v>
      </c>
      <c r="Q915" s="367"/>
      <c r="R915" s="367">
        <v>140</v>
      </c>
      <c r="S915" s="367">
        <v>3.6</v>
      </c>
      <c r="T915" s="367">
        <v>520</v>
      </c>
      <c r="U915" s="367"/>
      <c r="V915" s="367"/>
      <c r="W915" s="367"/>
      <c r="X915" s="367"/>
      <c r="Y915" s="367"/>
      <c r="Z915" s="367"/>
      <c r="AA915" s="367"/>
      <c r="AB915" s="367"/>
      <c r="AC915" s="367">
        <v>-0.06</v>
      </c>
    </row>
    <row r="916" spans="1:29" ht="15" x14ac:dyDescent="0.25">
      <c r="A916" s="365" t="s">
        <v>311</v>
      </c>
      <c r="H916" s="366">
        <v>23</v>
      </c>
      <c r="J916" s="367"/>
      <c r="K916" s="367"/>
      <c r="L916" s="367">
        <v>74</v>
      </c>
      <c r="M916" s="367">
        <v>2.5</v>
      </c>
      <c r="N916" s="367">
        <v>36</v>
      </c>
      <c r="O916" s="367"/>
      <c r="P916" s="367">
        <v>33</v>
      </c>
      <c r="Q916" s="367"/>
      <c r="R916" s="367">
        <v>20</v>
      </c>
      <c r="S916" s="367">
        <v>0.6</v>
      </c>
      <c r="T916" s="367">
        <v>58</v>
      </c>
      <c r="U916" s="367"/>
      <c r="V916" s="367"/>
      <c r="W916" s="367"/>
      <c r="X916" s="367"/>
      <c r="Y916" s="367"/>
      <c r="Z916" s="367"/>
      <c r="AA916" s="367"/>
      <c r="AB916" s="367"/>
      <c r="AC916" s="367"/>
    </row>
    <row r="917" spans="1:29" ht="15" x14ac:dyDescent="0.25">
      <c r="A917" s="365" t="s">
        <v>312</v>
      </c>
      <c r="H917" s="366">
        <v>27</v>
      </c>
      <c r="J917" s="367"/>
      <c r="K917" s="367"/>
      <c r="L917" s="367">
        <v>12700</v>
      </c>
      <c r="M917" s="367">
        <v>198</v>
      </c>
      <c r="N917" s="367">
        <v>7.7</v>
      </c>
      <c r="O917" s="367"/>
      <c r="P917" s="367">
        <v>40</v>
      </c>
      <c r="Q917" s="367"/>
      <c r="R917" s="367">
        <v>968</v>
      </c>
      <c r="S917" s="367">
        <v>1.5</v>
      </c>
      <c r="T917" s="367">
        <v>53</v>
      </c>
      <c r="U917" s="367"/>
      <c r="V917" s="367"/>
      <c r="W917" s="367"/>
      <c r="X917" s="367"/>
      <c r="Y917" s="367"/>
      <c r="Z917" s="367"/>
      <c r="AA917" s="367"/>
      <c r="AB917" s="367"/>
      <c r="AC917" s="367"/>
    </row>
    <row r="918" spans="1:29" ht="15" x14ac:dyDescent="0.25">
      <c r="A918" s="365" t="s">
        <v>318</v>
      </c>
      <c r="H918" s="366">
        <v>58</v>
      </c>
      <c r="J918" s="367"/>
      <c r="K918" s="367"/>
      <c r="L918" s="367">
        <v>145</v>
      </c>
      <c r="M918" s="367">
        <v>2.5</v>
      </c>
      <c r="N918" s="367">
        <v>13</v>
      </c>
      <c r="O918" s="367"/>
      <c r="P918" s="367">
        <v>30</v>
      </c>
      <c r="Q918" s="367"/>
      <c r="R918" s="367">
        <v>181</v>
      </c>
      <c r="S918" s="367">
        <v>8.1</v>
      </c>
      <c r="T918" s="367">
        <v>60</v>
      </c>
      <c r="U918" s="367"/>
      <c r="V918" s="367"/>
      <c r="W918" s="367"/>
      <c r="X918" s="367"/>
      <c r="Y918" s="367"/>
      <c r="Z918" s="367"/>
      <c r="AA918" s="367">
        <v>0.31</v>
      </c>
      <c r="AB918" s="367"/>
      <c r="AC918" s="367">
        <v>0.06</v>
      </c>
    </row>
    <row r="919" spans="1:29" ht="15" x14ac:dyDescent="0.25">
      <c r="A919" s="365" t="s">
        <v>476</v>
      </c>
      <c r="H919" s="366">
        <v>52</v>
      </c>
      <c r="J919" s="367"/>
      <c r="K919" s="367"/>
      <c r="L919" s="367">
        <v>150</v>
      </c>
      <c r="M919" s="367">
        <v>2.5</v>
      </c>
      <c r="N919" s="367">
        <v>9</v>
      </c>
      <c r="O919" s="367"/>
      <c r="P919" s="367">
        <v>44</v>
      </c>
      <c r="Q919" s="367"/>
      <c r="R919" s="367">
        <v>171</v>
      </c>
      <c r="S919" s="367">
        <v>8</v>
      </c>
      <c r="T919" s="367">
        <v>66</v>
      </c>
      <c r="U919" s="367"/>
      <c r="V919" s="367"/>
      <c r="W919" s="367"/>
      <c r="X919" s="367"/>
      <c r="Y919" s="367"/>
      <c r="Z919" s="367"/>
      <c r="AA919" s="367">
        <v>0.28999999999999998</v>
      </c>
      <c r="AB919" s="367"/>
      <c r="AC919" s="367">
        <v>0.01</v>
      </c>
    </row>
    <row r="920" spans="1:29" ht="15" x14ac:dyDescent="0.25">
      <c r="A920" s="365" t="s">
        <v>319</v>
      </c>
      <c r="H920" s="366">
        <v>31</v>
      </c>
      <c r="J920" s="367"/>
      <c r="K920" s="367"/>
      <c r="L920" s="367">
        <v>202</v>
      </c>
      <c r="M920" s="367">
        <v>4</v>
      </c>
      <c r="N920" s="367">
        <v>103</v>
      </c>
      <c r="O920" s="367"/>
      <c r="P920" s="367">
        <v>40</v>
      </c>
      <c r="Q920" s="367"/>
      <c r="R920" s="367">
        <v>48</v>
      </c>
      <c r="S920" s="367">
        <v>0.7</v>
      </c>
      <c r="T920" s="367">
        <v>165</v>
      </c>
      <c r="U920" s="367"/>
      <c r="V920" s="367"/>
      <c r="W920" s="367"/>
      <c r="X920" s="367"/>
      <c r="Y920" s="367"/>
      <c r="Z920" s="367"/>
      <c r="AA920" s="367"/>
      <c r="AB920" s="367"/>
      <c r="AC920" s="367"/>
    </row>
    <row r="921" spans="1:29" ht="15" x14ac:dyDescent="0.25">
      <c r="A921" s="365" t="s">
        <v>320</v>
      </c>
      <c r="H921" s="366">
        <v>23</v>
      </c>
      <c r="J921" s="367"/>
      <c r="K921" s="367"/>
      <c r="L921" s="367">
        <v>5250</v>
      </c>
      <c r="M921" s="367">
        <v>61</v>
      </c>
      <c r="N921" s="367">
        <v>221</v>
      </c>
      <c r="O921" s="367"/>
      <c r="P921" s="367">
        <v>74</v>
      </c>
      <c r="Q921" s="367"/>
      <c r="R921" s="367">
        <v>7380</v>
      </c>
      <c r="S921" s="367">
        <v>1.3</v>
      </c>
      <c r="T921" s="367">
        <v>2060</v>
      </c>
      <c r="U921" s="367"/>
      <c r="V921" s="367"/>
      <c r="W921" s="367"/>
      <c r="X921" s="367"/>
      <c r="Y921" s="367"/>
      <c r="Z921" s="367"/>
      <c r="AA921" s="367"/>
      <c r="AB921" s="367"/>
      <c r="AC921" s="367"/>
    </row>
    <row r="922" spans="1:29" ht="15" x14ac:dyDescent="0.25">
      <c r="A922" s="365" t="s">
        <v>321</v>
      </c>
      <c r="H922" s="366">
        <v>70</v>
      </c>
      <c r="J922" s="367"/>
      <c r="K922" s="367"/>
      <c r="L922" s="367">
        <v>1100</v>
      </c>
      <c r="M922" s="367">
        <v>33</v>
      </c>
      <c r="N922" s="367">
        <v>7</v>
      </c>
      <c r="O922" s="367"/>
      <c r="P922" s="367">
        <v>72</v>
      </c>
      <c r="Q922" s="367"/>
      <c r="R922" s="367">
        <v>690</v>
      </c>
      <c r="S922" s="367">
        <v>1</v>
      </c>
      <c r="T922" s="367">
        <v>454</v>
      </c>
      <c r="U922" s="367"/>
      <c r="V922" s="367"/>
      <c r="W922" s="367"/>
      <c r="X922" s="367"/>
      <c r="Y922" s="367"/>
      <c r="Z922" s="367"/>
      <c r="AA922" s="367"/>
      <c r="AB922" s="367"/>
      <c r="AC922" s="367"/>
    </row>
    <row r="923" spans="1:29" ht="15" x14ac:dyDescent="0.25">
      <c r="A923" s="365" t="s">
        <v>322</v>
      </c>
      <c r="H923" s="366">
        <v>24</v>
      </c>
      <c r="J923" s="367"/>
      <c r="K923" s="367"/>
      <c r="L923" s="367">
        <v>308</v>
      </c>
      <c r="M923" s="367">
        <v>16</v>
      </c>
      <c r="N923" s="367">
        <v>33</v>
      </c>
      <c r="O923" s="367"/>
      <c r="P923" s="367">
        <v>100</v>
      </c>
      <c r="Q923" s="367"/>
      <c r="R923" s="367">
        <v>221</v>
      </c>
      <c r="S923" s="367">
        <v>1.1000000000000001</v>
      </c>
      <c r="T923" s="367">
        <v>2</v>
      </c>
      <c r="U923" s="367"/>
      <c r="V923" s="367"/>
      <c r="W923" s="367"/>
      <c r="X923" s="367"/>
      <c r="Y923" s="367"/>
      <c r="Z923" s="367"/>
      <c r="AA923" s="367"/>
      <c r="AB923" s="367"/>
      <c r="AC923" s="367"/>
    </row>
    <row r="924" spans="1:29" ht="15" x14ac:dyDescent="0.25">
      <c r="A924" s="365" t="s">
        <v>313</v>
      </c>
      <c r="H924" s="366">
        <v>38</v>
      </c>
      <c r="J924" s="367"/>
      <c r="K924" s="367"/>
      <c r="L924" s="367">
        <v>101</v>
      </c>
      <c r="M924" s="367">
        <v>1</v>
      </c>
      <c r="N924" s="367">
        <v>1</v>
      </c>
      <c r="O924" s="367"/>
      <c r="P924" s="367">
        <v>53</v>
      </c>
      <c r="Q924" s="367"/>
      <c r="R924" s="367">
        <v>91</v>
      </c>
      <c r="S924" s="367">
        <v>18</v>
      </c>
      <c r="T924" s="367"/>
      <c r="U924" s="367"/>
      <c r="V924" s="367"/>
      <c r="W924" s="367"/>
      <c r="X924" s="367"/>
      <c r="Y924" s="367"/>
      <c r="Z924" s="367"/>
      <c r="AA924" s="367"/>
      <c r="AB924" s="367"/>
      <c r="AC924" s="367"/>
    </row>
    <row r="925" spans="1:29" ht="15" x14ac:dyDescent="0.25">
      <c r="A925" s="365" t="s">
        <v>314</v>
      </c>
      <c r="H925" s="366">
        <v>43</v>
      </c>
      <c r="J925" s="367"/>
      <c r="K925" s="367"/>
      <c r="L925" s="367">
        <v>970</v>
      </c>
      <c r="M925" s="367">
        <v>92</v>
      </c>
      <c r="N925" s="367">
        <v>110</v>
      </c>
      <c r="O925" s="367"/>
      <c r="P925" s="367">
        <v>190</v>
      </c>
      <c r="Q925" s="367"/>
      <c r="R925" s="367">
        <v>880</v>
      </c>
      <c r="S925" s="367">
        <v>1</v>
      </c>
      <c r="T925" s="367">
        <v>250</v>
      </c>
      <c r="U925" s="367"/>
      <c r="V925" s="367"/>
      <c r="W925" s="367"/>
      <c r="X925" s="367"/>
      <c r="Y925" s="367"/>
      <c r="Z925" s="367"/>
      <c r="AA925" s="367"/>
      <c r="AB925" s="367"/>
      <c r="AC925" s="367"/>
    </row>
    <row r="926" spans="1:29" ht="15" x14ac:dyDescent="0.25">
      <c r="A926" s="365" t="s">
        <v>315</v>
      </c>
      <c r="H926" s="366">
        <v>34</v>
      </c>
      <c r="J926" s="367"/>
      <c r="K926" s="367"/>
      <c r="L926" s="367">
        <v>932</v>
      </c>
      <c r="M926" s="367">
        <v>42</v>
      </c>
      <c r="N926" s="367">
        <v>89</v>
      </c>
      <c r="O926" s="367"/>
      <c r="P926" s="367">
        <v>60</v>
      </c>
      <c r="Q926" s="367"/>
      <c r="R926" s="367">
        <v>514</v>
      </c>
      <c r="S926" s="367">
        <v>7</v>
      </c>
      <c r="T926" s="367">
        <v>719</v>
      </c>
      <c r="U926" s="367"/>
      <c r="V926" s="367"/>
      <c r="W926" s="367"/>
      <c r="X926" s="367"/>
      <c r="Y926" s="367"/>
      <c r="Z926" s="367"/>
      <c r="AA926" s="367"/>
      <c r="AB926" s="367"/>
      <c r="AC926" s="367"/>
    </row>
    <row r="927" spans="1:29" ht="15" x14ac:dyDescent="0.25">
      <c r="A927" s="365" t="s">
        <v>316</v>
      </c>
      <c r="H927" s="366">
        <v>90</v>
      </c>
      <c r="J927" s="367"/>
      <c r="K927" s="367"/>
      <c r="L927" s="367">
        <v>240</v>
      </c>
      <c r="M927" s="367">
        <v>5.9</v>
      </c>
      <c r="N927" s="367">
        <v>30</v>
      </c>
      <c r="O927" s="367"/>
      <c r="P927" s="367">
        <v>85</v>
      </c>
      <c r="Q927" s="367"/>
      <c r="R927" s="367">
        <v>110</v>
      </c>
      <c r="S927" s="367">
        <v>2.6</v>
      </c>
      <c r="T927" s="367">
        <v>370</v>
      </c>
      <c r="U927" s="367"/>
      <c r="V927" s="367"/>
      <c r="W927" s="367"/>
      <c r="X927" s="367"/>
      <c r="Y927" s="367"/>
      <c r="Z927" s="367"/>
      <c r="AA927" s="367"/>
      <c r="AB927" s="367"/>
      <c r="AC927" s="367"/>
    </row>
    <row r="928" spans="1:29" ht="15" x14ac:dyDescent="0.25">
      <c r="A928" s="365" t="s">
        <v>474</v>
      </c>
      <c r="H928" s="366">
        <v>78</v>
      </c>
      <c r="J928" s="367"/>
      <c r="K928" s="367"/>
      <c r="L928" s="367">
        <v>240</v>
      </c>
      <c r="M928" s="367">
        <v>5.9</v>
      </c>
      <c r="N928" s="367">
        <v>30</v>
      </c>
      <c r="O928" s="367"/>
      <c r="P928" s="367">
        <v>85</v>
      </c>
      <c r="Q928" s="367"/>
      <c r="R928" s="367">
        <v>110</v>
      </c>
      <c r="S928" s="367">
        <v>2.6</v>
      </c>
      <c r="T928" s="367">
        <v>370</v>
      </c>
      <c r="U928" s="367"/>
      <c r="V928" s="367"/>
      <c r="W928" s="367"/>
      <c r="X928" s="367"/>
      <c r="Y928" s="367"/>
      <c r="Z928" s="367"/>
      <c r="AA928" s="367"/>
      <c r="AB928" s="367"/>
      <c r="AC928" s="367">
        <v>-0.06</v>
      </c>
    </row>
    <row r="929" spans="1:29" ht="15" x14ac:dyDescent="0.25">
      <c r="A929" s="365" t="s">
        <v>475</v>
      </c>
      <c r="H929" s="366">
        <v>92</v>
      </c>
      <c r="J929" s="367"/>
      <c r="K929" s="367"/>
      <c r="L929" s="367">
        <v>250</v>
      </c>
      <c r="M929" s="367">
        <v>6.5</v>
      </c>
      <c r="N929" s="367">
        <v>20</v>
      </c>
      <c r="O929" s="367"/>
      <c r="P929" s="367">
        <v>110</v>
      </c>
      <c r="Q929" s="367"/>
      <c r="R929" s="367">
        <v>160</v>
      </c>
      <c r="S929" s="367">
        <v>2.1</v>
      </c>
      <c r="T929" s="367">
        <v>300</v>
      </c>
      <c r="U929" s="367"/>
      <c r="V929" s="367"/>
      <c r="W929" s="367"/>
      <c r="X929" s="367"/>
      <c r="Y929" s="367"/>
      <c r="Z929" s="367"/>
      <c r="AA929" s="367"/>
      <c r="AB929" s="367"/>
      <c r="AC929" s="367">
        <v>-0.06</v>
      </c>
    </row>
    <row r="930" spans="1:29" ht="15" x14ac:dyDescent="0.25">
      <c r="A930" s="365" t="s">
        <v>475</v>
      </c>
      <c r="H930" s="366"/>
      <c r="J930" s="367"/>
      <c r="K930" s="367"/>
      <c r="L930" s="367">
        <v>231</v>
      </c>
      <c r="M930" s="367">
        <v>6.4</v>
      </c>
      <c r="N930" s="367">
        <v>23</v>
      </c>
      <c r="O930" s="367"/>
      <c r="P930" s="367">
        <v>127</v>
      </c>
      <c r="Q930" s="367"/>
      <c r="R930" s="367">
        <v>161</v>
      </c>
      <c r="S930" s="367">
        <v>2.5</v>
      </c>
      <c r="T930" s="367">
        <v>294</v>
      </c>
      <c r="U930" s="367"/>
      <c r="V930" s="367"/>
      <c r="W930" s="367"/>
      <c r="X930" s="367"/>
      <c r="Y930" s="367"/>
      <c r="Z930" s="367"/>
      <c r="AA930" s="367"/>
      <c r="AB930" s="367"/>
      <c r="AC930" s="367"/>
    </row>
    <row r="931" spans="1:29" ht="15" x14ac:dyDescent="0.25">
      <c r="A931" s="365" t="s">
        <v>317</v>
      </c>
      <c r="H931" s="366">
        <v>92</v>
      </c>
      <c r="J931" s="367"/>
      <c r="K931" s="367"/>
      <c r="L931" s="367">
        <v>250</v>
      </c>
      <c r="M931" s="367">
        <v>6.5</v>
      </c>
      <c r="N931" s="367">
        <v>20</v>
      </c>
      <c r="O931" s="367"/>
      <c r="P931" s="367">
        <v>110</v>
      </c>
      <c r="Q931" s="367"/>
      <c r="R931" s="367">
        <v>160</v>
      </c>
      <c r="S931" s="367">
        <v>2.1</v>
      </c>
      <c r="T931" s="367">
        <v>300</v>
      </c>
      <c r="U931" s="367"/>
      <c r="V931" s="367"/>
      <c r="W931" s="367"/>
      <c r="X931" s="367"/>
      <c r="Y931" s="367"/>
      <c r="Z931" s="367"/>
      <c r="AA931" s="367"/>
      <c r="AB931" s="367"/>
      <c r="AC931" s="367"/>
    </row>
    <row r="932" spans="1:29" ht="15" x14ac:dyDescent="0.25">
      <c r="A932" s="365" t="s">
        <v>476</v>
      </c>
      <c r="H932" s="366">
        <v>51</v>
      </c>
      <c r="J932" s="367"/>
      <c r="K932" s="367"/>
      <c r="L932" s="367">
        <v>160</v>
      </c>
      <c r="M932" s="367">
        <v>2.5</v>
      </c>
      <c r="N932" s="367">
        <v>9.4</v>
      </c>
      <c r="O932" s="367"/>
      <c r="P932" s="367">
        <v>44</v>
      </c>
      <c r="Q932" s="367"/>
      <c r="R932" s="367">
        <v>180</v>
      </c>
      <c r="S932" s="367">
        <v>7.8</v>
      </c>
      <c r="T932" s="367">
        <v>68</v>
      </c>
      <c r="U932" s="367"/>
      <c r="V932" s="367"/>
      <c r="W932" s="367"/>
      <c r="X932" s="367"/>
      <c r="Y932" s="367"/>
      <c r="Z932" s="367"/>
      <c r="AA932" s="367"/>
      <c r="AB932" s="367"/>
      <c r="AC932" s="367">
        <v>-0.02</v>
      </c>
    </row>
    <row r="933" spans="1:29" ht="15" x14ac:dyDescent="0.25">
      <c r="A933" s="365" t="s">
        <v>323</v>
      </c>
      <c r="H933" s="366">
        <v>29</v>
      </c>
      <c r="J933" s="367"/>
      <c r="K933" s="367"/>
      <c r="L933" s="367">
        <v>82</v>
      </c>
      <c r="M933" s="367">
        <v>0.7</v>
      </c>
      <c r="N933" s="367">
        <v>4</v>
      </c>
      <c r="O933" s="367"/>
      <c r="P933" s="367">
        <v>49</v>
      </c>
      <c r="Q933" s="367"/>
      <c r="R933" s="367">
        <v>90</v>
      </c>
      <c r="S933" s="367">
        <v>0.4</v>
      </c>
      <c r="T933" s="367">
        <v>16</v>
      </c>
      <c r="U933" s="367"/>
      <c r="V933" s="367"/>
      <c r="W933" s="367"/>
      <c r="X933" s="367"/>
      <c r="Y933" s="367"/>
      <c r="Z933" s="367"/>
      <c r="AA933" s="367"/>
      <c r="AB933" s="367"/>
      <c r="AC933" s="367"/>
    </row>
    <row r="934" spans="1:29" ht="15" x14ac:dyDescent="0.25">
      <c r="A934" s="365" t="s">
        <v>324</v>
      </c>
      <c r="H934" s="366">
        <v>26</v>
      </c>
      <c r="J934" s="367"/>
      <c r="K934" s="367"/>
      <c r="L934" s="367">
        <v>51</v>
      </c>
      <c r="M934" s="367"/>
      <c r="N934" s="367">
        <v>1</v>
      </c>
      <c r="O934" s="367"/>
      <c r="P934" s="367">
        <v>39</v>
      </c>
      <c r="Q934" s="367"/>
      <c r="R934" s="367">
        <v>24</v>
      </c>
      <c r="S934" s="367">
        <v>2.4</v>
      </c>
      <c r="T934" s="367">
        <v>29</v>
      </c>
      <c r="U934" s="367"/>
      <c r="V934" s="367"/>
      <c r="W934" s="367"/>
      <c r="X934" s="367"/>
      <c r="Y934" s="367"/>
      <c r="Z934" s="367"/>
      <c r="AA934" s="367"/>
      <c r="AB934" s="367"/>
      <c r="AC934" s="367">
        <v>0.06</v>
      </c>
    </row>
    <row r="935" spans="1:29" ht="15" x14ac:dyDescent="0.25">
      <c r="A935" s="365" t="s">
        <v>352</v>
      </c>
      <c r="H935" s="366">
        <v>21.3</v>
      </c>
      <c r="J935" s="367"/>
      <c r="K935" s="367"/>
      <c r="L935" s="367">
        <v>2600</v>
      </c>
      <c r="M935" s="367">
        <v>207</v>
      </c>
      <c r="N935" s="367">
        <v>92.6</v>
      </c>
      <c r="O935" s="367"/>
      <c r="P935" s="367">
        <v>88</v>
      </c>
      <c r="Q935" s="367"/>
      <c r="R935" s="367">
        <v>2985</v>
      </c>
      <c r="S935" s="367">
        <v>0.52</v>
      </c>
      <c r="T935" s="367">
        <v>0.3</v>
      </c>
      <c r="U935" s="367"/>
      <c r="V935" s="367"/>
      <c r="W935" s="367"/>
      <c r="X935" s="367"/>
      <c r="Y935" s="367"/>
      <c r="Z935" s="367"/>
      <c r="AA935" s="367">
        <v>2</v>
      </c>
      <c r="AB935" s="367"/>
      <c r="AC935" s="367"/>
    </row>
    <row r="936" spans="1:29" ht="15" x14ac:dyDescent="0.25">
      <c r="A936" s="365" t="s">
        <v>353</v>
      </c>
      <c r="H936" s="366">
        <v>32</v>
      </c>
      <c r="J936" s="367"/>
      <c r="K936" s="367"/>
      <c r="L936" s="367">
        <v>50</v>
      </c>
      <c r="M936" s="367">
        <v>1.8</v>
      </c>
      <c r="N936" s="367">
        <v>7.1</v>
      </c>
      <c r="O936" s="367"/>
      <c r="P936" s="367">
        <v>34</v>
      </c>
      <c r="Q936" s="367"/>
      <c r="R936" s="367">
        <v>15</v>
      </c>
      <c r="S936" s="367">
        <v>2.1</v>
      </c>
      <c r="T936" s="367">
        <v>43</v>
      </c>
      <c r="U936" s="367"/>
      <c r="V936" s="367"/>
      <c r="W936" s="367"/>
      <c r="X936" s="367"/>
      <c r="Y936" s="367"/>
      <c r="Z936" s="367"/>
      <c r="AA936" s="367"/>
      <c r="AB936" s="367"/>
      <c r="AC936" s="367"/>
    </row>
    <row r="937" spans="1:29" ht="15" x14ac:dyDescent="0.25">
      <c r="A937" s="365" t="s">
        <v>354</v>
      </c>
      <c r="H937" s="366">
        <v>98</v>
      </c>
      <c r="J937" s="367"/>
      <c r="K937" s="367"/>
      <c r="L937" s="367">
        <v>285</v>
      </c>
      <c r="M937" s="367">
        <v>6</v>
      </c>
      <c r="N937" s="367">
        <v>18</v>
      </c>
      <c r="O937" s="367"/>
      <c r="P937" s="367">
        <v>100</v>
      </c>
      <c r="Q937" s="367"/>
      <c r="R937" s="367">
        <v>188</v>
      </c>
      <c r="S937" s="367">
        <v>5</v>
      </c>
      <c r="T937" s="367">
        <v>310</v>
      </c>
      <c r="U937" s="367"/>
      <c r="V937" s="367"/>
      <c r="W937" s="367"/>
      <c r="X937" s="367"/>
      <c r="Y937" s="367"/>
      <c r="Z937" s="367"/>
      <c r="AA937" s="367"/>
      <c r="AB937" s="367"/>
      <c r="AC937" s="367"/>
    </row>
    <row r="938" spans="1:29" ht="15" x14ac:dyDescent="0.25">
      <c r="A938" s="365" t="s">
        <v>355</v>
      </c>
      <c r="H938" s="366">
        <v>26</v>
      </c>
      <c r="J938" s="367"/>
      <c r="K938" s="367"/>
      <c r="L938" s="367">
        <v>410</v>
      </c>
      <c r="M938" s="367">
        <v>1.4</v>
      </c>
      <c r="N938" s="367">
        <v>2.2000000000000002</v>
      </c>
      <c r="O938" s="367"/>
      <c r="P938" s="367">
        <v>19</v>
      </c>
      <c r="Q938" s="367"/>
      <c r="R938" s="367">
        <v>32</v>
      </c>
      <c r="S938" s="367">
        <v>2.6</v>
      </c>
      <c r="T938" s="367">
        <v>458</v>
      </c>
      <c r="U938" s="367"/>
      <c r="V938" s="367"/>
      <c r="W938" s="367"/>
      <c r="X938" s="367"/>
      <c r="Y938" s="367"/>
      <c r="Z938" s="367"/>
      <c r="AA938" s="367"/>
      <c r="AB938" s="367"/>
      <c r="AC938" s="367"/>
    </row>
    <row r="939" spans="1:29" ht="15" x14ac:dyDescent="0.25">
      <c r="A939" s="365" t="s">
        <v>356</v>
      </c>
      <c r="H939" s="366">
        <v>69</v>
      </c>
      <c r="J939" s="367"/>
      <c r="K939" s="367"/>
      <c r="L939" s="367">
        <v>9110</v>
      </c>
      <c r="M939" s="367">
        <v>506</v>
      </c>
      <c r="N939" s="367">
        <v>5.9</v>
      </c>
      <c r="O939" s="367"/>
      <c r="P939" s="367">
        <v>244</v>
      </c>
      <c r="Q939" s="367"/>
      <c r="R939" s="367">
        <v>11000</v>
      </c>
      <c r="S939" s="367">
        <v>3</v>
      </c>
      <c r="T939" s="367">
        <v>7</v>
      </c>
      <c r="U939" s="367"/>
      <c r="V939" s="367"/>
      <c r="W939" s="367"/>
      <c r="X939" s="367"/>
      <c r="Y939" s="367"/>
      <c r="Z939" s="367"/>
      <c r="AA939" s="367"/>
      <c r="AB939" s="367"/>
      <c r="AC939" s="367"/>
    </row>
    <row r="940" spans="1:29" ht="15" x14ac:dyDescent="0.25">
      <c r="A940" s="365" t="s">
        <v>357</v>
      </c>
      <c r="H940" s="366">
        <v>24</v>
      </c>
      <c r="J940" s="367"/>
      <c r="K940" s="367"/>
      <c r="L940" s="367">
        <v>4290</v>
      </c>
      <c r="M940" s="367">
        <v>35</v>
      </c>
      <c r="N940" s="367">
        <v>442</v>
      </c>
      <c r="O940" s="367"/>
      <c r="P940" s="367">
        <v>91</v>
      </c>
      <c r="Q940" s="367"/>
      <c r="R940" s="367">
        <v>399</v>
      </c>
      <c r="S940" s="367">
        <v>9.8000000000000007</v>
      </c>
      <c r="T940" s="367">
        <v>18500</v>
      </c>
      <c r="U940" s="367"/>
      <c r="V940" s="367"/>
      <c r="W940" s="367"/>
      <c r="X940" s="367"/>
      <c r="Y940" s="367"/>
      <c r="Z940" s="367"/>
      <c r="AA940" s="367"/>
      <c r="AB940" s="367"/>
      <c r="AC940" s="367"/>
    </row>
    <row r="941" spans="1:29" ht="15" x14ac:dyDescent="0.25">
      <c r="A941" s="365" t="s">
        <v>358</v>
      </c>
      <c r="H941" s="366">
        <v>21</v>
      </c>
      <c r="J941" s="367"/>
      <c r="K941" s="367"/>
      <c r="L941" s="367">
        <v>3906</v>
      </c>
      <c r="M941" s="367">
        <v>102</v>
      </c>
      <c r="N941" s="367">
        <v>168</v>
      </c>
      <c r="O941" s="367"/>
      <c r="P941" s="367">
        <v>66</v>
      </c>
      <c r="Q941" s="367"/>
      <c r="R941" s="367">
        <v>4380</v>
      </c>
      <c r="S941" s="367">
        <v>0.8</v>
      </c>
      <c r="T941" s="367">
        <v>39</v>
      </c>
      <c r="U941" s="367"/>
      <c r="V941" s="367"/>
      <c r="W941" s="367"/>
      <c r="X941" s="367"/>
      <c r="Y941" s="367"/>
      <c r="Z941" s="367"/>
      <c r="AA941" s="367">
        <v>11.8</v>
      </c>
      <c r="AB941" s="367"/>
      <c r="AC941" s="367">
        <v>0.16</v>
      </c>
    </row>
    <row r="942" spans="1:29" ht="15" x14ac:dyDescent="0.25">
      <c r="A942" s="365" t="s">
        <v>359</v>
      </c>
      <c r="H942" s="366">
        <v>22</v>
      </c>
      <c r="J942" s="367"/>
      <c r="K942" s="367"/>
      <c r="L942" s="367">
        <v>720</v>
      </c>
      <c r="M942" s="367">
        <v>5.5</v>
      </c>
      <c r="N942" s="367">
        <v>89</v>
      </c>
      <c r="O942" s="367"/>
      <c r="P942" s="367">
        <v>24</v>
      </c>
      <c r="Q942" s="367"/>
      <c r="R942" s="367">
        <v>1160</v>
      </c>
      <c r="S942" s="367">
        <v>5</v>
      </c>
      <c r="T942" s="367">
        <v>17</v>
      </c>
      <c r="U942" s="367"/>
      <c r="V942" s="367"/>
      <c r="W942" s="367"/>
      <c r="X942" s="367"/>
      <c r="Y942" s="367"/>
      <c r="Z942" s="367"/>
      <c r="AA942" s="367"/>
      <c r="AB942" s="367"/>
      <c r="AC942" s="367"/>
    </row>
    <row r="943" spans="1:29" ht="15" x14ac:dyDescent="0.25">
      <c r="A943" s="365" t="s">
        <v>435</v>
      </c>
      <c r="H943" s="366">
        <v>55</v>
      </c>
      <c r="J943" s="367"/>
      <c r="K943" s="367"/>
      <c r="L943" s="367">
        <v>110</v>
      </c>
      <c r="M943" s="367">
        <v>3</v>
      </c>
      <c r="N943" s="367">
        <v>4.4000000000000004</v>
      </c>
      <c r="O943" s="367"/>
      <c r="P943" s="367">
        <v>71</v>
      </c>
      <c r="Q943" s="367"/>
      <c r="R943" s="367">
        <v>100</v>
      </c>
      <c r="S943" s="367">
        <v>2.9</v>
      </c>
      <c r="T943" s="367">
        <v>34</v>
      </c>
      <c r="U943" s="367"/>
      <c r="V943" s="367"/>
      <c r="W943" s="367"/>
      <c r="X943" s="367"/>
      <c r="Y943" s="367"/>
      <c r="Z943" s="367"/>
      <c r="AA943" s="367"/>
      <c r="AB943" s="367"/>
      <c r="AC943" s="367">
        <v>-0.02</v>
      </c>
    </row>
    <row r="944" spans="1:29" ht="15" x14ac:dyDescent="0.25">
      <c r="A944" s="365" t="s">
        <v>360</v>
      </c>
      <c r="H944" s="366">
        <v>55</v>
      </c>
      <c r="J944" s="367"/>
      <c r="K944" s="367"/>
      <c r="L944" s="367">
        <v>108</v>
      </c>
      <c r="M944" s="367">
        <v>3</v>
      </c>
      <c r="N944" s="367">
        <v>2</v>
      </c>
      <c r="O944" s="367"/>
      <c r="P944" s="367">
        <v>68</v>
      </c>
      <c r="Q944" s="367"/>
      <c r="R944" s="367">
        <v>103</v>
      </c>
      <c r="S944" s="367">
        <v>2.9</v>
      </c>
      <c r="T944" s="367">
        <v>34</v>
      </c>
      <c r="U944" s="367"/>
      <c r="V944" s="367"/>
      <c r="W944" s="367"/>
      <c r="X944" s="367"/>
      <c r="Y944" s="367"/>
      <c r="Z944" s="367"/>
      <c r="AA944" s="367">
        <v>0.05</v>
      </c>
      <c r="AB944" s="367"/>
      <c r="AC944" s="367">
        <v>0.09</v>
      </c>
    </row>
    <row r="945" spans="1:29" ht="15" x14ac:dyDescent="0.25">
      <c r="A945" s="365" t="s">
        <v>361</v>
      </c>
      <c r="H945" s="366">
        <v>62</v>
      </c>
      <c r="J945" s="367"/>
      <c r="K945" s="367"/>
      <c r="L945" s="367">
        <v>330</v>
      </c>
      <c r="M945" s="367">
        <v>8.5</v>
      </c>
      <c r="N945" s="367">
        <v>26</v>
      </c>
      <c r="O945" s="367"/>
      <c r="P945" s="367">
        <v>110</v>
      </c>
      <c r="Q945" s="367"/>
      <c r="R945" s="367">
        <v>220</v>
      </c>
      <c r="S945" s="367">
        <v>5.2</v>
      </c>
      <c r="T945" s="367">
        <v>390</v>
      </c>
      <c r="U945" s="367"/>
      <c r="V945" s="367"/>
      <c r="W945" s="367"/>
      <c r="X945" s="367"/>
      <c r="Y945" s="367"/>
      <c r="Z945" s="367"/>
      <c r="AA945" s="367"/>
      <c r="AB945" s="367"/>
      <c r="AC945" s="367"/>
    </row>
    <row r="946" spans="1:29" ht="15" x14ac:dyDescent="0.25">
      <c r="A946" s="365" t="s">
        <v>456</v>
      </c>
      <c r="H946" s="366"/>
      <c r="J946" s="367"/>
      <c r="K946" s="367"/>
      <c r="L946" s="367">
        <v>0.12</v>
      </c>
      <c r="M946" s="367">
        <v>-0.1</v>
      </c>
      <c r="N946" s="367">
        <v>0.16</v>
      </c>
      <c r="O946" s="367"/>
      <c r="P946" s="367">
        <v>-1</v>
      </c>
      <c r="Q946" s="367"/>
      <c r="R946" s="367">
        <v>17</v>
      </c>
      <c r="S946" s="367">
        <v>-0.1</v>
      </c>
      <c r="T946" s="367">
        <v>11</v>
      </c>
      <c r="U946" s="367"/>
      <c r="V946" s="367"/>
      <c r="W946" s="367"/>
      <c r="X946" s="367"/>
      <c r="Y946" s="367"/>
      <c r="Z946" s="367"/>
      <c r="AA946" s="367">
        <v>-0.1</v>
      </c>
      <c r="AB946" s="367"/>
      <c r="AC946" s="367"/>
    </row>
    <row r="947" spans="1:29" ht="15" x14ac:dyDescent="0.25">
      <c r="A947" s="365" t="s">
        <v>325</v>
      </c>
      <c r="H947" s="366">
        <v>30</v>
      </c>
      <c r="J947" s="367"/>
      <c r="K947" s="367"/>
      <c r="L947" s="367">
        <v>10</v>
      </c>
      <c r="M947" s="367">
        <v>0.3</v>
      </c>
      <c r="N947" s="367">
        <v>7.9</v>
      </c>
      <c r="O947" s="367"/>
      <c r="P947" s="367">
        <v>31</v>
      </c>
      <c r="Q947" s="367"/>
      <c r="R947" s="367">
        <v>34</v>
      </c>
      <c r="S947" s="367">
        <v>0.1</v>
      </c>
      <c r="T947" s="367">
        <v>13</v>
      </c>
      <c r="U947" s="367"/>
      <c r="V947" s="367"/>
      <c r="W947" s="367"/>
      <c r="X947" s="367"/>
      <c r="Y947" s="367"/>
      <c r="Z947" s="367"/>
      <c r="AA947" s="367"/>
      <c r="AB947" s="367"/>
      <c r="AC947" s="367"/>
    </row>
    <row r="948" spans="1:29" ht="15" x14ac:dyDescent="0.25">
      <c r="A948" s="365" t="s">
        <v>605</v>
      </c>
      <c r="H948" s="366">
        <v>48</v>
      </c>
      <c r="J948" s="367"/>
      <c r="K948" s="367"/>
      <c r="L948" s="367">
        <v>83</v>
      </c>
      <c r="M948" s="367">
        <v>2.5</v>
      </c>
      <c r="N948" s="367">
        <v>2.2000000000000002</v>
      </c>
      <c r="O948" s="367"/>
      <c r="P948" s="367">
        <v>110</v>
      </c>
      <c r="Q948" s="367"/>
      <c r="R948" s="367">
        <v>11</v>
      </c>
      <c r="S948" s="367">
        <v>5.2</v>
      </c>
      <c r="T948" s="367">
        <v>52</v>
      </c>
      <c r="U948" s="367"/>
      <c r="V948" s="367"/>
      <c r="W948" s="367"/>
      <c r="X948" s="367"/>
      <c r="Y948" s="367"/>
      <c r="Z948" s="367"/>
      <c r="AA948" s="367"/>
      <c r="AB948" s="367"/>
      <c r="AC948" s="367"/>
    </row>
    <row r="949" spans="1:29" ht="15" x14ac:dyDescent="0.25">
      <c r="A949" s="365" t="s">
        <v>326</v>
      </c>
      <c r="H949" s="366">
        <v>60</v>
      </c>
      <c r="J949" s="367"/>
      <c r="K949" s="367"/>
      <c r="L949" s="367">
        <v>74</v>
      </c>
      <c r="M949" s="367"/>
      <c r="N949" s="367">
        <v>2</v>
      </c>
      <c r="O949" s="367"/>
      <c r="P949" s="367">
        <v>84</v>
      </c>
      <c r="Q949" s="367"/>
      <c r="R949" s="367">
        <v>5</v>
      </c>
      <c r="S949" s="367">
        <v>6.6</v>
      </c>
      <c r="T949" s="367">
        <v>103</v>
      </c>
      <c r="U949" s="367"/>
      <c r="V949" s="367"/>
      <c r="W949" s="367"/>
      <c r="X949" s="367"/>
      <c r="Y949" s="367"/>
      <c r="Z949" s="367"/>
      <c r="AA949" s="367">
        <v>0.06</v>
      </c>
      <c r="AB949" s="367"/>
      <c r="AC949" s="367"/>
    </row>
    <row r="950" spans="1:29" ht="15" x14ac:dyDescent="0.25">
      <c r="A950" s="365" t="s">
        <v>604</v>
      </c>
      <c r="H950" s="366">
        <v>59</v>
      </c>
      <c r="J950" s="367"/>
      <c r="K950" s="367"/>
      <c r="L950" s="367">
        <v>82</v>
      </c>
      <c r="M950" s="367">
        <v>2.5</v>
      </c>
      <c r="N950" s="367">
        <v>2.2000000000000002</v>
      </c>
      <c r="O950" s="367"/>
      <c r="P950" s="367">
        <v>110</v>
      </c>
      <c r="Q950" s="367"/>
      <c r="R950" s="367">
        <v>11</v>
      </c>
      <c r="S950" s="367">
        <v>5.4</v>
      </c>
      <c r="T950" s="367">
        <v>52</v>
      </c>
      <c r="U950" s="367"/>
      <c r="V950" s="367"/>
      <c r="W950" s="367"/>
      <c r="X950" s="367"/>
      <c r="Y950" s="367"/>
      <c r="Z950" s="367"/>
      <c r="AA950" s="367"/>
      <c r="AB950" s="367"/>
      <c r="AC950" s="367">
        <v>-0.02</v>
      </c>
    </row>
    <row r="951" spans="1:29" ht="15" x14ac:dyDescent="0.25">
      <c r="A951" s="365" t="s">
        <v>606</v>
      </c>
      <c r="H951" s="366">
        <v>48</v>
      </c>
      <c r="J951" s="367"/>
      <c r="K951" s="367"/>
      <c r="L951" s="367">
        <v>885</v>
      </c>
      <c r="M951" s="367">
        <v>17</v>
      </c>
      <c r="N951" s="367">
        <v>2</v>
      </c>
      <c r="O951" s="367"/>
      <c r="P951" s="367">
        <v>100</v>
      </c>
      <c r="Q951" s="367"/>
      <c r="R951" s="367">
        <v>545</v>
      </c>
      <c r="S951" s="367">
        <v>3</v>
      </c>
      <c r="T951" s="367">
        <v>580</v>
      </c>
      <c r="U951" s="367"/>
      <c r="V951" s="367"/>
      <c r="W951" s="367"/>
      <c r="X951" s="367"/>
      <c r="Y951" s="367"/>
      <c r="Z951" s="367"/>
      <c r="AA951" s="367"/>
      <c r="AB951" s="367"/>
      <c r="AC951" s="367">
        <v>-0.02</v>
      </c>
    </row>
    <row r="952" spans="1:29" ht="15" x14ac:dyDescent="0.25">
      <c r="A952" s="365" t="s">
        <v>327</v>
      </c>
      <c r="H952" s="366">
        <v>42</v>
      </c>
      <c r="J952" s="367"/>
      <c r="K952" s="367"/>
      <c r="L952" s="367">
        <v>575</v>
      </c>
      <c r="M952" s="367">
        <v>16</v>
      </c>
      <c r="N952" s="367">
        <v>5</v>
      </c>
      <c r="O952" s="367"/>
      <c r="P952" s="367">
        <v>66</v>
      </c>
      <c r="Q952" s="367"/>
      <c r="R952" s="367">
        <v>389</v>
      </c>
      <c r="S952" s="367">
        <v>3.5</v>
      </c>
      <c r="T952" s="367">
        <v>289</v>
      </c>
      <c r="U952" s="367"/>
      <c r="V952" s="367"/>
      <c r="W952" s="367"/>
      <c r="X952" s="367"/>
      <c r="Y952" s="367"/>
      <c r="Z952" s="367"/>
      <c r="AA952" s="367">
        <v>0.13</v>
      </c>
      <c r="AB952" s="367"/>
      <c r="AC952" s="367"/>
    </row>
    <row r="953" spans="1:29" ht="15" x14ac:dyDescent="0.25">
      <c r="A953" s="365" t="s">
        <v>328</v>
      </c>
      <c r="H953" s="366">
        <v>47</v>
      </c>
      <c r="J953" s="367"/>
      <c r="K953" s="367"/>
      <c r="L953" s="367">
        <v>244</v>
      </c>
      <c r="M953" s="367">
        <v>1</v>
      </c>
      <c r="N953" s="367">
        <v>7</v>
      </c>
      <c r="O953" s="367"/>
      <c r="P953" s="367">
        <v>71</v>
      </c>
      <c r="Q953" s="367"/>
      <c r="R953" s="367">
        <v>347</v>
      </c>
      <c r="S953" s="367"/>
      <c r="T953" s="367">
        <v>14</v>
      </c>
      <c r="U953" s="367"/>
      <c r="V953" s="367"/>
      <c r="W953" s="367"/>
      <c r="X953" s="367"/>
      <c r="Y953" s="367"/>
      <c r="Z953" s="367"/>
      <c r="AA953" s="367"/>
      <c r="AB953" s="367"/>
      <c r="AC953" s="367"/>
    </row>
    <row r="954" spans="1:29" ht="15" x14ac:dyDescent="0.25">
      <c r="A954" s="365" t="s">
        <v>329</v>
      </c>
      <c r="H954" s="366">
        <v>100</v>
      </c>
      <c r="J954" s="367"/>
      <c r="K954" s="367"/>
      <c r="L954" s="367">
        <v>12</v>
      </c>
      <c r="M954" s="367">
        <v>5</v>
      </c>
      <c r="N954" s="367">
        <v>47</v>
      </c>
      <c r="O954" s="367"/>
      <c r="P954" s="367">
        <v>225</v>
      </c>
      <c r="Q954" s="367"/>
      <c r="R954" s="367">
        <v>1</v>
      </c>
      <c r="S954" s="367"/>
      <c r="T954" s="367">
        <v>5710</v>
      </c>
      <c r="U954" s="367"/>
      <c r="V954" s="367"/>
      <c r="W954" s="367"/>
      <c r="X954" s="367"/>
      <c r="Y954" s="367"/>
      <c r="Z954" s="367"/>
      <c r="AA954" s="367"/>
      <c r="AB954" s="367"/>
      <c r="AC954" s="367"/>
    </row>
    <row r="955" spans="1:29" ht="15" x14ac:dyDescent="0.25">
      <c r="A955" s="365" t="s">
        <v>610</v>
      </c>
      <c r="H955" s="366">
        <v>40</v>
      </c>
      <c r="J955" s="367"/>
      <c r="K955" s="367"/>
      <c r="L955" s="367">
        <v>1100</v>
      </c>
      <c r="M955" s="367">
        <v>62</v>
      </c>
      <c r="N955" s="367">
        <v>76</v>
      </c>
      <c r="O955" s="367"/>
      <c r="P955" s="367">
        <v>65</v>
      </c>
      <c r="Q955" s="367"/>
      <c r="R955" s="367">
        <v>210</v>
      </c>
      <c r="S955" s="367">
        <v>4.3</v>
      </c>
      <c r="T955" s="367">
        <v>910</v>
      </c>
      <c r="U955" s="367"/>
      <c r="V955" s="367"/>
      <c r="W955" s="367"/>
      <c r="X955" s="367"/>
      <c r="Y955" s="367"/>
      <c r="Z955" s="367"/>
      <c r="AA955" s="367"/>
      <c r="AB955" s="367"/>
      <c r="AC955" s="367">
        <v>0.02</v>
      </c>
    </row>
    <row r="956" spans="1:29" ht="15" x14ac:dyDescent="0.25">
      <c r="A956" s="365" t="s">
        <v>330</v>
      </c>
      <c r="H956" s="366">
        <v>40</v>
      </c>
      <c r="J956" s="367"/>
      <c r="K956" s="367"/>
      <c r="L956" s="367">
        <v>1100</v>
      </c>
      <c r="M956" s="367">
        <v>62</v>
      </c>
      <c r="N956" s="367">
        <v>76</v>
      </c>
      <c r="O956" s="367"/>
      <c r="P956" s="367">
        <v>65</v>
      </c>
      <c r="Q956" s="367"/>
      <c r="R956" s="367">
        <v>210</v>
      </c>
      <c r="S956" s="367">
        <v>4.3</v>
      </c>
      <c r="T956" s="367">
        <v>910</v>
      </c>
      <c r="U956" s="367"/>
      <c r="V956" s="367"/>
      <c r="W956" s="367"/>
      <c r="X956" s="367"/>
      <c r="Y956" s="367"/>
      <c r="Z956" s="367"/>
      <c r="AA956" s="367"/>
      <c r="AB956" s="367"/>
      <c r="AC956" s="367"/>
    </row>
    <row r="957" spans="1:29" ht="15" x14ac:dyDescent="0.25">
      <c r="A957" s="365" t="s">
        <v>331</v>
      </c>
      <c r="H957" s="366">
        <v>20</v>
      </c>
      <c r="J957" s="367"/>
      <c r="K957" s="367"/>
      <c r="L957" s="367">
        <v>6110</v>
      </c>
      <c r="M957" s="367">
        <v>173</v>
      </c>
      <c r="N957" s="367">
        <v>453</v>
      </c>
      <c r="O957" s="367"/>
      <c r="P957" s="367">
        <v>71</v>
      </c>
      <c r="Q957" s="367"/>
      <c r="R957" s="367">
        <v>7740</v>
      </c>
      <c r="S957" s="367">
        <v>2</v>
      </c>
      <c r="T957" s="367">
        <v>47</v>
      </c>
      <c r="U957" s="367"/>
      <c r="V957" s="367"/>
      <c r="W957" s="367"/>
      <c r="X957" s="367"/>
      <c r="Y957" s="367"/>
      <c r="Z957" s="367"/>
      <c r="AA957" s="367"/>
      <c r="AB957" s="367"/>
      <c r="AC957" s="367"/>
    </row>
    <row r="958" spans="1:29" ht="15" x14ac:dyDescent="0.25">
      <c r="A958" s="365" t="s">
        <v>332</v>
      </c>
      <c r="H958" s="366">
        <v>82</v>
      </c>
      <c r="J958" s="367"/>
      <c r="K958" s="367"/>
      <c r="L958" s="367">
        <v>1100</v>
      </c>
      <c r="M958" s="367">
        <v>55</v>
      </c>
      <c r="N958" s="367">
        <v>64</v>
      </c>
      <c r="O958" s="367"/>
      <c r="P958" s="367">
        <v>100</v>
      </c>
      <c r="Q958" s="367"/>
      <c r="R958" s="367">
        <v>200</v>
      </c>
      <c r="S958" s="367">
        <v>4.5</v>
      </c>
      <c r="T958" s="367">
        <v>920</v>
      </c>
      <c r="U958" s="367"/>
      <c r="V958" s="367"/>
      <c r="W958" s="367"/>
      <c r="X958" s="367"/>
      <c r="Y958" s="367"/>
      <c r="Z958" s="367"/>
      <c r="AA958" s="367"/>
      <c r="AB958" s="367"/>
      <c r="AC958" s="367"/>
    </row>
    <row r="959" spans="1:29" ht="15" x14ac:dyDescent="0.25">
      <c r="A959" s="365" t="s">
        <v>333</v>
      </c>
      <c r="H959" s="366">
        <v>29</v>
      </c>
      <c r="J959" s="367"/>
      <c r="K959" s="367"/>
      <c r="L959" s="367">
        <v>8076</v>
      </c>
      <c r="M959" s="367">
        <v>51</v>
      </c>
      <c r="N959" s="367">
        <v>22</v>
      </c>
      <c r="O959" s="367"/>
      <c r="P959" s="367"/>
      <c r="Q959" s="367"/>
      <c r="R959" s="367">
        <v>11800</v>
      </c>
      <c r="S959" s="367">
        <v>4.2</v>
      </c>
      <c r="T959" s="367">
        <v>67</v>
      </c>
      <c r="U959" s="367"/>
      <c r="V959" s="367"/>
      <c r="W959" s="367"/>
      <c r="X959" s="367"/>
      <c r="Y959" s="367"/>
      <c r="Z959" s="367"/>
      <c r="AA959" s="367"/>
      <c r="AB959" s="367"/>
      <c r="AC959" s="367"/>
    </row>
    <row r="960" spans="1:29" ht="15" x14ac:dyDescent="0.25">
      <c r="A960" s="365" t="s">
        <v>334</v>
      </c>
      <c r="H960" s="366">
        <v>43</v>
      </c>
      <c r="J960" s="367"/>
      <c r="K960" s="367"/>
      <c r="L960" s="367">
        <v>62</v>
      </c>
      <c r="M960" s="367">
        <v>1.6</v>
      </c>
      <c r="N960" s="367">
        <v>2.4</v>
      </c>
      <c r="O960" s="367"/>
      <c r="P960" s="367">
        <v>38</v>
      </c>
      <c r="Q960" s="367"/>
      <c r="R960" s="367">
        <v>21</v>
      </c>
      <c r="S960" s="367">
        <v>0.2</v>
      </c>
      <c r="T960" s="367">
        <v>57</v>
      </c>
      <c r="U960" s="367"/>
      <c r="V960" s="367"/>
      <c r="W960" s="367"/>
      <c r="X960" s="367"/>
      <c r="Y960" s="367"/>
      <c r="Z960" s="367"/>
      <c r="AA960" s="367"/>
      <c r="AB960" s="367"/>
      <c r="AC960" s="367"/>
    </row>
    <row r="961" spans="1:29" ht="15" x14ac:dyDescent="0.25">
      <c r="A961" s="365" t="s">
        <v>334</v>
      </c>
      <c r="H961" s="366">
        <v>98</v>
      </c>
      <c r="J961" s="367"/>
      <c r="K961" s="367"/>
      <c r="L961" s="367">
        <v>285</v>
      </c>
      <c r="M961" s="367">
        <v>6</v>
      </c>
      <c r="N961" s="367">
        <v>15</v>
      </c>
      <c r="O961" s="367"/>
      <c r="P961" s="367">
        <v>99</v>
      </c>
      <c r="Q961" s="367"/>
      <c r="R961" s="367">
        <v>186</v>
      </c>
      <c r="S961" s="367">
        <v>5</v>
      </c>
      <c r="T961" s="367">
        <v>310</v>
      </c>
      <c r="U961" s="367"/>
      <c r="V961" s="367"/>
      <c r="W961" s="367"/>
      <c r="X961" s="367"/>
      <c r="Y961" s="367"/>
      <c r="Z961" s="367"/>
      <c r="AA961" s="367"/>
      <c r="AB961" s="367"/>
      <c r="AC961" s="367"/>
    </row>
    <row r="962" spans="1:29" ht="15" x14ac:dyDescent="0.25">
      <c r="A962" s="365" t="s">
        <v>297</v>
      </c>
      <c r="H962" s="366">
        <v>22</v>
      </c>
      <c r="J962" s="367"/>
      <c r="K962" s="367"/>
      <c r="L962" s="367">
        <v>24.4</v>
      </c>
      <c r="M962" s="367">
        <v>3.6</v>
      </c>
      <c r="N962" s="367">
        <v>4.3</v>
      </c>
      <c r="O962" s="367"/>
      <c r="P962" s="367">
        <v>99.7</v>
      </c>
      <c r="Q962" s="367"/>
      <c r="R962" s="367">
        <v>10</v>
      </c>
      <c r="S962" s="367">
        <v>0.18</v>
      </c>
      <c r="T962" s="367"/>
      <c r="U962" s="367"/>
      <c r="V962" s="367"/>
      <c r="W962" s="367"/>
      <c r="X962" s="367"/>
      <c r="Y962" s="367"/>
      <c r="Z962" s="367"/>
      <c r="AA962" s="367"/>
      <c r="AB962" s="367"/>
      <c r="AC962" s="367"/>
    </row>
    <row r="963" spans="1:29" ht="15" x14ac:dyDescent="0.25">
      <c r="A963" s="365" t="s">
        <v>335</v>
      </c>
      <c r="H963" s="366">
        <v>34</v>
      </c>
      <c r="J963" s="367"/>
      <c r="K963" s="367"/>
      <c r="L963" s="367">
        <v>110</v>
      </c>
      <c r="M963" s="367"/>
      <c r="N963" s="367"/>
      <c r="O963" s="367"/>
      <c r="P963" s="367">
        <v>25</v>
      </c>
      <c r="Q963" s="367"/>
      <c r="R963" s="367">
        <v>8</v>
      </c>
      <c r="S963" s="367">
        <v>2.8</v>
      </c>
      <c r="T963" s="367">
        <v>55</v>
      </c>
      <c r="U963" s="367"/>
      <c r="V963" s="367"/>
      <c r="W963" s="367"/>
      <c r="X963" s="367"/>
      <c r="Y963" s="367"/>
      <c r="Z963" s="367"/>
      <c r="AA963" s="367"/>
      <c r="AB963" s="367"/>
      <c r="AC963" s="367"/>
    </row>
    <row r="964" spans="1:29" ht="15" x14ac:dyDescent="0.25">
      <c r="A964" s="365" t="s">
        <v>335</v>
      </c>
      <c r="H964" s="366">
        <v>43</v>
      </c>
      <c r="J964" s="367"/>
      <c r="K964" s="367"/>
      <c r="L964" s="367">
        <v>105</v>
      </c>
      <c r="M964" s="367">
        <v>1</v>
      </c>
      <c r="N964" s="367"/>
      <c r="O964" s="367"/>
      <c r="P964" s="367">
        <v>40</v>
      </c>
      <c r="Q964" s="367"/>
      <c r="R964" s="367">
        <v>11</v>
      </c>
      <c r="S964" s="367">
        <v>2.6</v>
      </c>
      <c r="T964" s="367">
        <v>35</v>
      </c>
      <c r="U964" s="367"/>
      <c r="V964" s="367"/>
      <c r="W964" s="367"/>
      <c r="X964" s="367"/>
      <c r="Y964" s="367"/>
      <c r="Z964" s="367"/>
      <c r="AA964" s="367"/>
      <c r="AB964" s="367"/>
      <c r="AC964" s="367"/>
    </row>
    <row r="965" spans="1:29" ht="15" x14ac:dyDescent="0.25">
      <c r="A965" s="365" t="s">
        <v>336</v>
      </c>
      <c r="H965" s="366">
        <v>86</v>
      </c>
      <c r="J965" s="367"/>
      <c r="K965" s="367"/>
      <c r="L965" s="367">
        <v>8000</v>
      </c>
      <c r="M965" s="367">
        <v>225</v>
      </c>
      <c r="N965" s="367">
        <v>0.2</v>
      </c>
      <c r="O965" s="367"/>
      <c r="P965" s="367">
        <v>220</v>
      </c>
      <c r="Q965" s="367"/>
      <c r="R965" s="367">
        <v>6000</v>
      </c>
      <c r="S965" s="367">
        <v>26</v>
      </c>
      <c r="T965" s="367">
        <v>2700</v>
      </c>
      <c r="U965" s="367"/>
      <c r="V965" s="367"/>
      <c r="W965" s="367"/>
      <c r="X965" s="367"/>
      <c r="Y965" s="367"/>
      <c r="Z965" s="367"/>
      <c r="AA965" s="367"/>
      <c r="AB965" s="367"/>
      <c r="AC965" s="367"/>
    </row>
    <row r="966" spans="1:29" ht="15" x14ac:dyDescent="0.25">
      <c r="A966" s="365" t="s">
        <v>337</v>
      </c>
      <c r="H966" s="366">
        <v>50</v>
      </c>
      <c r="J966" s="367"/>
      <c r="K966" s="367"/>
      <c r="L966" s="367">
        <v>210</v>
      </c>
      <c r="M966" s="367">
        <v>20</v>
      </c>
      <c r="N966" s="367">
        <v>63</v>
      </c>
      <c r="O966" s="367"/>
      <c r="P966" s="367">
        <v>45</v>
      </c>
      <c r="Q966" s="367"/>
      <c r="R966" s="367">
        <v>66</v>
      </c>
      <c r="S966" s="367">
        <v>5.4</v>
      </c>
      <c r="T966" s="367">
        <v>260</v>
      </c>
      <c r="U966" s="367"/>
      <c r="V966" s="367"/>
      <c r="W966" s="367"/>
      <c r="X966" s="367"/>
      <c r="Y966" s="367"/>
      <c r="Z966" s="367"/>
      <c r="AA966" s="367"/>
      <c r="AB966" s="367"/>
      <c r="AC966" s="367"/>
    </row>
    <row r="967" spans="1:29" ht="15" x14ac:dyDescent="0.25">
      <c r="A967" s="365" t="s">
        <v>414</v>
      </c>
      <c r="H967" s="366">
        <v>50</v>
      </c>
      <c r="J967" s="367"/>
      <c r="K967" s="367"/>
      <c r="L967" s="367">
        <v>210</v>
      </c>
      <c r="M967" s="367">
        <v>20</v>
      </c>
      <c r="N967" s="367">
        <v>63</v>
      </c>
      <c r="O967" s="367"/>
      <c r="P967" s="367">
        <v>45</v>
      </c>
      <c r="Q967" s="367"/>
      <c r="R967" s="367">
        <v>66</v>
      </c>
      <c r="S967" s="367">
        <v>5.4</v>
      </c>
      <c r="T967" s="367">
        <v>260</v>
      </c>
      <c r="U967" s="367"/>
      <c r="V967" s="367"/>
      <c r="W967" s="367"/>
      <c r="X967" s="367"/>
      <c r="Y967" s="367"/>
      <c r="Z967" s="367"/>
      <c r="AA967" s="367"/>
      <c r="AB967" s="367"/>
      <c r="AC967" s="367">
        <v>-0.02</v>
      </c>
    </row>
    <row r="968" spans="1:29" ht="15" x14ac:dyDescent="0.25">
      <c r="A968" s="365" t="s">
        <v>338</v>
      </c>
      <c r="H968" s="366">
        <v>26</v>
      </c>
      <c r="J968" s="367"/>
      <c r="K968" s="367"/>
      <c r="L968" s="367">
        <v>126</v>
      </c>
      <c r="M968" s="367">
        <v>5.4</v>
      </c>
      <c r="N968" s="367">
        <v>84</v>
      </c>
      <c r="O968" s="367"/>
      <c r="P968" s="367">
        <v>40</v>
      </c>
      <c r="Q968" s="367"/>
      <c r="R968" s="367">
        <v>92</v>
      </c>
      <c r="S968" s="367">
        <v>0.4</v>
      </c>
      <c r="T968" s="367">
        <v>380</v>
      </c>
      <c r="U968" s="367"/>
      <c r="V968" s="367"/>
      <c r="W968" s="367"/>
      <c r="X968" s="367"/>
      <c r="Y968" s="367"/>
      <c r="Z968" s="367"/>
      <c r="AA968" s="367"/>
      <c r="AB968" s="367"/>
      <c r="AC968" s="367"/>
    </row>
    <row r="969" spans="1:29" ht="15" x14ac:dyDescent="0.25">
      <c r="A969" s="365" t="s">
        <v>339</v>
      </c>
      <c r="H969" s="366">
        <v>27</v>
      </c>
      <c r="J969" s="367"/>
      <c r="K969" s="367"/>
      <c r="L969" s="367">
        <v>50</v>
      </c>
      <c r="M969" s="367"/>
      <c r="N969" s="367">
        <v>2</v>
      </c>
      <c r="O969" s="367"/>
      <c r="P969" s="367">
        <v>57</v>
      </c>
      <c r="Q969" s="367"/>
      <c r="R969" s="367">
        <v>8</v>
      </c>
      <c r="S969" s="367">
        <v>0.3</v>
      </c>
      <c r="T969" s="367">
        <v>49</v>
      </c>
      <c r="U969" s="367"/>
      <c r="V969" s="367"/>
      <c r="W969" s="367"/>
      <c r="X969" s="367"/>
      <c r="Y969" s="367"/>
      <c r="Z969" s="367"/>
      <c r="AA969" s="367">
        <v>0.02</v>
      </c>
      <c r="AB969" s="367"/>
      <c r="AC969" s="367"/>
    </row>
    <row r="970" spans="1:29" ht="15" x14ac:dyDescent="0.25">
      <c r="A970" s="365" t="s">
        <v>340</v>
      </c>
      <c r="H970" s="366">
        <v>29</v>
      </c>
      <c r="J970" s="367"/>
      <c r="K970" s="367"/>
      <c r="L970" s="367">
        <v>700</v>
      </c>
      <c r="M970" s="367">
        <v>23</v>
      </c>
      <c r="N970" s="367">
        <v>85</v>
      </c>
      <c r="O970" s="367"/>
      <c r="P970" s="367">
        <v>23</v>
      </c>
      <c r="Q970" s="367"/>
      <c r="R970" s="367">
        <v>193</v>
      </c>
      <c r="S970" s="367">
        <v>1.8</v>
      </c>
      <c r="T970" s="367">
        <v>74</v>
      </c>
      <c r="U970" s="367"/>
      <c r="V970" s="367"/>
      <c r="W970" s="367"/>
      <c r="X970" s="367"/>
      <c r="Y970" s="367"/>
      <c r="Z970" s="367"/>
      <c r="AA970" s="367"/>
      <c r="AB970" s="367"/>
      <c r="AC970" s="367"/>
    </row>
    <row r="971" spans="1:29" ht="15" x14ac:dyDescent="0.25">
      <c r="A971" s="365" t="s">
        <v>341</v>
      </c>
      <c r="H971" s="366">
        <v>37</v>
      </c>
      <c r="J971" s="367"/>
      <c r="K971" s="367"/>
      <c r="L971" s="367">
        <v>140</v>
      </c>
      <c r="M971" s="367">
        <v>9</v>
      </c>
      <c r="N971" s="367">
        <v>21</v>
      </c>
      <c r="O971" s="367"/>
      <c r="P971" s="367">
        <v>32</v>
      </c>
      <c r="Q971" s="367"/>
      <c r="R971" s="367">
        <v>74</v>
      </c>
      <c r="S971" s="367">
        <v>3.2</v>
      </c>
      <c r="T971" s="367">
        <v>41</v>
      </c>
      <c r="U971" s="367"/>
      <c r="V971" s="367"/>
      <c r="W971" s="367"/>
      <c r="X971" s="367"/>
      <c r="Y971" s="367"/>
      <c r="Z971" s="367"/>
      <c r="AA971" s="367"/>
      <c r="AB971" s="367"/>
      <c r="AC971" s="367"/>
    </row>
    <row r="972" spans="1:29" ht="15" x14ac:dyDescent="0.25">
      <c r="A972" s="365" t="s">
        <v>342</v>
      </c>
      <c r="H972" s="366">
        <v>55.6</v>
      </c>
      <c r="J972" s="367"/>
      <c r="K972" s="367"/>
      <c r="L972" s="367">
        <v>8580</v>
      </c>
      <c r="M972" s="367">
        <v>460</v>
      </c>
      <c r="N972" s="367">
        <v>5.6</v>
      </c>
      <c r="O972" s="367"/>
      <c r="P972" s="367">
        <v>199</v>
      </c>
      <c r="Q972" s="367"/>
      <c r="R972" s="367">
        <v>10710</v>
      </c>
      <c r="S972" s="367">
        <v>3.32</v>
      </c>
      <c r="T972" s="367">
        <v>157</v>
      </c>
      <c r="U972" s="367"/>
      <c r="V972" s="367"/>
      <c r="W972" s="367"/>
      <c r="X972" s="367"/>
      <c r="Y972" s="367"/>
      <c r="Z972" s="367"/>
      <c r="AA972" s="367">
        <v>2</v>
      </c>
      <c r="AB972" s="367"/>
      <c r="AC972" s="367"/>
    </row>
    <row r="973" spans="1:29" ht="15" x14ac:dyDescent="0.25">
      <c r="A973" s="365" t="s">
        <v>343</v>
      </c>
      <c r="H973" s="366">
        <v>42</v>
      </c>
      <c r="J973" s="367"/>
      <c r="K973" s="367"/>
      <c r="L973" s="367">
        <v>292</v>
      </c>
      <c r="M973" s="367">
        <v>3.4</v>
      </c>
      <c r="N973" s="367">
        <v>15</v>
      </c>
      <c r="O973" s="367"/>
      <c r="P973" s="367">
        <v>45</v>
      </c>
      <c r="Q973" s="367"/>
      <c r="R973" s="367">
        <v>91</v>
      </c>
      <c r="S973" s="367">
        <v>12</v>
      </c>
      <c r="T973" s="367">
        <v>67</v>
      </c>
      <c r="U973" s="367"/>
      <c r="V973" s="367"/>
      <c r="W973" s="367"/>
      <c r="X973" s="367"/>
      <c r="Y973" s="367"/>
      <c r="Z973" s="367"/>
      <c r="AA973" s="367"/>
      <c r="AB973" s="367"/>
      <c r="AC973" s="367"/>
    </row>
    <row r="974" spans="1:29" ht="15" x14ac:dyDescent="0.25">
      <c r="A974" s="365" t="s">
        <v>647</v>
      </c>
      <c r="H974" s="366">
        <v>41</v>
      </c>
      <c r="J974" s="367"/>
      <c r="K974" s="367"/>
      <c r="L974" s="367">
        <v>66</v>
      </c>
      <c r="M974" s="367">
        <v>0.6</v>
      </c>
      <c r="N974" s="367">
        <v>2.2000000000000002</v>
      </c>
      <c r="O974" s="367"/>
      <c r="P974" s="367">
        <v>36</v>
      </c>
      <c r="Q974" s="367"/>
      <c r="R974" s="367">
        <v>14</v>
      </c>
      <c r="S974" s="367">
        <v>2</v>
      </c>
      <c r="T974" s="367">
        <v>57</v>
      </c>
      <c r="U974" s="367"/>
      <c r="V974" s="367"/>
      <c r="W974" s="367"/>
      <c r="X974" s="367"/>
      <c r="Y974" s="367"/>
      <c r="Z974" s="367"/>
      <c r="AA974" s="367"/>
      <c r="AB974" s="367"/>
      <c r="AC974" s="367">
        <v>-0.02</v>
      </c>
    </row>
    <row r="975" spans="1:29" ht="15" x14ac:dyDescent="0.25">
      <c r="A975" s="365" t="s">
        <v>344</v>
      </c>
      <c r="H975" s="366">
        <v>40</v>
      </c>
      <c r="J975" s="367"/>
      <c r="K975" s="367"/>
      <c r="L975" s="367">
        <v>60</v>
      </c>
      <c r="M975" s="367"/>
      <c r="N975" s="367">
        <v>3</v>
      </c>
      <c r="O975" s="367"/>
      <c r="P975" s="367">
        <v>35</v>
      </c>
      <c r="Q975" s="367"/>
      <c r="R975" s="367">
        <v>24</v>
      </c>
      <c r="S975" s="367">
        <v>2</v>
      </c>
      <c r="T975" s="367">
        <v>38</v>
      </c>
      <c r="U975" s="367"/>
      <c r="V975" s="367"/>
      <c r="W975" s="367"/>
      <c r="X975" s="367"/>
      <c r="Y975" s="367"/>
      <c r="Z975" s="367"/>
      <c r="AA975" s="367">
        <v>0.05</v>
      </c>
      <c r="AB975" s="367"/>
      <c r="AC975" s="367">
        <v>0.27</v>
      </c>
    </row>
    <row r="976" spans="1:29" ht="15" x14ac:dyDescent="0.25">
      <c r="A976" s="365" t="s">
        <v>345</v>
      </c>
      <c r="H976" s="366">
        <v>33</v>
      </c>
      <c r="J976" s="367"/>
      <c r="K976" s="367"/>
      <c r="L976" s="367">
        <v>608</v>
      </c>
      <c r="M976" s="367">
        <v>11</v>
      </c>
      <c r="N976" s="367">
        <v>18</v>
      </c>
      <c r="O976" s="367"/>
      <c r="P976" s="367">
        <v>88</v>
      </c>
      <c r="Q976" s="367"/>
      <c r="R976" s="367">
        <v>266</v>
      </c>
      <c r="S976" s="367">
        <v>1.6</v>
      </c>
      <c r="T976" s="367">
        <v>8</v>
      </c>
      <c r="U976" s="367"/>
      <c r="V976" s="367"/>
      <c r="W976" s="367"/>
      <c r="X976" s="367"/>
      <c r="Y976" s="367"/>
      <c r="Z976" s="367"/>
      <c r="AA976" s="367"/>
      <c r="AB976" s="367"/>
      <c r="AC976" s="367"/>
    </row>
    <row r="977" spans="1:29" ht="15" x14ac:dyDescent="0.25">
      <c r="A977" s="365" t="s">
        <v>346</v>
      </c>
      <c r="H977" s="366">
        <v>41</v>
      </c>
      <c r="J977" s="367"/>
      <c r="K977" s="367"/>
      <c r="L977" s="367">
        <v>56</v>
      </c>
      <c r="M977" s="367">
        <v>3</v>
      </c>
      <c r="N977" s="367">
        <v>3</v>
      </c>
      <c r="O977" s="367"/>
      <c r="P977" s="367">
        <v>37</v>
      </c>
      <c r="Q977" s="367"/>
      <c r="R977" s="367">
        <v>26</v>
      </c>
      <c r="S977" s="367">
        <v>2.2000000000000002</v>
      </c>
      <c r="T977" s="367">
        <v>26</v>
      </c>
      <c r="U977" s="367"/>
      <c r="V977" s="367"/>
      <c r="W977" s="367"/>
      <c r="X977" s="367"/>
      <c r="Y977" s="367"/>
      <c r="Z977" s="367"/>
      <c r="AA977" s="367"/>
      <c r="AB977" s="367"/>
      <c r="AC977" s="367"/>
    </row>
    <row r="978" spans="1:29" ht="15" x14ac:dyDescent="0.25">
      <c r="A978" s="365" t="s">
        <v>347</v>
      </c>
      <c r="H978" s="366">
        <v>56</v>
      </c>
      <c r="J978" s="367"/>
      <c r="K978" s="367"/>
      <c r="L978" s="367">
        <v>258</v>
      </c>
      <c r="M978" s="367">
        <v>2.2999999999999998</v>
      </c>
      <c r="N978" s="367">
        <v>2</v>
      </c>
      <c r="O978" s="367"/>
      <c r="P978" s="367">
        <v>60</v>
      </c>
      <c r="Q978" s="367"/>
      <c r="R978" s="367">
        <v>46</v>
      </c>
      <c r="S978" s="367">
        <v>12</v>
      </c>
      <c r="T978" s="367">
        <v>17</v>
      </c>
      <c r="U978" s="367"/>
      <c r="V978" s="367"/>
      <c r="W978" s="367"/>
      <c r="X978" s="367"/>
      <c r="Y978" s="367"/>
      <c r="Z978" s="367"/>
      <c r="AA978" s="367"/>
      <c r="AB978" s="367"/>
      <c r="AC978" s="367"/>
    </row>
    <row r="979" spans="1:29" ht="15" x14ac:dyDescent="0.25">
      <c r="A979" s="365" t="s">
        <v>348</v>
      </c>
      <c r="H979" s="366">
        <v>37</v>
      </c>
      <c r="J979" s="367"/>
      <c r="K979" s="367"/>
      <c r="L979" s="367">
        <v>81</v>
      </c>
      <c r="M979" s="367"/>
      <c r="N979" s="367">
        <v>28</v>
      </c>
      <c r="O979" s="367"/>
      <c r="P979" s="367">
        <v>36</v>
      </c>
      <c r="Q979" s="367"/>
      <c r="R979" s="367">
        <v>75</v>
      </c>
      <c r="S979" s="367">
        <v>0.6</v>
      </c>
      <c r="T979" s="367">
        <v>64</v>
      </c>
      <c r="U979" s="367"/>
      <c r="V979" s="367"/>
      <c r="W979" s="367"/>
      <c r="X979" s="367"/>
      <c r="Y979" s="367"/>
      <c r="Z979" s="367"/>
      <c r="AA979" s="367"/>
      <c r="AB979" s="367"/>
      <c r="AC979" s="367">
        <v>0.25</v>
      </c>
    </row>
    <row r="980" spans="1:29" ht="15" x14ac:dyDescent="0.25">
      <c r="A980" s="365" t="s">
        <v>429</v>
      </c>
      <c r="H980" s="366"/>
      <c r="J980" s="367"/>
      <c r="K980" s="367"/>
      <c r="L980" s="367">
        <v>240</v>
      </c>
      <c r="M980" s="367">
        <v>5.25</v>
      </c>
      <c r="N980" s="367">
        <v>18</v>
      </c>
      <c r="O980" s="367"/>
      <c r="P980" s="367">
        <v>110</v>
      </c>
      <c r="Q980" s="367"/>
      <c r="R980" s="367"/>
      <c r="S980" s="367"/>
      <c r="T980" s="367"/>
      <c r="U980" s="367"/>
      <c r="V980" s="367"/>
      <c r="W980" s="367"/>
      <c r="X980" s="367"/>
      <c r="Y980" s="367"/>
      <c r="Z980" s="367"/>
      <c r="AA980" s="367"/>
      <c r="AB980" s="367"/>
      <c r="AC980" s="367">
        <v>-0.02</v>
      </c>
    </row>
    <row r="981" spans="1:29" ht="15" x14ac:dyDescent="0.25">
      <c r="A981" s="365" t="s">
        <v>429</v>
      </c>
      <c r="H981" s="366">
        <v>95</v>
      </c>
      <c r="J981" s="367"/>
      <c r="K981" s="367"/>
      <c r="L981" s="367">
        <v>250</v>
      </c>
      <c r="M981" s="367">
        <v>5.5</v>
      </c>
      <c r="N981" s="367">
        <v>14</v>
      </c>
      <c r="O981" s="367"/>
      <c r="P981" s="367">
        <v>95</v>
      </c>
      <c r="Q981" s="367"/>
      <c r="R981" s="367">
        <v>160</v>
      </c>
      <c r="S981" s="367">
        <v>4.4000000000000004</v>
      </c>
      <c r="T981" s="367">
        <v>300</v>
      </c>
      <c r="U981" s="367"/>
      <c r="V981" s="367"/>
      <c r="W981" s="367"/>
      <c r="X981" s="367"/>
      <c r="Y981" s="367"/>
      <c r="Z981" s="367"/>
      <c r="AA981" s="367"/>
      <c r="AB981" s="367"/>
      <c r="AC981" s="367">
        <v>-0.06</v>
      </c>
    </row>
    <row r="982" spans="1:29" ht="15" x14ac:dyDescent="0.25">
      <c r="A982" s="365" t="s">
        <v>429</v>
      </c>
      <c r="H982" s="366"/>
      <c r="J982" s="367"/>
      <c r="K982" s="367"/>
      <c r="L982" s="367">
        <v>228</v>
      </c>
      <c r="M982" s="367">
        <v>5.0999999999999996</v>
      </c>
      <c r="N982" s="367">
        <v>16</v>
      </c>
      <c r="O982" s="367"/>
      <c r="P982" s="367"/>
      <c r="Q982" s="367"/>
      <c r="R982" s="367">
        <v>160</v>
      </c>
      <c r="S982" s="367"/>
      <c r="T982" s="367">
        <v>224</v>
      </c>
      <c r="U982" s="367"/>
      <c r="V982" s="367"/>
      <c r="W982" s="367"/>
      <c r="X982" s="367"/>
      <c r="Y982" s="367"/>
      <c r="Z982" s="367"/>
      <c r="AA982" s="367"/>
      <c r="AB982" s="367"/>
      <c r="AC982" s="367"/>
    </row>
    <row r="983" spans="1:29" ht="15" x14ac:dyDescent="0.25">
      <c r="A983" s="365" t="s">
        <v>349</v>
      </c>
      <c r="H983" s="366">
        <v>95</v>
      </c>
      <c r="J983" s="367"/>
      <c r="K983" s="367"/>
      <c r="L983" s="367">
        <v>250</v>
      </c>
      <c r="M983" s="367">
        <v>5.5</v>
      </c>
      <c r="N983" s="367">
        <v>14</v>
      </c>
      <c r="O983" s="367"/>
      <c r="P983" s="367"/>
      <c r="Q983" s="367"/>
      <c r="R983" s="367">
        <v>160</v>
      </c>
      <c r="S983" s="367">
        <v>4.4000000000000004</v>
      </c>
      <c r="T983" s="367">
        <v>300</v>
      </c>
      <c r="U983" s="367"/>
      <c r="V983" s="367"/>
      <c r="W983" s="367"/>
      <c r="X983" s="367"/>
      <c r="Y983" s="367"/>
      <c r="Z983" s="367"/>
      <c r="AA983" s="367"/>
      <c r="AB983" s="367"/>
      <c r="AC983" s="367"/>
    </row>
    <row r="984" spans="1:29" ht="15" x14ac:dyDescent="0.25">
      <c r="A984" s="365" t="s">
        <v>429</v>
      </c>
      <c r="H984" s="366">
        <v>95</v>
      </c>
      <c r="J984" s="367"/>
      <c r="K984" s="367"/>
      <c r="L984" s="367">
        <v>244</v>
      </c>
      <c r="M984" s="367">
        <v>5.4</v>
      </c>
      <c r="N984" s="367">
        <v>18</v>
      </c>
      <c r="O984" s="367"/>
      <c r="P984" s="367">
        <v>138</v>
      </c>
      <c r="Q984" s="367"/>
      <c r="R984" s="367">
        <v>154</v>
      </c>
      <c r="S984" s="367"/>
      <c r="T984" s="367">
        <v>180</v>
      </c>
      <c r="U984" s="367"/>
      <c r="V984" s="367"/>
      <c r="W984" s="367"/>
      <c r="X984" s="367"/>
      <c r="Y984" s="367"/>
      <c r="Z984" s="367"/>
      <c r="AA984" s="367"/>
      <c r="AB984" s="367"/>
      <c r="AC984" s="367"/>
    </row>
    <row r="985" spans="1:29" ht="15" x14ac:dyDescent="0.25">
      <c r="A985" s="365" t="s">
        <v>350</v>
      </c>
      <c r="H985" s="366">
        <v>90</v>
      </c>
      <c r="J985" s="367"/>
      <c r="K985" s="367"/>
      <c r="L985" s="367">
        <v>255</v>
      </c>
      <c r="M985" s="367">
        <v>12</v>
      </c>
      <c r="N985" s="367">
        <v>29</v>
      </c>
      <c r="O985" s="367"/>
      <c r="P985" s="367">
        <v>94</v>
      </c>
      <c r="Q985" s="367"/>
      <c r="R985" s="367">
        <v>52</v>
      </c>
      <c r="S985" s="367">
        <v>8</v>
      </c>
      <c r="T985" s="367">
        <v>454</v>
      </c>
      <c r="U985" s="367"/>
      <c r="V985" s="367"/>
      <c r="W985" s="367"/>
      <c r="X985" s="367"/>
      <c r="Y985" s="367"/>
      <c r="Z985" s="367"/>
      <c r="AA985" s="367"/>
      <c r="AB985" s="367"/>
      <c r="AC985" s="367"/>
    </row>
    <row r="986" spans="1:29" ht="15" x14ac:dyDescent="0.25">
      <c r="A986" s="365" t="s">
        <v>351</v>
      </c>
      <c r="H986" s="366">
        <v>24</v>
      </c>
      <c r="J986" s="367"/>
      <c r="K986" s="367"/>
      <c r="L986" s="367">
        <v>30</v>
      </c>
      <c r="M986" s="367"/>
      <c r="N986" s="367">
        <v>43</v>
      </c>
      <c r="O986" s="367"/>
      <c r="P986" s="367">
        <v>38</v>
      </c>
      <c r="Q986" s="367"/>
      <c r="R986" s="367">
        <v>44</v>
      </c>
      <c r="S986" s="367">
        <v>0.6</v>
      </c>
      <c r="T986" s="367">
        <v>29</v>
      </c>
      <c r="U986" s="367"/>
      <c r="V986" s="367"/>
      <c r="W986" s="367"/>
      <c r="X986" s="367"/>
      <c r="Y986" s="367"/>
      <c r="Z986" s="367"/>
      <c r="AA986" s="367">
        <v>0.3</v>
      </c>
      <c r="AB986" s="367"/>
      <c r="AC986" s="367">
        <v>0.06</v>
      </c>
    </row>
    <row r="987" spans="1:29" ht="15" x14ac:dyDescent="0.25">
      <c r="A987" s="365" t="s">
        <v>362</v>
      </c>
      <c r="H987" s="366">
        <v>41</v>
      </c>
      <c r="J987" s="367"/>
      <c r="K987" s="367"/>
      <c r="L987" s="367">
        <v>403</v>
      </c>
      <c r="M987" s="367">
        <v>5.7</v>
      </c>
      <c r="N987" s="367">
        <v>15</v>
      </c>
      <c r="O987" s="367"/>
      <c r="P987" s="367">
        <v>58</v>
      </c>
      <c r="Q987" s="367"/>
      <c r="R987" s="367">
        <v>218</v>
      </c>
      <c r="S987" s="367">
        <v>4.4000000000000004</v>
      </c>
      <c r="T987" s="367">
        <v>400</v>
      </c>
      <c r="U987" s="367"/>
      <c r="V987" s="367"/>
      <c r="W987" s="367"/>
      <c r="X987" s="367"/>
      <c r="Y987" s="367"/>
      <c r="Z987" s="367"/>
      <c r="AA987" s="367"/>
      <c r="AB987" s="367"/>
      <c r="AC987" s="367"/>
    </row>
    <row r="988" spans="1:29" ht="15" x14ac:dyDescent="0.25">
      <c r="A988" s="365" t="s">
        <v>363</v>
      </c>
      <c r="H988" s="366">
        <v>73.5</v>
      </c>
      <c r="J988" s="367"/>
      <c r="K988" s="367"/>
      <c r="L988" s="367">
        <v>223</v>
      </c>
      <c r="M988" s="367">
        <v>5</v>
      </c>
      <c r="N988" s="367">
        <v>78</v>
      </c>
      <c r="O988" s="367"/>
      <c r="P988" s="367">
        <v>68</v>
      </c>
      <c r="Q988" s="367"/>
      <c r="R988" s="367">
        <v>141</v>
      </c>
      <c r="S988" s="367">
        <v>1.9</v>
      </c>
      <c r="T988" s="367">
        <v>365</v>
      </c>
      <c r="U988" s="367"/>
      <c r="V988" s="367"/>
      <c r="W988" s="367"/>
      <c r="X988" s="367"/>
      <c r="Y988" s="367"/>
      <c r="Z988" s="367"/>
      <c r="AA988" s="367">
        <v>0.71</v>
      </c>
      <c r="AB988" s="367"/>
      <c r="AC988" s="367">
        <v>0.28000000000000003</v>
      </c>
    </row>
    <row r="989" spans="1:29" ht="15" x14ac:dyDescent="0.25">
      <c r="A989" s="365" t="s">
        <v>487</v>
      </c>
      <c r="H989" s="366">
        <v>76</v>
      </c>
      <c r="J989" s="367"/>
      <c r="K989" s="367"/>
      <c r="L989" s="367">
        <v>230</v>
      </c>
      <c r="M989" s="367">
        <v>5.2</v>
      </c>
      <c r="N989" s="367">
        <v>44</v>
      </c>
      <c r="O989" s="367"/>
      <c r="P989" s="367">
        <v>87</v>
      </c>
      <c r="Q989" s="367"/>
      <c r="R989" s="367">
        <v>120</v>
      </c>
      <c r="S989" s="367">
        <v>1.9</v>
      </c>
      <c r="T989" s="367">
        <v>400</v>
      </c>
      <c r="U989" s="367"/>
      <c r="V989" s="367"/>
      <c r="W989" s="367"/>
      <c r="X989" s="367"/>
      <c r="Y989" s="367"/>
      <c r="Z989" s="367"/>
      <c r="AA989" s="367"/>
      <c r="AB989" s="367"/>
      <c r="AC989" s="367">
        <v>-0.06</v>
      </c>
    </row>
    <row r="990" spans="1:29" ht="15" x14ac:dyDescent="0.25">
      <c r="A990" s="365" t="s">
        <v>487</v>
      </c>
      <c r="H990" s="366">
        <v>46</v>
      </c>
      <c r="J990" s="367"/>
      <c r="K990" s="367"/>
      <c r="L990" s="367">
        <v>235</v>
      </c>
      <c r="M990" s="367">
        <v>5.4</v>
      </c>
      <c r="N990" s="367">
        <v>48</v>
      </c>
      <c r="O990" s="367"/>
      <c r="P990" s="367">
        <v>80</v>
      </c>
      <c r="Q990" s="367"/>
      <c r="R990" s="367">
        <v>120</v>
      </c>
      <c r="S990" s="367">
        <v>1.9</v>
      </c>
      <c r="T990" s="367">
        <v>390</v>
      </c>
      <c r="U990" s="367"/>
      <c r="V990" s="367"/>
      <c r="W990" s="367"/>
      <c r="X990" s="367"/>
      <c r="Y990" s="367"/>
      <c r="Z990" s="367"/>
      <c r="AA990" s="367"/>
      <c r="AB990" s="367"/>
      <c r="AC990" s="367">
        <v>-0.02</v>
      </c>
    </row>
    <row r="991" spans="1:29" ht="15" x14ac:dyDescent="0.25">
      <c r="A991" s="365" t="s">
        <v>364</v>
      </c>
      <c r="H991" s="366">
        <v>27</v>
      </c>
      <c r="J991" s="367"/>
      <c r="K991" s="367"/>
      <c r="L991" s="367">
        <v>23</v>
      </c>
      <c r="M991" s="367">
        <v>5.0999999999999996</v>
      </c>
      <c r="N991" s="367">
        <v>88</v>
      </c>
      <c r="O991" s="367"/>
      <c r="P991" s="367">
        <v>29</v>
      </c>
      <c r="Q991" s="367"/>
      <c r="R991" s="367">
        <v>10</v>
      </c>
      <c r="S991" s="367">
        <v>0.3</v>
      </c>
      <c r="T991" s="367">
        <v>263</v>
      </c>
      <c r="U991" s="367"/>
      <c r="V991" s="367"/>
      <c r="W991" s="367"/>
      <c r="X991" s="367"/>
      <c r="Y991" s="367"/>
      <c r="Z991" s="367"/>
      <c r="AA991" s="367"/>
      <c r="AB991" s="367"/>
      <c r="AC991" s="367"/>
    </row>
    <row r="992" spans="1:29" ht="15" x14ac:dyDescent="0.25">
      <c r="A992" s="365" t="s">
        <v>365</v>
      </c>
      <c r="H992" s="366">
        <v>42</v>
      </c>
      <c r="J992" s="367"/>
      <c r="K992" s="367"/>
      <c r="L992" s="367">
        <v>94</v>
      </c>
      <c r="M992" s="367"/>
      <c r="N992" s="367">
        <v>0.5</v>
      </c>
      <c r="O992" s="367"/>
      <c r="P992" s="367">
        <v>93</v>
      </c>
      <c r="Q992" s="367"/>
      <c r="R992" s="367">
        <v>32</v>
      </c>
      <c r="S992" s="367">
        <v>1.8</v>
      </c>
      <c r="T992" s="367"/>
      <c r="U992" s="367"/>
      <c r="V992" s="367"/>
      <c r="W992" s="367"/>
      <c r="X992" s="367"/>
      <c r="Y992" s="367"/>
      <c r="Z992" s="367"/>
      <c r="AA992" s="367">
        <v>0.01</v>
      </c>
      <c r="AB992" s="367"/>
      <c r="AC992" s="367"/>
    </row>
    <row r="993" spans="1:29" ht="15" x14ac:dyDescent="0.25">
      <c r="A993" s="365" t="s">
        <v>366</v>
      </c>
      <c r="H993" s="366">
        <v>36</v>
      </c>
      <c r="J993" s="367"/>
      <c r="K993" s="367"/>
      <c r="L993" s="367">
        <v>5000</v>
      </c>
      <c r="M993" s="367"/>
      <c r="N993" s="367">
        <v>1110</v>
      </c>
      <c r="O993" s="367"/>
      <c r="P993" s="367"/>
      <c r="Q993" s="367"/>
      <c r="R993" s="367">
        <v>3260</v>
      </c>
      <c r="S993" s="367"/>
      <c r="T993" s="367">
        <v>10100</v>
      </c>
      <c r="U993" s="367"/>
      <c r="V993" s="367"/>
      <c r="W993" s="367"/>
      <c r="X993" s="367"/>
      <c r="Y993" s="367"/>
      <c r="Z993" s="367"/>
      <c r="AA993" s="367"/>
      <c r="AB993" s="367"/>
      <c r="AC993" s="367"/>
    </row>
    <row r="994" spans="1:29" ht="15" x14ac:dyDescent="0.25">
      <c r="A994" s="365" t="s">
        <v>367</v>
      </c>
      <c r="H994" s="366">
        <v>16.100000000000001</v>
      </c>
      <c r="J994" s="367"/>
      <c r="K994" s="367"/>
      <c r="L994" s="367">
        <v>2290</v>
      </c>
      <c r="M994" s="367">
        <v>242</v>
      </c>
      <c r="N994" s="367">
        <v>89.7</v>
      </c>
      <c r="O994" s="367"/>
      <c r="P994" s="367">
        <v>100</v>
      </c>
      <c r="Q994" s="367"/>
      <c r="R994" s="367">
        <v>3384</v>
      </c>
      <c r="S994" s="367">
        <v>0.64</v>
      </c>
      <c r="T994" s="367">
        <v>175</v>
      </c>
      <c r="U994" s="367"/>
      <c r="V994" s="367"/>
      <c r="W994" s="367"/>
      <c r="X994" s="367"/>
      <c r="Y994" s="367"/>
      <c r="Z994" s="367"/>
      <c r="AA994" s="367">
        <v>4.0999999999999996</v>
      </c>
      <c r="AB994" s="367"/>
      <c r="AC994" s="367"/>
    </row>
    <row r="995" spans="1:29" ht="15" x14ac:dyDescent="0.25">
      <c r="A995" s="365" t="s">
        <v>368</v>
      </c>
      <c r="H995" s="366">
        <v>8.9</v>
      </c>
      <c r="J995" s="367"/>
      <c r="K995" s="367"/>
      <c r="L995" s="367">
        <v>11845</v>
      </c>
      <c r="M995" s="367">
        <v>335</v>
      </c>
      <c r="N995" s="367">
        <v>3.7</v>
      </c>
      <c r="O995" s="367"/>
      <c r="P995" s="367">
        <v>15</v>
      </c>
      <c r="Q995" s="367"/>
      <c r="R995" s="367">
        <v>17260</v>
      </c>
      <c r="S995" s="367">
        <v>0.14000000000000001</v>
      </c>
      <c r="T995" s="367">
        <v>48.5</v>
      </c>
      <c r="U995" s="367"/>
      <c r="V995" s="367"/>
      <c r="W995" s="367"/>
      <c r="X995" s="367"/>
      <c r="Y995" s="367"/>
      <c r="Z995" s="367"/>
      <c r="AA995" s="367">
        <v>0.5</v>
      </c>
      <c r="AB995" s="367"/>
      <c r="AC995" s="367"/>
    </row>
    <row r="996" spans="1:29" ht="15" x14ac:dyDescent="0.25">
      <c r="A996" s="365" t="s">
        <v>369</v>
      </c>
      <c r="H996" s="366">
        <v>22</v>
      </c>
      <c r="J996" s="367"/>
      <c r="K996" s="367"/>
      <c r="L996" s="367">
        <v>111</v>
      </c>
      <c r="M996" s="367"/>
      <c r="N996" s="367">
        <v>158</v>
      </c>
      <c r="O996" s="367"/>
      <c r="P996" s="367"/>
      <c r="Q996" s="367"/>
      <c r="R996" s="367">
        <v>183</v>
      </c>
      <c r="S996" s="367"/>
      <c r="T996" s="367">
        <v>80</v>
      </c>
      <c r="U996" s="367"/>
      <c r="V996" s="367"/>
      <c r="W996" s="367"/>
      <c r="X996" s="367"/>
      <c r="Y996" s="367"/>
      <c r="Z996" s="367"/>
      <c r="AA996" s="367"/>
      <c r="AB996" s="367"/>
      <c r="AC996" s="367"/>
    </row>
    <row r="997" spans="1:29" ht="15" x14ac:dyDescent="0.25">
      <c r="A997" s="365" t="s">
        <v>502</v>
      </c>
      <c r="H997" s="366">
        <v>56</v>
      </c>
      <c r="J997" s="367"/>
      <c r="K997" s="367"/>
      <c r="L997" s="367">
        <v>310</v>
      </c>
      <c r="M997" s="367">
        <v>37</v>
      </c>
      <c r="N997" s="367">
        <v>25</v>
      </c>
      <c r="O997" s="367"/>
      <c r="P997" s="367">
        <v>250</v>
      </c>
      <c r="Q997" s="367"/>
      <c r="R997" s="367">
        <v>150</v>
      </c>
      <c r="S997" s="367">
        <v>4.5999999999999996</v>
      </c>
      <c r="T997" s="367">
        <v>68</v>
      </c>
      <c r="U997" s="367"/>
      <c r="V997" s="367"/>
      <c r="W997" s="367"/>
      <c r="X997" s="367"/>
      <c r="Y997" s="367"/>
      <c r="Z997" s="367"/>
      <c r="AA997" s="367">
        <v>0.2</v>
      </c>
      <c r="AB997" s="367"/>
      <c r="AC997" s="367">
        <v>0.23</v>
      </c>
    </row>
    <row r="998" spans="1:29" ht="15" x14ac:dyDescent="0.25">
      <c r="A998" s="365" t="s">
        <v>372</v>
      </c>
      <c r="H998" s="366">
        <v>33</v>
      </c>
      <c r="J998" s="367"/>
      <c r="K998" s="367"/>
      <c r="L998" s="367">
        <v>18</v>
      </c>
      <c r="M998" s="367">
        <v>4.2</v>
      </c>
      <c r="N998" s="367">
        <v>20</v>
      </c>
      <c r="O998" s="367"/>
      <c r="P998" s="367">
        <v>57</v>
      </c>
      <c r="Q998" s="367"/>
      <c r="R998" s="367">
        <v>2</v>
      </c>
      <c r="S998" s="367">
        <v>-0.1</v>
      </c>
      <c r="T998" s="367">
        <v>5</v>
      </c>
      <c r="U998" s="367"/>
      <c r="V998" s="367"/>
      <c r="W998" s="367"/>
      <c r="X998" s="367"/>
      <c r="Y998" s="367"/>
      <c r="Z998" s="367"/>
      <c r="AA998" s="367"/>
      <c r="AB998" s="367"/>
      <c r="AC998" s="367"/>
    </row>
    <row r="999" spans="1:29" ht="15" x14ac:dyDescent="0.25">
      <c r="A999" s="365" t="s">
        <v>497</v>
      </c>
      <c r="H999" s="366">
        <v>36</v>
      </c>
      <c r="J999" s="367"/>
      <c r="K999" s="367"/>
      <c r="L999" s="367">
        <v>20</v>
      </c>
      <c r="M999" s="367">
        <v>3.8</v>
      </c>
      <c r="N999" s="367">
        <v>19</v>
      </c>
      <c r="O999" s="367"/>
      <c r="P999" s="367">
        <v>53</v>
      </c>
      <c r="Q999" s="367"/>
      <c r="R999" s="367">
        <v>2</v>
      </c>
      <c r="S999" s="367">
        <v>-0.1</v>
      </c>
      <c r="T999" s="367">
        <v>11</v>
      </c>
      <c r="U999" s="367"/>
      <c r="V999" s="367"/>
      <c r="W999" s="367"/>
      <c r="X999" s="367"/>
      <c r="Y999" s="367"/>
      <c r="Z999" s="367"/>
      <c r="AA999" s="367"/>
      <c r="AB999" s="367"/>
      <c r="AC999" s="367">
        <v>-0.06</v>
      </c>
    </row>
    <row r="1000" spans="1:29" ht="15" x14ac:dyDescent="0.25">
      <c r="A1000" s="365" t="s">
        <v>373</v>
      </c>
      <c r="H1000" s="366">
        <v>32</v>
      </c>
      <c r="J1000" s="367"/>
      <c r="K1000" s="367"/>
      <c r="L1000" s="367">
        <v>120</v>
      </c>
      <c r="M1000" s="367">
        <v>0.4</v>
      </c>
      <c r="N1000" s="367">
        <v>1.1000000000000001</v>
      </c>
      <c r="O1000" s="367"/>
      <c r="P1000" s="367">
        <v>33</v>
      </c>
      <c r="Q1000" s="367"/>
      <c r="R1000" s="367">
        <v>14</v>
      </c>
      <c r="S1000" s="367">
        <v>0.65</v>
      </c>
      <c r="T1000" s="367">
        <v>5.5</v>
      </c>
      <c r="U1000" s="367"/>
      <c r="V1000" s="367"/>
      <c r="W1000" s="367"/>
      <c r="X1000" s="367"/>
      <c r="Y1000" s="367"/>
      <c r="Z1000" s="367"/>
      <c r="AA1000" s="367"/>
      <c r="AB1000" s="367"/>
      <c r="AC1000" s="367">
        <v>-0.02</v>
      </c>
    </row>
    <row r="1001" spans="1:29" ht="15" x14ac:dyDescent="0.25">
      <c r="A1001" s="365" t="s">
        <v>382</v>
      </c>
      <c r="H1001" s="366">
        <v>34</v>
      </c>
      <c r="J1001" s="367"/>
      <c r="K1001" s="367"/>
      <c r="L1001" s="367">
        <v>120</v>
      </c>
      <c r="M1001" s="367">
        <v>0.4</v>
      </c>
      <c r="N1001" s="367">
        <v>1.1000000000000001</v>
      </c>
      <c r="O1001" s="367"/>
      <c r="P1001" s="367">
        <v>33</v>
      </c>
      <c r="Q1001" s="367"/>
      <c r="R1001" s="367">
        <v>14</v>
      </c>
      <c r="S1001" s="367">
        <v>0.65</v>
      </c>
      <c r="T1001" s="367">
        <v>5.5</v>
      </c>
      <c r="U1001" s="367"/>
      <c r="V1001" s="367"/>
      <c r="W1001" s="367"/>
      <c r="X1001" s="367"/>
      <c r="Y1001" s="367"/>
      <c r="Z1001" s="367"/>
      <c r="AA1001" s="367"/>
      <c r="AB1001" s="367"/>
      <c r="AC1001" s="367"/>
    </row>
    <row r="1002" spans="1:29" ht="15" x14ac:dyDescent="0.25">
      <c r="A1002" s="365" t="s">
        <v>556</v>
      </c>
      <c r="H1002" s="366">
        <v>27</v>
      </c>
      <c r="J1002" s="367"/>
      <c r="K1002" s="367"/>
      <c r="L1002" s="367">
        <v>116</v>
      </c>
      <c r="M1002" s="367">
        <v>0.3</v>
      </c>
      <c r="N1002" s="367">
        <v>11</v>
      </c>
      <c r="O1002" s="367"/>
      <c r="P1002" s="367">
        <v>34</v>
      </c>
      <c r="Q1002" s="367"/>
      <c r="R1002" s="367">
        <v>16</v>
      </c>
      <c r="S1002" s="367">
        <v>0.7</v>
      </c>
      <c r="T1002" s="367">
        <v>9</v>
      </c>
      <c r="U1002" s="367"/>
      <c r="V1002" s="367"/>
      <c r="W1002" s="367"/>
      <c r="X1002" s="367"/>
      <c r="Y1002" s="367"/>
      <c r="Z1002" s="367"/>
      <c r="AA1002" s="367"/>
      <c r="AB1002" s="367"/>
      <c r="AC1002" s="367"/>
    </row>
    <row r="1003" spans="1:29" ht="15" x14ac:dyDescent="0.25">
      <c r="A1003" s="365" t="s">
        <v>374</v>
      </c>
      <c r="H1003" s="366">
        <v>92</v>
      </c>
      <c r="J1003" s="367"/>
      <c r="K1003" s="367"/>
      <c r="L1003" s="367">
        <v>235</v>
      </c>
      <c r="M1003" s="367">
        <v>6</v>
      </c>
      <c r="N1003" s="367">
        <v>16</v>
      </c>
      <c r="O1003" s="367"/>
      <c r="P1003" s="367">
        <v>100</v>
      </c>
      <c r="Q1003" s="367"/>
      <c r="R1003" s="367">
        <v>160</v>
      </c>
      <c r="S1003" s="367">
        <v>4.5999999999999996</v>
      </c>
      <c r="T1003" s="367">
        <v>290</v>
      </c>
      <c r="U1003" s="367"/>
      <c r="V1003" s="367"/>
      <c r="W1003" s="367"/>
      <c r="X1003" s="367"/>
      <c r="Y1003" s="367"/>
      <c r="Z1003" s="367"/>
      <c r="AA1003" s="367"/>
      <c r="AB1003" s="367"/>
      <c r="AC1003" s="367">
        <v>-0.02</v>
      </c>
    </row>
    <row r="1004" spans="1:29" ht="15" x14ac:dyDescent="0.25">
      <c r="A1004" s="365" t="s">
        <v>375</v>
      </c>
      <c r="H1004" s="366">
        <v>96</v>
      </c>
      <c r="J1004" s="367"/>
      <c r="K1004" s="367"/>
      <c r="L1004" s="367">
        <v>235</v>
      </c>
      <c r="M1004" s="367">
        <v>5.7</v>
      </c>
      <c r="N1004" s="367">
        <v>15</v>
      </c>
      <c r="O1004" s="367"/>
      <c r="P1004" s="367">
        <v>98</v>
      </c>
      <c r="Q1004" s="367"/>
      <c r="R1004" s="367">
        <v>155</v>
      </c>
      <c r="S1004" s="367">
        <v>4.5999999999999996</v>
      </c>
      <c r="T1004" s="367">
        <v>280</v>
      </c>
      <c r="U1004" s="367"/>
      <c r="V1004" s="367"/>
      <c r="W1004" s="367"/>
      <c r="X1004" s="367"/>
      <c r="Y1004" s="367"/>
      <c r="Z1004" s="367"/>
      <c r="AA1004" s="367"/>
      <c r="AB1004" s="367"/>
      <c r="AC1004" s="367">
        <v>-0.02</v>
      </c>
    </row>
    <row r="1005" spans="1:29" ht="15" x14ac:dyDescent="0.25">
      <c r="A1005" s="365" t="s">
        <v>376</v>
      </c>
      <c r="H1005" s="366">
        <v>79</v>
      </c>
      <c r="J1005" s="367"/>
      <c r="K1005" s="367"/>
      <c r="L1005" s="367">
        <v>220</v>
      </c>
      <c r="M1005" s="367">
        <v>3.2</v>
      </c>
      <c r="N1005" s="367">
        <v>30</v>
      </c>
      <c r="O1005" s="367"/>
      <c r="P1005" s="367">
        <v>68</v>
      </c>
      <c r="Q1005" s="367"/>
      <c r="R1005" s="367">
        <v>93</v>
      </c>
      <c r="S1005" s="367">
        <v>2</v>
      </c>
      <c r="T1005" s="367">
        <v>370</v>
      </c>
      <c r="U1005" s="367"/>
      <c r="V1005" s="367"/>
      <c r="W1005" s="367"/>
      <c r="X1005" s="367"/>
      <c r="Y1005" s="367"/>
      <c r="Z1005" s="367"/>
      <c r="AA1005" s="367"/>
      <c r="AB1005" s="367"/>
      <c r="AC1005" s="367">
        <v>-0.06</v>
      </c>
    </row>
    <row r="1006" spans="1:29" ht="15" x14ac:dyDescent="0.25">
      <c r="A1006" s="365" t="s">
        <v>648</v>
      </c>
      <c r="H1006" s="366">
        <v>79</v>
      </c>
      <c r="J1006" s="367"/>
      <c r="K1006" s="367"/>
      <c r="L1006" s="367">
        <v>200</v>
      </c>
      <c r="M1006" s="367">
        <v>3</v>
      </c>
      <c r="N1006" s="367">
        <v>34</v>
      </c>
      <c r="O1006" s="367"/>
      <c r="P1006" s="367">
        <v>57</v>
      </c>
      <c r="Q1006" s="367"/>
      <c r="R1006" s="367"/>
      <c r="S1006" s="367">
        <v>2</v>
      </c>
      <c r="T1006" s="367">
        <v>314</v>
      </c>
      <c r="U1006" s="367"/>
      <c r="V1006" s="367"/>
      <c r="W1006" s="367"/>
      <c r="X1006" s="367"/>
      <c r="Y1006" s="367"/>
      <c r="Z1006" s="367"/>
      <c r="AA1006" s="367">
        <v>0.2</v>
      </c>
      <c r="AB1006" s="367"/>
      <c r="AC1006" s="367">
        <v>0.12</v>
      </c>
    </row>
    <row r="1007" spans="1:29" ht="15" x14ac:dyDescent="0.25">
      <c r="A1007" s="365" t="s">
        <v>377</v>
      </c>
      <c r="H1007" s="366">
        <v>81</v>
      </c>
      <c r="J1007" s="367"/>
      <c r="K1007" s="367"/>
      <c r="L1007" s="367">
        <v>295</v>
      </c>
      <c r="M1007" s="367">
        <v>14</v>
      </c>
      <c r="N1007" s="367">
        <v>27</v>
      </c>
      <c r="O1007" s="367"/>
      <c r="P1007" s="367">
        <v>100</v>
      </c>
      <c r="Q1007" s="367"/>
      <c r="R1007" s="367">
        <v>76</v>
      </c>
      <c r="S1007" s="367">
        <v>9</v>
      </c>
      <c r="T1007" s="367">
        <v>520</v>
      </c>
      <c r="U1007" s="367"/>
      <c r="V1007" s="367"/>
      <c r="W1007" s="367"/>
      <c r="X1007" s="367"/>
      <c r="Y1007" s="367"/>
      <c r="Z1007" s="367"/>
      <c r="AA1007" s="367"/>
      <c r="AB1007" s="367"/>
      <c r="AC1007" s="367">
        <v>-0.02</v>
      </c>
    </row>
    <row r="1008" spans="1:29" ht="15" x14ac:dyDescent="0.25">
      <c r="A1008" s="365" t="s">
        <v>378</v>
      </c>
      <c r="H1008" s="366">
        <v>27</v>
      </c>
      <c r="J1008" s="367"/>
      <c r="K1008" s="367"/>
      <c r="L1008" s="367">
        <v>39</v>
      </c>
      <c r="M1008" s="367">
        <v>4.5999999999999996</v>
      </c>
      <c r="N1008" s="367">
        <v>5.4</v>
      </c>
      <c r="O1008" s="367"/>
      <c r="P1008" s="367">
        <v>38</v>
      </c>
      <c r="Q1008" s="367"/>
      <c r="R1008" s="367">
        <v>9</v>
      </c>
      <c r="S1008" s="367">
        <v>0.13</v>
      </c>
      <c r="T1008" s="367">
        <v>16</v>
      </c>
      <c r="U1008" s="367"/>
      <c r="V1008" s="367"/>
      <c r="W1008" s="367"/>
      <c r="X1008" s="367"/>
      <c r="Y1008" s="367"/>
      <c r="Z1008" s="367"/>
      <c r="AA1008" s="367"/>
      <c r="AB1008" s="367"/>
      <c r="AC1008" s="367"/>
    </row>
    <row r="1009" spans="1:29" ht="15" x14ac:dyDescent="0.25">
      <c r="A1009" s="365" t="s">
        <v>378</v>
      </c>
      <c r="H1009" s="366">
        <v>23</v>
      </c>
      <c r="J1009" s="367"/>
      <c r="K1009" s="367"/>
      <c r="L1009" s="367">
        <v>47</v>
      </c>
      <c r="M1009" s="367">
        <v>1.8</v>
      </c>
      <c r="N1009" s="367">
        <v>5.3</v>
      </c>
      <c r="O1009" s="367"/>
      <c r="P1009" s="367">
        <v>32</v>
      </c>
      <c r="Q1009" s="367"/>
      <c r="R1009" s="367">
        <v>11</v>
      </c>
      <c r="S1009" s="367">
        <v>0.17</v>
      </c>
      <c r="T1009" s="367">
        <v>20</v>
      </c>
      <c r="U1009" s="367"/>
      <c r="V1009" s="367"/>
      <c r="W1009" s="367"/>
      <c r="X1009" s="367"/>
      <c r="Y1009" s="367"/>
      <c r="Z1009" s="367"/>
      <c r="AA1009" s="367"/>
      <c r="AB1009" s="367"/>
      <c r="AC1009" s="367"/>
    </row>
    <row r="1010" spans="1:29" ht="15" x14ac:dyDescent="0.25">
      <c r="A1010" s="365" t="s">
        <v>379</v>
      </c>
      <c r="H1010" s="366">
        <v>25</v>
      </c>
      <c r="J1010" s="367"/>
      <c r="K1010" s="367"/>
      <c r="L1010" s="367">
        <v>160</v>
      </c>
      <c r="M1010" s="367">
        <v>8.5</v>
      </c>
      <c r="N1010" s="367">
        <v>76</v>
      </c>
      <c r="O1010" s="367"/>
      <c r="P1010" s="367">
        <v>57</v>
      </c>
      <c r="Q1010" s="367"/>
      <c r="R1010" s="367">
        <v>160</v>
      </c>
      <c r="S1010" s="367">
        <v>0.8</v>
      </c>
      <c r="T1010" s="367">
        <v>310</v>
      </c>
      <c r="U1010" s="367"/>
      <c r="V1010" s="367"/>
      <c r="W1010" s="367"/>
      <c r="X1010" s="367"/>
      <c r="Y1010" s="367"/>
      <c r="Z1010" s="367"/>
      <c r="AA1010" s="367"/>
      <c r="AB1010" s="367"/>
      <c r="AC1010" s="367">
        <v>-0.02</v>
      </c>
    </row>
    <row r="1011" spans="1:29" ht="15" x14ac:dyDescent="0.25">
      <c r="A1011" s="365" t="s">
        <v>380</v>
      </c>
      <c r="H1011" s="366">
        <v>41</v>
      </c>
      <c r="J1011" s="367"/>
      <c r="K1011" s="367"/>
      <c r="L1011" s="367">
        <v>495</v>
      </c>
      <c r="M1011" s="367">
        <v>3</v>
      </c>
      <c r="N1011" s="367">
        <v>9.9</v>
      </c>
      <c r="O1011" s="367"/>
      <c r="P1011" s="367">
        <v>23</v>
      </c>
      <c r="Q1011" s="367"/>
      <c r="R1011" s="367">
        <v>300</v>
      </c>
      <c r="S1011" s="367">
        <v>2.2000000000000002</v>
      </c>
      <c r="T1011" s="367">
        <v>100</v>
      </c>
      <c r="U1011" s="367"/>
      <c r="V1011" s="367"/>
      <c r="W1011" s="367"/>
      <c r="X1011" s="367"/>
      <c r="Y1011" s="367"/>
      <c r="Z1011" s="367"/>
      <c r="AA1011" s="367"/>
      <c r="AB1011" s="367"/>
      <c r="AC1011" s="367">
        <v>0.17</v>
      </c>
    </row>
    <row r="1012" spans="1:29" ht="15" x14ac:dyDescent="0.25">
      <c r="A1012" s="365" t="s">
        <v>381</v>
      </c>
      <c r="H1012" s="366"/>
      <c r="J1012" s="367"/>
      <c r="K1012" s="367"/>
      <c r="L1012" s="367">
        <v>2000</v>
      </c>
      <c r="M1012" s="367">
        <v>164</v>
      </c>
      <c r="N1012" s="367">
        <v>160</v>
      </c>
      <c r="O1012" s="367"/>
      <c r="P1012" s="367">
        <v>120</v>
      </c>
      <c r="Q1012" s="367"/>
      <c r="R1012" s="367">
        <v>3140</v>
      </c>
      <c r="S1012" s="367">
        <v>0.5</v>
      </c>
      <c r="T1012" s="367">
        <v>6</v>
      </c>
      <c r="U1012" s="367"/>
      <c r="V1012" s="367"/>
      <c r="W1012" s="367"/>
      <c r="X1012" s="367"/>
      <c r="Y1012" s="367"/>
      <c r="Z1012" s="367"/>
      <c r="AA1012" s="367"/>
      <c r="AB1012" s="367"/>
      <c r="AC1012" s="367">
        <v>2.1</v>
      </c>
    </row>
    <row r="1013" spans="1:29" ht="15" x14ac:dyDescent="0.25">
      <c r="A1013" s="365" t="s">
        <v>373</v>
      </c>
      <c r="H1013" s="366">
        <v>32</v>
      </c>
      <c r="J1013" s="367"/>
      <c r="K1013" s="367"/>
      <c r="L1013" s="367">
        <v>120</v>
      </c>
      <c r="M1013" s="367">
        <v>0.4</v>
      </c>
      <c r="N1013" s="367">
        <v>1.1000000000000001</v>
      </c>
      <c r="O1013" s="367"/>
      <c r="P1013" s="367">
        <v>33</v>
      </c>
      <c r="Q1013" s="367"/>
      <c r="R1013" s="367">
        <v>14</v>
      </c>
      <c r="S1013" s="367">
        <v>0.65</v>
      </c>
      <c r="T1013" s="367">
        <v>5.5</v>
      </c>
      <c r="U1013" s="367"/>
      <c r="V1013" s="367"/>
      <c r="W1013" s="367"/>
      <c r="X1013" s="367"/>
      <c r="Y1013" s="367"/>
      <c r="Z1013" s="367"/>
      <c r="AA1013" s="367"/>
      <c r="AB1013" s="367"/>
      <c r="AC1013" s="367">
        <v>-0.02</v>
      </c>
    </row>
    <row r="1014" spans="1:29" ht="15" x14ac:dyDescent="0.25">
      <c r="A1014" s="365" t="s">
        <v>382</v>
      </c>
      <c r="H1014" s="366">
        <v>34</v>
      </c>
      <c r="J1014" s="367"/>
      <c r="K1014" s="367"/>
      <c r="L1014" s="367">
        <v>120</v>
      </c>
      <c r="M1014" s="367">
        <v>0.4</v>
      </c>
      <c r="N1014" s="367">
        <v>1.1000000000000001</v>
      </c>
      <c r="O1014" s="367"/>
      <c r="P1014" s="367">
        <v>33</v>
      </c>
      <c r="Q1014" s="367"/>
      <c r="R1014" s="367">
        <v>14</v>
      </c>
      <c r="S1014" s="367">
        <v>0.65</v>
      </c>
      <c r="T1014" s="367">
        <v>5.5</v>
      </c>
      <c r="U1014" s="367"/>
      <c r="V1014" s="367"/>
      <c r="W1014" s="367"/>
      <c r="X1014" s="367"/>
      <c r="Y1014" s="367"/>
      <c r="Z1014" s="367"/>
      <c r="AA1014" s="367"/>
      <c r="AB1014" s="367"/>
      <c r="AC1014" s="367"/>
    </row>
    <row r="1015" spans="1:29" ht="15" x14ac:dyDescent="0.25">
      <c r="A1015" s="365" t="s">
        <v>556</v>
      </c>
      <c r="H1015" s="366">
        <v>27</v>
      </c>
      <c r="J1015" s="367"/>
      <c r="K1015" s="367"/>
      <c r="L1015" s="367">
        <v>116</v>
      </c>
      <c r="M1015" s="367">
        <v>0.3</v>
      </c>
      <c r="N1015" s="367">
        <v>11</v>
      </c>
      <c r="O1015" s="367"/>
      <c r="P1015" s="367">
        <v>34</v>
      </c>
      <c r="Q1015" s="367"/>
      <c r="R1015" s="367">
        <v>16</v>
      </c>
      <c r="S1015" s="367">
        <v>0.7</v>
      </c>
      <c r="T1015" s="367">
        <v>9</v>
      </c>
      <c r="U1015" s="367"/>
      <c r="V1015" s="367"/>
      <c r="W1015" s="367"/>
      <c r="X1015" s="367"/>
      <c r="Y1015" s="367"/>
      <c r="Z1015" s="367"/>
      <c r="AA1015" s="367"/>
      <c r="AB1015" s="367"/>
      <c r="AC1015" s="367"/>
    </row>
    <row r="1016" spans="1:29" ht="15" x14ac:dyDescent="0.25">
      <c r="A1016" s="365" t="s">
        <v>441</v>
      </c>
      <c r="H1016" s="366">
        <v>14</v>
      </c>
      <c r="J1016" s="367"/>
      <c r="K1016" s="367"/>
      <c r="L1016" s="367">
        <v>1</v>
      </c>
      <c r="M1016" s="367">
        <v>1.9</v>
      </c>
      <c r="N1016" s="367">
        <v>1.7</v>
      </c>
      <c r="O1016" s="367"/>
      <c r="P1016" s="367">
        <v>33</v>
      </c>
      <c r="Q1016" s="367"/>
      <c r="R1016" s="367">
        <v>3</v>
      </c>
      <c r="S1016" s="367">
        <v>-0.1</v>
      </c>
      <c r="T1016" s="367">
        <v>-1</v>
      </c>
      <c r="U1016" s="367"/>
      <c r="V1016" s="367"/>
      <c r="W1016" s="367"/>
      <c r="X1016" s="367"/>
      <c r="Y1016" s="367"/>
      <c r="Z1016" s="367"/>
      <c r="AA1016" s="367"/>
      <c r="AB1016" s="367"/>
      <c r="AC1016" s="367">
        <v>0.02</v>
      </c>
    </row>
    <row r="1017" spans="1:29" ht="15" x14ac:dyDescent="0.25">
      <c r="A1017" s="365" t="s">
        <v>456</v>
      </c>
      <c r="H1017" s="366"/>
      <c r="J1017" s="367"/>
      <c r="K1017" s="367"/>
      <c r="L1017" s="367">
        <v>0.12</v>
      </c>
      <c r="M1017" s="367">
        <v>-0.1</v>
      </c>
      <c r="N1017" s="367">
        <v>0.16</v>
      </c>
      <c r="O1017" s="367"/>
      <c r="P1017" s="367">
        <v>-1</v>
      </c>
      <c r="Q1017" s="367"/>
      <c r="R1017" s="367">
        <v>17</v>
      </c>
      <c r="S1017" s="367">
        <v>-0.1</v>
      </c>
      <c r="T1017" s="367">
        <v>11</v>
      </c>
      <c r="U1017" s="367"/>
      <c r="V1017" s="367"/>
      <c r="W1017" s="367"/>
      <c r="X1017" s="367"/>
      <c r="Y1017" s="367"/>
      <c r="Z1017" s="367"/>
      <c r="AA1017" s="367">
        <v>-0.1</v>
      </c>
      <c r="AB1017" s="367"/>
      <c r="AC1017" s="367"/>
    </row>
    <row r="1018" spans="1:29" ht="15" x14ac:dyDescent="0.25">
      <c r="A1018" s="365" t="s">
        <v>608</v>
      </c>
      <c r="H1018" s="366">
        <v>99</v>
      </c>
      <c r="J1018" s="367"/>
      <c r="K1018" s="367"/>
      <c r="L1018" s="367">
        <v>5</v>
      </c>
      <c r="M1018" s="367">
        <v>-0.1</v>
      </c>
      <c r="N1018" s="367">
        <v>38</v>
      </c>
      <c r="O1018" s="367"/>
      <c r="P1018" s="367">
        <v>132</v>
      </c>
      <c r="Q1018" s="367"/>
      <c r="R1018" s="367">
        <v>6</v>
      </c>
      <c r="S1018" s="367">
        <v>0.5</v>
      </c>
      <c r="T1018" s="367">
        <v>2210</v>
      </c>
      <c r="U1018" s="367"/>
      <c r="V1018" s="367"/>
      <c r="W1018" s="367"/>
      <c r="X1018" s="367"/>
      <c r="Y1018" s="367"/>
      <c r="Z1018" s="367"/>
      <c r="AA1018" s="367"/>
      <c r="AB1018" s="367"/>
      <c r="AC1018" s="367"/>
    </row>
    <row r="1019" spans="1:29" ht="15" x14ac:dyDescent="0.25">
      <c r="A1019" s="365" t="s">
        <v>607</v>
      </c>
      <c r="H1019" s="366">
        <v>50</v>
      </c>
      <c r="J1019" s="367"/>
      <c r="K1019" s="367"/>
      <c r="L1019" s="367">
        <v>5</v>
      </c>
      <c r="M1019" s="367">
        <v>-0.1</v>
      </c>
      <c r="N1019" s="367">
        <v>41</v>
      </c>
      <c r="O1019" s="367"/>
      <c r="P1019" s="367">
        <v>114</v>
      </c>
      <c r="Q1019" s="367"/>
      <c r="R1019" s="367">
        <v>2</v>
      </c>
      <c r="S1019" s="367">
        <v>0.5</v>
      </c>
      <c r="T1019" s="367">
        <v>89</v>
      </c>
      <c r="U1019" s="367"/>
      <c r="V1019" s="367"/>
      <c r="W1019" s="367"/>
      <c r="X1019" s="367"/>
      <c r="Y1019" s="367"/>
      <c r="Z1019" s="367"/>
      <c r="AA1019" s="367"/>
      <c r="AB1019" s="367"/>
      <c r="AC1019" s="367"/>
    </row>
    <row r="1020" spans="1:29" ht="15" x14ac:dyDescent="0.25">
      <c r="A1020" s="365" t="s">
        <v>384</v>
      </c>
      <c r="H1020" s="366">
        <v>15</v>
      </c>
      <c r="J1020" s="367"/>
      <c r="K1020" s="367"/>
      <c r="L1020" s="367">
        <v>7.5</v>
      </c>
      <c r="M1020" s="367">
        <v>3.7</v>
      </c>
      <c r="N1020" s="367">
        <v>92</v>
      </c>
      <c r="O1020" s="367"/>
      <c r="P1020" s="367">
        <v>31</v>
      </c>
      <c r="Q1020" s="367"/>
      <c r="R1020" s="367">
        <v>3.1</v>
      </c>
      <c r="S1020" s="367">
        <v>0.2</v>
      </c>
      <c r="T1020" s="367">
        <v>12</v>
      </c>
      <c r="U1020" s="367"/>
      <c r="V1020" s="367"/>
      <c r="W1020" s="367"/>
      <c r="X1020" s="367"/>
      <c r="Y1020" s="367"/>
      <c r="Z1020" s="367"/>
      <c r="AA1020" s="367"/>
      <c r="AB1020" s="367"/>
      <c r="AC1020" s="367"/>
    </row>
    <row r="1021" spans="1:29" ht="15" x14ac:dyDescent="0.25">
      <c r="A1021" s="365" t="s">
        <v>383</v>
      </c>
      <c r="H1021" s="366"/>
      <c r="J1021" s="367"/>
      <c r="K1021" s="367"/>
      <c r="L1021" s="367">
        <v>380</v>
      </c>
      <c r="M1021" s="367">
        <v>41</v>
      </c>
      <c r="N1021" s="367">
        <v>76</v>
      </c>
      <c r="O1021" s="367"/>
      <c r="P1021" s="367">
        <v>110</v>
      </c>
      <c r="Q1021" s="367"/>
      <c r="R1021" s="367">
        <v>300</v>
      </c>
      <c r="S1021" s="367"/>
      <c r="T1021" s="367">
        <v>600</v>
      </c>
      <c r="U1021" s="367"/>
      <c r="V1021" s="367"/>
      <c r="W1021" s="367"/>
      <c r="X1021" s="367"/>
      <c r="Y1021" s="367"/>
      <c r="Z1021" s="367"/>
      <c r="AA1021" s="367"/>
      <c r="AB1021" s="367"/>
      <c r="AC1021" s="367"/>
    </row>
    <row r="1022" spans="1:29" ht="15" x14ac:dyDescent="0.25">
      <c r="A1022" s="365" t="s">
        <v>384</v>
      </c>
      <c r="H1022" s="366">
        <v>15</v>
      </c>
      <c r="J1022" s="367"/>
      <c r="K1022" s="367"/>
      <c r="L1022" s="367"/>
      <c r="M1022" s="367"/>
      <c r="N1022" s="367"/>
      <c r="O1022" s="367"/>
      <c r="P1022" s="367"/>
      <c r="Q1022" s="367"/>
      <c r="R1022" s="367"/>
      <c r="S1022" s="367"/>
      <c r="T1022" s="367"/>
      <c r="U1022" s="367"/>
      <c r="V1022" s="367"/>
      <c r="W1022" s="367"/>
      <c r="X1022" s="367"/>
      <c r="Y1022" s="367"/>
      <c r="Z1022" s="367"/>
      <c r="AA1022" s="367"/>
      <c r="AB1022" s="367"/>
      <c r="AC1022" s="367"/>
    </row>
    <row r="1023" spans="1:29" ht="15" x14ac:dyDescent="0.25">
      <c r="A1023" s="365" t="s">
        <v>441</v>
      </c>
      <c r="H1023" s="366">
        <v>14</v>
      </c>
      <c r="J1023" s="367"/>
      <c r="K1023" s="367"/>
      <c r="L1023" s="367">
        <v>1</v>
      </c>
      <c r="M1023" s="367">
        <v>1.9</v>
      </c>
      <c r="N1023" s="367">
        <v>1.7</v>
      </c>
      <c r="O1023" s="367"/>
      <c r="P1023" s="367">
        <v>33</v>
      </c>
      <c r="Q1023" s="367"/>
      <c r="R1023" s="367">
        <v>3</v>
      </c>
      <c r="S1023" s="367">
        <v>-0.1</v>
      </c>
      <c r="T1023" s="367">
        <v>-1</v>
      </c>
      <c r="U1023" s="367"/>
      <c r="V1023" s="367"/>
      <c r="W1023" s="367"/>
      <c r="X1023" s="367"/>
      <c r="Y1023" s="367"/>
      <c r="Z1023" s="367"/>
      <c r="AA1023" s="367"/>
      <c r="AB1023" s="367"/>
      <c r="AC1023" s="367">
        <v>0.02</v>
      </c>
    </row>
    <row r="1024" spans="1:29" ht="15" x14ac:dyDescent="0.25">
      <c r="A1024" s="365" t="s">
        <v>608</v>
      </c>
      <c r="H1024" s="366">
        <v>99</v>
      </c>
      <c r="J1024" s="367"/>
      <c r="K1024" s="367"/>
      <c r="L1024" s="367">
        <v>5</v>
      </c>
      <c r="M1024" s="367">
        <v>-0.1</v>
      </c>
      <c r="N1024" s="367">
        <v>38</v>
      </c>
      <c r="O1024" s="367"/>
      <c r="P1024" s="367">
        <v>132</v>
      </c>
      <c r="Q1024" s="367"/>
      <c r="R1024" s="367">
        <v>6</v>
      </c>
      <c r="S1024" s="367">
        <v>0.5</v>
      </c>
      <c r="T1024" s="367">
        <v>2210</v>
      </c>
      <c r="U1024" s="367"/>
      <c r="V1024" s="367"/>
      <c r="W1024" s="367"/>
      <c r="X1024" s="367"/>
      <c r="Y1024" s="367"/>
      <c r="Z1024" s="367"/>
      <c r="AA1024" s="367"/>
      <c r="AB1024" s="367"/>
      <c r="AC1024" s="367"/>
    </row>
    <row r="1025" spans="1:29" ht="15" x14ac:dyDescent="0.25">
      <c r="A1025" s="365" t="s">
        <v>607</v>
      </c>
      <c r="H1025" s="366">
        <v>50</v>
      </c>
      <c r="J1025" s="367"/>
      <c r="K1025" s="367"/>
      <c r="L1025" s="367">
        <v>5</v>
      </c>
      <c r="M1025" s="367">
        <v>-0.1</v>
      </c>
      <c r="N1025" s="367">
        <v>41</v>
      </c>
      <c r="O1025" s="367"/>
      <c r="P1025" s="367">
        <v>114</v>
      </c>
      <c r="Q1025" s="367"/>
      <c r="R1025" s="367">
        <v>2</v>
      </c>
      <c r="S1025" s="367">
        <v>0.5</v>
      </c>
      <c r="T1025" s="367">
        <v>89</v>
      </c>
      <c r="U1025" s="367"/>
      <c r="V1025" s="367"/>
      <c r="W1025" s="367"/>
      <c r="X1025" s="367"/>
      <c r="Y1025" s="367"/>
      <c r="Z1025" s="367"/>
      <c r="AA1025" s="367"/>
      <c r="AB1025" s="367"/>
      <c r="AC1025" s="367"/>
    </row>
    <row r="1026" spans="1:29" ht="15" x14ac:dyDescent="0.25">
      <c r="A1026" s="365" t="s">
        <v>384</v>
      </c>
      <c r="H1026" s="366">
        <v>15</v>
      </c>
      <c r="J1026" s="367"/>
      <c r="K1026" s="367"/>
      <c r="L1026" s="367">
        <v>7.5</v>
      </c>
      <c r="M1026" s="367">
        <v>3.7</v>
      </c>
      <c r="N1026" s="367">
        <v>92</v>
      </c>
      <c r="O1026" s="367"/>
      <c r="P1026" s="367">
        <v>31</v>
      </c>
      <c r="Q1026" s="367"/>
      <c r="R1026" s="367">
        <v>3.1</v>
      </c>
      <c r="S1026" s="367">
        <v>0.2</v>
      </c>
      <c r="T1026" s="367">
        <v>12</v>
      </c>
      <c r="U1026" s="367"/>
      <c r="V1026" s="367"/>
      <c r="W1026" s="367"/>
      <c r="X1026" s="367"/>
      <c r="Y1026" s="367"/>
      <c r="Z1026" s="367"/>
      <c r="AA1026" s="367"/>
      <c r="AB1026" s="367"/>
      <c r="AC1026" s="367"/>
    </row>
    <row r="1027" spans="1:29" ht="15" x14ac:dyDescent="0.25">
      <c r="A1027" s="365" t="s">
        <v>383</v>
      </c>
      <c r="H1027" s="366"/>
      <c r="J1027" s="367"/>
      <c r="K1027" s="367"/>
      <c r="L1027" s="367">
        <v>380</v>
      </c>
      <c r="M1027" s="367">
        <v>41</v>
      </c>
      <c r="N1027" s="367">
        <v>76</v>
      </c>
      <c r="O1027" s="367"/>
      <c r="P1027" s="367">
        <v>110</v>
      </c>
      <c r="Q1027" s="367"/>
      <c r="R1027" s="367">
        <v>300</v>
      </c>
      <c r="S1027" s="367"/>
      <c r="T1027" s="367">
        <v>600</v>
      </c>
      <c r="U1027" s="367"/>
      <c r="V1027" s="367"/>
      <c r="W1027" s="367"/>
      <c r="X1027" s="367"/>
      <c r="Y1027" s="367"/>
      <c r="Z1027" s="367"/>
      <c r="AA1027" s="367"/>
      <c r="AB1027" s="367"/>
      <c r="AC1027" s="367"/>
    </row>
    <row r="1028" spans="1:29" ht="15" x14ac:dyDescent="0.25">
      <c r="A1028" s="365" t="s">
        <v>384</v>
      </c>
      <c r="H1028" s="366">
        <v>15</v>
      </c>
      <c r="J1028" s="367"/>
      <c r="K1028" s="367"/>
      <c r="L1028" s="367"/>
      <c r="M1028" s="367"/>
      <c r="N1028" s="367"/>
      <c r="O1028" s="367"/>
      <c r="P1028" s="367"/>
      <c r="Q1028" s="367"/>
      <c r="R1028" s="367"/>
      <c r="S1028" s="367"/>
      <c r="T1028" s="367"/>
      <c r="U1028" s="367"/>
      <c r="V1028" s="367"/>
      <c r="W1028" s="367"/>
      <c r="X1028" s="367"/>
      <c r="Y1028" s="367"/>
      <c r="Z1028" s="367"/>
      <c r="AA1028" s="367"/>
      <c r="AB1028" s="367"/>
      <c r="AC1028" s="367"/>
    </row>
    <row r="1029" spans="1:29" ht="15" x14ac:dyDescent="0.25">
      <c r="A1029" s="365" t="s">
        <v>386</v>
      </c>
      <c r="H1029" s="366">
        <v>38</v>
      </c>
      <c r="J1029" s="367"/>
      <c r="K1029" s="367"/>
      <c r="L1029" s="367">
        <v>109</v>
      </c>
      <c r="M1029" s="367">
        <v>17</v>
      </c>
      <c r="N1029" s="367">
        <v>120</v>
      </c>
      <c r="O1029" s="367"/>
      <c r="P1029" s="367">
        <v>160</v>
      </c>
      <c r="Q1029" s="367"/>
      <c r="R1029" s="367">
        <v>68</v>
      </c>
      <c r="S1029" s="367">
        <v>0.5</v>
      </c>
      <c r="T1029" s="367">
        <v>9.1</v>
      </c>
      <c r="U1029" s="367"/>
      <c r="V1029" s="367"/>
      <c r="W1029" s="367"/>
      <c r="X1029" s="367"/>
      <c r="Y1029" s="367"/>
      <c r="Z1029" s="367"/>
      <c r="AA1029" s="367"/>
      <c r="AB1029" s="367"/>
      <c r="AC1029" s="367"/>
    </row>
    <row r="1030" spans="1:29" ht="15" x14ac:dyDescent="0.25">
      <c r="A1030" s="365" t="s">
        <v>278</v>
      </c>
      <c r="H1030" s="366">
        <v>46.3</v>
      </c>
      <c r="J1030" s="367"/>
      <c r="K1030" s="367"/>
      <c r="L1030" s="367">
        <v>254</v>
      </c>
      <c r="M1030" s="367">
        <v>21.7</v>
      </c>
      <c r="N1030" s="367">
        <v>31.6</v>
      </c>
      <c r="O1030" s="367"/>
      <c r="P1030" s="367">
        <v>156</v>
      </c>
      <c r="Q1030" s="367"/>
      <c r="R1030" s="367">
        <v>457</v>
      </c>
      <c r="S1030" s="367"/>
      <c r="T1030" s="367">
        <v>0.1</v>
      </c>
      <c r="U1030" s="367"/>
      <c r="V1030" s="367"/>
      <c r="W1030" s="367"/>
      <c r="X1030" s="367"/>
      <c r="Y1030" s="367"/>
      <c r="Z1030" s="367"/>
      <c r="AA1030" s="367">
        <v>1</v>
      </c>
      <c r="AB1030" s="367"/>
      <c r="AC1030" s="367"/>
    </row>
    <row r="1031" spans="1:29" ht="15" x14ac:dyDescent="0.25">
      <c r="A1031" s="365" t="s">
        <v>307</v>
      </c>
      <c r="H1031" s="366">
        <v>57</v>
      </c>
      <c r="J1031" s="367"/>
      <c r="K1031" s="367"/>
      <c r="L1031" s="367">
        <v>80</v>
      </c>
      <c r="M1031" s="367">
        <v>1</v>
      </c>
      <c r="N1031" s="367">
        <v>1.4</v>
      </c>
      <c r="O1031" s="367"/>
      <c r="P1031" s="367">
        <v>63</v>
      </c>
      <c r="Q1031" s="367"/>
      <c r="R1031" s="367">
        <v>22</v>
      </c>
      <c r="S1031" s="367">
        <v>4.3</v>
      </c>
      <c r="T1031" s="367">
        <v>50</v>
      </c>
      <c r="U1031" s="367"/>
      <c r="V1031" s="367"/>
      <c r="W1031" s="367"/>
      <c r="X1031" s="367"/>
      <c r="Y1031" s="367"/>
      <c r="Z1031" s="367"/>
      <c r="AA1031" s="367"/>
      <c r="AB1031" s="367"/>
      <c r="AC1031" s="367"/>
    </row>
    <row r="1032" spans="1:29" ht="15" x14ac:dyDescent="0.25">
      <c r="A1032" s="365" t="s">
        <v>389</v>
      </c>
      <c r="H1032" s="366">
        <v>135</v>
      </c>
      <c r="J1032" s="367"/>
      <c r="K1032" s="367"/>
      <c r="L1032" s="367">
        <v>400</v>
      </c>
      <c r="M1032" s="367">
        <v>36</v>
      </c>
      <c r="N1032" s="367">
        <v>1.6</v>
      </c>
      <c r="O1032" s="367"/>
      <c r="P1032" s="367">
        <v>273</v>
      </c>
      <c r="Q1032" s="367"/>
      <c r="R1032" s="367">
        <v>293</v>
      </c>
      <c r="S1032" s="367">
        <v>13</v>
      </c>
      <c r="T1032" s="367">
        <v>130</v>
      </c>
      <c r="U1032" s="367"/>
      <c r="V1032" s="367"/>
      <c r="W1032" s="367"/>
      <c r="X1032" s="367"/>
      <c r="Y1032" s="367"/>
      <c r="Z1032" s="367"/>
      <c r="AA1032" s="367">
        <v>0.21</v>
      </c>
      <c r="AB1032" s="367"/>
      <c r="AC1032" s="367">
        <v>0.02</v>
      </c>
    </row>
    <row r="1033" spans="1:29" ht="15" x14ac:dyDescent="0.25">
      <c r="A1033" s="365" t="s">
        <v>390</v>
      </c>
      <c r="H1033" s="366">
        <v>2</v>
      </c>
      <c r="J1033" s="367"/>
      <c r="K1033" s="367"/>
      <c r="L1033" s="367">
        <v>390</v>
      </c>
      <c r="M1033" s="367">
        <v>45</v>
      </c>
      <c r="N1033" s="367">
        <v>0.9</v>
      </c>
      <c r="O1033" s="367"/>
      <c r="P1033" s="367">
        <v>340</v>
      </c>
      <c r="Q1033" s="367"/>
      <c r="R1033" s="367">
        <v>280</v>
      </c>
      <c r="S1033" s="367">
        <v>12</v>
      </c>
      <c r="T1033" s="367">
        <v>130</v>
      </c>
      <c r="U1033" s="367"/>
      <c r="V1033" s="367"/>
      <c r="W1033" s="367"/>
      <c r="X1033" s="367"/>
      <c r="Y1033" s="367"/>
      <c r="Z1033" s="367"/>
      <c r="AA1033" s="367">
        <v>0.14000000000000001</v>
      </c>
      <c r="AB1033" s="367"/>
      <c r="AC1033" s="367">
        <v>0.05</v>
      </c>
    </row>
    <row r="1034" spans="1:29" ht="15" x14ac:dyDescent="0.25">
      <c r="A1034" s="365" t="s">
        <v>970</v>
      </c>
      <c r="H1034" s="366">
        <v>32</v>
      </c>
      <c r="J1034" s="367"/>
      <c r="K1034" s="367"/>
      <c r="L1034" s="367">
        <v>100</v>
      </c>
      <c r="M1034" s="367">
        <v>12</v>
      </c>
      <c r="N1034" s="367">
        <v>92</v>
      </c>
      <c r="O1034" s="367"/>
      <c r="P1034" s="367">
        <v>140</v>
      </c>
      <c r="Q1034" s="367"/>
      <c r="R1034" s="367">
        <v>63</v>
      </c>
      <c r="S1034" s="367"/>
      <c r="T1034" s="367">
        <v>1</v>
      </c>
      <c r="U1034" s="367"/>
      <c r="V1034" s="367"/>
      <c r="W1034" s="367"/>
      <c r="X1034" s="367"/>
      <c r="Y1034" s="367"/>
      <c r="Z1034" s="367"/>
      <c r="AA1034" s="367"/>
      <c r="AB1034" s="367"/>
      <c r="AC1034" s="367"/>
    </row>
    <row r="1035" spans="1:29" ht="15" x14ac:dyDescent="0.25">
      <c r="A1035" s="365" t="s">
        <v>393</v>
      </c>
      <c r="H1035" s="366">
        <v>32</v>
      </c>
      <c r="J1035" s="367"/>
      <c r="K1035" s="367"/>
      <c r="L1035" s="367">
        <v>100</v>
      </c>
      <c r="M1035" s="367">
        <v>12</v>
      </c>
      <c r="N1035" s="367">
        <v>92</v>
      </c>
      <c r="O1035" s="367"/>
      <c r="P1035" s="367">
        <v>140</v>
      </c>
      <c r="Q1035" s="367"/>
      <c r="R1035" s="367">
        <v>63</v>
      </c>
      <c r="S1035" s="367">
        <v>0.3</v>
      </c>
      <c r="T1035" s="367">
        <v>1</v>
      </c>
      <c r="U1035" s="367"/>
      <c r="V1035" s="367"/>
      <c r="W1035" s="367"/>
      <c r="X1035" s="367"/>
      <c r="Y1035" s="367"/>
      <c r="Z1035" s="367"/>
      <c r="AA1035" s="367"/>
      <c r="AB1035" s="367"/>
      <c r="AC1035" s="367">
        <v>11</v>
      </c>
    </row>
    <row r="1036" spans="1:29" ht="15" x14ac:dyDescent="0.25">
      <c r="A1036" s="365" t="s">
        <v>392</v>
      </c>
      <c r="H1036" s="366">
        <v>31</v>
      </c>
      <c r="J1036" s="367"/>
      <c r="K1036" s="367"/>
      <c r="L1036" s="367">
        <v>100</v>
      </c>
      <c r="M1036" s="367">
        <v>13</v>
      </c>
      <c r="N1036" s="367">
        <v>93</v>
      </c>
      <c r="O1036" s="367"/>
      <c r="P1036" s="367">
        <v>136</v>
      </c>
      <c r="Q1036" s="367"/>
      <c r="R1036" s="367">
        <v>66</v>
      </c>
      <c r="S1036" s="367">
        <v>0.3</v>
      </c>
      <c r="T1036" s="367">
        <v>-1</v>
      </c>
      <c r="U1036" s="367"/>
      <c r="V1036" s="367"/>
      <c r="W1036" s="367"/>
      <c r="X1036" s="367"/>
      <c r="Y1036" s="367"/>
      <c r="Z1036" s="367"/>
      <c r="AA1036" s="367"/>
      <c r="AB1036" s="367"/>
      <c r="AC1036" s="367">
        <v>12</v>
      </c>
    </row>
    <row r="1037" spans="1:29" ht="15" x14ac:dyDescent="0.25">
      <c r="A1037" s="365" t="s">
        <v>393</v>
      </c>
      <c r="H1037" s="366"/>
      <c r="J1037" s="367"/>
      <c r="K1037" s="367"/>
      <c r="L1037" s="367">
        <v>97</v>
      </c>
      <c r="M1037" s="367">
        <v>12</v>
      </c>
      <c r="N1037" s="367">
        <v>86</v>
      </c>
      <c r="O1037" s="367"/>
      <c r="P1037" s="367">
        <v>140</v>
      </c>
      <c r="Q1037" s="367"/>
      <c r="R1037" s="367">
        <v>60</v>
      </c>
      <c r="S1037" s="367">
        <v>0.4</v>
      </c>
      <c r="T1037" s="367">
        <v>4.5</v>
      </c>
      <c r="U1037" s="367"/>
      <c r="V1037" s="367"/>
      <c r="W1037" s="367"/>
      <c r="X1037" s="367"/>
      <c r="Y1037" s="367"/>
      <c r="Z1037" s="367"/>
      <c r="AA1037" s="367"/>
      <c r="AB1037" s="367"/>
      <c r="AC1037" s="367">
        <v>0.02</v>
      </c>
    </row>
    <row r="1038" spans="1:29" ht="15" x14ac:dyDescent="0.25">
      <c r="A1038" s="365" t="s">
        <v>393</v>
      </c>
      <c r="H1038" s="366">
        <v>32</v>
      </c>
      <c r="J1038" s="367"/>
      <c r="K1038" s="367"/>
      <c r="L1038" s="367">
        <v>100</v>
      </c>
      <c r="M1038" s="367">
        <v>12</v>
      </c>
      <c r="N1038" s="367">
        <v>92</v>
      </c>
      <c r="O1038" s="367"/>
      <c r="P1038" s="367">
        <v>140</v>
      </c>
      <c r="Q1038" s="367"/>
      <c r="R1038" s="367">
        <v>63</v>
      </c>
      <c r="S1038" s="367">
        <v>0.3</v>
      </c>
      <c r="T1038" s="367">
        <v>1</v>
      </c>
      <c r="U1038" s="367"/>
      <c r="V1038" s="367"/>
      <c r="W1038" s="367"/>
      <c r="X1038" s="367"/>
      <c r="Y1038" s="367"/>
      <c r="Z1038" s="367"/>
      <c r="AA1038" s="367"/>
      <c r="AB1038" s="367"/>
      <c r="AC1038" s="367">
        <v>11</v>
      </c>
    </row>
    <row r="1039" spans="1:29" ht="15" x14ac:dyDescent="0.25">
      <c r="A1039" s="365" t="s">
        <v>392</v>
      </c>
      <c r="H1039" s="366">
        <v>31</v>
      </c>
      <c r="J1039" s="367"/>
      <c r="K1039" s="367"/>
      <c r="L1039" s="367">
        <v>100</v>
      </c>
      <c r="M1039" s="367">
        <v>13</v>
      </c>
      <c r="N1039" s="367">
        <v>93</v>
      </c>
      <c r="O1039" s="367"/>
      <c r="P1039" s="367">
        <v>136</v>
      </c>
      <c r="Q1039" s="367"/>
      <c r="R1039" s="367">
        <v>66</v>
      </c>
      <c r="S1039" s="367">
        <v>0.3</v>
      </c>
      <c r="T1039" s="367">
        <v>-1</v>
      </c>
      <c r="U1039" s="367"/>
      <c r="V1039" s="367"/>
      <c r="W1039" s="367"/>
      <c r="X1039" s="367"/>
      <c r="Y1039" s="367"/>
      <c r="Z1039" s="367"/>
      <c r="AA1039" s="367"/>
      <c r="AB1039" s="367"/>
      <c r="AC1039" s="367">
        <v>12</v>
      </c>
    </row>
    <row r="1040" spans="1:29" ht="15" x14ac:dyDescent="0.25">
      <c r="A1040" s="365" t="s">
        <v>393</v>
      </c>
      <c r="H1040" s="366"/>
      <c r="J1040" s="367"/>
      <c r="K1040" s="367"/>
      <c r="L1040" s="367">
        <v>97</v>
      </c>
      <c r="M1040" s="367">
        <v>12</v>
      </c>
      <c r="N1040" s="367">
        <v>86</v>
      </c>
      <c r="O1040" s="367"/>
      <c r="P1040" s="367">
        <v>140</v>
      </c>
      <c r="Q1040" s="367"/>
      <c r="R1040" s="367">
        <v>60</v>
      </c>
      <c r="S1040" s="367">
        <v>0.4</v>
      </c>
      <c r="T1040" s="367">
        <v>4.5</v>
      </c>
      <c r="U1040" s="367"/>
      <c r="V1040" s="367"/>
      <c r="W1040" s="367"/>
      <c r="X1040" s="367"/>
      <c r="Y1040" s="367"/>
      <c r="Z1040" s="367"/>
      <c r="AA1040" s="367"/>
      <c r="AB1040" s="367"/>
      <c r="AC1040" s="367">
        <v>0.02</v>
      </c>
    </row>
    <row r="1041" spans="1:29" ht="15" x14ac:dyDescent="0.25">
      <c r="A1041" s="365" t="s">
        <v>395</v>
      </c>
      <c r="H1041" s="366"/>
      <c r="J1041" s="367"/>
      <c r="K1041" s="367"/>
      <c r="L1041" s="367"/>
      <c r="M1041" s="367"/>
      <c r="N1041" s="367"/>
      <c r="O1041" s="367"/>
      <c r="P1041" s="367"/>
      <c r="Q1041" s="367"/>
      <c r="R1041" s="367">
        <v>575</v>
      </c>
      <c r="S1041" s="367"/>
      <c r="T1041" s="367">
        <v>70</v>
      </c>
      <c r="U1041" s="367"/>
      <c r="V1041" s="367"/>
      <c r="W1041" s="367"/>
      <c r="X1041" s="367"/>
      <c r="Y1041" s="367"/>
      <c r="Z1041" s="367"/>
      <c r="AA1041" s="367"/>
      <c r="AB1041" s="367"/>
      <c r="AC1041" s="367"/>
    </row>
    <row r="1042" spans="1:29" ht="15" x14ac:dyDescent="0.25">
      <c r="A1042" s="365" t="s">
        <v>395</v>
      </c>
      <c r="H1042" s="366">
        <v>43</v>
      </c>
      <c r="J1042" s="367"/>
      <c r="K1042" s="367"/>
      <c r="L1042" s="367">
        <v>200</v>
      </c>
      <c r="M1042" s="367">
        <v>5</v>
      </c>
      <c r="N1042" s="367">
        <v>75</v>
      </c>
      <c r="O1042" s="367"/>
      <c r="P1042" s="367">
        <v>51</v>
      </c>
      <c r="Q1042" s="367"/>
      <c r="R1042" s="367">
        <v>400</v>
      </c>
      <c r="S1042" s="367">
        <v>2.1</v>
      </c>
      <c r="T1042" s="367">
        <v>48</v>
      </c>
      <c r="U1042" s="367"/>
      <c r="V1042" s="367"/>
      <c r="W1042" s="367"/>
      <c r="X1042" s="367"/>
      <c r="Y1042" s="367"/>
      <c r="Z1042" s="367"/>
      <c r="AA1042" s="367"/>
      <c r="AB1042" s="367"/>
      <c r="AC1042" s="367">
        <v>-0.02</v>
      </c>
    </row>
    <row r="1043" spans="1:29" ht="15" x14ac:dyDescent="0.25">
      <c r="A1043" s="365" t="s">
        <v>589</v>
      </c>
      <c r="H1043" s="366">
        <v>43</v>
      </c>
      <c r="J1043" s="367"/>
      <c r="K1043" s="367"/>
      <c r="L1043" s="367">
        <v>200</v>
      </c>
      <c r="M1043" s="367">
        <v>5</v>
      </c>
      <c r="N1043" s="367">
        <v>75</v>
      </c>
      <c r="O1043" s="367"/>
      <c r="P1043" s="367">
        <v>51</v>
      </c>
      <c r="Q1043" s="367"/>
      <c r="R1043" s="367">
        <v>400</v>
      </c>
      <c r="S1043" s="367">
        <v>2.1</v>
      </c>
      <c r="T1043" s="367">
        <v>48</v>
      </c>
      <c r="U1043" s="367"/>
      <c r="V1043" s="367"/>
      <c r="W1043" s="367"/>
      <c r="X1043" s="367"/>
      <c r="Y1043" s="367"/>
      <c r="Z1043" s="367"/>
      <c r="AA1043" s="367"/>
      <c r="AB1043" s="367"/>
      <c r="AC1043" s="367"/>
    </row>
    <row r="1044" spans="1:29" ht="15" x14ac:dyDescent="0.25">
      <c r="A1044" s="365" t="s">
        <v>249</v>
      </c>
      <c r="H1044" s="366">
        <v>60</v>
      </c>
      <c r="J1044" s="367"/>
      <c r="K1044" s="367"/>
      <c r="L1044" s="367">
        <v>310</v>
      </c>
      <c r="M1044" s="367">
        <v>10</v>
      </c>
      <c r="N1044" s="367">
        <v>22</v>
      </c>
      <c r="O1044" s="367"/>
      <c r="P1044" s="367">
        <v>75</v>
      </c>
      <c r="Q1044" s="367"/>
      <c r="R1044" s="367">
        <v>28</v>
      </c>
      <c r="S1044" s="367">
        <v>9.1999999999999993</v>
      </c>
      <c r="T1044" s="367">
        <v>340</v>
      </c>
      <c r="U1044" s="367"/>
      <c r="V1044" s="367"/>
      <c r="W1044" s="367"/>
      <c r="X1044" s="367"/>
      <c r="Y1044" s="367"/>
      <c r="Z1044" s="367"/>
      <c r="AA1044" s="367"/>
      <c r="AB1044" s="367"/>
      <c r="AC1044" s="367"/>
    </row>
    <row r="1045" spans="1:29" ht="15" x14ac:dyDescent="0.25">
      <c r="A1045" s="365" t="s">
        <v>251</v>
      </c>
      <c r="H1045" s="366">
        <v>45</v>
      </c>
      <c r="J1045" s="367"/>
      <c r="K1045" s="367"/>
      <c r="L1045" s="367">
        <v>47</v>
      </c>
      <c r="M1045" s="367">
        <v>3</v>
      </c>
      <c r="N1045" s="367">
        <v>17</v>
      </c>
      <c r="O1045" s="367"/>
      <c r="P1045" s="367">
        <v>39</v>
      </c>
      <c r="Q1045" s="367"/>
      <c r="R1045" s="367">
        <v>29</v>
      </c>
      <c r="S1045" s="367">
        <v>1.9</v>
      </c>
      <c r="T1045" s="367"/>
      <c r="U1045" s="367"/>
      <c r="V1045" s="367"/>
      <c r="W1045" s="367"/>
      <c r="X1045" s="367"/>
      <c r="Y1045" s="367"/>
      <c r="Z1045" s="367"/>
      <c r="AA1045" s="367"/>
      <c r="AB1045" s="367"/>
      <c r="AC1045" s="367">
        <v>0.05</v>
      </c>
    </row>
    <row r="1046" spans="1:29" ht="15" x14ac:dyDescent="0.25">
      <c r="A1046" s="365" t="s">
        <v>398</v>
      </c>
      <c r="H1046" s="366">
        <v>92</v>
      </c>
      <c r="J1046" s="367"/>
      <c r="K1046" s="367"/>
      <c r="L1046" s="367">
        <v>395</v>
      </c>
      <c r="M1046" s="367">
        <v>23</v>
      </c>
      <c r="N1046" s="367">
        <v>2.4</v>
      </c>
      <c r="O1046" s="367"/>
      <c r="P1046" s="367">
        <v>142</v>
      </c>
      <c r="Q1046" s="367"/>
      <c r="R1046" s="367">
        <v>220</v>
      </c>
      <c r="S1046" s="367">
        <v>10</v>
      </c>
      <c r="T1046" s="367">
        <v>94</v>
      </c>
      <c r="U1046" s="367"/>
      <c r="V1046" s="367"/>
      <c r="W1046" s="367"/>
      <c r="X1046" s="367"/>
      <c r="Y1046" s="367"/>
      <c r="Z1046" s="367"/>
      <c r="AA1046" s="367"/>
      <c r="AB1046" s="367"/>
      <c r="AC1046" s="367"/>
    </row>
    <row r="1047" spans="1:29" ht="15" x14ac:dyDescent="0.25">
      <c r="A1047" s="365" t="s">
        <v>447</v>
      </c>
      <c r="H1047" s="366">
        <v>94</v>
      </c>
      <c r="J1047" s="367"/>
      <c r="K1047" s="367"/>
      <c r="L1047" s="367">
        <v>390</v>
      </c>
      <c r="M1047" s="367">
        <v>23</v>
      </c>
      <c r="N1047" s="367">
        <v>1.3</v>
      </c>
      <c r="O1047" s="367"/>
      <c r="P1047" s="367">
        <v>140</v>
      </c>
      <c r="Q1047" s="367"/>
      <c r="R1047" s="367">
        <v>215</v>
      </c>
      <c r="S1047" s="367">
        <v>10</v>
      </c>
      <c r="T1047" s="367">
        <v>92</v>
      </c>
      <c r="U1047" s="367"/>
      <c r="V1047" s="367"/>
      <c r="W1047" s="367"/>
      <c r="X1047" s="367"/>
      <c r="Y1047" s="367"/>
      <c r="Z1047" s="367"/>
      <c r="AA1047" s="367"/>
      <c r="AB1047" s="367"/>
      <c r="AC1047" s="367">
        <v>-0.02</v>
      </c>
    </row>
    <row r="1048" spans="1:29" ht="15" x14ac:dyDescent="0.25">
      <c r="A1048" s="365" t="s">
        <v>399</v>
      </c>
      <c r="H1048" s="366">
        <v>92</v>
      </c>
      <c r="J1048" s="367"/>
      <c r="K1048" s="367"/>
      <c r="L1048" s="367">
        <v>370</v>
      </c>
      <c r="M1048" s="367">
        <v>21</v>
      </c>
      <c r="N1048" s="367">
        <v>1.5</v>
      </c>
      <c r="O1048" s="367"/>
      <c r="P1048" s="367">
        <v>133</v>
      </c>
      <c r="Q1048" s="367"/>
      <c r="R1048" s="367">
        <v>210</v>
      </c>
      <c r="S1048" s="367">
        <v>9.6</v>
      </c>
      <c r="T1048" s="367">
        <v>92</v>
      </c>
      <c r="U1048" s="367"/>
      <c r="V1048" s="367"/>
      <c r="W1048" s="367"/>
      <c r="X1048" s="367"/>
      <c r="Y1048" s="367"/>
      <c r="Z1048" s="367"/>
      <c r="AA1048" s="367"/>
      <c r="AB1048" s="367"/>
      <c r="AC1048" s="367"/>
    </row>
    <row r="1049" spans="1:29" ht="15" x14ac:dyDescent="0.25">
      <c r="A1049" s="365" t="s">
        <v>505</v>
      </c>
      <c r="H1049" s="366">
        <v>27</v>
      </c>
      <c r="J1049" s="367"/>
      <c r="K1049" s="367"/>
      <c r="L1049" s="367">
        <v>326</v>
      </c>
      <c r="M1049" s="367">
        <v>9.6999999999999993</v>
      </c>
      <c r="N1049" s="367">
        <v>13</v>
      </c>
      <c r="O1049" s="367"/>
      <c r="P1049" s="367">
        <v>18</v>
      </c>
      <c r="Q1049" s="367"/>
      <c r="R1049" s="367">
        <v>44</v>
      </c>
      <c r="S1049" s="367">
        <v>0.6</v>
      </c>
      <c r="T1049" s="367">
        <v>199</v>
      </c>
      <c r="U1049" s="367"/>
      <c r="V1049" s="367"/>
      <c r="W1049" s="367"/>
      <c r="X1049" s="367"/>
      <c r="Y1049" s="367"/>
      <c r="Z1049" s="367"/>
      <c r="AA1049" s="367">
        <v>1.9</v>
      </c>
      <c r="AB1049" s="367"/>
      <c r="AC1049" s="367">
        <v>-0.01</v>
      </c>
    </row>
    <row r="1050" spans="1:29" ht="15" x14ac:dyDescent="0.25">
      <c r="A1050" s="365" t="s">
        <v>422</v>
      </c>
      <c r="H1050" s="366">
        <v>25</v>
      </c>
      <c r="J1050" s="367"/>
      <c r="K1050" s="367"/>
      <c r="L1050" s="367">
        <v>220</v>
      </c>
      <c r="M1050" s="367">
        <v>7.3</v>
      </c>
      <c r="N1050" s="367">
        <v>11</v>
      </c>
      <c r="O1050" s="367"/>
      <c r="P1050" s="367">
        <v>20</v>
      </c>
      <c r="Q1050" s="367"/>
      <c r="R1050" s="367">
        <v>50</v>
      </c>
      <c r="S1050" s="367">
        <v>0.5</v>
      </c>
      <c r="T1050" s="367">
        <v>19</v>
      </c>
      <c r="U1050" s="367"/>
      <c r="V1050" s="367"/>
      <c r="W1050" s="367"/>
      <c r="X1050" s="367"/>
      <c r="Y1050" s="367"/>
      <c r="Z1050" s="367"/>
      <c r="AA1050" s="367">
        <v>0.64</v>
      </c>
      <c r="AB1050" s="367"/>
      <c r="AC1050" s="367">
        <v>-0.01</v>
      </c>
    </row>
    <row r="1051" spans="1:29" ht="15" x14ac:dyDescent="0.25">
      <c r="A1051" s="365" t="s">
        <v>400</v>
      </c>
      <c r="H1051" s="366">
        <v>27</v>
      </c>
      <c r="J1051" s="367"/>
      <c r="K1051" s="367"/>
      <c r="L1051" s="367">
        <v>248</v>
      </c>
      <c r="M1051" s="367">
        <v>8.1999999999999993</v>
      </c>
      <c r="N1051" s="367">
        <v>3.4</v>
      </c>
      <c r="O1051" s="367"/>
      <c r="P1051" s="367">
        <v>19</v>
      </c>
      <c r="Q1051" s="367"/>
      <c r="R1051" s="367">
        <v>47</v>
      </c>
      <c r="S1051" s="367">
        <v>0.6</v>
      </c>
      <c r="T1051" s="367">
        <v>18</v>
      </c>
      <c r="U1051" s="367"/>
      <c r="V1051" s="367"/>
      <c r="W1051" s="367"/>
      <c r="X1051" s="367"/>
      <c r="Y1051" s="367"/>
      <c r="Z1051" s="367"/>
      <c r="AA1051" s="367">
        <v>0.44</v>
      </c>
      <c r="AB1051" s="367"/>
      <c r="AC1051" s="367">
        <v>-0.01</v>
      </c>
    </row>
    <row r="1052" spans="1:29" ht="15" x14ac:dyDescent="0.25">
      <c r="A1052" s="365" t="s">
        <v>397</v>
      </c>
      <c r="H1052" s="366">
        <v>50</v>
      </c>
      <c r="J1052" s="367"/>
      <c r="K1052" s="367"/>
      <c r="L1052" s="367">
        <v>59</v>
      </c>
      <c r="M1052" s="367">
        <v>0.4</v>
      </c>
      <c r="N1052" s="367">
        <v>1.6</v>
      </c>
      <c r="O1052" s="367"/>
      <c r="P1052" s="367">
        <v>54</v>
      </c>
      <c r="Q1052" s="367"/>
      <c r="R1052" s="367">
        <v>28</v>
      </c>
      <c r="S1052" s="367">
        <v>2</v>
      </c>
      <c r="T1052" s="367">
        <v>6</v>
      </c>
      <c r="U1052" s="367"/>
      <c r="V1052" s="367"/>
      <c r="W1052" s="367"/>
      <c r="X1052" s="367"/>
      <c r="Y1052" s="367"/>
      <c r="Z1052" s="367"/>
      <c r="AA1052" s="367">
        <v>0.04</v>
      </c>
      <c r="AB1052" s="367"/>
      <c r="AC1052" s="367">
        <v>0.02</v>
      </c>
    </row>
    <row r="1053" spans="1:29" ht="15" x14ac:dyDescent="0.25">
      <c r="A1053" s="365" t="s">
        <v>401</v>
      </c>
      <c r="H1053" s="366">
        <v>37</v>
      </c>
      <c r="J1053" s="367"/>
      <c r="K1053" s="367"/>
      <c r="L1053" s="367">
        <v>92</v>
      </c>
      <c r="M1053" s="367">
        <v>1.1000000000000001</v>
      </c>
      <c r="N1053" s="367">
        <v>2</v>
      </c>
      <c r="O1053" s="367"/>
      <c r="P1053" s="367">
        <v>82</v>
      </c>
      <c r="Q1053" s="367"/>
      <c r="R1053" s="367">
        <v>52</v>
      </c>
      <c r="S1053" s="367">
        <v>-0.1</v>
      </c>
      <c r="T1053" s="367">
        <v>27</v>
      </c>
      <c r="U1053" s="367"/>
      <c r="V1053" s="367"/>
      <c r="W1053" s="367"/>
      <c r="X1053" s="367"/>
      <c r="Y1053" s="367"/>
      <c r="Z1053" s="367"/>
      <c r="AA1053" s="367"/>
      <c r="AB1053" s="367"/>
      <c r="AC1053" s="367">
        <v>-0.06</v>
      </c>
    </row>
    <row r="1054" spans="1:29" ht="15" x14ac:dyDescent="0.25">
      <c r="A1054" s="365" t="s">
        <v>403</v>
      </c>
      <c r="H1054" s="366">
        <v>42</v>
      </c>
      <c r="J1054" s="367"/>
      <c r="K1054" s="367"/>
      <c r="L1054" s="367">
        <v>260</v>
      </c>
      <c r="M1054" s="367">
        <v>3.8</v>
      </c>
      <c r="N1054" s="367">
        <v>38</v>
      </c>
      <c r="O1054" s="367"/>
      <c r="P1054" s="367">
        <v>20</v>
      </c>
      <c r="Q1054" s="367"/>
      <c r="R1054" s="367">
        <v>115</v>
      </c>
      <c r="S1054" s="367">
        <v>3.3</v>
      </c>
      <c r="T1054" s="367">
        <v>450</v>
      </c>
      <c r="U1054" s="367"/>
      <c r="V1054" s="367"/>
      <c r="W1054" s="367"/>
      <c r="X1054" s="367"/>
      <c r="Y1054" s="367"/>
      <c r="Z1054" s="367"/>
      <c r="AA1054" s="367"/>
      <c r="AB1054" s="367"/>
      <c r="AC1054" s="367">
        <v>-0.02</v>
      </c>
    </row>
    <row r="1055" spans="1:29" ht="15" x14ac:dyDescent="0.25">
      <c r="A1055" s="365" t="s">
        <v>404</v>
      </c>
      <c r="H1055" s="366">
        <v>93</v>
      </c>
      <c r="J1055" s="367"/>
      <c r="K1055" s="367"/>
      <c r="L1055" s="367">
        <v>385</v>
      </c>
      <c r="M1055" s="367">
        <v>25</v>
      </c>
      <c r="N1055" s="367">
        <v>1.2</v>
      </c>
      <c r="O1055" s="367"/>
      <c r="P1055" s="367">
        <v>240</v>
      </c>
      <c r="Q1055" s="367"/>
      <c r="R1055" s="367">
        <v>250</v>
      </c>
      <c r="S1055" s="367">
        <v>10</v>
      </c>
      <c r="T1055" s="367">
        <v>135</v>
      </c>
      <c r="U1055" s="367"/>
      <c r="V1055" s="367"/>
      <c r="W1055" s="367"/>
      <c r="X1055" s="367"/>
      <c r="Y1055" s="367"/>
      <c r="Z1055" s="367"/>
      <c r="AA1055" s="367"/>
      <c r="AB1055" s="367"/>
      <c r="AC1055" s="367">
        <v>-0.02</v>
      </c>
    </row>
    <row r="1056" spans="1:29" ht="15" x14ac:dyDescent="0.25">
      <c r="A1056" s="365" t="s">
        <v>405</v>
      </c>
      <c r="H1056" s="366"/>
      <c r="J1056" s="367"/>
      <c r="K1056" s="367"/>
      <c r="L1056" s="367">
        <v>9500</v>
      </c>
      <c r="M1056" s="367">
        <v>630</v>
      </c>
      <c r="N1056" s="367">
        <v>1.7</v>
      </c>
      <c r="O1056" s="367"/>
      <c r="P1056" s="367">
        <v>205</v>
      </c>
      <c r="Q1056" s="367"/>
      <c r="R1056" s="367">
        <v>12900</v>
      </c>
      <c r="S1056" s="367"/>
      <c r="T1056" s="367">
        <v>46</v>
      </c>
      <c r="U1056" s="367"/>
      <c r="V1056" s="367"/>
      <c r="W1056" s="367"/>
      <c r="X1056" s="367"/>
      <c r="Y1056" s="367"/>
      <c r="Z1056" s="367"/>
      <c r="AA1056" s="367">
        <v>0.5</v>
      </c>
      <c r="AB1056" s="367"/>
      <c r="AC1056" s="367">
        <v>0.12</v>
      </c>
    </row>
    <row r="1057" spans="1:29" ht="15" x14ac:dyDescent="0.25">
      <c r="A1057" s="365" t="s">
        <v>491</v>
      </c>
      <c r="H1057" s="366"/>
      <c r="J1057" s="367"/>
      <c r="K1057" s="367"/>
      <c r="L1057" s="367">
        <v>10000</v>
      </c>
      <c r="M1057" s="367">
        <v>460</v>
      </c>
      <c r="N1057" s="367">
        <v>2.2000000000000002</v>
      </c>
      <c r="O1057" s="367"/>
      <c r="P1057" s="367">
        <v>78</v>
      </c>
      <c r="Q1057" s="367"/>
      <c r="R1057" s="367">
        <v>11200</v>
      </c>
      <c r="S1057" s="367"/>
      <c r="T1057" s="367">
        <v>153</v>
      </c>
      <c r="U1057" s="367"/>
      <c r="V1057" s="367"/>
      <c r="W1057" s="367"/>
      <c r="X1057" s="367"/>
      <c r="Y1057" s="367"/>
      <c r="Z1057" s="367"/>
      <c r="AA1057" s="367">
        <v>1.3</v>
      </c>
      <c r="AB1057" s="367"/>
      <c r="AC1057" s="367">
        <v>0.14000000000000001</v>
      </c>
    </row>
    <row r="1058" spans="1:29" ht="15" x14ac:dyDescent="0.25">
      <c r="A1058" s="365" t="s">
        <v>394</v>
      </c>
      <c r="H1058" s="366">
        <v>26</v>
      </c>
      <c r="J1058" s="367"/>
      <c r="K1058" s="367"/>
      <c r="L1058" s="367">
        <v>43</v>
      </c>
      <c r="M1058" s="367">
        <v>3.3</v>
      </c>
      <c r="N1058" s="367">
        <v>3.3</v>
      </c>
      <c r="O1058" s="367"/>
      <c r="P1058" s="367">
        <v>34</v>
      </c>
      <c r="Q1058" s="367"/>
      <c r="R1058" s="367">
        <v>10</v>
      </c>
      <c r="S1058" s="367">
        <v>0.12</v>
      </c>
      <c r="T1058" s="367">
        <v>17</v>
      </c>
      <c r="U1058" s="367"/>
      <c r="V1058" s="367"/>
      <c r="W1058" s="367"/>
      <c r="X1058" s="367"/>
      <c r="Y1058" s="367"/>
      <c r="Z1058" s="367"/>
      <c r="AA1058" s="367"/>
      <c r="AB1058" s="367"/>
      <c r="AC1058" s="367"/>
    </row>
    <row r="1059" spans="1:29" ht="15" x14ac:dyDescent="0.25">
      <c r="A1059" s="365" t="s">
        <v>408</v>
      </c>
      <c r="H1059" s="366"/>
      <c r="J1059" s="367"/>
      <c r="K1059" s="367"/>
      <c r="L1059" s="367">
        <v>127</v>
      </c>
      <c r="M1059" s="367">
        <v>5.7</v>
      </c>
      <c r="N1059" s="367"/>
      <c r="O1059" s="367"/>
      <c r="P1059" s="367">
        <v>26</v>
      </c>
      <c r="Q1059" s="367"/>
      <c r="R1059" s="367">
        <v>176</v>
      </c>
      <c r="S1059" s="367"/>
      <c r="T1059" s="367">
        <v>127</v>
      </c>
      <c r="U1059" s="367"/>
      <c r="V1059" s="367"/>
      <c r="W1059" s="367"/>
      <c r="X1059" s="367"/>
      <c r="Y1059" s="367"/>
      <c r="Z1059" s="367"/>
      <c r="AA1059" s="367"/>
      <c r="AB1059" s="367"/>
      <c r="AC1059" s="367"/>
    </row>
    <row r="1060" spans="1:29" ht="15" x14ac:dyDescent="0.25">
      <c r="A1060" s="365" t="s">
        <v>409</v>
      </c>
      <c r="H1060" s="366">
        <v>23</v>
      </c>
      <c r="J1060" s="367"/>
      <c r="K1060" s="367"/>
      <c r="L1060" s="367">
        <v>200</v>
      </c>
      <c r="M1060" s="367">
        <v>5.6</v>
      </c>
      <c r="N1060" s="367">
        <v>280</v>
      </c>
      <c r="O1060" s="367"/>
      <c r="P1060" s="367">
        <v>43</v>
      </c>
      <c r="Q1060" s="367"/>
      <c r="R1060" s="367">
        <v>110</v>
      </c>
      <c r="S1060" s="367">
        <v>0.1</v>
      </c>
      <c r="T1060" s="367">
        <v>1200</v>
      </c>
      <c r="U1060" s="367"/>
      <c r="V1060" s="367"/>
      <c r="W1060" s="367"/>
      <c r="X1060" s="367"/>
      <c r="Y1060" s="367"/>
      <c r="Z1060" s="367"/>
      <c r="AA1060" s="367"/>
      <c r="AB1060" s="367"/>
      <c r="AC1060" s="367">
        <v>0.06</v>
      </c>
    </row>
    <row r="1061" spans="1:29" ht="15" x14ac:dyDescent="0.25">
      <c r="A1061" s="365" t="s">
        <v>410</v>
      </c>
      <c r="H1061" s="366"/>
      <c r="J1061" s="367"/>
      <c r="K1061" s="367"/>
      <c r="L1061" s="367">
        <v>0.2</v>
      </c>
      <c r="M1061" s="367">
        <v>-0.1</v>
      </c>
      <c r="N1061" s="367">
        <v>0.7</v>
      </c>
      <c r="O1061" s="367"/>
      <c r="P1061" s="367">
        <v>-1</v>
      </c>
      <c r="Q1061" s="367"/>
      <c r="R1061" s="367">
        <v>54</v>
      </c>
      <c r="S1061" s="367">
        <v>0.1</v>
      </c>
      <c r="T1061" s="367">
        <v>5.7</v>
      </c>
      <c r="U1061" s="367"/>
      <c r="V1061" s="367"/>
      <c r="W1061" s="367"/>
      <c r="X1061" s="367"/>
      <c r="Y1061" s="367"/>
      <c r="Z1061" s="367"/>
      <c r="AA1061" s="367">
        <v>10</v>
      </c>
      <c r="AB1061" s="367"/>
      <c r="AC1061" s="367"/>
    </row>
    <row r="1062" spans="1:29" ht="15" x14ac:dyDescent="0.25">
      <c r="A1062" s="365" t="s">
        <v>411</v>
      </c>
      <c r="H1062" s="366">
        <v>31</v>
      </c>
      <c r="J1062" s="367"/>
      <c r="K1062" s="367"/>
      <c r="L1062" s="367">
        <v>1880</v>
      </c>
      <c r="M1062" s="367">
        <v>39</v>
      </c>
      <c r="N1062" s="367">
        <v>243</v>
      </c>
      <c r="O1062" s="367"/>
      <c r="P1062" s="367">
        <v>35</v>
      </c>
      <c r="Q1062" s="367"/>
      <c r="R1062" s="367">
        <v>3590</v>
      </c>
      <c r="S1062" s="367"/>
      <c r="T1062" s="367">
        <v>238</v>
      </c>
      <c r="U1062" s="367"/>
      <c r="V1062" s="367"/>
      <c r="W1062" s="367"/>
      <c r="X1062" s="367"/>
      <c r="Y1062" s="367"/>
      <c r="Z1062" s="367"/>
      <c r="AA1062" s="367"/>
      <c r="AB1062" s="367"/>
      <c r="AC1062" s="367"/>
    </row>
    <row r="1063" spans="1:29" ht="15" x14ac:dyDescent="0.25">
      <c r="A1063" s="365" t="s">
        <v>411</v>
      </c>
      <c r="H1063" s="366">
        <v>30</v>
      </c>
      <c r="J1063" s="367"/>
      <c r="K1063" s="367"/>
      <c r="L1063" s="367">
        <v>1990</v>
      </c>
      <c r="M1063" s="367">
        <v>40</v>
      </c>
      <c r="N1063" s="367">
        <v>265</v>
      </c>
      <c r="O1063" s="367"/>
      <c r="P1063" s="367"/>
      <c r="Q1063" s="367"/>
      <c r="R1063" s="367">
        <v>3680</v>
      </c>
      <c r="S1063" s="367"/>
      <c r="T1063" s="367"/>
      <c r="U1063" s="367"/>
      <c r="V1063" s="367"/>
      <c r="W1063" s="367"/>
      <c r="X1063" s="367"/>
      <c r="Y1063" s="367"/>
      <c r="Z1063" s="367"/>
      <c r="AA1063" s="367"/>
      <c r="AB1063" s="367"/>
      <c r="AC1063" s="367"/>
    </row>
    <row r="1064" spans="1:29" ht="15" x14ac:dyDescent="0.25">
      <c r="A1064" s="365" t="s">
        <v>412</v>
      </c>
      <c r="H1064" s="366">
        <v>42</v>
      </c>
      <c r="J1064" s="367"/>
      <c r="K1064" s="367"/>
      <c r="L1064" s="367">
        <v>6380</v>
      </c>
      <c r="M1064" s="367">
        <v>441</v>
      </c>
      <c r="N1064" s="367">
        <v>790</v>
      </c>
      <c r="O1064" s="367"/>
      <c r="P1064" s="367">
        <v>89</v>
      </c>
      <c r="Q1064" s="367"/>
      <c r="R1064" s="367">
        <v>11900</v>
      </c>
      <c r="S1064" s="367"/>
      <c r="T1064" s="367"/>
      <c r="U1064" s="367"/>
      <c r="V1064" s="367"/>
      <c r="W1064" s="367"/>
      <c r="X1064" s="367"/>
      <c r="Y1064" s="367"/>
      <c r="Z1064" s="367"/>
      <c r="AA1064" s="367"/>
      <c r="AB1064" s="367"/>
      <c r="AC1064" s="367"/>
    </row>
    <row r="1065" spans="1:29" ht="15" x14ac:dyDescent="0.25">
      <c r="A1065" s="365" t="s">
        <v>413</v>
      </c>
      <c r="H1065" s="366">
        <v>35</v>
      </c>
      <c r="J1065" s="367"/>
      <c r="K1065" s="367"/>
      <c r="L1065" s="367">
        <v>140</v>
      </c>
      <c r="M1065" s="367">
        <v>1.3</v>
      </c>
      <c r="N1065" s="367">
        <v>3.4</v>
      </c>
      <c r="O1065" s="367"/>
      <c r="P1065" s="367">
        <v>50</v>
      </c>
      <c r="Q1065" s="367"/>
      <c r="R1065" s="367">
        <v>52</v>
      </c>
      <c r="S1065" s="367">
        <v>14</v>
      </c>
      <c r="T1065" s="367">
        <v>4</v>
      </c>
      <c r="U1065" s="367"/>
      <c r="V1065" s="367"/>
      <c r="W1065" s="367"/>
      <c r="X1065" s="367"/>
      <c r="Y1065" s="367"/>
      <c r="Z1065" s="367"/>
      <c r="AA1065" s="367"/>
      <c r="AB1065" s="367"/>
      <c r="AC1065" s="367">
        <v>-0.02</v>
      </c>
    </row>
    <row r="1066" spans="1:29" ht="15" x14ac:dyDescent="0.25">
      <c r="A1066" s="365" t="s">
        <v>413</v>
      </c>
      <c r="H1066" s="366"/>
      <c r="J1066" s="367"/>
      <c r="K1066" s="367"/>
      <c r="L1066" s="367"/>
      <c r="M1066" s="367"/>
      <c r="N1066" s="367"/>
      <c r="O1066" s="367"/>
      <c r="P1066" s="367"/>
      <c r="Q1066" s="367"/>
      <c r="R1066" s="367">
        <v>49</v>
      </c>
      <c r="S1066" s="367"/>
      <c r="T1066" s="367"/>
      <c r="U1066" s="367"/>
      <c r="V1066" s="367"/>
      <c r="W1066" s="367"/>
      <c r="X1066" s="367"/>
      <c r="Y1066" s="367"/>
      <c r="Z1066" s="367"/>
      <c r="AA1066" s="367"/>
      <c r="AB1066" s="367"/>
      <c r="AC1066" s="367"/>
    </row>
    <row r="1067" spans="1:29" ht="15" x14ac:dyDescent="0.25">
      <c r="A1067" s="365" t="s">
        <v>581</v>
      </c>
      <c r="H1067" s="366">
        <v>29</v>
      </c>
      <c r="J1067" s="367"/>
      <c r="K1067" s="367"/>
      <c r="L1067" s="367">
        <v>140</v>
      </c>
      <c r="M1067" s="367">
        <v>1.8</v>
      </c>
      <c r="N1067" s="367">
        <v>5.67</v>
      </c>
      <c r="O1067" s="367"/>
      <c r="P1067" s="367">
        <v>60.4</v>
      </c>
      <c r="Q1067" s="367"/>
      <c r="R1067" s="367">
        <v>51</v>
      </c>
      <c r="S1067" s="367">
        <v>13.6</v>
      </c>
      <c r="T1067" s="367">
        <v>1</v>
      </c>
      <c r="U1067" s="367"/>
      <c r="V1067" s="367"/>
      <c r="W1067" s="367"/>
      <c r="X1067" s="367"/>
      <c r="Y1067" s="367"/>
      <c r="Z1067" s="367"/>
      <c r="AA1067" s="367">
        <v>0.21</v>
      </c>
      <c r="AB1067" s="367"/>
      <c r="AC1067" s="367"/>
    </row>
    <row r="1068" spans="1:29" ht="15" x14ac:dyDescent="0.25">
      <c r="A1068" s="365" t="s">
        <v>413</v>
      </c>
      <c r="H1068" s="366"/>
      <c r="J1068" s="367"/>
      <c r="K1068" s="367"/>
      <c r="L1068" s="367"/>
      <c r="M1068" s="367"/>
      <c r="N1068" s="367"/>
      <c r="O1068" s="367"/>
      <c r="P1068" s="367"/>
      <c r="Q1068" s="367"/>
      <c r="R1068" s="367">
        <v>54</v>
      </c>
      <c r="S1068" s="367"/>
      <c r="T1068" s="367"/>
      <c r="U1068" s="367"/>
      <c r="V1068" s="367"/>
      <c r="W1068" s="367"/>
      <c r="X1068" s="367"/>
      <c r="Y1068" s="367"/>
      <c r="Z1068" s="367"/>
      <c r="AA1068" s="367"/>
      <c r="AB1068" s="367"/>
      <c r="AC1068" s="367"/>
    </row>
    <row r="1069" spans="1:29" ht="15" x14ac:dyDescent="0.25">
      <c r="A1069" s="365" t="s">
        <v>413</v>
      </c>
      <c r="H1069" s="366"/>
      <c r="J1069" s="367"/>
      <c r="K1069" s="367"/>
      <c r="L1069" s="367"/>
      <c r="M1069" s="367"/>
      <c r="N1069" s="367"/>
      <c r="O1069" s="367"/>
      <c r="P1069" s="367"/>
      <c r="Q1069" s="367"/>
      <c r="R1069" s="367">
        <v>48</v>
      </c>
      <c r="S1069" s="367"/>
      <c r="T1069" s="367"/>
      <c r="U1069" s="367"/>
      <c r="V1069" s="367"/>
      <c r="W1069" s="367"/>
      <c r="X1069" s="367"/>
      <c r="Y1069" s="367"/>
      <c r="Z1069" s="367"/>
      <c r="AA1069" s="367"/>
      <c r="AB1069" s="367"/>
      <c r="AC1069" s="367"/>
    </row>
    <row r="1070" spans="1:29" ht="15" x14ac:dyDescent="0.25">
      <c r="A1070" s="365" t="s">
        <v>298</v>
      </c>
      <c r="H1070" s="366">
        <v>28</v>
      </c>
      <c r="J1070" s="367"/>
      <c r="K1070" s="367"/>
      <c r="L1070" s="367">
        <v>140</v>
      </c>
      <c r="M1070" s="367">
        <v>1.9</v>
      </c>
      <c r="N1070" s="367">
        <v>5.5</v>
      </c>
      <c r="O1070" s="367"/>
      <c r="P1070" s="367">
        <v>55</v>
      </c>
      <c r="Q1070" s="367"/>
      <c r="R1070" s="367">
        <v>52</v>
      </c>
      <c r="S1070" s="367">
        <v>13.3</v>
      </c>
      <c r="T1070" s="367">
        <v>1</v>
      </c>
      <c r="U1070" s="367"/>
      <c r="V1070" s="367"/>
      <c r="W1070" s="367"/>
      <c r="X1070" s="367"/>
      <c r="Y1070" s="367"/>
      <c r="Z1070" s="367"/>
      <c r="AA1070" s="367">
        <v>0.22</v>
      </c>
      <c r="AB1070" s="367"/>
      <c r="AC1070" s="367"/>
    </row>
    <row r="1071" spans="1:29" ht="15" x14ac:dyDescent="0.25">
      <c r="A1071" s="365" t="s">
        <v>299</v>
      </c>
      <c r="H1071" s="366">
        <v>40</v>
      </c>
      <c r="J1071" s="367"/>
      <c r="K1071" s="367"/>
      <c r="L1071" s="367">
        <v>140</v>
      </c>
      <c r="M1071" s="367">
        <v>1.3</v>
      </c>
      <c r="N1071" s="367">
        <v>4.8</v>
      </c>
      <c r="O1071" s="367"/>
      <c r="P1071" s="367">
        <v>61</v>
      </c>
      <c r="Q1071" s="367"/>
      <c r="R1071" s="367">
        <v>50</v>
      </c>
      <c r="S1071" s="367">
        <v>14</v>
      </c>
      <c r="T1071" s="367">
        <v>1</v>
      </c>
      <c r="U1071" s="367"/>
      <c r="V1071" s="367"/>
      <c r="W1071" s="367"/>
      <c r="X1071" s="367"/>
      <c r="Y1071" s="367"/>
      <c r="Z1071" s="367"/>
      <c r="AA1071" s="367"/>
      <c r="AB1071" s="367"/>
      <c r="AC1071" s="367"/>
    </row>
    <row r="1072" spans="1:29" ht="15" x14ac:dyDescent="0.25">
      <c r="A1072" s="365" t="s">
        <v>413</v>
      </c>
      <c r="H1072" s="366"/>
      <c r="J1072" s="367"/>
      <c r="K1072" s="367"/>
      <c r="L1072" s="367"/>
      <c r="M1072" s="367"/>
      <c r="N1072" s="367"/>
      <c r="O1072" s="367"/>
      <c r="P1072" s="367"/>
      <c r="Q1072" s="367"/>
      <c r="R1072" s="367">
        <v>51</v>
      </c>
      <c r="S1072" s="367"/>
      <c r="T1072" s="367"/>
      <c r="U1072" s="367"/>
      <c r="V1072" s="367"/>
      <c r="W1072" s="367"/>
      <c r="X1072" s="367"/>
      <c r="Y1072" s="367"/>
      <c r="Z1072" s="367"/>
      <c r="AA1072" s="367"/>
      <c r="AB1072" s="367"/>
      <c r="AC1072" s="367"/>
    </row>
    <row r="1073" spans="1:29" ht="15" x14ac:dyDescent="0.25">
      <c r="A1073" s="365" t="s">
        <v>337</v>
      </c>
      <c r="H1073" s="366">
        <v>50</v>
      </c>
      <c r="J1073" s="367"/>
      <c r="K1073" s="367"/>
      <c r="L1073" s="367">
        <v>210</v>
      </c>
      <c r="M1073" s="367">
        <v>20</v>
      </c>
      <c r="N1073" s="367">
        <v>63</v>
      </c>
      <c r="O1073" s="367"/>
      <c r="P1073" s="367">
        <v>45</v>
      </c>
      <c r="Q1073" s="367"/>
      <c r="R1073" s="367">
        <v>66</v>
      </c>
      <c r="S1073" s="367">
        <v>5.4</v>
      </c>
      <c r="T1073" s="367">
        <v>260</v>
      </c>
      <c r="U1073" s="367"/>
      <c r="V1073" s="367"/>
      <c r="W1073" s="367"/>
      <c r="X1073" s="367"/>
      <c r="Y1073" s="367"/>
      <c r="Z1073" s="367"/>
      <c r="AA1073" s="367"/>
      <c r="AB1073" s="367"/>
      <c r="AC1073" s="367"/>
    </row>
    <row r="1074" spans="1:29" ht="15" x14ac:dyDescent="0.25">
      <c r="A1074" s="365" t="s">
        <v>414</v>
      </c>
      <c r="H1074" s="366">
        <v>50</v>
      </c>
      <c r="J1074" s="367"/>
      <c r="K1074" s="367"/>
      <c r="L1074" s="367">
        <v>210</v>
      </c>
      <c r="M1074" s="367">
        <v>20</v>
      </c>
      <c r="N1074" s="367">
        <v>63</v>
      </c>
      <c r="O1074" s="367"/>
      <c r="P1074" s="367">
        <v>45</v>
      </c>
      <c r="Q1074" s="367"/>
      <c r="R1074" s="367">
        <v>66</v>
      </c>
      <c r="S1074" s="367">
        <v>5.4</v>
      </c>
      <c r="T1074" s="367">
        <v>260</v>
      </c>
      <c r="U1074" s="367"/>
      <c r="V1074" s="367"/>
      <c r="W1074" s="367"/>
      <c r="X1074" s="367"/>
      <c r="Y1074" s="367"/>
      <c r="Z1074" s="367"/>
      <c r="AA1074" s="367"/>
      <c r="AB1074" s="367"/>
      <c r="AC1074" s="367">
        <v>-0.02</v>
      </c>
    </row>
    <row r="1075" spans="1:29" ht="15" x14ac:dyDescent="0.25">
      <c r="A1075" s="365" t="s">
        <v>622</v>
      </c>
      <c r="H1075" s="366">
        <v>24</v>
      </c>
      <c r="J1075" s="367"/>
      <c r="K1075" s="367"/>
      <c r="L1075" s="367">
        <v>38</v>
      </c>
      <c r="M1075" s="367">
        <v>1</v>
      </c>
      <c r="N1075" s="367">
        <v>3.8</v>
      </c>
      <c r="O1075" s="367"/>
      <c r="P1075" s="367">
        <v>24</v>
      </c>
      <c r="Q1075" s="367"/>
      <c r="R1075" s="367">
        <v>18</v>
      </c>
      <c r="S1075" s="367">
        <v>0.5</v>
      </c>
      <c r="T1075" s="367">
        <v>15</v>
      </c>
      <c r="U1075" s="367"/>
      <c r="V1075" s="367"/>
      <c r="W1075" s="367"/>
      <c r="X1075" s="367"/>
      <c r="Y1075" s="367"/>
      <c r="Z1075" s="367"/>
      <c r="AA1075" s="367"/>
      <c r="AB1075" s="367"/>
      <c r="AC1075" s="367">
        <v>0.05</v>
      </c>
    </row>
    <row r="1076" spans="1:29" ht="15" x14ac:dyDescent="0.25">
      <c r="A1076" s="365" t="s">
        <v>416</v>
      </c>
      <c r="H1076" s="366">
        <v>23</v>
      </c>
      <c r="J1076" s="367"/>
      <c r="K1076" s="367"/>
      <c r="L1076" s="367">
        <v>1500</v>
      </c>
      <c r="M1076" s="367">
        <v>7.6</v>
      </c>
      <c r="N1076" s="367">
        <v>286</v>
      </c>
      <c r="O1076" s="367"/>
      <c r="P1076" s="367">
        <v>23</v>
      </c>
      <c r="Q1076" s="367"/>
      <c r="R1076" s="367">
        <v>2750</v>
      </c>
      <c r="S1076" s="367">
        <v>0.2</v>
      </c>
      <c r="T1076" s="367">
        <v>16</v>
      </c>
      <c r="U1076" s="367"/>
      <c r="V1076" s="367"/>
      <c r="W1076" s="367"/>
      <c r="X1076" s="367"/>
      <c r="Y1076" s="367"/>
      <c r="Z1076" s="367"/>
      <c r="AA1076" s="367"/>
      <c r="AB1076" s="367"/>
      <c r="AC1076" s="367">
        <v>0.32</v>
      </c>
    </row>
    <row r="1077" spans="1:29" ht="15" x14ac:dyDescent="0.25">
      <c r="A1077" s="365" t="s">
        <v>292</v>
      </c>
      <c r="H1077" s="366">
        <v>23</v>
      </c>
      <c r="J1077" s="367"/>
      <c r="K1077" s="367"/>
      <c r="L1077" s="367">
        <v>1500</v>
      </c>
      <c r="M1077" s="367">
        <v>7.6</v>
      </c>
      <c r="N1077" s="367">
        <v>286</v>
      </c>
      <c r="O1077" s="367"/>
      <c r="P1077" s="367">
        <v>23</v>
      </c>
      <c r="Q1077" s="367"/>
      <c r="R1077" s="367">
        <v>2750</v>
      </c>
      <c r="S1077" s="367">
        <v>0.2</v>
      </c>
      <c r="T1077" s="367">
        <v>16</v>
      </c>
      <c r="U1077" s="367"/>
      <c r="V1077" s="367"/>
      <c r="W1077" s="367"/>
      <c r="X1077" s="367"/>
      <c r="Y1077" s="367"/>
      <c r="Z1077" s="367"/>
      <c r="AA1077" s="367"/>
      <c r="AB1077" s="367"/>
      <c r="AC1077" s="367"/>
    </row>
    <row r="1078" spans="1:29" ht="15" x14ac:dyDescent="0.25">
      <c r="A1078" s="365" t="s">
        <v>417</v>
      </c>
      <c r="H1078" s="366"/>
      <c r="J1078" s="367"/>
      <c r="K1078" s="367"/>
      <c r="L1078" s="367">
        <v>1.7</v>
      </c>
      <c r="M1078" s="367">
        <v>-0.1</v>
      </c>
      <c r="N1078" s="367">
        <v>0.5</v>
      </c>
      <c r="O1078" s="367"/>
      <c r="P1078" s="367">
        <v>-1</v>
      </c>
      <c r="Q1078" s="367"/>
      <c r="R1078" s="367">
        <v>72</v>
      </c>
      <c r="S1078" s="367">
        <v>0.09</v>
      </c>
      <c r="T1078" s="367">
        <v>6.9</v>
      </c>
      <c r="U1078" s="367"/>
      <c r="V1078" s="367"/>
      <c r="W1078" s="367"/>
      <c r="X1078" s="367"/>
      <c r="Y1078" s="367"/>
      <c r="Z1078" s="367"/>
      <c r="AA1078" s="367">
        <v>0.01</v>
      </c>
      <c r="AB1078" s="367"/>
      <c r="AC1078" s="367"/>
    </row>
    <row r="1079" spans="1:29" ht="15" x14ac:dyDescent="0.25">
      <c r="A1079" s="365" t="s">
        <v>268</v>
      </c>
      <c r="H1079" s="366">
        <v>55</v>
      </c>
      <c r="J1079" s="367"/>
      <c r="K1079" s="367"/>
      <c r="L1079" s="367">
        <v>955</v>
      </c>
      <c r="M1079" s="367">
        <v>31</v>
      </c>
      <c r="N1079" s="367">
        <v>13</v>
      </c>
      <c r="O1079" s="367"/>
      <c r="P1079" s="367">
        <v>133</v>
      </c>
      <c r="Q1079" s="367"/>
      <c r="R1079" s="367">
        <v>56</v>
      </c>
      <c r="S1079" s="367">
        <v>10</v>
      </c>
      <c r="T1079" s="367">
        <v>6</v>
      </c>
      <c r="U1079" s="367"/>
      <c r="V1079" s="367"/>
      <c r="W1079" s="367"/>
      <c r="X1079" s="367"/>
      <c r="Y1079" s="367"/>
      <c r="Z1079" s="367"/>
      <c r="AA1079" s="367"/>
      <c r="AB1079" s="367"/>
      <c r="AC1079" s="367"/>
    </row>
    <row r="1080" spans="1:29" ht="15" x14ac:dyDescent="0.25">
      <c r="A1080" s="365" t="s">
        <v>268</v>
      </c>
      <c r="H1080" s="366">
        <v>55</v>
      </c>
      <c r="J1080" s="367"/>
      <c r="K1080" s="367"/>
      <c r="L1080" s="367">
        <v>955</v>
      </c>
      <c r="M1080" s="367">
        <v>31</v>
      </c>
      <c r="N1080" s="367">
        <v>13</v>
      </c>
      <c r="O1080" s="367"/>
      <c r="P1080" s="367">
        <v>133</v>
      </c>
      <c r="Q1080" s="367"/>
      <c r="R1080" s="367">
        <v>56</v>
      </c>
      <c r="S1080" s="367">
        <v>10</v>
      </c>
      <c r="T1080" s="367">
        <v>6</v>
      </c>
      <c r="U1080" s="367"/>
      <c r="V1080" s="367"/>
      <c r="W1080" s="367"/>
      <c r="X1080" s="367"/>
      <c r="Y1080" s="367"/>
      <c r="Z1080" s="367"/>
      <c r="AA1080" s="367"/>
      <c r="AB1080" s="367"/>
      <c r="AC1080" s="367"/>
    </row>
    <row r="1081" spans="1:29" ht="15" x14ac:dyDescent="0.25">
      <c r="A1081" s="365" t="s">
        <v>971</v>
      </c>
      <c r="H1081" s="366"/>
      <c r="J1081" s="367"/>
      <c r="K1081" s="367"/>
      <c r="L1081" s="367">
        <v>330</v>
      </c>
      <c r="M1081" s="367">
        <v>21</v>
      </c>
      <c r="N1081" s="367">
        <v>1.6</v>
      </c>
      <c r="O1081" s="367"/>
      <c r="P1081" s="367">
        <v>140</v>
      </c>
      <c r="Q1081" s="367"/>
      <c r="R1081" s="367">
        <v>200</v>
      </c>
      <c r="S1081" s="367"/>
      <c r="T1081" s="367"/>
      <c r="U1081" s="367"/>
      <c r="V1081" s="367"/>
      <c r="W1081" s="367"/>
      <c r="X1081" s="367"/>
      <c r="Y1081" s="367"/>
      <c r="Z1081" s="367"/>
      <c r="AA1081" s="367"/>
      <c r="AB1081" s="367"/>
      <c r="AC1081" s="367"/>
    </row>
    <row r="1082" spans="1:29" ht="15" x14ac:dyDescent="0.25">
      <c r="A1082" s="365" t="s">
        <v>972</v>
      </c>
      <c r="H1082" s="366"/>
      <c r="J1082" s="367"/>
      <c r="K1082" s="367"/>
      <c r="L1082" s="367"/>
      <c r="M1082" s="367"/>
      <c r="N1082" s="367"/>
      <c r="O1082" s="367"/>
      <c r="P1082" s="367"/>
      <c r="Q1082" s="367"/>
      <c r="R1082" s="367">
        <v>220</v>
      </c>
      <c r="S1082" s="367"/>
      <c r="T1082" s="367"/>
      <c r="U1082" s="367"/>
      <c r="V1082" s="367"/>
      <c r="W1082" s="367"/>
      <c r="X1082" s="367"/>
      <c r="Y1082" s="367"/>
      <c r="Z1082" s="367"/>
      <c r="AA1082" s="367"/>
      <c r="AB1082" s="367"/>
      <c r="AC1082" s="367"/>
    </row>
    <row r="1083" spans="1:29" ht="15" x14ac:dyDescent="0.25">
      <c r="A1083" s="365" t="s">
        <v>972</v>
      </c>
      <c r="H1083" s="366"/>
      <c r="J1083" s="367"/>
      <c r="K1083" s="367"/>
      <c r="L1083" s="367"/>
      <c r="M1083" s="367"/>
      <c r="N1083" s="367"/>
      <c r="O1083" s="367"/>
      <c r="P1083" s="367"/>
      <c r="Q1083" s="367"/>
      <c r="R1083" s="367">
        <v>220</v>
      </c>
      <c r="S1083" s="367"/>
      <c r="T1083" s="367"/>
      <c r="U1083" s="367"/>
      <c r="V1083" s="367"/>
      <c r="W1083" s="367"/>
      <c r="X1083" s="367"/>
      <c r="Y1083" s="367"/>
      <c r="Z1083" s="367"/>
      <c r="AA1083" s="367"/>
      <c r="AB1083" s="367"/>
      <c r="AC1083" s="367"/>
    </row>
    <row r="1084" spans="1:29" ht="15" x14ac:dyDescent="0.25">
      <c r="A1084" s="365" t="s">
        <v>973</v>
      </c>
      <c r="H1084" s="366"/>
      <c r="J1084" s="367"/>
      <c r="K1084" s="367"/>
      <c r="L1084" s="367">
        <v>285</v>
      </c>
      <c r="M1084" s="367">
        <v>19</v>
      </c>
      <c r="N1084" s="367">
        <v>14</v>
      </c>
      <c r="O1084" s="367"/>
      <c r="P1084" s="367">
        <v>120</v>
      </c>
      <c r="Q1084" s="367"/>
      <c r="R1084" s="367">
        <v>170</v>
      </c>
      <c r="S1084" s="367"/>
      <c r="T1084" s="367"/>
      <c r="U1084" s="367"/>
      <c r="V1084" s="367"/>
      <c r="W1084" s="367"/>
      <c r="X1084" s="367"/>
      <c r="Y1084" s="367"/>
      <c r="Z1084" s="367"/>
      <c r="AA1084" s="367"/>
      <c r="AB1084" s="367"/>
      <c r="AC1084" s="367"/>
    </row>
    <row r="1085" spans="1:29" ht="15" x14ac:dyDescent="0.25">
      <c r="A1085" s="365" t="s">
        <v>974</v>
      </c>
      <c r="H1085" s="366"/>
      <c r="J1085" s="367"/>
      <c r="K1085" s="367"/>
      <c r="L1085" s="367">
        <v>375</v>
      </c>
      <c r="M1085" s="367">
        <v>23</v>
      </c>
      <c r="N1085" s="367">
        <v>0.6</v>
      </c>
      <c r="O1085" s="367"/>
      <c r="P1085" s="367">
        <v>140</v>
      </c>
      <c r="Q1085" s="367"/>
      <c r="R1085" s="367">
        <v>225</v>
      </c>
      <c r="S1085" s="367"/>
      <c r="T1085" s="367"/>
      <c r="U1085" s="367"/>
      <c r="V1085" s="367"/>
      <c r="W1085" s="367"/>
      <c r="X1085" s="367"/>
      <c r="Y1085" s="367"/>
      <c r="Z1085" s="367"/>
      <c r="AA1085" s="367"/>
      <c r="AB1085" s="367"/>
      <c r="AC1085" s="367"/>
    </row>
    <row r="1086" spans="1:29" ht="15" x14ac:dyDescent="0.25">
      <c r="A1086" s="365" t="s">
        <v>975</v>
      </c>
      <c r="H1086" s="366"/>
      <c r="J1086" s="367"/>
      <c r="K1086" s="367"/>
      <c r="L1086" s="367">
        <v>375</v>
      </c>
      <c r="M1086" s="367">
        <v>22</v>
      </c>
      <c r="N1086" s="367">
        <v>12</v>
      </c>
      <c r="O1086" s="367"/>
      <c r="P1086" s="367">
        <v>140</v>
      </c>
      <c r="Q1086" s="367"/>
      <c r="R1086" s="367">
        <v>215</v>
      </c>
      <c r="S1086" s="367"/>
      <c r="T1086" s="367"/>
      <c r="U1086" s="367"/>
      <c r="V1086" s="367"/>
      <c r="W1086" s="367"/>
      <c r="X1086" s="367"/>
      <c r="Y1086" s="367"/>
      <c r="Z1086" s="367"/>
      <c r="AA1086" s="367"/>
      <c r="AB1086" s="367"/>
      <c r="AC1086" s="367"/>
    </row>
    <row r="1087" spans="1:29" ht="15" x14ac:dyDescent="0.25">
      <c r="A1087" s="365" t="s">
        <v>976</v>
      </c>
      <c r="H1087" s="366"/>
      <c r="J1087" s="367"/>
      <c r="K1087" s="367"/>
      <c r="L1087" s="367">
        <v>360</v>
      </c>
      <c r="M1087" s="367">
        <v>23</v>
      </c>
      <c r="N1087" s="367">
        <v>0.7</v>
      </c>
      <c r="O1087" s="367"/>
      <c r="P1087" s="367">
        <v>140</v>
      </c>
      <c r="Q1087" s="367"/>
      <c r="R1087" s="367">
        <v>225</v>
      </c>
      <c r="S1087" s="367"/>
      <c r="T1087" s="367"/>
      <c r="U1087" s="367"/>
      <c r="V1087" s="367"/>
      <c r="W1087" s="367"/>
      <c r="X1087" s="367"/>
      <c r="Y1087" s="367"/>
      <c r="Z1087" s="367"/>
      <c r="AA1087" s="367"/>
      <c r="AB1087" s="367"/>
      <c r="AC1087" s="367"/>
    </row>
    <row r="1088" spans="1:29" ht="15" x14ac:dyDescent="0.25">
      <c r="A1088" s="365" t="s">
        <v>977</v>
      </c>
      <c r="H1088" s="366"/>
      <c r="J1088" s="367"/>
      <c r="K1088" s="367"/>
      <c r="L1088" s="367">
        <v>360</v>
      </c>
      <c r="M1088" s="367">
        <v>23</v>
      </c>
      <c r="N1088" s="367">
        <v>1.5</v>
      </c>
      <c r="O1088" s="367"/>
      <c r="P1088" s="367">
        <v>140</v>
      </c>
      <c r="Q1088" s="367"/>
      <c r="R1088" s="367">
        <v>225</v>
      </c>
      <c r="S1088" s="367"/>
      <c r="T1088" s="367"/>
      <c r="U1088" s="367"/>
      <c r="V1088" s="367"/>
      <c r="W1088" s="367"/>
      <c r="X1088" s="367"/>
      <c r="Y1088" s="367"/>
      <c r="Z1088" s="367"/>
      <c r="AA1088" s="367"/>
      <c r="AB1088" s="367"/>
      <c r="AC1088" s="367"/>
    </row>
    <row r="1089" spans="1:29" ht="15" x14ac:dyDescent="0.25">
      <c r="A1089" s="365" t="s">
        <v>978</v>
      </c>
      <c r="H1089" s="366"/>
      <c r="J1089" s="367"/>
      <c r="K1089" s="367"/>
      <c r="L1089" s="367">
        <v>375</v>
      </c>
      <c r="M1089" s="367">
        <v>24</v>
      </c>
      <c r="N1089" s="367">
        <v>1.5</v>
      </c>
      <c r="O1089" s="367"/>
      <c r="P1089" s="367">
        <v>140</v>
      </c>
      <c r="Q1089" s="367"/>
      <c r="R1089" s="367">
        <v>225</v>
      </c>
      <c r="S1089" s="367"/>
      <c r="T1089" s="367"/>
      <c r="U1089" s="367"/>
      <c r="V1089" s="367"/>
      <c r="W1089" s="367"/>
      <c r="X1089" s="367"/>
      <c r="Y1089" s="367"/>
      <c r="Z1089" s="367"/>
      <c r="AA1089" s="367"/>
      <c r="AB1089" s="367"/>
      <c r="AC1089" s="367"/>
    </row>
    <row r="1090" spans="1:29" ht="15" x14ac:dyDescent="0.25">
      <c r="A1090" s="365" t="s">
        <v>505</v>
      </c>
      <c r="H1090" s="366">
        <v>27</v>
      </c>
      <c r="J1090" s="367"/>
      <c r="K1090" s="367"/>
      <c r="L1090" s="367">
        <v>326</v>
      </c>
      <c r="M1090" s="367">
        <v>9.6999999999999993</v>
      </c>
      <c r="N1090" s="367">
        <v>13</v>
      </c>
      <c r="O1090" s="367"/>
      <c r="P1090" s="367">
        <v>18</v>
      </c>
      <c r="Q1090" s="367"/>
      <c r="R1090" s="367">
        <v>44</v>
      </c>
      <c r="S1090" s="367">
        <v>0.6</v>
      </c>
      <c r="T1090" s="367">
        <v>199</v>
      </c>
      <c r="U1090" s="367"/>
      <c r="V1090" s="367"/>
      <c r="W1090" s="367"/>
      <c r="X1090" s="367"/>
      <c r="Y1090" s="367"/>
      <c r="Z1090" s="367"/>
      <c r="AA1090" s="367">
        <v>1.9</v>
      </c>
      <c r="AB1090" s="367"/>
      <c r="AC1090" s="367">
        <v>-0.01</v>
      </c>
    </row>
    <row r="1091" spans="1:29" ht="15" x14ac:dyDescent="0.25">
      <c r="A1091" s="365" t="s">
        <v>422</v>
      </c>
      <c r="H1091" s="366">
        <v>25</v>
      </c>
      <c r="J1091" s="367"/>
      <c r="K1091" s="367"/>
      <c r="L1091" s="367">
        <v>220</v>
      </c>
      <c r="M1091" s="367">
        <v>7.3</v>
      </c>
      <c r="N1091" s="367">
        <v>11</v>
      </c>
      <c r="O1091" s="367"/>
      <c r="P1091" s="367">
        <v>20</v>
      </c>
      <c r="Q1091" s="367"/>
      <c r="R1091" s="367">
        <v>50</v>
      </c>
      <c r="S1091" s="367">
        <v>0.5</v>
      </c>
      <c r="T1091" s="367">
        <v>19</v>
      </c>
      <c r="U1091" s="367"/>
      <c r="V1091" s="367"/>
      <c r="W1091" s="367"/>
      <c r="X1091" s="367"/>
      <c r="Y1091" s="367"/>
      <c r="Z1091" s="367"/>
      <c r="AA1091" s="367">
        <v>0.64</v>
      </c>
      <c r="AB1091" s="367"/>
      <c r="AC1091" s="367">
        <v>-0.01</v>
      </c>
    </row>
    <row r="1092" spans="1:29" ht="15" x14ac:dyDescent="0.25">
      <c r="A1092" s="365" t="s">
        <v>400</v>
      </c>
      <c r="H1092" s="366">
        <v>27</v>
      </c>
      <c r="J1092" s="367"/>
      <c r="K1092" s="367"/>
      <c r="L1092" s="367">
        <v>248</v>
      </c>
      <c r="M1092" s="367">
        <v>8.1999999999999993</v>
      </c>
      <c r="N1092" s="367">
        <v>3.4</v>
      </c>
      <c r="O1092" s="367"/>
      <c r="P1092" s="367">
        <v>19</v>
      </c>
      <c r="Q1092" s="367"/>
      <c r="R1092" s="367">
        <v>47</v>
      </c>
      <c r="S1092" s="367">
        <v>0.6</v>
      </c>
      <c r="T1092" s="367">
        <v>18</v>
      </c>
      <c r="U1092" s="367"/>
      <c r="V1092" s="367"/>
      <c r="W1092" s="367"/>
      <c r="X1092" s="367"/>
      <c r="Y1092" s="367"/>
      <c r="Z1092" s="367"/>
      <c r="AA1092" s="367">
        <v>0.44</v>
      </c>
      <c r="AB1092" s="367"/>
      <c r="AC1092" s="367">
        <v>-0.01</v>
      </c>
    </row>
    <row r="1093" spans="1:29" ht="15" x14ac:dyDescent="0.25">
      <c r="A1093" s="365" t="s">
        <v>457</v>
      </c>
      <c r="H1093" s="366">
        <v>28</v>
      </c>
      <c r="J1093" s="367"/>
      <c r="K1093" s="367"/>
      <c r="L1093" s="367">
        <v>650</v>
      </c>
      <c r="M1093" s="367">
        <v>6</v>
      </c>
      <c r="N1093" s="367">
        <v>300</v>
      </c>
      <c r="O1093" s="367"/>
      <c r="P1093" s="367">
        <v>21</v>
      </c>
      <c r="Q1093" s="367"/>
      <c r="R1093" s="367">
        <v>90</v>
      </c>
      <c r="S1093" s="367">
        <v>0.92</v>
      </c>
      <c r="T1093" s="367">
        <v>2300</v>
      </c>
      <c r="U1093" s="367"/>
      <c r="V1093" s="367"/>
      <c r="W1093" s="367"/>
      <c r="X1093" s="367"/>
      <c r="Y1093" s="367"/>
      <c r="Z1093" s="367"/>
      <c r="AA1093" s="367"/>
      <c r="AB1093" s="367"/>
      <c r="AC1093" s="367">
        <v>0.02</v>
      </c>
    </row>
    <row r="1094" spans="1:29" ht="15" x14ac:dyDescent="0.25">
      <c r="A1094" s="365" t="s">
        <v>423</v>
      </c>
      <c r="H1094" s="366">
        <v>29</v>
      </c>
      <c r="J1094" s="367"/>
      <c r="K1094" s="367"/>
      <c r="L1094" s="367">
        <v>720</v>
      </c>
      <c r="M1094" s="367">
        <v>54</v>
      </c>
      <c r="N1094" s="367">
        <v>510</v>
      </c>
      <c r="O1094" s="367"/>
      <c r="P1094" s="367">
        <v>21</v>
      </c>
      <c r="Q1094" s="367"/>
      <c r="R1094" s="367">
        <v>33</v>
      </c>
      <c r="S1094" s="367">
        <v>0.1</v>
      </c>
      <c r="T1094" s="367">
        <v>7940</v>
      </c>
      <c r="U1094" s="367"/>
      <c r="V1094" s="367"/>
      <c r="W1094" s="367"/>
      <c r="X1094" s="367"/>
      <c r="Y1094" s="367"/>
      <c r="Z1094" s="367"/>
      <c r="AA1094" s="367">
        <v>18</v>
      </c>
      <c r="AB1094" s="367"/>
      <c r="AC1094" s="367">
        <v>760</v>
      </c>
    </row>
    <row r="1095" spans="1:29" ht="15" x14ac:dyDescent="0.25">
      <c r="A1095" s="365" t="s">
        <v>424</v>
      </c>
      <c r="H1095" s="366">
        <v>34</v>
      </c>
      <c r="J1095" s="367"/>
      <c r="K1095" s="367"/>
      <c r="L1095" s="367">
        <v>9.4</v>
      </c>
      <c r="M1095" s="367">
        <v>3.8</v>
      </c>
      <c r="N1095" s="367">
        <v>26</v>
      </c>
      <c r="O1095" s="367"/>
      <c r="P1095" s="367">
        <v>130</v>
      </c>
      <c r="Q1095" s="367"/>
      <c r="R1095" s="367">
        <v>1.5</v>
      </c>
      <c r="S1095" s="367">
        <v>-0.1</v>
      </c>
      <c r="T1095" s="367">
        <v>38</v>
      </c>
      <c r="U1095" s="367"/>
      <c r="V1095" s="367"/>
      <c r="W1095" s="367"/>
      <c r="X1095" s="367"/>
      <c r="Y1095" s="367"/>
      <c r="Z1095" s="367"/>
      <c r="AA1095" s="367"/>
      <c r="AB1095" s="367"/>
      <c r="AC1095" s="367">
        <v>-0.02</v>
      </c>
    </row>
    <row r="1096" spans="1:29" ht="15" x14ac:dyDescent="0.25">
      <c r="A1096" s="365" t="s">
        <v>425</v>
      </c>
      <c r="H1096" s="366">
        <v>25</v>
      </c>
      <c r="J1096" s="367"/>
      <c r="K1096" s="367"/>
      <c r="L1096" s="367">
        <v>940</v>
      </c>
      <c r="M1096" s="367">
        <v>24</v>
      </c>
      <c r="N1096" s="367">
        <v>140</v>
      </c>
      <c r="O1096" s="367"/>
      <c r="P1096" s="367">
        <v>12</v>
      </c>
      <c r="Q1096" s="367"/>
      <c r="R1096" s="367">
        <v>1150</v>
      </c>
      <c r="S1096" s="367">
        <v>0.23</v>
      </c>
      <c r="T1096" s="367">
        <v>775</v>
      </c>
      <c r="U1096" s="367"/>
      <c r="V1096" s="367"/>
      <c r="W1096" s="367"/>
      <c r="X1096" s="367"/>
      <c r="Y1096" s="367"/>
      <c r="Z1096" s="367"/>
      <c r="AA1096" s="367"/>
      <c r="AB1096" s="367"/>
      <c r="AC1096" s="367"/>
    </row>
    <row r="1097" spans="1:29" ht="15" x14ac:dyDescent="0.25">
      <c r="A1097" s="365" t="s">
        <v>426</v>
      </c>
      <c r="H1097" s="366">
        <v>234</v>
      </c>
      <c r="J1097" s="367"/>
      <c r="K1097" s="367"/>
      <c r="L1097" s="367">
        <v>54100</v>
      </c>
      <c r="M1097" s="367">
        <v>16500</v>
      </c>
      <c r="N1097" s="367">
        <v>27200</v>
      </c>
      <c r="O1097" s="367"/>
      <c r="P1097" s="367"/>
      <c r="Q1097" s="367"/>
      <c r="R1097" s="367">
        <v>153000</v>
      </c>
      <c r="S1097" s="367"/>
      <c r="T1097" s="367">
        <v>1.2</v>
      </c>
      <c r="U1097" s="367"/>
      <c r="V1097" s="367"/>
      <c r="W1097" s="367"/>
      <c r="X1097" s="367"/>
      <c r="Y1097" s="367"/>
      <c r="Z1097" s="367"/>
      <c r="AA1097" s="367"/>
      <c r="AB1097" s="367"/>
      <c r="AC1097" s="367"/>
    </row>
    <row r="1098" spans="1:29" ht="15" x14ac:dyDescent="0.25">
      <c r="A1098" s="365" t="s">
        <v>427</v>
      </c>
      <c r="H1098" s="366">
        <v>52</v>
      </c>
      <c r="J1098" s="367"/>
      <c r="K1098" s="367"/>
      <c r="L1098" s="367">
        <v>36</v>
      </c>
      <c r="M1098" s="367">
        <v>7.3</v>
      </c>
      <c r="N1098" s="367">
        <v>94</v>
      </c>
      <c r="O1098" s="367"/>
      <c r="P1098" s="367">
        <v>60</v>
      </c>
      <c r="Q1098" s="367"/>
      <c r="R1098" s="367">
        <v>2.4</v>
      </c>
      <c r="S1098" s="367">
        <v>0.4</v>
      </c>
      <c r="T1098" s="367">
        <v>320</v>
      </c>
      <c r="U1098" s="367"/>
      <c r="V1098" s="367"/>
      <c r="W1098" s="367"/>
      <c r="X1098" s="367"/>
      <c r="Y1098" s="367"/>
      <c r="Z1098" s="367"/>
      <c r="AA1098" s="367"/>
      <c r="AB1098" s="367"/>
      <c r="AC1098" s="367">
        <v>3.3</v>
      </c>
    </row>
    <row r="1099" spans="1:29" ht="15" x14ac:dyDescent="0.25">
      <c r="A1099" s="365" t="s">
        <v>504</v>
      </c>
      <c r="H1099" s="366">
        <v>42</v>
      </c>
      <c r="J1099" s="367"/>
      <c r="K1099" s="367"/>
      <c r="L1099" s="367">
        <v>28</v>
      </c>
      <c r="M1099" s="367">
        <v>6.6</v>
      </c>
      <c r="N1099" s="367">
        <v>78</v>
      </c>
      <c r="O1099" s="367"/>
      <c r="P1099" s="367">
        <v>50</v>
      </c>
      <c r="Q1099" s="367"/>
      <c r="R1099" s="367">
        <v>3</v>
      </c>
      <c r="S1099" s="367">
        <v>0.3</v>
      </c>
      <c r="T1099" s="367">
        <v>283</v>
      </c>
      <c r="U1099" s="367"/>
      <c r="V1099" s="367"/>
      <c r="W1099" s="367"/>
      <c r="X1099" s="367"/>
      <c r="Y1099" s="367"/>
      <c r="Z1099" s="367"/>
      <c r="AA1099" s="367"/>
      <c r="AB1099" s="367"/>
      <c r="AC1099" s="367">
        <v>3.7</v>
      </c>
    </row>
    <row r="1100" spans="1:29" ht="15" x14ac:dyDescent="0.25">
      <c r="A1100" s="365" t="s">
        <v>345</v>
      </c>
      <c r="H1100" s="366">
        <v>33</v>
      </c>
      <c r="J1100" s="367"/>
      <c r="K1100" s="367"/>
      <c r="L1100" s="367">
        <v>608</v>
      </c>
      <c r="M1100" s="367">
        <v>11</v>
      </c>
      <c r="N1100" s="367">
        <v>18</v>
      </c>
      <c r="O1100" s="367"/>
      <c r="P1100" s="367">
        <v>88</v>
      </c>
      <c r="Q1100" s="367"/>
      <c r="R1100" s="367">
        <v>266</v>
      </c>
      <c r="S1100" s="367">
        <v>1.6</v>
      </c>
      <c r="T1100" s="367">
        <v>8</v>
      </c>
      <c r="U1100" s="367"/>
      <c r="V1100" s="367"/>
      <c r="W1100" s="367"/>
      <c r="X1100" s="367"/>
      <c r="Y1100" s="367"/>
      <c r="Z1100" s="367"/>
      <c r="AA1100" s="367"/>
      <c r="AB1100" s="367"/>
      <c r="AC1100" s="367"/>
    </row>
    <row r="1101" spans="1:29" ht="15" x14ac:dyDescent="0.25">
      <c r="A1101" s="365" t="s">
        <v>374</v>
      </c>
      <c r="H1101" s="366">
        <v>92</v>
      </c>
      <c r="J1101" s="367"/>
      <c r="K1101" s="367"/>
      <c r="L1101" s="367">
        <v>235</v>
      </c>
      <c r="M1101" s="367">
        <v>6</v>
      </c>
      <c r="N1101" s="367">
        <v>16</v>
      </c>
      <c r="O1101" s="367"/>
      <c r="P1101" s="367">
        <v>100</v>
      </c>
      <c r="Q1101" s="367"/>
      <c r="R1101" s="367">
        <v>160</v>
      </c>
      <c r="S1101" s="367">
        <v>4.5999999999999996</v>
      </c>
      <c r="T1101" s="367">
        <v>290</v>
      </c>
      <c r="U1101" s="367"/>
      <c r="V1101" s="367"/>
      <c r="W1101" s="367"/>
      <c r="X1101" s="367"/>
      <c r="Y1101" s="367"/>
      <c r="Z1101" s="367"/>
      <c r="AA1101" s="367"/>
      <c r="AB1101" s="367"/>
      <c r="AC1101" s="367">
        <v>-0.02</v>
      </c>
    </row>
    <row r="1102" spans="1:29" ht="15" x14ac:dyDescent="0.25">
      <c r="A1102" s="365" t="s">
        <v>374</v>
      </c>
      <c r="H1102" s="366">
        <v>92</v>
      </c>
      <c r="J1102" s="367"/>
      <c r="K1102" s="367"/>
      <c r="L1102" s="367">
        <v>235</v>
      </c>
      <c r="M1102" s="367">
        <v>6</v>
      </c>
      <c r="N1102" s="367">
        <v>16</v>
      </c>
      <c r="O1102" s="367"/>
      <c r="P1102" s="367">
        <v>100</v>
      </c>
      <c r="Q1102" s="367"/>
      <c r="R1102" s="367">
        <v>160</v>
      </c>
      <c r="S1102" s="367">
        <v>4.5999999999999996</v>
      </c>
      <c r="T1102" s="367">
        <v>290</v>
      </c>
      <c r="U1102" s="367"/>
      <c r="V1102" s="367"/>
      <c r="W1102" s="367"/>
      <c r="X1102" s="367"/>
      <c r="Y1102" s="367"/>
      <c r="Z1102" s="367"/>
      <c r="AA1102" s="367"/>
      <c r="AB1102" s="367"/>
      <c r="AC1102" s="367">
        <v>-0.02</v>
      </c>
    </row>
    <row r="1103" spans="1:29" ht="15" x14ac:dyDescent="0.25">
      <c r="A1103" s="365" t="s">
        <v>430</v>
      </c>
      <c r="H1103" s="366">
        <v>94</v>
      </c>
      <c r="J1103" s="367"/>
      <c r="K1103" s="367"/>
      <c r="L1103" s="367">
        <v>450</v>
      </c>
      <c r="M1103" s="367">
        <v>13</v>
      </c>
      <c r="N1103" s="367">
        <v>39</v>
      </c>
      <c r="O1103" s="367"/>
      <c r="P1103" s="367">
        <v>98</v>
      </c>
      <c r="Q1103" s="367"/>
      <c r="R1103" s="367">
        <v>540</v>
      </c>
      <c r="S1103" s="367">
        <v>2.6</v>
      </c>
      <c r="T1103" s="367">
        <v>370</v>
      </c>
      <c r="U1103" s="367"/>
      <c r="V1103" s="367"/>
      <c r="W1103" s="367"/>
      <c r="X1103" s="367"/>
      <c r="Y1103" s="367"/>
      <c r="Z1103" s="367"/>
      <c r="AA1103" s="367"/>
      <c r="AB1103" s="367"/>
      <c r="AC1103" s="367">
        <v>-0.06</v>
      </c>
    </row>
    <row r="1104" spans="1:29" ht="15" x14ac:dyDescent="0.25">
      <c r="A1104" s="365" t="s">
        <v>431</v>
      </c>
      <c r="H1104" s="366">
        <v>45</v>
      </c>
      <c r="J1104" s="367"/>
      <c r="K1104" s="367"/>
      <c r="L1104" s="367">
        <v>110</v>
      </c>
      <c r="M1104" s="367">
        <v>9.5</v>
      </c>
      <c r="N1104" s="367">
        <v>4.2</v>
      </c>
      <c r="O1104" s="367"/>
      <c r="P1104" s="367">
        <v>82</v>
      </c>
      <c r="Q1104" s="367"/>
      <c r="R1104" s="367">
        <v>31</v>
      </c>
      <c r="S1104" s="367">
        <v>2.2000000000000002</v>
      </c>
      <c r="T1104" s="367">
        <v>86</v>
      </c>
      <c r="U1104" s="367"/>
      <c r="V1104" s="367"/>
      <c r="W1104" s="367"/>
      <c r="X1104" s="367"/>
      <c r="Y1104" s="367"/>
      <c r="Z1104" s="367"/>
      <c r="AA1104" s="367"/>
      <c r="AB1104" s="367"/>
      <c r="AC1104" s="367">
        <v>-0.06</v>
      </c>
    </row>
    <row r="1105" spans="1:29" ht="15" x14ac:dyDescent="0.25">
      <c r="A1105" s="365" t="s">
        <v>485</v>
      </c>
      <c r="H1105" s="366"/>
      <c r="J1105" s="367"/>
      <c r="K1105" s="367"/>
      <c r="L1105" s="367">
        <v>395</v>
      </c>
      <c r="M1105" s="367">
        <v>28</v>
      </c>
      <c r="N1105" s="367">
        <v>22</v>
      </c>
      <c r="O1105" s="367"/>
      <c r="P1105" s="367">
        <v>87</v>
      </c>
      <c r="Q1105" s="367"/>
      <c r="R1105" s="367">
        <v>200</v>
      </c>
      <c r="S1105" s="367"/>
      <c r="T1105" s="367"/>
      <c r="U1105" s="367"/>
      <c r="V1105" s="367"/>
      <c r="W1105" s="367"/>
      <c r="X1105" s="367"/>
      <c r="Y1105" s="367"/>
      <c r="Z1105" s="367"/>
      <c r="AA1105" s="367"/>
      <c r="AB1105" s="367"/>
      <c r="AC1105" s="367"/>
    </row>
    <row r="1106" spans="1:29" ht="15" x14ac:dyDescent="0.25">
      <c r="A1106" s="365" t="s">
        <v>486</v>
      </c>
      <c r="H1106" s="366"/>
      <c r="J1106" s="367"/>
      <c r="K1106" s="367"/>
      <c r="L1106" s="367"/>
      <c r="M1106" s="367"/>
      <c r="N1106" s="367"/>
      <c r="O1106" s="367"/>
      <c r="P1106" s="367">
        <v>87</v>
      </c>
      <c r="Q1106" s="367"/>
      <c r="R1106" s="367">
        <v>200</v>
      </c>
      <c r="S1106" s="367"/>
      <c r="T1106" s="367"/>
      <c r="U1106" s="367"/>
      <c r="V1106" s="367"/>
      <c r="W1106" s="367"/>
      <c r="X1106" s="367"/>
      <c r="Y1106" s="367"/>
      <c r="Z1106" s="367"/>
      <c r="AA1106" s="367"/>
      <c r="AB1106" s="367"/>
      <c r="AC1106" s="367"/>
    </row>
    <row r="1107" spans="1:29" ht="15" x14ac:dyDescent="0.25">
      <c r="A1107" s="365" t="s">
        <v>485</v>
      </c>
      <c r="H1107" s="366"/>
      <c r="J1107" s="367"/>
      <c r="K1107" s="367"/>
      <c r="L1107" s="367"/>
      <c r="M1107" s="367"/>
      <c r="N1107" s="367"/>
      <c r="O1107" s="367"/>
      <c r="P1107" s="367">
        <v>89</v>
      </c>
      <c r="Q1107" s="367"/>
      <c r="R1107" s="367">
        <v>200</v>
      </c>
      <c r="S1107" s="367"/>
      <c r="T1107" s="367"/>
      <c r="U1107" s="367"/>
      <c r="V1107" s="367"/>
      <c r="W1107" s="367"/>
      <c r="X1107" s="367"/>
      <c r="Y1107" s="367"/>
      <c r="Z1107" s="367"/>
      <c r="AA1107" s="367"/>
      <c r="AB1107" s="367"/>
      <c r="AC1107" s="367"/>
    </row>
    <row r="1108" spans="1:29" ht="15" x14ac:dyDescent="0.25">
      <c r="A1108" s="365" t="s">
        <v>484</v>
      </c>
      <c r="H1108" s="366"/>
      <c r="J1108" s="367"/>
      <c r="K1108" s="367"/>
      <c r="L1108" s="367">
        <v>385</v>
      </c>
      <c r="M1108" s="367">
        <v>27</v>
      </c>
      <c r="N1108" s="367">
        <v>22</v>
      </c>
      <c r="O1108" s="367"/>
      <c r="P1108" s="367">
        <v>88</v>
      </c>
      <c r="Q1108" s="367"/>
      <c r="R1108" s="367">
        <v>200</v>
      </c>
      <c r="S1108" s="367"/>
      <c r="T1108" s="367"/>
      <c r="U1108" s="367"/>
      <c r="V1108" s="367"/>
      <c r="W1108" s="367"/>
      <c r="X1108" s="367"/>
      <c r="Y1108" s="367"/>
      <c r="Z1108" s="367"/>
      <c r="AA1108" s="367"/>
      <c r="AB1108" s="367"/>
      <c r="AC1108" s="367"/>
    </row>
    <row r="1109" spans="1:29" ht="15" x14ac:dyDescent="0.25">
      <c r="A1109" s="365" t="s">
        <v>484</v>
      </c>
      <c r="H1109" s="366"/>
      <c r="J1109" s="367"/>
      <c r="K1109" s="367"/>
      <c r="L1109" s="367"/>
      <c r="M1109" s="367"/>
      <c r="N1109" s="367"/>
      <c r="O1109" s="367"/>
      <c r="P1109" s="367">
        <v>88</v>
      </c>
      <c r="Q1109" s="367"/>
      <c r="R1109" s="367"/>
      <c r="S1109" s="367"/>
      <c r="T1109" s="367">
        <v>200</v>
      </c>
      <c r="U1109" s="367"/>
      <c r="V1109" s="367"/>
      <c r="W1109" s="367"/>
      <c r="X1109" s="367"/>
      <c r="Y1109" s="367"/>
      <c r="Z1109" s="367"/>
      <c r="AA1109" s="367"/>
      <c r="AB1109" s="367"/>
      <c r="AC1109" s="367"/>
    </row>
    <row r="1110" spans="1:29" ht="15" x14ac:dyDescent="0.25">
      <c r="A1110" s="365" t="s">
        <v>483</v>
      </c>
      <c r="H1110" s="366"/>
      <c r="J1110" s="367"/>
      <c r="K1110" s="367"/>
      <c r="L1110" s="367"/>
      <c r="M1110" s="367"/>
      <c r="N1110" s="367"/>
      <c r="O1110" s="367"/>
      <c r="P1110" s="367">
        <v>89</v>
      </c>
      <c r="Q1110" s="367"/>
      <c r="R1110" s="367">
        <v>200</v>
      </c>
      <c r="S1110" s="367"/>
      <c r="T1110" s="367"/>
      <c r="U1110" s="367"/>
      <c r="V1110" s="367"/>
      <c r="W1110" s="367"/>
      <c r="X1110" s="367"/>
      <c r="Y1110" s="367"/>
      <c r="Z1110" s="367"/>
      <c r="AA1110" s="367"/>
      <c r="AB1110" s="367"/>
      <c r="AC1110" s="367"/>
    </row>
    <row r="1111" spans="1:29" ht="15" x14ac:dyDescent="0.25">
      <c r="A1111" s="365" t="s">
        <v>483</v>
      </c>
      <c r="H1111" s="366"/>
      <c r="J1111" s="367"/>
      <c r="K1111" s="367"/>
      <c r="L1111" s="367">
        <v>385</v>
      </c>
      <c r="M1111" s="367">
        <v>27</v>
      </c>
      <c r="N1111" s="367">
        <v>22</v>
      </c>
      <c r="O1111" s="367"/>
      <c r="P1111" s="367">
        <v>88</v>
      </c>
      <c r="Q1111" s="367"/>
      <c r="R1111" s="367">
        <v>200</v>
      </c>
      <c r="S1111" s="367"/>
      <c r="T1111" s="367"/>
      <c r="U1111" s="367"/>
      <c r="V1111" s="367"/>
      <c r="W1111" s="367"/>
      <c r="X1111" s="367"/>
      <c r="Y1111" s="367"/>
      <c r="Z1111" s="367"/>
      <c r="AA1111" s="367"/>
      <c r="AB1111" s="367"/>
      <c r="AC1111" s="367"/>
    </row>
    <row r="1112" spans="1:29" ht="15" x14ac:dyDescent="0.25">
      <c r="A1112" s="365" t="s">
        <v>433</v>
      </c>
      <c r="H1112" s="366">
        <v>76</v>
      </c>
      <c r="J1112" s="367"/>
      <c r="K1112" s="367"/>
      <c r="L1112" s="367">
        <v>235</v>
      </c>
      <c r="M1112" s="367">
        <v>5.5</v>
      </c>
      <c r="N1112" s="367">
        <v>16</v>
      </c>
      <c r="O1112" s="367"/>
      <c r="P1112" s="367">
        <v>100</v>
      </c>
      <c r="Q1112" s="367"/>
      <c r="R1112" s="367">
        <v>160</v>
      </c>
      <c r="S1112" s="367">
        <v>4.5999999999999996</v>
      </c>
      <c r="T1112" s="367">
        <v>280</v>
      </c>
      <c r="U1112" s="367"/>
      <c r="V1112" s="367"/>
      <c r="W1112" s="367"/>
      <c r="X1112" s="367"/>
      <c r="Y1112" s="367"/>
      <c r="Z1112" s="367"/>
      <c r="AA1112" s="367"/>
      <c r="AB1112" s="367"/>
      <c r="AC1112" s="367">
        <v>-0.02</v>
      </c>
    </row>
    <row r="1113" spans="1:29" ht="15" x14ac:dyDescent="0.25">
      <c r="A1113" s="365" t="s">
        <v>434</v>
      </c>
      <c r="H1113" s="366"/>
      <c r="J1113" s="367"/>
      <c r="K1113" s="367"/>
      <c r="L1113" s="367">
        <v>490</v>
      </c>
      <c r="M1113" s="367">
        <v>14</v>
      </c>
      <c r="N1113" s="367">
        <v>40</v>
      </c>
      <c r="O1113" s="367"/>
      <c r="P1113" s="367">
        <v>100</v>
      </c>
      <c r="Q1113" s="367"/>
      <c r="R1113" s="367">
        <v>550</v>
      </c>
      <c r="S1113" s="367">
        <v>2.6</v>
      </c>
      <c r="T1113" s="367">
        <v>340</v>
      </c>
      <c r="U1113" s="367"/>
      <c r="V1113" s="367"/>
      <c r="W1113" s="367"/>
      <c r="X1113" s="367"/>
      <c r="Y1113" s="367"/>
      <c r="Z1113" s="367"/>
      <c r="AA1113" s="367"/>
      <c r="AB1113" s="367"/>
      <c r="AC1113" s="367"/>
    </row>
    <row r="1114" spans="1:29" ht="15" x14ac:dyDescent="0.25">
      <c r="A1114" s="365" t="s">
        <v>268</v>
      </c>
      <c r="H1114" s="366">
        <v>55</v>
      </c>
      <c r="J1114" s="367"/>
      <c r="K1114" s="367"/>
      <c r="L1114" s="367">
        <v>955</v>
      </c>
      <c r="M1114" s="367">
        <v>31</v>
      </c>
      <c r="N1114" s="367">
        <v>13</v>
      </c>
      <c r="O1114" s="367"/>
      <c r="P1114" s="367">
        <v>133</v>
      </c>
      <c r="Q1114" s="367"/>
      <c r="R1114" s="367">
        <v>56</v>
      </c>
      <c r="S1114" s="367">
        <v>10</v>
      </c>
      <c r="T1114" s="367">
        <v>6</v>
      </c>
      <c r="U1114" s="367"/>
      <c r="V1114" s="367"/>
      <c r="W1114" s="367"/>
      <c r="X1114" s="367"/>
      <c r="Y1114" s="367"/>
      <c r="Z1114" s="367"/>
      <c r="AA1114" s="367"/>
      <c r="AB1114" s="367"/>
      <c r="AC1114" s="367"/>
    </row>
    <row r="1115" spans="1:29" ht="15" x14ac:dyDescent="0.25">
      <c r="A1115" s="365" t="s">
        <v>437</v>
      </c>
      <c r="H1115" s="366">
        <v>24</v>
      </c>
      <c r="J1115" s="367"/>
      <c r="K1115" s="367"/>
      <c r="L1115" s="367">
        <v>1060</v>
      </c>
      <c r="M1115" s="367">
        <v>42</v>
      </c>
      <c r="N1115" s="367">
        <v>19</v>
      </c>
      <c r="O1115" s="367"/>
      <c r="P1115" s="367">
        <v>77</v>
      </c>
      <c r="Q1115" s="367"/>
      <c r="R1115" s="367">
        <v>60</v>
      </c>
      <c r="S1115" s="367">
        <v>10</v>
      </c>
      <c r="T1115" s="367">
        <v>5.3</v>
      </c>
      <c r="U1115" s="367"/>
      <c r="V1115" s="367"/>
      <c r="W1115" s="367"/>
      <c r="X1115" s="367"/>
      <c r="Y1115" s="367"/>
      <c r="Z1115" s="367"/>
      <c r="AA1115" s="367">
        <v>0.9</v>
      </c>
      <c r="AB1115" s="367"/>
      <c r="AC1115" s="367"/>
    </row>
    <row r="1116" spans="1:29" ht="15" x14ac:dyDescent="0.25">
      <c r="A1116" s="365" t="s">
        <v>438</v>
      </c>
      <c r="H1116" s="366">
        <v>20</v>
      </c>
      <c r="J1116" s="367"/>
      <c r="K1116" s="367"/>
      <c r="L1116" s="367">
        <v>95</v>
      </c>
      <c r="M1116" s="367">
        <v>2.7</v>
      </c>
      <c r="N1116" s="367">
        <v>180</v>
      </c>
      <c r="O1116" s="367"/>
      <c r="P1116" s="367">
        <v>33</v>
      </c>
      <c r="Q1116" s="367"/>
      <c r="R1116" s="367">
        <v>115</v>
      </c>
      <c r="S1116" s="367">
        <v>0.41</v>
      </c>
      <c r="T1116" s="367">
        <v>380</v>
      </c>
      <c r="U1116" s="367"/>
      <c r="V1116" s="367"/>
      <c r="W1116" s="367"/>
      <c r="X1116" s="367"/>
      <c r="Y1116" s="367"/>
      <c r="Z1116" s="367"/>
      <c r="AA1116" s="367"/>
      <c r="AB1116" s="367"/>
      <c r="AC1116" s="367"/>
    </row>
    <row r="1117" spans="1:29" ht="15" x14ac:dyDescent="0.25">
      <c r="A1117" s="365" t="s">
        <v>439</v>
      </c>
      <c r="H1117" s="366">
        <v>52</v>
      </c>
      <c r="J1117" s="367"/>
      <c r="K1117" s="367"/>
      <c r="L1117" s="367">
        <v>4.2</v>
      </c>
      <c r="M1117" s="367">
        <v>5.2</v>
      </c>
      <c r="N1117" s="367">
        <v>65</v>
      </c>
      <c r="O1117" s="367"/>
      <c r="P1117" s="367">
        <v>110</v>
      </c>
      <c r="Q1117" s="367"/>
      <c r="R1117" s="367">
        <v>4.2</v>
      </c>
      <c r="S1117" s="367">
        <v>-0.1</v>
      </c>
      <c r="T1117" s="367">
        <v>1850</v>
      </c>
      <c r="U1117" s="367"/>
      <c r="V1117" s="367"/>
      <c r="W1117" s="367"/>
      <c r="X1117" s="367"/>
      <c r="Y1117" s="367"/>
      <c r="Z1117" s="367"/>
      <c r="AA1117" s="367"/>
      <c r="AB1117" s="367"/>
      <c r="AC1117" s="367"/>
    </row>
    <row r="1118" spans="1:29" ht="15" x14ac:dyDescent="0.25">
      <c r="A1118" s="365" t="s">
        <v>440</v>
      </c>
      <c r="H1118" s="366"/>
      <c r="J1118" s="367"/>
      <c r="K1118" s="367"/>
      <c r="L1118" s="367">
        <v>1.1000000000000001</v>
      </c>
      <c r="M1118" s="367">
        <v>-0.1</v>
      </c>
      <c r="N1118" s="367">
        <v>1.3</v>
      </c>
      <c r="O1118" s="367"/>
      <c r="P1118" s="367">
        <v>-1</v>
      </c>
      <c r="Q1118" s="367"/>
      <c r="R1118" s="367">
        <v>84</v>
      </c>
      <c r="S1118" s="367">
        <v>0.15</v>
      </c>
      <c r="T1118" s="367">
        <v>19</v>
      </c>
      <c r="U1118" s="367"/>
      <c r="V1118" s="367"/>
      <c r="W1118" s="367"/>
      <c r="X1118" s="367"/>
      <c r="Y1118" s="367"/>
      <c r="Z1118" s="367"/>
      <c r="AA1118" s="367">
        <v>0.05</v>
      </c>
      <c r="AB1118" s="367"/>
      <c r="AC1118" s="367"/>
    </row>
    <row r="1119" spans="1:29" ht="15" x14ac:dyDescent="0.25">
      <c r="A1119" s="365" t="s">
        <v>441</v>
      </c>
      <c r="H1119" s="366">
        <v>14</v>
      </c>
      <c r="J1119" s="367"/>
      <c r="K1119" s="367"/>
      <c r="L1119" s="367">
        <v>1</v>
      </c>
      <c r="M1119" s="367">
        <v>1.9</v>
      </c>
      <c r="N1119" s="367">
        <v>1.7</v>
      </c>
      <c r="O1119" s="367"/>
      <c r="P1119" s="367">
        <v>33</v>
      </c>
      <c r="Q1119" s="367"/>
      <c r="R1119" s="367">
        <v>3</v>
      </c>
      <c r="S1119" s="367">
        <v>-0.1</v>
      </c>
      <c r="T1119" s="367">
        <v>-1</v>
      </c>
      <c r="U1119" s="367"/>
      <c r="V1119" s="367"/>
      <c r="W1119" s="367"/>
      <c r="X1119" s="367"/>
      <c r="Y1119" s="367"/>
      <c r="Z1119" s="367"/>
      <c r="AA1119" s="367"/>
      <c r="AB1119" s="367"/>
      <c r="AC1119" s="367">
        <v>0.02</v>
      </c>
    </row>
    <row r="1120" spans="1:29" ht="15" x14ac:dyDescent="0.25">
      <c r="A1120" s="365" t="s">
        <v>456</v>
      </c>
      <c r="H1120" s="366"/>
      <c r="J1120" s="367"/>
      <c r="K1120" s="367"/>
      <c r="L1120" s="367">
        <v>0.12</v>
      </c>
      <c r="M1120" s="367">
        <v>-0.1</v>
      </c>
      <c r="N1120" s="367">
        <v>0.16</v>
      </c>
      <c r="O1120" s="367"/>
      <c r="P1120" s="367">
        <v>-1</v>
      </c>
      <c r="Q1120" s="367"/>
      <c r="R1120" s="367">
        <v>17</v>
      </c>
      <c r="S1120" s="367">
        <v>-0.1</v>
      </c>
      <c r="T1120" s="367">
        <v>11</v>
      </c>
      <c r="U1120" s="367"/>
      <c r="V1120" s="367"/>
      <c r="W1120" s="367"/>
      <c r="X1120" s="367"/>
      <c r="Y1120" s="367"/>
      <c r="Z1120" s="367"/>
      <c r="AA1120" s="367">
        <v>-0.1</v>
      </c>
      <c r="AB1120" s="367"/>
      <c r="AC1120" s="367"/>
    </row>
    <row r="1121" spans="1:29" ht="15" x14ac:dyDescent="0.25">
      <c r="A1121" s="365" t="s">
        <v>608</v>
      </c>
      <c r="H1121" s="366">
        <v>99</v>
      </c>
      <c r="J1121" s="367"/>
      <c r="K1121" s="367"/>
      <c r="L1121" s="367">
        <v>5</v>
      </c>
      <c r="M1121" s="367">
        <v>-0.1</v>
      </c>
      <c r="N1121" s="367">
        <v>38</v>
      </c>
      <c r="O1121" s="367"/>
      <c r="P1121" s="367">
        <v>132</v>
      </c>
      <c r="Q1121" s="367"/>
      <c r="R1121" s="367">
        <v>6</v>
      </c>
      <c r="S1121" s="367">
        <v>0.5</v>
      </c>
      <c r="T1121" s="367">
        <v>2210</v>
      </c>
      <c r="U1121" s="367"/>
      <c r="V1121" s="367"/>
      <c r="W1121" s="367"/>
      <c r="X1121" s="367"/>
      <c r="Y1121" s="367"/>
      <c r="Z1121" s="367"/>
      <c r="AA1121" s="367"/>
      <c r="AB1121" s="367"/>
      <c r="AC1121" s="367"/>
    </row>
    <row r="1122" spans="1:29" ht="15" x14ac:dyDescent="0.25">
      <c r="A1122" s="365" t="s">
        <v>607</v>
      </c>
      <c r="H1122" s="366">
        <v>50</v>
      </c>
      <c r="J1122" s="367"/>
      <c r="K1122" s="367"/>
      <c r="L1122" s="367">
        <v>5</v>
      </c>
      <c r="M1122" s="367">
        <v>-0.1</v>
      </c>
      <c r="N1122" s="367">
        <v>41</v>
      </c>
      <c r="O1122" s="367"/>
      <c r="P1122" s="367">
        <v>114</v>
      </c>
      <c r="Q1122" s="367"/>
      <c r="R1122" s="367">
        <v>2</v>
      </c>
      <c r="S1122" s="367">
        <v>0.5</v>
      </c>
      <c r="T1122" s="367">
        <v>89</v>
      </c>
      <c r="U1122" s="367"/>
      <c r="V1122" s="367"/>
      <c r="W1122" s="367"/>
      <c r="X1122" s="367"/>
      <c r="Y1122" s="367"/>
      <c r="Z1122" s="367"/>
      <c r="AA1122" s="367"/>
      <c r="AB1122" s="367"/>
      <c r="AC1122" s="367"/>
    </row>
    <row r="1123" spans="1:29" ht="15" x14ac:dyDescent="0.25">
      <c r="A1123" s="365" t="s">
        <v>384</v>
      </c>
      <c r="H1123" s="366">
        <v>15</v>
      </c>
      <c r="J1123" s="367"/>
      <c r="K1123" s="367"/>
      <c r="L1123" s="367">
        <v>7.5</v>
      </c>
      <c r="M1123" s="367">
        <v>3.7</v>
      </c>
      <c r="N1123" s="367">
        <v>92</v>
      </c>
      <c r="O1123" s="367"/>
      <c r="P1123" s="367">
        <v>31</v>
      </c>
      <c r="Q1123" s="367"/>
      <c r="R1123" s="367">
        <v>3.1</v>
      </c>
      <c r="S1123" s="367">
        <v>0.2</v>
      </c>
      <c r="T1123" s="367">
        <v>12</v>
      </c>
      <c r="U1123" s="367"/>
      <c r="V1123" s="367"/>
      <c r="W1123" s="367"/>
      <c r="X1123" s="367"/>
      <c r="Y1123" s="367"/>
      <c r="Z1123" s="367"/>
      <c r="AA1123" s="367"/>
      <c r="AB1123" s="367"/>
      <c r="AC1123" s="367"/>
    </row>
    <row r="1124" spans="1:29" ht="15" x14ac:dyDescent="0.25">
      <c r="A1124" s="365" t="s">
        <v>383</v>
      </c>
      <c r="H1124" s="366"/>
      <c r="J1124" s="367"/>
      <c r="K1124" s="367"/>
      <c r="L1124" s="367">
        <v>380</v>
      </c>
      <c r="M1124" s="367">
        <v>41</v>
      </c>
      <c r="N1124" s="367">
        <v>76</v>
      </c>
      <c r="O1124" s="367"/>
      <c r="P1124" s="367">
        <v>110</v>
      </c>
      <c r="Q1124" s="367"/>
      <c r="R1124" s="367">
        <v>300</v>
      </c>
      <c r="S1124" s="367"/>
      <c r="T1124" s="367">
        <v>600</v>
      </c>
      <c r="U1124" s="367"/>
      <c r="V1124" s="367"/>
      <c r="W1124" s="367"/>
      <c r="X1124" s="367"/>
      <c r="Y1124" s="367"/>
      <c r="Z1124" s="367"/>
      <c r="AA1124" s="367"/>
      <c r="AB1124" s="367"/>
      <c r="AC1124" s="367"/>
    </row>
    <row r="1125" spans="1:29" ht="15" x14ac:dyDescent="0.25">
      <c r="A1125" s="365" t="s">
        <v>384</v>
      </c>
      <c r="H1125" s="366">
        <v>15</v>
      </c>
      <c r="J1125" s="367"/>
      <c r="K1125" s="367"/>
      <c r="L1125" s="367"/>
      <c r="M1125" s="367"/>
      <c r="N1125" s="367"/>
      <c r="O1125" s="367"/>
      <c r="P1125" s="367"/>
      <c r="Q1125" s="367"/>
      <c r="R1125" s="367"/>
      <c r="S1125" s="367"/>
      <c r="T1125" s="367"/>
      <c r="U1125" s="367"/>
      <c r="V1125" s="367"/>
      <c r="W1125" s="367"/>
      <c r="X1125" s="367"/>
      <c r="Y1125" s="367"/>
      <c r="Z1125" s="367"/>
      <c r="AA1125" s="367"/>
      <c r="AB1125" s="367"/>
      <c r="AC1125" s="367"/>
    </row>
    <row r="1126" spans="1:29" ht="15" x14ac:dyDescent="0.25">
      <c r="A1126" s="365" t="s">
        <v>442</v>
      </c>
      <c r="H1126" s="366">
        <v>35</v>
      </c>
      <c r="J1126" s="367"/>
      <c r="K1126" s="367"/>
      <c r="L1126" s="367">
        <v>50</v>
      </c>
      <c r="M1126" s="367">
        <v>4.2</v>
      </c>
      <c r="N1126" s="367">
        <v>11</v>
      </c>
      <c r="O1126" s="367"/>
      <c r="P1126" s="367">
        <v>127</v>
      </c>
      <c r="Q1126" s="367"/>
      <c r="R1126" s="367">
        <v>40</v>
      </c>
      <c r="S1126" s="367"/>
      <c r="T1126" s="367">
        <v>0.8</v>
      </c>
      <c r="U1126" s="367"/>
      <c r="V1126" s="367"/>
      <c r="W1126" s="367"/>
      <c r="X1126" s="367"/>
      <c r="Y1126" s="367"/>
      <c r="Z1126" s="367"/>
      <c r="AA1126" s="367"/>
      <c r="AB1126" s="367"/>
      <c r="AC1126" s="367"/>
    </row>
    <row r="1127" spans="1:29" ht="15" x14ac:dyDescent="0.25">
      <c r="A1127" s="365" t="s">
        <v>255</v>
      </c>
      <c r="H1127" s="366">
        <v>34.6</v>
      </c>
      <c r="J1127" s="367"/>
      <c r="K1127" s="367"/>
      <c r="L1127" s="367">
        <v>56</v>
      </c>
      <c r="M1127" s="367">
        <v>3.9</v>
      </c>
      <c r="N1127" s="367">
        <v>10.8</v>
      </c>
      <c r="O1127" s="367"/>
      <c r="P1127" s="367">
        <v>171</v>
      </c>
      <c r="Q1127" s="367"/>
      <c r="R1127" s="367">
        <v>45.4</v>
      </c>
      <c r="S1127" s="367"/>
      <c r="T1127" s="367">
        <v>0.4</v>
      </c>
      <c r="U1127" s="367"/>
      <c r="V1127" s="367"/>
      <c r="W1127" s="367"/>
      <c r="X1127" s="367"/>
      <c r="Y1127" s="367"/>
      <c r="Z1127" s="367"/>
      <c r="AA1127" s="367">
        <v>0.3</v>
      </c>
      <c r="AB1127" s="367"/>
      <c r="AC1127" s="367"/>
    </row>
    <row r="1128" spans="1:29" ht="15" x14ac:dyDescent="0.25">
      <c r="A1128" s="365" t="s">
        <v>257</v>
      </c>
      <c r="H1128" s="366">
        <v>19.399999999999999</v>
      </c>
      <c r="J1128" s="367"/>
      <c r="K1128" s="367"/>
      <c r="L1128" s="367">
        <v>2686</v>
      </c>
      <c r="M1128" s="367">
        <v>45</v>
      </c>
      <c r="N1128" s="367">
        <v>52.3</v>
      </c>
      <c r="O1128" s="367"/>
      <c r="P1128" s="367">
        <v>90</v>
      </c>
      <c r="Q1128" s="367"/>
      <c r="R1128" s="367">
        <v>3750</v>
      </c>
      <c r="S1128" s="367">
        <v>0.4</v>
      </c>
      <c r="T1128" s="367">
        <v>12.2</v>
      </c>
      <c r="U1128" s="367"/>
      <c r="V1128" s="367"/>
      <c r="W1128" s="367"/>
      <c r="X1128" s="367"/>
      <c r="Y1128" s="367"/>
      <c r="Z1128" s="367"/>
      <c r="AA1128" s="367">
        <v>13</v>
      </c>
      <c r="AB1128" s="367"/>
      <c r="AC1128" s="367"/>
    </row>
    <row r="1129" spans="1:29" ht="15" x14ac:dyDescent="0.25">
      <c r="A1129" s="365" t="s">
        <v>443</v>
      </c>
      <c r="H1129" s="366">
        <v>21</v>
      </c>
      <c r="J1129" s="367"/>
      <c r="K1129" s="367"/>
      <c r="L1129" s="367">
        <v>2600</v>
      </c>
      <c r="M1129" s="367">
        <v>55</v>
      </c>
      <c r="N1129" s="367">
        <v>50</v>
      </c>
      <c r="O1129" s="367"/>
      <c r="P1129" s="367">
        <v>100</v>
      </c>
      <c r="Q1129" s="367"/>
      <c r="R1129" s="367">
        <v>3800</v>
      </c>
      <c r="S1129" s="367">
        <v>0.2</v>
      </c>
      <c r="T1129" s="367">
        <v>1</v>
      </c>
      <c r="U1129" s="367"/>
      <c r="V1129" s="367"/>
      <c r="W1129" s="367"/>
      <c r="X1129" s="367"/>
      <c r="Y1129" s="367"/>
      <c r="Z1129" s="367"/>
      <c r="AA1129" s="367"/>
      <c r="AB1129" s="367"/>
      <c r="AC1129" s="367">
        <v>0.27</v>
      </c>
    </row>
    <row r="1130" spans="1:29" ht="15" x14ac:dyDescent="0.25">
      <c r="A1130" s="365" t="s">
        <v>443</v>
      </c>
      <c r="H1130" s="366">
        <v>18</v>
      </c>
      <c r="J1130" s="367"/>
      <c r="K1130" s="367"/>
      <c r="L1130" s="367">
        <v>2720</v>
      </c>
      <c r="M1130" s="367">
        <v>53</v>
      </c>
      <c r="N1130" s="367">
        <v>135</v>
      </c>
      <c r="O1130" s="367"/>
      <c r="P1130" s="367">
        <v>56</v>
      </c>
      <c r="Q1130" s="367"/>
      <c r="R1130" s="367">
        <v>3940</v>
      </c>
      <c r="S1130" s="367"/>
      <c r="T1130" s="367">
        <v>4.8</v>
      </c>
      <c r="U1130" s="367"/>
      <c r="V1130" s="367"/>
      <c r="W1130" s="367"/>
      <c r="X1130" s="367"/>
      <c r="Y1130" s="367"/>
      <c r="Z1130" s="367"/>
      <c r="AA1130" s="367"/>
      <c r="AB1130" s="367"/>
      <c r="AC1130" s="367">
        <v>0.1</v>
      </c>
    </row>
    <row r="1131" spans="1:29" ht="15" x14ac:dyDescent="0.25">
      <c r="A1131" s="365" t="s">
        <v>257</v>
      </c>
      <c r="H1131" s="366">
        <v>19.399999999999999</v>
      </c>
      <c r="J1131" s="367"/>
      <c r="K1131" s="367"/>
      <c r="L1131" s="367">
        <v>2686</v>
      </c>
      <c r="M1131" s="367">
        <v>45</v>
      </c>
      <c r="N1131" s="367">
        <v>52.3</v>
      </c>
      <c r="O1131" s="367"/>
      <c r="P1131" s="367">
        <v>90</v>
      </c>
      <c r="Q1131" s="367"/>
      <c r="R1131" s="367">
        <v>3750</v>
      </c>
      <c r="S1131" s="367">
        <v>0.4</v>
      </c>
      <c r="T1131" s="367">
        <v>12.2</v>
      </c>
      <c r="U1131" s="367"/>
      <c r="V1131" s="367"/>
      <c r="W1131" s="367"/>
      <c r="X1131" s="367"/>
      <c r="Y1131" s="367"/>
      <c r="Z1131" s="367"/>
      <c r="AA1131" s="367">
        <v>13</v>
      </c>
      <c r="AB1131" s="367"/>
      <c r="AC1131" s="367"/>
    </row>
    <row r="1132" spans="1:29" ht="15" x14ac:dyDescent="0.25">
      <c r="A1132" s="365" t="s">
        <v>443</v>
      </c>
      <c r="H1132" s="366">
        <v>21</v>
      </c>
      <c r="J1132" s="367"/>
      <c r="K1132" s="367"/>
      <c r="L1132" s="367">
        <v>2600</v>
      </c>
      <c r="M1132" s="367">
        <v>55</v>
      </c>
      <c r="N1132" s="367">
        <v>50</v>
      </c>
      <c r="O1132" s="367"/>
      <c r="P1132" s="367">
        <v>100</v>
      </c>
      <c r="Q1132" s="367"/>
      <c r="R1132" s="367">
        <v>3800</v>
      </c>
      <c r="S1132" s="367">
        <v>0.2</v>
      </c>
      <c r="T1132" s="367">
        <v>1</v>
      </c>
      <c r="U1132" s="367"/>
      <c r="V1132" s="367"/>
      <c r="W1132" s="367"/>
      <c r="X1132" s="367"/>
      <c r="Y1132" s="367"/>
      <c r="Z1132" s="367"/>
      <c r="AA1132" s="367"/>
      <c r="AB1132" s="367"/>
      <c r="AC1132" s="367">
        <v>0.27</v>
      </c>
    </row>
    <row r="1133" spans="1:29" ht="15" x14ac:dyDescent="0.25">
      <c r="A1133" s="365" t="s">
        <v>443</v>
      </c>
      <c r="H1133" s="366">
        <v>18</v>
      </c>
      <c r="J1133" s="367"/>
      <c r="K1133" s="367"/>
      <c r="L1133" s="367">
        <v>2720</v>
      </c>
      <c r="M1133" s="367">
        <v>53</v>
      </c>
      <c r="N1133" s="367">
        <v>135</v>
      </c>
      <c r="O1133" s="367"/>
      <c r="P1133" s="367">
        <v>56</v>
      </c>
      <c r="Q1133" s="367"/>
      <c r="R1133" s="367">
        <v>3940</v>
      </c>
      <c r="S1133" s="367"/>
      <c r="T1133" s="367">
        <v>4.8</v>
      </c>
      <c r="U1133" s="367"/>
      <c r="V1133" s="367"/>
      <c r="W1133" s="367"/>
      <c r="X1133" s="367"/>
      <c r="Y1133" s="367"/>
      <c r="Z1133" s="367"/>
      <c r="AA1133" s="367"/>
      <c r="AB1133" s="367"/>
      <c r="AC1133" s="367">
        <v>0.1</v>
      </c>
    </row>
    <row r="1134" spans="1:29" ht="15" x14ac:dyDescent="0.25">
      <c r="A1134" s="365" t="s">
        <v>444</v>
      </c>
      <c r="H1134" s="366">
        <v>64</v>
      </c>
      <c r="J1134" s="367"/>
      <c r="K1134" s="367"/>
      <c r="L1134" s="367">
        <v>440</v>
      </c>
      <c r="M1134" s="367">
        <v>13</v>
      </c>
      <c r="N1134" s="367">
        <v>31</v>
      </c>
      <c r="O1134" s="367"/>
      <c r="P1134" s="367">
        <v>100</v>
      </c>
      <c r="Q1134" s="367"/>
      <c r="R1134" s="367">
        <v>190</v>
      </c>
      <c r="S1134" s="367">
        <v>4.2</v>
      </c>
      <c r="T1134" s="367">
        <v>160</v>
      </c>
      <c r="U1134" s="367"/>
      <c r="V1134" s="367"/>
      <c r="W1134" s="367"/>
      <c r="X1134" s="367"/>
      <c r="Y1134" s="367"/>
      <c r="Z1134" s="367"/>
      <c r="AA1134" s="367"/>
      <c r="AB1134" s="367"/>
      <c r="AC1134" s="367">
        <v>-0.02</v>
      </c>
    </row>
    <row r="1135" spans="1:29" ht="15" x14ac:dyDescent="0.25">
      <c r="A1135" s="365" t="s">
        <v>444</v>
      </c>
      <c r="H1135" s="366">
        <v>65</v>
      </c>
      <c r="J1135" s="367"/>
      <c r="K1135" s="367"/>
      <c r="L1135" s="367"/>
      <c r="M1135" s="367"/>
      <c r="N1135" s="367">
        <v>33</v>
      </c>
      <c r="O1135" s="367"/>
      <c r="P1135" s="367"/>
      <c r="Q1135" s="367"/>
      <c r="R1135" s="367">
        <v>185</v>
      </c>
      <c r="S1135" s="367"/>
      <c r="T1135" s="367"/>
      <c r="U1135" s="367"/>
      <c r="V1135" s="367"/>
      <c r="W1135" s="367"/>
      <c r="X1135" s="367"/>
      <c r="Y1135" s="367"/>
      <c r="Z1135" s="367"/>
      <c r="AA1135" s="367"/>
      <c r="AB1135" s="367"/>
      <c r="AC1135" s="367"/>
    </row>
    <row r="1136" spans="1:29" ht="15" x14ac:dyDescent="0.25">
      <c r="A1136" s="365" t="s">
        <v>444</v>
      </c>
      <c r="H1136" s="366">
        <v>56</v>
      </c>
      <c r="J1136" s="367"/>
      <c r="K1136" s="367"/>
      <c r="L1136" s="367">
        <v>428</v>
      </c>
      <c r="M1136" s="367">
        <v>11</v>
      </c>
      <c r="N1136" s="367">
        <v>34</v>
      </c>
      <c r="O1136" s="367"/>
      <c r="P1136" s="367">
        <v>96</v>
      </c>
      <c r="Q1136" s="367"/>
      <c r="R1136" s="367">
        <v>183</v>
      </c>
      <c r="S1136" s="367">
        <v>4.2</v>
      </c>
      <c r="T1136" s="367">
        <v>159</v>
      </c>
      <c r="U1136" s="367"/>
      <c r="V1136" s="367"/>
      <c r="W1136" s="367"/>
      <c r="X1136" s="367"/>
      <c r="Y1136" s="367"/>
      <c r="Z1136" s="367"/>
      <c r="AA1136" s="367"/>
      <c r="AB1136" s="367"/>
      <c r="AC1136" s="367"/>
    </row>
    <row r="1137" spans="1:29" ht="15" x14ac:dyDescent="0.25">
      <c r="A1137" s="365" t="s">
        <v>444</v>
      </c>
      <c r="H1137" s="366">
        <v>66</v>
      </c>
      <c r="J1137" s="367"/>
      <c r="K1137" s="367"/>
      <c r="L1137" s="367">
        <v>428</v>
      </c>
      <c r="M1137" s="367">
        <v>11</v>
      </c>
      <c r="N1137" s="367">
        <v>34</v>
      </c>
      <c r="O1137" s="367"/>
      <c r="P1137" s="367">
        <v>96</v>
      </c>
      <c r="Q1137" s="367"/>
      <c r="R1137" s="367">
        <v>183</v>
      </c>
      <c r="S1137" s="367">
        <v>4.2</v>
      </c>
      <c r="T1137" s="367">
        <v>160</v>
      </c>
      <c r="U1137" s="367"/>
      <c r="V1137" s="367"/>
      <c r="W1137" s="367"/>
      <c r="X1137" s="367"/>
      <c r="Y1137" s="367"/>
      <c r="Z1137" s="367"/>
      <c r="AA1137" s="367">
        <v>3.7</v>
      </c>
      <c r="AB1137" s="367"/>
      <c r="AC1137" s="367">
        <v>0.08</v>
      </c>
    </row>
    <row r="1138" spans="1:29" ht="15" x14ac:dyDescent="0.25">
      <c r="A1138" s="365" t="s">
        <v>444</v>
      </c>
      <c r="H1138" s="366">
        <v>64</v>
      </c>
      <c r="J1138" s="367"/>
      <c r="K1138" s="367"/>
      <c r="L1138" s="367">
        <v>440</v>
      </c>
      <c r="M1138" s="367">
        <v>13</v>
      </c>
      <c r="N1138" s="367">
        <v>31</v>
      </c>
      <c r="O1138" s="367"/>
      <c r="P1138" s="367">
        <v>100</v>
      </c>
      <c r="Q1138" s="367"/>
      <c r="R1138" s="367">
        <v>190</v>
      </c>
      <c r="S1138" s="367">
        <v>4.2</v>
      </c>
      <c r="T1138" s="367">
        <v>160</v>
      </c>
      <c r="U1138" s="367"/>
      <c r="V1138" s="367"/>
      <c r="W1138" s="367"/>
      <c r="X1138" s="367"/>
      <c r="Y1138" s="367"/>
      <c r="Z1138" s="367"/>
      <c r="AA1138" s="367"/>
      <c r="AB1138" s="367"/>
      <c r="AC1138" s="367">
        <v>-0.02</v>
      </c>
    </row>
    <row r="1139" spans="1:29" ht="15" x14ac:dyDescent="0.25">
      <c r="A1139" s="365" t="s">
        <v>444</v>
      </c>
      <c r="H1139" s="366">
        <v>65</v>
      </c>
      <c r="J1139" s="367"/>
      <c r="K1139" s="367"/>
      <c r="L1139" s="367"/>
      <c r="M1139" s="367"/>
      <c r="N1139" s="367">
        <v>33</v>
      </c>
      <c r="O1139" s="367"/>
      <c r="P1139" s="367"/>
      <c r="Q1139" s="367"/>
      <c r="R1139" s="367">
        <v>185</v>
      </c>
      <c r="S1139" s="367"/>
      <c r="T1139" s="367"/>
      <c r="U1139" s="367"/>
      <c r="V1139" s="367"/>
      <c r="W1139" s="367"/>
      <c r="X1139" s="367"/>
      <c r="Y1139" s="367"/>
      <c r="Z1139" s="367"/>
      <c r="AA1139" s="367"/>
      <c r="AB1139" s="367"/>
      <c r="AC1139" s="367"/>
    </row>
    <row r="1140" spans="1:29" ht="15" x14ac:dyDescent="0.25">
      <c r="A1140" s="365" t="s">
        <v>444</v>
      </c>
      <c r="H1140" s="366">
        <v>56</v>
      </c>
      <c r="J1140" s="367"/>
      <c r="K1140" s="367"/>
      <c r="L1140" s="367">
        <v>428</v>
      </c>
      <c r="M1140" s="367">
        <v>11</v>
      </c>
      <c r="N1140" s="367">
        <v>34</v>
      </c>
      <c r="O1140" s="367"/>
      <c r="P1140" s="367">
        <v>96</v>
      </c>
      <c r="Q1140" s="367"/>
      <c r="R1140" s="367">
        <v>183</v>
      </c>
      <c r="S1140" s="367">
        <v>4.2</v>
      </c>
      <c r="T1140" s="367">
        <v>159</v>
      </c>
      <c r="U1140" s="367"/>
      <c r="V1140" s="367"/>
      <c r="W1140" s="367"/>
      <c r="X1140" s="367"/>
      <c r="Y1140" s="367"/>
      <c r="Z1140" s="367"/>
      <c r="AA1140" s="367"/>
      <c r="AB1140" s="367"/>
      <c r="AC1140" s="367"/>
    </row>
    <row r="1141" spans="1:29" ht="15" x14ac:dyDescent="0.25">
      <c r="A1141" s="365" t="s">
        <v>444</v>
      </c>
      <c r="H1141" s="366">
        <v>66</v>
      </c>
      <c r="J1141" s="367"/>
      <c r="K1141" s="367"/>
      <c r="L1141" s="367">
        <v>428</v>
      </c>
      <c r="M1141" s="367">
        <v>11</v>
      </c>
      <c r="N1141" s="367">
        <v>34</v>
      </c>
      <c r="O1141" s="367"/>
      <c r="P1141" s="367">
        <v>96</v>
      </c>
      <c r="Q1141" s="367"/>
      <c r="R1141" s="367">
        <v>183</v>
      </c>
      <c r="S1141" s="367">
        <v>4.2</v>
      </c>
      <c r="T1141" s="367">
        <v>160</v>
      </c>
      <c r="U1141" s="367"/>
      <c r="V1141" s="367"/>
      <c r="W1141" s="367"/>
      <c r="X1141" s="367"/>
      <c r="Y1141" s="367"/>
      <c r="Z1141" s="367"/>
      <c r="AA1141" s="367">
        <v>3.7</v>
      </c>
      <c r="AB1141" s="367"/>
      <c r="AC1141" s="367">
        <v>0.08</v>
      </c>
    </row>
    <row r="1142" spans="1:29" ht="15" x14ac:dyDescent="0.25">
      <c r="A1142" s="365" t="s">
        <v>445</v>
      </c>
      <c r="H1142" s="366">
        <v>40</v>
      </c>
      <c r="J1142" s="367"/>
      <c r="K1142" s="367"/>
      <c r="L1142" s="367">
        <v>400</v>
      </c>
      <c r="M1142" s="367">
        <v>6.3</v>
      </c>
      <c r="N1142" s="367">
        <v>26</v>
      </c>
      <c r="O1142" s="367"/>
      <c r="P1142" s="367">
        <v>80</v>
      </c>
      <c r="Q1142" s="367"/>
      <c r="R1142" s="367">
        <v>440</v>
      </c>
      <c r="S1142" s="367">
        <v>1.5</v>
      </c>
      <c r="T1142" s="367">
        <v>270</v>
      </c>
      <c r="U1142" s="367"/>
      <c r="V1142" s="367"/>
      <c r="W1142" s="367"/>
      <c r="X1142" s="367"/>
      <c r="Y1142" s="367"/>
      <c r="Z1142" s="367"/>
      <c r="AA1142" s="367"/>
      <c r="AB1142" s="367"/>
      <c r="AC1142" s="367">
        <v>0.63</v>
      </c>
    </row>
    <row r="1143" spans="1:29" ht="15" x14ac:dyDescent="0.25">
      <c r="A1143" s="365" t="s">
        <v>445</v>
      </c>
      <c r="H1143" s="366">
        <v>44</v>
      </c>
      <c r="J1143" s="367"/>
      <c r="K1143" s="367"/>
      <c r="L1143" s="367">
        <v>420</v>
      </c>
      <c r="M1143" s="367">
        <v>8.5</v>
      </c>
      <c r="N1143" s="367">
        <v>20</v>
      </c>
      <c r="O1143" s="367"/>
      <c r="P1143" s="367">
        <v>92</v>
      </c>
      <c r="Q1143" s="367"/>
      <c r="R1143" s="367">
        <v>450</v>
      </c>
      <c r="S1143" s="367">
        <v>1.9</v>
      </c>
      <c r="T1143" s="367">
        <v>270</v>
      </c>
      <c r="U1143" s="367"/>
      <c r="V1143" s="367"/>
      <c r="W1143" s="367"/>
      <c r="X1143" s="367"/>
      <c r="Y1143" s="367"/>
      <c r="Z1143" s="367"/>
      <c r="AA1143" s="367"/>
      <c r="AB1143" s="367"/>
      <c r="AC1143" s="367">
        <v>-0.06</v>
      </c>
    </row>
    <row r="1144" spans="1:29" ht="15" x14ac:dyDescent="0.25">
      <c r="A1144" s="365" t="s">
        <v>445</v>
      </c>
      <c r="H1144" s="366">
        <v>44</v>
      </c>
      <c r="J1144" s="367"/>
      <c r="K1144" s="367"/>
      <c r="L1144" s="367">
        <v>420</v>
      </c>
      <c r="M1144" s="367">
        <v>8.5</v>
      </c>
      <c r="N1144" s="367">
        <v>20</v>
      </c>
      <c r="O1144" s="367"/>
      <c r="P1144" s="367">
        <v>92</v>
      </c>
      <c r="Q1144" s="367"/>
      <c r="R1144" s="367">
        <v>450</v>
      </c>
      <c r="S1144" s="367">
        <v>1.9</v>
      </c>
      <c r="T1144" s="367">
        <v>270</v>
      </c>
      <c r="U1144" s="367"/>
      <c r="V1144" s="367"/>
      <c r="W1144" s="367"/>
      <c r="X1144" s="367"/>
      <c r="Y1144" s="367"/>
      <c r="Z1144" s="367"/>
      <c r="AA1144" s="367"/>
      <c r="AB1144" s="367"/>
      <c r="AC1144" s="367">
        <v>-0.06</v>
      </c>
    </row>
    <row r="1145" spans="1:29" ht="15" x14ac:dyDescent="0.25">
      <c r="A1145" s="365" t="s">
        <v>446</v>
      </c>
      <c r="H1145" s="366">
        <v>48</v>
      </c>
      <c r="J1145" s="367"/>
      <c r="K1145" s="367"/>
      <c r="L1145" s="367">
        <v>130</v>
      </c>
      <c r="M1145" s="367">
        <v>0.7</v>
      </c>
      <c r="N1145" s="367">
        <v>2.7</v>
      </c>
      <c r="O1145" s="367"/>
      <c r="P1145" s="367">
        <v>53</v>
      </c>
      <c r="Q1145" s="367"/>
      <c r="R1145" s="367">
        <v>31</v>
      </c>
      <c r="S1145" s="367">
        <v>3.8</v>
      </c>
      <c r="T1145" s="367">
        <v>10</v>
      </c>
      <c r="U1145" s="367"/>
      <c r="V1145" s="367"/>
      <c r="W1145" s="367"/>
      <c r="X1145" s="367"/>
      <c r="Y1145" s="367"/>
      <c r="Z1145" s="367"/>
      <c r="AA1145" s="367"/>
      <c r="AB1145" s="367"/>
      <c r="AC1145" s="367">
        <v>-0.02</v>
      </c>
    </row>
    <row r="1146" spans="1:29" ht="15" x14ac:dyDescent="0.25">
      <c r="A1146" s="365" t="s">
        <v>446</v>
      </c>
      <c r="H1146" s="366">
        <v>50</v>
      </c>
      <c r="J1146" s="367"/>
      <c r="K1146" s="367"/>
      <c r="L1146" s="367">
        <v>150</v>
      </c>
      <c r="M1146" s="367">
        <v>1.1000000000000001</v>
      </c>
      <c r="N1146" s="367">
        <v>4</v>
      </c>
      <c r="O1146" s="367"/>
      <c r="P1146" s="367">
        <v>116</v>
      </c>
      <c r="Q1146" s="367"/>
      <c r="R1146" s="367">
        <v>38</v>
      </c>
      <c r="S1146" s="367">
        <v>3</v>
      </c>
      <c r="T1146" s="367">
        <v>2.5</v>
      </c>
      <c r="U1146" s="367"/>
      <c r="V1146" s="367"/>
      <c r="W1146" s="367"/>
      <c r="X1146" s="367"/>
      <c r="Y1146" s="367"/>
      <c r="Z1146" s="367"/>
      <c r="AA1146" s="367"/>
      <c r="AB1146" s="367"/>
      <c r="AC1146" s="367"/>
    </row>
    <row r="1147" spans="1:29" ht="15" x14ac:dyDescent="0.25">
      <c r="A1147" s="365" t="s">
        <v>271</v>
      </c>
      <c r="H1147" s="366">
        <v>48</v>
      </c>
      <c r="J1147" s="367"/>
      <c r="K1147" s="367"/>
      <c r="L1147" s="367">
        <v>130</v>
      </c>
      <c r="M1147" s="367">
        <v>0.7</v>
      </c>
      <c r="N1147" s="367">
        <v>3</v>
      </c>
      <c r="O1147" s="367"/>
      <c r="P1147" s="367">
        <v>53</v>
      </c>
      <c r="Q1147" s="367"/>
      <c r="R1147" s="367">
        <v>31</v>
      </c>
      <c r="S1147" s="367">
        <v>3.7</v>
      </c>
      <c r="T1147" s="367">
        <v>10</v>
      </c>
      <c r="U1147" s="367"/>
      <c r="V1147" s="367"/>
      <c r="W1147" s="367"/>
      <c r="X1147" s="367"/>
      <c r="Y1147" s="367"/>
      <c r="Z1147" s="367"/>
      <c r="AA1147" s="367"/>
      <c r="AB1147" s="367"/>
      <c r="AC1147" s="367"/>
    </row>
    <row r="1148" spans="1:29" ht="15" x14ac:dyDescent="0.25">
      <c r="A1148" s="365" t="s">
        <v>446</v>
      </c>
      <c r="H1148" s="366">
        <v>48</v>
      </c>
      <c r="J1148" s="367"/>
      <c r="K1148" s="367"/>
      <c r="L1148" s="367">
        <v>130</v>
      </c>
      <c r="M1148" s="367">
        <v>0.7</v>
      </c>
      <c r="N1148" s="367">
        <v>2.7</v>
      </c>
      <c r="O1148" s="367"/>
      <c r="P1148" s="367">
        <v>53</v>
      </c>
      <c r="Q1148" s="367"/>
      <c r="R1148" s="367">
        <v>31</v>
      </c>
      <c r="S1148" s="367">
        <v>3.8</v>
      </c>
      <c r="T1148" s="367">
        <v>10</v>
      </c>
      <c r="U1148" s="367"/>
      <c r="V1148" s="367"/>
      <c r="W1148" s="367"/>
      <c r="X1148" s="367"/>
      <c r="Y1148" s="367"/>
      <c r="Z1148" s="367"/>
      <c r="AA1148" s="367"/>
      <c r="AB1148" s="367"/>
      <c r="AC1148" s="367">
        <v>-0.02</v>
      </c>
    </row>
    <row r="1149" spans="1:29" ht="15" x14ac:dyDescent="0.25">
      <c r="A1149" s="365" t="s">
        <v>979</v>
      </c>
      <c r="H1149" s="366">
        <v>41</v>
      </c>
      <c r="J1149" s="367"/>
      <c r="K1149" s="367"/>
      <c r="L1149" s="367"/>
      <c r="M1149" s="367"/>
      <c r="N1149" s="367">
        <v>306</v>
      </c>
      <c r="O1149" s="367"/>
      <c r="P1149" s="367"/>
      <c r="Q1149" s="367"/>
      <c r="R1149" s="367">
        <v>13</v>
      </c>
      <c r="S1149" s="367"/>
      <c r="T1149" s="367">
        <v>279</v>
      </c>
      <c r="U1149" s="367"/>
      <c r="V1149" s="367"/>
      <c r="W1149" s="367"/>
      <c r="X1149" s="367"/>
      <c r="Y1149" s="367"/>
      <c r="Z1149" s="367"/>
      <c r="AA1149" s="367"/>
      <c r="AB1149" s="367"/>
      <c r="AC1149" s="367"/>
    </row>
    <row r="1150" spans="1:29" ht="15" x14ac:dyDescent="0.25">
      <c r="A1150" s="365" t="s">
        <v>446</v>
      </c>
      <c r="H1150" s="366">
        <v>50</v>
      </c>
      <c r="J1150" s="367"/>
      <c r="K1150" s="367"/>
      <c r="L1150" s="367">
        <v>150</v>
      </c>
      <c r="M1150" s="367">
        <v>1.1000000000000001</v>
      </c>
      <c r="N1150" s="367">
        <v>4</v>
      </c>
      <c r="O1150" s="367"/>
      <c r="P1150" s="367">
        <v>116</v>
      </c>
      <c r="Q1150" s="367"/>
      <c r="R1150" s="367">
        <v>38</v>
      </c>
      <c r="S1150" s="367">
        <v>3</v>
      </c>
      <c r="T1150" s="367">
        <v>2.5</v>
      </c>
      <c r="U1150" s="367"/>
      <c r="V1150" s="367"/>
      <c r="W1150" s="367"/>
      <c r="X1150" s="367"/>
      <c r="Y1150" s="367"/>
      <c r="Z1150" s="367"/>
      <c r="AA1150" s="367"/>
      <c r="AB1150" s="367"/>
      <c r="AC1150" s="367"/>
    </row>
    <row r="1151" spans="1:29" ht="15" x14ac:dyDescent="0.25">
      <c r="A1151" s="365" t="s">
        <v>271</v>
      </c>
      <c r="H1151" s="366">
        <v>48</v>
      </c>
      <c r="J1151" s="367"/>
      <c r="K1151" s="367"/>
      <c r="L1151" s="367">
        <v>130</v>
      </c>
      <c r="M1151" s="367">
        <v>0.7</v>
      </c>
      <c r="N1151" s="367">
        <v>3</v>
      </c>
      <c r="O1151" s="367"/>
      <c r="P1151" s="367">
        <v>53</v>
      </c>
      <c r="Q1151" s="367"/>
      <c r="R1151" s="367">
        <v>31</v>
      </c>
      <c r="S1151" s="367">
        <v>3.7</v>
      </c>
      <c r="T1151" s="367">
        <v>10</v>
      </c>
      <c r="U1151" s="367"/>
      <c r="V1151" s="367"/>
      <c r="W1151" s="367"/>
      <c r="X1151" s="367"/>
      <c r="Y1151" s="367"/>
      <c r="Z1151" s="367"/>
      <c r="AA1151" s="367"/>
      <c r="AB1151" s="367"/>
      <c r="AC1151" s="367"/>
    </row>
    <row r="1152" spans="1:29" ht="15" x14ac:dyDescent="0.25">
      <c r="A1152" s="365" t="s">
        <v>398</v>
      </c>
      <c r="H1152" s="366">
        <v>92</v>
      </c>
      <c r="J1152" s="367"/>
      <c r="K1152" s="367"/>
      <c r="L1152" s="367">
        <v>395</v>
      </c>
      <c r="M1152" s="367">
        <v>23</v>
      </c>
      <c r="N1152" s="367">
        <v>2.4</v>
      </c>
      <c r="O1152" s="367"/>
      <c r="P1152" s="367">
        <v>142</v>
      </c>
      <c r="Q1152" s="367"/>
      <c r="R1152" s="367">
        <v>220</v>
      </c>
      <c r="S1152" s="367">
        <v>10</v>
      </c>
      <c r="T1152" s="367">
        <v>94</v>
      </c>
      <c r="U1152" s="367"/>
      <c r="V1152" s="367"/>
      <c r="W1152" s="367"/>
      <c r="X1152" s="367"/>
      <c r="Y1152" s="367"/>
      <c r="Z1152" s="367"/>
      <c r="AA1152" s="367"/>
      <c r="AB1152" s="367"/>
      <c r="AC1152" s="367"/>
    </row>
    <row r="1153" spans="1:29" ht="15" x14ac:dyDescent="0.25">
      <c r="A1153" s="365" t="s">
        <v>447</v>
      </c>
      <c r="H1153" s="366">
        <v>94</v>
      </c>
      <c r="J1153" s="367"/>
      <c r="K1153" s="367"/>
      <c r="L1153" s="367">
        <v>390</v>
      </c>
      <c r="M1153" s="367">
        <v>23</v>
      </c>
      <c r="N1153" s="367">
        <v>1.3</v>
      </c>
      <c r="O1153" s="367"/>
      <c r="P1153" s="367">
        <v>140</v>
      </c>
      <c r="Q1153" s="367"/>
      <c r="R1153" s="367">
        <v>215</v>
      </c>
      <c r="S1153" s="367">
        <v>10</v>
      </c>
      <c r="T1153" s="367">
        <v>92</v>
      </c>
      <c r="U1153" s="367"/>
      <c r="V1153" s="367"/>
      <c r="W1153" s="367"/>
      <c r="X1153" s="367"/>
      <c r="Y1153" s="367"/>
      <c r="Z1153" s="367"/>
      <c r="AA1153" s="367"/>
      <c r="AB1153" s="367"/>
      <c r="AC1153" s="367">
        <v>-0.02</v>
      </c>
    </row>
    <row r="1154" spans="1:29" ht="15" x14ac:dyDescent="0.25">
      <c r="A1154" s="365" t="s">
        <v>980</v>
      </c>
      <c r="H1154" s="366"/>
      <c r="J1154" s="367"/>
      <c r="K1154" s="367"/>
      <c r="L1154" s="367"/>
      <c r="M1154" s="367"/>
      <c r="N1154" s="367"/>
      <c r="O1154" s="367"/>
      <c r="P1154" s="367"/>
      <c r="Q1154" s="367"/>
      <c r="R1154" s="367">
        <v>210</v>
      </c>
      <c r="S1154" s="367"/>
      <c r="T1154" s="367"/>
      <c r="U1154" s="367"/>
      <c r="V1154" s="367"/>
      <c r="W1154" s="367"/>
      <c r="X1154" s="367"/>
      <c r="Y1154" s="367"/>
      <c r="Z1154" s="367"/>
      <c r="AA1154" s="367"/>
      <c r="AB1154" s="367"/>
      <c r="AC1154" s="367"/>
    </row>
    <row r="1155" spans="1:29" ht="15" x14ac:dyDescent="0.25">
      <c r="A1155" s="365" t="s">
        <v>980</v>
      </c>
      <c r="H1155" s="366"/>
      <c r="J1155" s="367"/>
      <c r="K1155" s="367"/>
      <c r="L1155" s="367"/>
      <c r="M1155" s="367"/>
      <c r="N1155" s="367"/>
      <c r="O1155" s="367"/>
      <c r="P1155" s="367"/>
      <c r="Q1155" s="367"/>
      <c r="R1155" s="367">
        <v>210</v>
      </c>
      <c r="S1155" s="367"/>
      <c r="T1155" s="367"/>
      <c r="U1155" s="367"/>
      <c r="V1155" s="367"/>
      <c r="W1155" s="367"/>
      <c r="X1155" s="367"/>
      <c r="Y1155" s="367"/>
      <c r="Z1155" s="367"/>
      <c r="AA1155" s="367"/>
      <c r="AB1155" s="367"/>
      <c r="AC1155" s="367"/>
    </row>
    <row r="1156" spans="1:29" ht="15" x14ac:dyDescent="0.25">
      <c r="A1156" s="365" t="s">
        <v>447</v>
      </c>
      <c r="H1156" s="366">
        <v>82</v>
      </c>
      <c r="J1156" s="367"/>
      <c r="K1156" s="367"/>
      <c r="L1156" s="367">
        <v>375</v>
      </c>
      <c r="M1156" s="367">
        <v>23</v>
      </c>
      <c r="N1156" s="367">
        <v>7</v>
      </c>
      <c r="O1156" s="367"/>
      <c r="P1156" s="367">
        <v>140</v>
      </c>
      <c r="Q1156" s="367"/>
      <c r="R1156" s="367">
        <v>210</v>
      </c>
      <c r="S1156" s="367">
        <v>10</v>
      </c>
      <c r="T1156" s="367">
        <v>98</v>
      </c>
      <c r="U1156" s="367"/>
      <c r="V1156" s="367"/>
      <c r="W1156" s="367"/>
      <c r="X1156" s="367"/>
      <c r="Y1156" s="367"/>
      <c r="Z1156" s="367"/>
      <c r="AA1156" s="367"/>
      <c r="AB1156" s="367"/>
      <c r="AC1156" s="367">
        <v>-0.02</v>
      </c>
    </row>
    <row r="1157" spans="1:29" ht="15" x14ac:dyDescent="0.25">
      <c r="A1157" s="365" t="s">
        <v>448</v>
      </c>
      <c r="H1157" s="366"/>
      <c r="J1157" s="367"/>
      <c r="K1157" s="367"/>
      <c r="L1157" s="367">
        <v>52</v>
      </c>
      <c r="M1157" s="367">
        <v>1.5</v>
      </c>
      <c r="N1157" s="367">
        <v>-0.1</v>
      </c>
      <c r="O1157" s="367"/>
      <c r="P1157" s="367">
        <v>40</v>
      </c>
      <c r="Q1157" s="367"/>
      <c r="R1157" s="367">
        <v>11</v>
      </c>
      <c r="S1157" s="367">
        <v>0.3</v>
      </c>
      <c r="T1157" s="367">
        <v>10</v>
      </c>
      <c r="U1157" s="367"/>
      <c r="V1157" s="367"/>
      <c r="W1157" s="367"/>
      <c r="X1157" s="367"/>
      <c r="Y1157" s="367"/>
      <c r="Z1157" s="367"/>
      <c r="AA1157" s="367"/>
      <c r="AB1157" s="367"/>
      <c r="AC1157" s="367"/>
    </row>
    <row r="1158" spans="1:29" ht="15" x14ac:dyDescent="0.25">
      <c r="A1158" s="365" t="s">
        <v>449</v>
      </c>
      <c r="H1158" s="366">
        <v>80</v>
      </c>
      <c r="J1158" s="367"/>
      <c r="K1158" s="367"/>
      <c r="L1158" s="367">
        <v>878</v>
      </c>
      <c r="M1158" s="367">
        <v>49</v>
      </c>
      <c r="N1158" s="367">
        <v>131</v>
      </c>
      <c r="O1158" s="367"/>
      <c r="P1158" s="367"/>
      <c r="Q1158" s="367"/>
      <c r="R1158" s="367">
        <v>1400</v>
      </c>
      <c r="S1158" s="367"/>
      <c r="T1158" s="367"/>
      <c r="U1158" s="367"/>
      <c r="V1158" s="367"/>
      <c r="W1158" s="367"/>
      <c r="X1158" s="367"/>
      <c r="Y1158" s="367"/>
      <c r="Z1158" s="367"/>
      <c r="AA1158" s="367"/>
      <c r="AB1158" s="367"/>
      <c r="AC1158" s="367"/>
    </row>
    <row r="1159" spans="1:29" ht="15" x14ac:dyDescent="0.25">
      <c r="A1159" s="365" t="s">
        <v>451</v>
      </c>
      <c r="H1159" s="366">
        <v>49</v>
      </c>
      <c r="J1159" s="367"/>
      <c r="K1159" s="367"/>
      <c r="L1159" s="367">
        <v>400</v>
      </c>
      <c r="M1159" s="367">
        <v>43</v>
      </c>
      <c r="N1159" s="367">
        <v>22</v>
      </c>
      <c r="O1159" s="367"/>
      <c r="P1159" s="367">
        <v>240</v>
      </c>
      <c r="Q1159" s="367"/>
      <c r="R1159" s="367">
        <v>170</v>
      </c>
      <c r="S1159" s="367">
        <v>4.8</v>
      </c>
      <c r="T1159" s="367">
        <v>69</v>
      </c>
      <c r="U1159" s="367"/>
      <c r="V1159" s="367"/>
      <c r="W1159" s="367"/>
      <c r="X1159" s="367"/>
      <c r="Y1159" s="367"/>
      <c r="Z1159" s="367"/>
      <c r="AA1159" s="367">
        <v>0.14000000000000001</v>
      </c>
      <c r="AB1159" s="367"/>
      <c r="AC1159" s="367">
        <v>-0.03</v>
      </c>
    </row>
    <row r="1160" spans="1:29" ht="15" x14ac:dyDescent="0.25">
      <c r="A1160" s="365" t="s">
        <v>452</v>
      </c>
      <c r="H1160" s="366">
        <v>58</v>
      </c>
      <c r="J1160" s="367"/>
      <c r="K1160" s="367"/>
      <c r="L1160" s="367">
        <v>310</v>
      </c>
      <c r="M1160" s="367">
        <v>22</v>
      </c>
      <c r="N1160" s="367">
        <v>15</v>
      </c>
      <c r="O1160" s="367"/>
      <c r="P1160" s="367">
        <v>150</v>
      </c>
      <c r="Q1160" s="367"/>
      <c r="R1160" s="367">
        <v>170</v>
      </c>
      <c r="S1160" s="367">
        <v>7.5</v>
      </c>
      <c r="T1160" s="367">
        <v>81</v>
      </c>
      <c r="U1160" s="367"/>
      <c r="V1160" s="367"/>
      <c r="W1160" s="367"/>
      <c r="X1160" s="367"/>
      <c r="Y1160" s="367"/>
      <c r="Z1160" s="367"/>
      <c r="AA1160" s="367">
        <v>0.28000000000000003</v>
      </c>
      <c r="AB1160" s="367"/>
      <c r="AC1160" s="367">
        <v>-0.03</v>
      </c>
    </row>
    <row r="1161" spans="1:29" ht="15" x14ac:dyDescent="0.25">
      <c r="A1161" s="365" t="s">
        <v>458</v>
      </c>
      <c r="H1161" s="366"/>
      <c r="J1161" s="367"/>
      <c r="K1161" s="367"/>
      <c r="L1161" s="367">
        <v>317</v>
      </c>
      <c r="M1161" s="367">
        <v>19</v>
      </c>
      <c r="N1161" s="367">
        <v>18</v>
      </c>
      <c r="O1161" s="367"/>
      <c r="P1161" s="367">
        <v>118</v>
      </c>
      <c r="Q1161" s="367"/>
      <c r="R1161" s="367">
        <v>172</v>
      </c>
      <c r="S1161" s="367"/>
      <c r="T1161" s="367">
        <v>80</v>
      </c>
      <c r="U1161" s="367"/>
      <c r="V1161" s="367"/>
      <c r="W1161" s="367"/>
      <c r="X1161" s="367"/>
      <c r="Y1161" s="367"/>
      <c r="Z1161" s="367"/>
      <c r="AA1161" s="367"/>
      <c r="AB1161" s="367"/>
      <c r="AC1161" s="367"/>
    </row>
    <row r="1162" spans="1:29" ht="15" x14ac:dyDescent="0.25">
      <c r="A1162" s="365" t="s">
        <v>452</v>
      </c>
      <c r="H1162" s="366">
        <v>58</v>
      </c>
      <c r="J1162" s="367"/>
      <c r="K1162" s="367"/>
      <c r="L1162" s="367">
        <v>310</v>
      </c>
      <c r="M1162" s="367">
        <v>22</v>
      </c>
      <c r="N1162" s="367">
        <v>15</v>
      </c>
      <c r="O1162" s="367"/>
      <c r="P1162" s="367">
        <v>150</v>
      </c>
      <c r="Q1162" s="367"/>
      <c r="R1162" s="367">
        <v>170</v>
      </c>
      <c r="S1162" s="367">
        <v>7.5</v>
      </c>
      <c r="T1162" s="367">
        <v>81</v>
      </c>
      <c r="U1162" s="367"/>
      <c r="V1162" s="367"/>
      <c r="W1162" s="367"/>
      <c r="X1162" s="367"/>
      <c r="Y1162" s="367"/>
      <c r="Z1162" s="367"/>
      <c r="AA1162" s="367">
        <v>0.28000000000000003</v>
      </c>
      <c r="AB1162" s="367"/>
      <c r="AC1162" s="367">
        <v>-0.03</v>
      </c>
    </row>
    <row r="1163" spans="1:29" ht="15" x14ac:dyDescent="0.25">
      <c r="A1163" s="365" t="s">
        <v>458</v>
      </c>
      <c r="H1163" s="366"/>
      <c r="J1163" s="367"/>
      <c r="K1163" s="367"/>
      <c r="L1163" s="367">
        <v>317</v>
      </c>
      <c r="M1163" s="367">
        <v>19</v>
      </c>
      <c r="N1163" s="367">
        <v>18</v>
      </c>
      <c r="O1163" s="367"/>
      <c r="P1163" s="367">
        <v>118</v>
      </c>
      <c r="Q1163" s="367"/>
      <c r="R1163" s="367">
        <v>172</v>
      </c>
      <c r="S1163" s="367"/>
      <c r="T1163" s="367">
        <v>80</v>
      </c>
      <c r="U1163" s="367"/>
      <c r="V1163" s="367"/>
      <c r="W1163" s="367"/>
      <c r="X1163" s="367"/>
      <c r="Y1163" s="367"/>
      <c r="Z1163" s="367"/>
      <c r="AA1163" s="367"/>
      <c r="AB1163" s="367"/>
      <c r="AC1163" s="367"/>
    </row>
    <row r="1164" spans="1:29" ht="15" x14ac:dyDescent="0.25">
      <c r="A1164" s="365" t="s">
        <v>454</v>
      </c>
      <c r="H1164" s="366">
        <v>46</v>
      </c>
      <c r="J1164" s="367"/>
      <c r="K1164" s="367"/>
      <c r="L1164" s="367">
        <v>350</v>
      </c>
      <c r="M1164" s="367">
        <v>14</v>
      </c>
      <c r="N1164" s="367">
        <v>68</v>
      </c>
      <c r="O1164" s="367"/>
      <c r="P1164" s="367">
        <v>61</v>
      </c>
      <c r="Q1164" s="367"/>
      <c r="R1164" s="367">
        <v>120</v>
      </c>
      <c r="S1164" s="367">
        <v>3.5</v>
      </c>
      <c r="T1164" s="367">
        <v>550</v>
      </c>
      <c r="U1164" s="367"/>
      <c r="V1164" s="367"/>
      <c r="W1164" s="367"/>
      <c r="X1164" s="367"/>
      <c r="Y1164" s="367"/>
      <c r="Z1164" s="367"/>
      <c r="AA1164" s="367"/>
      <c r="AB1164" s="367"/>
      <c r="AC1164" s="367">
        <v>0.32</v>
      </c>
    </row>
    <row r="1165" spans="1:29" ht="15" x14ac:dyDescent="0.25">
      <c r="A1165" s="365" t="s">
        <v>981</v>
      </c>
      <c r="H1165" s="366"/>
      <c r="J1165" s="367"/>
      <c r="K1165" s="367"/>
      <c r="L1165" s="367"/>
      <c r="M1165" s="367"/>
      <c r="N1165" s="367">
        <v>312</v>
      </c>
      <c r="O1165" s="367"/>
      <c r="P1165" s="367"/>
      <c r="Q1165" s="367"/>
      <c r="R1165" s="367">
        <v>11</v>
      </c>
      <c r="S1165" s="367"/>
      <c r="T1165" s="367">
        <v>272</v>
      </c>
      <c r="U1165" s="367"/>
      <c r="V1165" s="367"/>
      <c r="W1165" s="367"/>
      <c r="X1165" s="367"/>
      <c r="Y1165" s="367"/>
      <c r="Z1165" s="367"/>
      <c r="AA1165" s="367"/>
      <c r="AB1165" s="367"/>
      <c r="AC1165" s="367"/>
    </row>
    <row r="1166" spans="1:29" ht="15" x14ac:dyDescent="0.25">
      <c r="A1166" s="365" t="s">
        <v>524</v>
      </c>
      <c r="H1166" s="366">
        <v>44</v>
      </c>
      <c r="J1166" s="367"/>
      <c r="K1166" s="367"/>
      <c r="L1166" s="367">
        <v>184</v>
      </c>
      <c r="M1166" s="367">
        <v>5.3</v>
      </c>
      <c r="N1166" s="367">
        <v>288</v>
      </c>
      <c r="O1166" s="367"/>
      <c r="P1166" s="367">
        <v>130</v>
      </c>
      <c r="Q1166" s="367"/>
      <c r="R1166" s="367">
        <v>16</v>
      </c>
      <c r="S1166" s="367">
        <v>0.5</v>
      </c>
      <c r="T1166" s="367">
        <v>142</v>
      </c>
      <c r="U1166" s="367"/>
      <c r="V1166" s="367"/>
      <c r="W1166" s="367"/>
      <c r="X1166" s="367"/>
      <c r="Y1166" s="367"/>
      <c r="Z1166" s="367"/>
      <c r="AA1166" s="367"/>
      <c r="AB1166" s="367"/>
      <c r="AC1166" s="367"/>
    </row>
    <row r="1167" spans="1:29" ht="15" x14ac:dyDescent="0.25">
      <c r="A1167" s="365" t="s">
        <v>455</v>
      </c>
      <c r="H1167" s="366">
        <v>43</v>
      </c>
      <c r="J1167" s="367"/>
      <c r="K1167" s="367"/>
      <c r="L1167" s="367">
        <v>625</v>
      </c>
      <c r="M1167" s="367">
        <v>0.9</v>
      </c>
      <c r="N1167" s="367">
        <v>174</v>
      </c>
      <c r="O1167" s="367"/>
      <c r="P1167" s="367">
        <v>0.8</v>
      </c>
      <c r="Q1167" s="367"/>
      <c r="R1167" s="367">
        <v>751</v>
      </c>
      <c r="S1167" s="367"/>
      <c r="T1167" s="367">
        <v>3090</v>
      </c>
      <c r="U1167" s="367"/>
      <c r="V1167" s="367"/>
      <c r="W1167" s="367"/>
      <c r="X1167" s="367"/>
      <c r="Y1167" s="367"/>
      <c r="Z1167" s="367"/>
      <c r="AA1167" s="367"/>
      <c r="AB1167" s="367"/>
      <c r="AC1167" s="367">
        <v>1600</v>
      </c>
    </row>
    <row r="1168" spans="1:29" ht="15" x14ac:dyDescent="0.25">
      <c r="A1168" s="365" t="s">
        <v>982</v>
      </c>
      <c r="H1168" s="366">
        <v>53</v>
      </c>
      <c r="J1168" s="367"/>
      <c r="K1168" s="367"/>
      <c r="L1168" s="367"/>
      <c r="M1168" s="367"/>
      <c r="N1168" s="367">
        <v>10</v>
      </c>
      <c r="O1168" s="367"/>
      <c r="P1168" s="367"/>
      <c r="Q1168" s="367"/>
      <c r="R1168" s="367">
        <v>760</v>
      </c>
      <c r="S1168" s="367"/>
      <c r="T1168" s="367">
        <v>31</v>
      </c>
      <c r="U1168" s="367"/>
      <c r="V1168" s="367"/>
      <c r="W1168" s="367"/>
      <c r="X1168" s="367"/>
      <c r="Y1168" s="367"/>
      <c r="Z1168" s="367"/>
      <c r="AA1168" s="367"/>
      <c r="AB1168" s="367"/>
      <c r="AC1168" s="367"/>
    </row>
    <row r="1169" spans="1:29" ht="15" x14ac:dyDescent="0.25">
      <c r="A1169" s="365" t="s">
        <v>983</v>
      </c>
      <c r="H1169" s="366">
        <v>26</v>
      </c>
      <c r="J1169" s="367"/>
      <c r="K1169" s="367"/>
      <c r="L1169" s="367"/>
      <c r="M1169" s="367"/>
      <c r="N1169" s="367">
        <v>12</v>
      </c>
      <c r="O1169" s="367"/>
      <c r="P1169" s="367"/>
      <c r="Q1169" s="367"/>
      <c r="R1169" s="367">
        <v>866</v>
      </c>
      <c r="S1169" s="367"/>
      <c r="T1169" s="367">
        <v>114</v>
      </c>
      <c r="U1169" s="367"/>
      <c r="V1169" s="367"/>
      <c r="W1169" s="367"/>
      <c r="X1169" s="367"/>
      <c r="Y1169" s="367"/>
      <c r="Z1169" s="367"/>
      <c r="AA1169" s="367"/>
      <c r="AB1169" s="367"/>
      <c r="AC1169" s="367"/>
    </row>
    <row r="1170" spans="1:29" ht="15" x14ac:dyDescent="0.25">
      <c r="A1170" s="365" t="s">
        <v>600</v>
      </c>
      <c r="H1170" s="366">
        <v>63</v>
      </c>
      <c r="J1170" s="367"/>
      <c r="K1170" s="367"/>
      <c r="L1170" s="367">
        <v>1030</v>
      </c>
      <c r="M1170" s="367">
        <v>8.5</v>
      </c>
      <c r="N1170" s="367">
        <v>72</v>
      </c>
      <c r="O1170" s="367"/>
      <c r="P1170" s="367">
        <v>28</v>
      </c>
      <c r="Q1170" s="367"/>
      <c r="R1170" s="367">
        <v>640</v>
      </c>
      <c r="S1170" s="367"/>
      <c r="T1170" s="367">
        <v>1490</v>
      </c>
      <c r="U1170" s="367"/>
      <c r="V1170" s="367"/>
      <c r="W1170" s="367"/>
      <c r="X1170" s="367"/>
      <c r="Y1170" s="367"/>
      <c r="Z1170" s="367"/>
      <c r="AA1170" s="367"/>
      <c r="AB1170" s="367"/>
      <c r="AC1170" s="367"/>
    </row>
    <row r="1171" spans="1:29" ht="15" x14ac:dyDescent="0.25">
      <c r="A1171" s="365" t="s">
        <v>981</v>
      </c>
      <c r="H1171" s="366">
        <v>35</v>
      </c>
      <c r="J1171" s="367"/>
      <c r="K1171" s="367"/>
      <c r="L1171" s="367"/>
      <c r="M1171" s="367"/>
      <c r="N1171" s="367">
        <v>10</v>
      </c>
      <c r="O1171" s="367"/>
      <c r="P1171" s="367"/>
      <c r="Q1171" s="367"/>
      <c r="R1171" s="367">
        <v>814</v>
      </c>
      <c r="S1171" s="367"/>
      <c r="T1171" s="367">
        <v>57</v>
      </c>
      <c r="U1171" s="367"/>
      <c r="V1171" s="367"/>
      <c r="W1171" s="367"/>
      <c r="X1171" s="367"/>
      <c r="Y1171" s="367"/>
      <c r="Z1171" s="367"/>
      <c r="AA1171" s="367"/>
      <c r="AB1171" s="367"/>
      <c r="AC1171" s="367"/>
    </row>
    <row r="1172" spans="1:29" ht="15" x14ac:dyDescent="0.25">
      <c r="A1172" s="365" t="s">
        <v>441</v>
      </c>
      <c r="H1172" s="366">
        <v>14</v>
      </c>
      <c r="J1172" s="367"/>
      <c r="K1172" s="367"/>
      <c r="L1172" s="367">
        <v>1</v>
      </c>
      <c r="M1172" s="367">
        <v>1.9</v>
      </c>
      <c r="N1172" s="367">
        <v>1.7</v>
      </c>
      <c r="O1172" s="367"/>
      <c r="P1172" s="367">
        <v>33</v>
      </c>
      <c r="Q1172" s="367"/>
      <c r="R1172" s="367">
        <v>3</v>
      </c>
      <c r="S1172" s="367">
        <v>-0.1</v>
      </c>
      <c r="T1172" s="367">
        <v>-1</v>
      </c>
      <c r="U1172" s="367"/>
      <c r="V1172" s="367"/>
      <c r="W1172" s="367"/>
      <c r="X1172" s="367"/>
      <c r="Y1172" s="367"/>
      <c r="Z1172" s="367"/>
      <c r="AA1172" s="367"/>
      <c r="AB1172" s="367"/>
      <c r="AC1172" s="367">
        <v>0.02</v>
      </c>
    </row>
    <row r="1173" spans="1:29" ht="15" x14ac:dyDescent="0.25">
      <c r="A1173" s="365" t="s">
        <v>456</v>
      </c>
      <c r="H1173" s="366"/>
      <c r="J1173" s="367"/>
      <c r="K1173" s="367"/>
      <c r="L1173" s="367">
        <v>0.12</v>
      </c>
      <c r="M1173" s="367">
        <v>-0.1</v>
      </c>
      <c r="N1173" s="367">
        <v>0.16</v>
      </c>
      <c r="O1173" s="367"/>
      <c r="P1173" s="367">
        <v>-1</v>
      </c>
      <c r="Q1173" s="367"/>
      <c r="R1173" s="367">
        <v>17</v>
      </c>
      <c r="S1173" s="367">
        <v>-0.1</v>
      </c>
      <c r="T1173" s="367">
        <v>11</v>
      </c>
      <c r="U1173" s="367"/>
      <c r="V1173" s="367"/>
      <c r="W1173" s="367"/>
      <c r="X1173" s="367"/>
      <c r="Y1173" s="367"/>
      <c r="Z1173" s="367"/>
      <c r="AA1173" s="367">
        <v>-0.1</v>
      </c>
      <c r="AB1173" s="367"/>
      <c r="AC1173" s="367"/>
    </row>
    <row r="1174" spans="1:29" ht="15" x14ac:dyDescent="0.25">
      <c r="A1174" s="365" t="s">
        <v>608</v>
      </c>
      <c r="H1174" s="366">
        <v>99</v>
      </c>
      <c r="J1174" s="367"/>
      <c r="K1174" s="367"/>
      <c r="L1174" s="367">
        <v>5</v>
      </c>
      <c r="M1174" s="367">
        <v>-0.1</v>
      </c>
      <c r="N1174" s="367">
        <v>38</v>
      </c>
      <c r="O1174" s="367"/>
      <c r="P1174" s="367">
        <v>132</v>
      </c>
      <c r="Q1174" s="367"/>
      <c r="R1174" s="367">
        <v>6</v>
      </c>
      <c r="S1174" s="367">
        <v>0.5</v>
      </c>
      <c r="T1174" s="367">
        <v>2210</v>
      </c>
      <c r="U1174" s="367"/>
      <c r="V1174" s="367"/>
      <c r="W1174" s="367"/>
      <c r="X1174" s="367"/>
      <c r="Y1174" s="367"/>
      <c r="Z1174" s="367"/>
      <c r="AA1174" s="367"/>
      <c r="AB1174" s="367"/>
      <c r="AC1174" s="367"/>
    </row>
    <row r="1175" spans="1:29" ht="15" x14ac:dyDescent="0.25">
      <c r="A1175" s="365" t="s">
        <v>607</v>
      </c>
      <c r="H1175" s="366">
        <v>50</v>
      </c>
      <c r="J1175" s="367"/>
      <c r="K1175" s="367"/>
      <c r="L1175" s="367">
        <v>5</v>
      </c>
      <c r="M1175" s="367">
        <v>-0.1</v>
      </c>
      <c r="N1175" s="367">
        <v>41</v>
      </c>
      <c r="O1175" s="367"/>
      <c r="P1175" s="367">
        <v>114</v>
      </c>
      <c r="Q1175" s="367"/>
      <c r="R1175" s="367">
        <v>2</v>
      </c>
      <c r="S1175" s="367">
        <v>0.5</v>
      </c>
      <c r="T1175" s="367">
        <v>89</v>
      </c>
      <c r="U1175" s="367"/>
      <c r="V1175" s="367"/>
      <c r="W1175" s="367"/>
      <c r="X1175" s="367"/>
      <c r="Y1175" s="367"/>
      <c r="Z1175" s="367"/>
      <c r="AA1175" s="367"/>
      <c r="AB1175" s="367"/>
      <c r="AC1175" s="367"/>
    </row>
    <row r="1176" spans="1:29" ht="15" x14ac:dyDescent="0.25">
      <c r="A1176" s="365" t="s">
        <v>384</v>
      </c>
      <c r="H1176" s="366">
        <v>15</v>
      </c>
      <c r="J1176" s="367"/>
      <c r="K1176" s="367"/>
      <c r="L1176" s="367">
        <v>7.5</v>
      </c>
      <c r="M1176" s="367">
        <v>3.7</v>
      </c>
      <c r="N1176" s="367">
        <v>92</v>
      </c>
      <c r="O1176" s="367"/>
      <c r="P1176" s="367">
        <v>31</v>
      </c>
      <c r="Q1176" s="367"/>
      <c r="R1176" s="367">
        <v>3.1</v>
      </c>
      <c r="S1176" s="367">
        <v>0.2</v>
      </c>
      <c r="T1176" s="367">
        <v>12</v>
      </c>
      <c r="U1176" s="367"/>
      <c r="V1176" s="367"/>
      <c r="W1176" s="367"/>
      <c r="X1176" s="367"/>
      <c r="Y1176" s="367"/>
      <c r="Z1176" s="367"/>
      <c r="AA1176" s="367"/>
      <c r="AB1176" s="367"/>
      <c r="AC1176" s="367"/>
    </row>
    <row r="1177" spans="1:29" ht="15" x14ac:dyDescent="0.25">
      <c r="A1177" s="365" t="s">
        <v>383</v>
      </c>
      <c r="H1177" s="366"/>
      <c r="J1177" s="367"/>
      <c r="K1177" s="367"/>
      <c r="L1177" s="367">
        <v>380</v>
      </c>
      <c r="M1177" s="367">
        <v>41</v>
      </c>
      <c r="N1177" s="367">
        <v>76</v>
      </c>
      <c r="O1177" s="367"/>
      <c r="P1177" s="367">
        <v>110</v>
      </c>
      <c r="Q1177" s="367"/>
      <c r="R1177" s="367">
        <v>300</v>
      </c>
      <c r="S1177" s="367"/>
      <c r="T1177" s="367">
        <v>600</v>
      </c>
      <c r="U1177" s="367"/>
      <c r="V1177" s="367"/>
      <c r="W1177" s="367"/>
      <c r="X1177" s="367"/>
      <c r="Y1177" s="367"/>
      <c r="Z1177" s="367"/>
      <c r="AA1177" s="367"/>
      <c r="AB1177" s="367"/>
      <c r="AC1177" s="367"/>
    </row>
    <row r="1178" spans="1:29" ht="15" x14ac:dyDescent="0.25">
      <c r="A1178" s="365" t="s">
        <v>384</v>
      </c>
      <c r="H1178" s="366">
        <v>15</v>
      </c>
      <c r="J1178" s="367"/>
      <c r="K1178" s="367"/>
      <c r="L1178" s="367"/>
      <c r="M1178" s="367"/>
      <c r="N1178" s="367"/>
      <c r="O1178" s="367"/>
      <c r="P1178" s="367"/>
      <c r="Q1178" s="367"/>
      <c r="R1178" s="367"/>
      <c r="S1178" s="367"/>
      <c r="T1178" s="367"/>
      <c r="U1178" s="367"/>
      <c r="V1178" s="367"/>
      <c r="W1178" s="367"/>
      <c r="X1178" s="367"/>
      <c r="Y1178" s="367"/>
      <c r="Z1178" s="367"/>
      <c r="AA1178" s="367"/>
      <c r="AB1178" s="367"/>
      <c r="AC1178" s="367"/>
    </row>
    <row r="1179" spans="1:29" ht="15" x14ac:dyDescent="0.25">
      <c r="A1179" s="365" t="s">
        <v>457</v>
      </c>
      <c r="H1179" s="366">
        <v>28</v>
      </c>
      <c r="J1179" s="367"/>
      <c r="K1179" s="367"/>
      <c r="L1179" s="367">
        <v>650</v>
      </c>
      <c r="M1179" s="367">
        <v>6</v>
      </c>
      <c r="N1179" s="367">
        <v>300</v>
      </c>
      <c r="O1179" s="367"/>
      <c r="P1179" s="367">
        <v>21</v>
      </c>
      <c r="Q1179" s="367"/>
      <c r="R1179" s="367">
        <v>90</v>
      </c>
      <c r="S1179" s="367">
        <v>0.92</v>
      </c>
      <c r="T1179" s="367">
        <v>2300</v>
      </c>
      <c r="U1179" s="367"/>
      <c r="V1179" s="367"/>
      <c r="W1179" s="367"/>
      <c r="X1179" s="367"/>
      <c r="Y1179" s="367"/>
      <c r="Z1179" s="367"/>
      <c r="AA1179" s="367"/>
      <c r="AB1179" s="367"/>
      <c r="AC1179" s="367">
        <v>0.02</v>
      </c>
    </row>
    <row r="1180" spans="1:29" ht="15" x14ac:dyDescent="0.25">
      <c r="A1180" s="365" t="s">
        <v>423</v>
      </c>
      <c r="H1180" s="366">
        <v>29</v>
      </c>
      <c r="J1180" s="367"/>
      <c r="K1180" s="367"/>
      <c r="L1180" s="367">
        <v>720</v>
      </c>
      <c r="M1180" s="367">
        <v>54</v>
      </c>
      <c r="N1180" s="367">
        <v>510</v>
      </c>
      <c r="O1180" s="367"/>
      <c r="P1180" s="367">
        <v>21</v>
      </c>
      <c r="Q1180" s="367"/>
      <c r="R1180" s="367">
        <v>33</v>
      </c>
      <c r="S1180" s="367">
        <v>0.1</v>
      </c>
      <c r="T1180" s="367">
        <v>7940</v>
      </c>
      <c r="U1180" s="367"/>
      <c r="V1180" s="367"/>
      <c r="W1180" s="367"/>
      <c r="X1180" s="367"/>
      <c r="Y1180" s="367"/>
      <c r="Z1180" s="367"/>
      <c r="AA1180" s="367">
        <v>18</v>
      </c>
      <c r="AB1180" s="367"/>
      <c r="AC1180" s="367">
        <v>760</v>
      </c>
    </row>
    <row r="1181" spans="1:29" ht="15" x14ac:dyDescent="0.25">
      <c r="A1181" s="365" t="s">
        <v>454</v>
      </c>
      <c r="H1181" s="366">
        <v>65</v>
      </c>
      <c r="J1181" s="367"/>
      <c r="K1181" s="367"/>
      <c r="L1181" s="367">
        <v>480</v>
      </c>
      <c r="M1181" s="367">
        <v>21</v>
      </c>
      <c r="N1181" s="367">
        <v>125</v>
      </c>
      <c r="O1181" s="367"/>
      <c r="P1181" s="367">
        <v>110</v>
      </c>
      <c r="Q1181" s="367"/>
      <c r="R1181" s="367">
        <v>295</v>
      </c>
      <c r="S1181" s="367">
        <v>2.4</v>
      </c>
      <c r="T1181" s="367">
        <v>700</v>
      </c>
      <c r="U1181" s="367"/>
      <c r="V1181" s="367"/>
      <c r="W1181" s="367"/>
      <c r="X1181" s="367"/>
      <c r="Y1181" s="367"/>
      <c r="Z1181" s="367"/>
      <c r="AA1181" s="367"/>
      <c r="AB1181" s="367"/>
      <c r="AC1181" s="367"/>
    </row>
    <row r="1182" spans="1:29" ht="15" x14ac:dyDescent="0.25">
      <c r="A1182" s="365" t="s">
        <v>454</v>
      </c>
      <c r="H1182" s="366">
        <v>84</v>
      </c>
      <c r="J1182" s="367"/>
      <c r="K1182" s="367"/>
      <c r="L1182" s="367">
        <v>510</v>
      </c>
      <c r="M1182" s="367">
        <v>40</v>
      </c>
      <c r="N1182" s="367">
        <v>76</v>
      </c>
      <c r="O1182" s="367"/>
      <c r="P1182" s="367">
        <v>178</v>
      </c>
      <c r="Q1182" s="367"/>
      <c r="R1182" s="367">
        <v>355</v>
      </c>
      <c r="S1182" s="367">
        <v>6.3</v>
      </c>
      <c r="T1182" s="367">
        <v>550</v>
      </c>
      <c r="U1182" s="367"/>
      <c r="V1182" s="367"/>
      <c r="W1182" s="367"/>
      <c r="X1182" s="367"/>
      <c r="Y1182" s="367"/>
      <c r="Z1182" s="367"/>
      <c r="AA1182" s="367"/>
      <c r="AB1182" s="367"/>
      <c r="AC1182" s="367"/>
    </row>
    <row r="1183" spans="1:29" ht="15" x14ac:dyDescent="0.25">
      <c r="A1183" s="365" t="s">
        <v>452</v>
      </c>
      <c r="H1183" s="366">
        <v>58</v>
      </c>
      <c r="J1183" s="367"/>
      <c r="K1183" s="367"/>
      <c r="L1183" s="367">
        <v>310</v>
      </c>
      <c r="M1183" s="367">
        <v>22</v>
      </c>
      <c r="N1183" s="367">
        <v>15</v>
      </c>
      <c r="O1183" s="367"/>
      <c r="P1183" s="367">
        <v>150</v>
      </c>
      <c r="Q1183" s="367"/>
      <c r="R1183" s="367">
        <v>170</v>
      </c>
      <c r="S1183" s="367">
        <v>7.5</v>
      </c>
      <c r="T1183" s="367">
        <v>81</v>
      </c>
      <c r="U1183" s="367"/>
      <c r="V1183" s="367"/>
      <c r="W1183" s="367"/>
      <c r="X1183" s="367"/>
      <c r="Y1183" s="367"/>
      <c r="Z1183" s="367"/>
      <c r="AA1183" s="367">
        <v>0.28000000000000003</v>
      </c>
      <c r="AB1183" s="367"/>
      <c r="AC1183" s="367">
        <v>-0.03</v>
      </c>
    </row>
    <row r="1184" spans="1:29" ht="15" x14ac:dyDescent="0.25">
      <c r="A1184" s="365" t="s">
        <v>458</v>
      </c>
      <c r="H1184" s="366"/>
      <c r="J1184" s="367"/>
      <c r="K1184" s="367"/>
      <c r="L1184" s="367">
        <v>317</v>
      </c>
      <c r="M1184" s="367">
        <v>19</v>
      </c>
      <c r="N1184" s="367">
        <v>18</v>
      </c>
      <c r="O1184" s="367"/>
      <c r="P1184" s="367">
        <v>118</v>
      </c>
      <c r="Q1184" s="367"/>
      <c r="R1184" s="367">
        <v>172</v>
      </c>
      <c r="S1184" s="367"/>
      <c r="T1184" s="367">
        <v>80</v>
      </c>
      <c r="U1184" s="367"/>
      <c r="V1184" s="367"/>
      <c r="W1184" s="367"/>
      <c r="X1184" s="367"/>
      <c r="Y1184" s="367"/>
      <c r="Z1184" s="367"/>
      <c r="AA1184" s="367"/>
      <c r="AB1184" s="367"/>
      <c r="AC1184" s="367"/>
    </row>
    <row r="1185" spans="1:29" ht="15" x14ac:dyDescent="0.25">
      <c r="A1185" s="365" t="s">
        <v>285</v>
      </c>
      <c r="H1185" s="366">
        <v>41</v>
      </c>
      <c r="J1185" s="367"/>
      <c r="K1185" s="367"/>
      <c r="L1185" s="367">
        <v>320</v>
      </c>
      <c r="M1185" s="367">
        <v>28</v>
      </c>
      <c r="N1185" s="367">
        <v>23</v>
      </c>
      <c r="O1185" s="367"/>
      <c r="P1185" s="367">
        <v>205</v>
      </c>
      <c r="Q1185" s="367"/>
      <c r="R1185" s="367">
        <v>150</v>
      </c>
      <c r="S1185" s="367">
        <v>4.5999999999999996</v>
      </c>
      <c r="T1185" s="367">
        <v>59</v>
      </c>
      <c r="U1185" s="367"/>
      <c r="V1185" s="367"/>
      <c r="W1185" s="367"/>
      <c r="X1185" s="367"/>
      <c r="Y1185" s="367"/>
      <c r="Z1185" s="367"/>
      <c r="AA1185" s="367"/>
      <c r="AB1185" s="367"/>
      <c r="AC1185" s="367"/>
    </row>
    <row r="1186" spans="1:29" ht="15" x14ac:dyDescent="0.25">
      <c r="A1186" s="365" t="s">
        <v>459</v>
      </c>
      <c r="H1186" s="366">
        <v>41</v>
      </c>
      <c r="J1186" s="367"/>
      <c r="K1186" s="367"/>
      <c r="L1186" s="367">
        <v>320</v>
      </c>
      <c r="M1186" s="367">
        <v>28</v>
      </c>
      <c r="N1186" s="367">
        <v>23</v>
      </c>
      <c r="O1186" s="367"/>
      <c r="P1186" s="367">
        <v>205</v>
      </c>
      <c r="Q1186" s="367"/>
      <c r="R1186" s="367">
        <v>150</v>
      </c>
      <c r="S1186" s="367">
        <v>4.5999999999999996</v>
      </c>
      <c r="T1186" s="367">
        <v>59</v>
      </c>
      <c r="U1186" s="367"/>
      <c r="V1186" s="367"/>
      <c r="W1186" s="367"/>
      <c r="X1186" s="367"/>
      <c r="Y1186" s="367"/>
      <c r="Z1186" s="367"/>
      <c r="AA1186" s="367"/>
      <c r="AB1186" s="367"/>
      <c r="AC1186" s="367">
        <v>0.45</v>
      </c>
    </row>
    <row r="1187" spans="1:29" ht="15" x14ac:dyDescent="0.25">
      <c r="A1187" s="365" t="s">
        <v>460</v>
      </c>
      <c r="H1187" s="366">
        <v>20</v>
      </c>
      <c r="J1187" s="367"/>
      <c r="K1187" s="367"/>
      <c r="L1187" s="367">
        <v>48</v>
      </c>
      <c r="M1187" s="367">
        <v>3.5</v>
      </c>
      <c r="N1187" s="367">
        <v>115</v>
      </c>
      <c r="O1187" s="367"/>
      <c r="P1187" s="367">
        <v>21</v>
      </c>
      <c r="Q1187" s="367"/>
      <c r="R1187" s="367">
        <v>6.9</v>
      </c>
      <c r="S1187" s="367">
        <v>0.56000000000000005</v>
      </c>
      <c r="T1187" s="367">
        <v>345</v>
      </c>
      <c r="U1187" s="367"/>
      <c r="V1187" s="367"/>
      <c r="W1187" s="367"/>
      <c r="X1187" s="367"/>
      <c r="Y1187" s="367"/>
      <c r="Z1187" s="367"/>
      <c r="AA1187" s="367"/>
      <c r="AB1187" s="367"/>
      <c r="AC1187" s="367"/>
    </row>
    <row r="1188" spans="1:29" ht="15" x14ac:dyDescent="0.25">
      <c r="A1188" s="365" t="s">
        <v>264</v>
      </c>
      <c r="H1188" s="366">
        <v>90</v>
      </c>
      <c r="J1188" s="367"/>
      <c r="K1188" s="367"/>
      <c r="L1188" s="367">
        <v>330</v>
      </c>
      <c r="M1188" s="367">
        <v>14</v>
      </c>
      <c r="N1188" s="367">
        <v>22</v>
      </c>
      <c r="O1188" s="367"/>
      <c r="P1188" s="367">
        <v>98</v>
      </c>
      <c r="Q1188" s="367"/>
      <c r="R1188" s="367">
        <v>290</v>
      </c>
      <c r="S1188" s="367">
        <v>12</v>
      </c>
      <c r="T1188" s="367">
        <v>290</v>
      </c>
      <c r="U1188" s="367"/>
      <c r="V1188" s="367"/>
      <c r="W1188" s="367"/>
      <c r="X1188" s="367"/>
      <c r="Y1188" s="367"/>
      <c r="Z1188" s="367"/>
      <c r="AA1188" s="367"/>
      <c r="AB1188" s="367"/>
      <c r="AC1188" s="367"/>
    </row>
    <row r="1189" spans="1:29" ht="15" x14ac:dyDescent="0.25">
      <c r="A1189" s="365" t="s">
        <v>460</v>
      </c>
      <c r="H1189" s="366">
        <v>64</v>
      </c>
      <c r="J1189" s="367"/>
      <c r="K1189" s="367"/>
      <c r="L1189" s="367">
        <v>340</v>
      </c>
      <c r="M1189" s="367">
        <v>14</v>
      </c>
      <c r="N1189" s="367">
        <v>23</v>
      </c>
      <c r="O1189" s="367"/>
      <c r="P1189" s="367">
        <v>95</v>
      </c>
      <c r="Q1189" s="367"/>
      <c r="R1189" s="367">
        <v>295</v>
      </c>
      <c r="S1189" s="367">
        <v>13</v>
      </c>
      <c r="T1189" s="367">
        <v>305</v>
      </c>
      <c r="U1189" s="367"/>
      <c r="V1189" s="367"/>
      <c r="W1189" s="367"/>
      <c r="X1189" s="367"/>
      <c r="Y1189" s="367"/>
      <c r="Z1189" s="367"/>
      <c r="AA1189" s="367"/>
      <c r="AB1189" s="367"/>
      <c r="AC1189" s="367"/>
    </row>
    <row r="1190" spans="1:29" ht="15" x14ac:dyDescent="0.25">
      <c r="A1190" s="365" t="s">
        <v>460</v>
      </c>
      <c r="H1190" s="366">
        <v>45</v>
      </c>
      <c r="J1190" s="367"/>
      <c r="K1190" s="367"/>
      <c r="L1190" s="367">
        <v>285</v>
      </c>
      <c r="M1190" s="367">
        <v>11</v>
      </c>
      <c r="N1190" s="367">
        <v>34</v>
      </c>
      <c r="O1190" s="367"/>
      <c r="P1190" s="367">
        <v>82</v>
      </c>
      <c r="Q1190" s="367"/>
      <c r="R1190" s="367">
        <v>245</v>
      </c>
      <c r="S1190" s="367">
        <v>12</v>
      </c>
      <c r="T1190" s="367">
        <v>285</v>
      </c>
      <c r="U1190" s="367"/>
      <c r="V1190" s="367"/>
      <c r="W1190" s="367"/>
      <c r="X1190" s="367"/>
      <c r="Y1190" s="367"/>
      <c r="Z1190" s="367"/>
      <c r="AA1190" s="367"/>
      <c r="AB1190" s="367"/>
      <c r="AC1190" s="367"/>
    </row>
    <row r="1191" spans="1:29" ht="15" x14ac:dyDescent="0.25">
      <c r="A1191" s="365" t="s">
        <v>460</v>
      </c>
      <c r="H1191" s="366">
        <v>39</v>
      </c>
      <c r="J1191" s="367"/>
      <c r="K1191" s="367"/>
      <c r="L1191" s="367">
        <v>280</v>
      </c>
      <c r="M1191" s="367">
        <v>11</v>
      </c>
      <c r="N1191" s="367">
        <v>38</v>
      </c>
      <c r="O1191" s="367"/>
      <c r="P1191" s="367">
        <v>78</v>
      </c>
      <c r="Q1191" s="367"/>
      <c r="R1191" s="367">
        <v>240</v>
      </c>
      <c r="S1191" s="367">
        <v>12</v>
      </c>
      <c r="T1191" s="367">
        <v>290</v>
      </c>
      <c r="U1191" s="367"/>
      <c r="V1191" s="367"/>
      <c r="W1191" s="367"/>
      <c r="X1191" s="367"/>
      <c r="Y1191" s="367"/>
      <c r="Z1191" s="367"/>
      <c r="AA1191" s="367"/>
      <c r="AB1191" s="367"/>
      <c r="AC1191" s="367"/>
    </row>
    <row r="1192" spans="1:29" ht="15" x14ac:dyDescent="0.25">
      <c r="A1192" s="365" t="s">
        <v>460</v>
      </c>
      <c r="H1192" s="366">
        <v>34</v>
      </c>
      <c r="J1192" s="367"/>
      <c r="K1192" s="367"/>
      <c r="L1192" s="367">
        <v>280</v>
      </c>
      <c r="M1192" s="367">
        <v>11</v>
      </c>
      <c r="N1192" s="367">
        <v>49</v>
      </c>
      <c r="O1192" s="367"/>
      <c r="P1192" s="367">
        <v>77</v>
      </c>
      <c r="Q1192" s="367"/>
      <c r="R1192" s="367">
        <v>240</v>
      </c>
      <c r="S1192" s="367">
        <v>12</v>
      </c>
      <c r="T1192" s="367">
        <v>320</v>
      </c>
      <c r="U1192" s="367"/>
      <c r="V1192" s="367"/>
      <c r="W1192" s="367"/>
      <c r="X1192" s="367"/>
      <c r="Y1192" s="367"/>
      <c r="Z1192" s="367"/>
      <c r="AA1192" s="367"/>
      <c r="AB1192" s="367"/>
      <c r="AC1192" s="367"/>
    </row>
    <row r="1193" spans="1:29" ht="15" x14ac:dyDescent="0.25">
      <c r="A1193" s="365" t="s">
        <v>542</v>
      </c>
      <c r="H1193" s="366">
        <v>68</v>
      </c>
      <c r="J1193" s="367"/>
      <c r="K1193" s="367"/>
      <c r="L1193" s="367">
        <v>330</v>
      </c>
      <c r="M1193" s="367">
        <v>14</v>
      </c>
      <c r="N1193" s="367">
        <v>26</v>
      </c>
      <c r="O1193" s="367"/>
      <c r="P1193" s="367">
        <v>97</v>
      </c>
      <c r="Q1193" s="367"/>
      <c r="R1193" s="367">
        <v>305</v>
      </c>
      <c r="S1193" s="367">
        <v>12</v>
      </c>
      <c r="T1193" s="367">
        <v>290</v>
      </c>
      <c r="U1193" s="367"/>
      <c r="V1193" s="367"/>
      <c r="W1193" s="367"/>
      <c r="X1193" s="367"/>
      <c r="Y1193" s="367"/>
      <c r="Z1193" s="367"/>
      <c r="AA1193" s="367"/>
      <c r="AB1193" s="367"/>
      <c r="AC1193" s="367">
        <v>-0.02</v>
      </c>
    </row>
    <row r="1194" spans="1:29" ht="15" x14ac:dyDescent="0.25">
      <c r="A1194" s="365" t="s">
        <v>460</v>
      </c>
      <c r="H1194" s="366">
        <v>32</v>
      </c>
      <c r="J1194" s="367"/>
      <c r="K1194" s="367"/>
      <c r="L1194" s="367">
        <v>280</v>
      </c>
      <c r="M1194" s="367">
        <v>11</v>
      </c>
      <c r="N1194" s="367">
        <v>52</v>
      </c>
      <c r="O1194" s="367"/>
      <c r="P1194" s="367">
        <v>76</v>
      </c>
      <c r="Q1194" s="367"/>
      <c r="R1194" s="367">
        <v>240</v>
      </c>
      <c r="S1194" s="367">
        <v>12</v>
      </c>
      <c r="T1194" s="367">
        <v>330</v>
      </c>
      <c r="U1194" s="367"/>
      <c r="V1194" s="367"/>
      <c r="W1194" s="367"/>
      <c r="X1194" s="367"/>
      <c r="Y1194" s="367"/>
      <c r="Z1194" s="367"/>
      <c r="AA1194" s="367"/>
      <c r="AB1194" s="367"/>
      <c r="AC1194" s="367"/>
    </row>
    <row r="1195" spans="1:29" ht="15" x14ac:dyDescent="0.25">
      <c r="A1195" s="365" t="s">
        <v>541</v>
      </c>
      <c r="H1195" s="366">
        <v>89</v>
      </c>
      <c r="J1195" s="367"/>
      <c r="K1195" s="367"/>
      <c r="L1195" s="367">
        <v>330</v>
      </c>
      <c r="M1195" s="367">
        <v>14</v>
      </c>
      <c r="N1195" s="367">
        <v>22</v>
      </c>
      <c r="O1195" s="367"/>
      <c r="P1195" s="367">
        <v>98</v>
      </c>
      <c r="Q1195" s="367"/>
      <c r="R1195" s="367">
        <v>290</v>
      </c>
      <c r="S1195" s="367">
        <v>12</v>
      </c>
      <c r="T1195" s="367">
        <v>290</v>
      </c>
      <c r="U1195" s="367"/>
      <c r="V1195" s="367"/>
      <c r="W1195" s="367"/>
      <c r="X1195" s="367"/>
      <c r="Y1195" s="367"/>
      <c r="Z1195" s="367"/>
      <c r="AA1195" s="367"/>
      <c r="AB1195" s="367"/>
      <c r="AC1195" s="367">
        <v>-0.02</v>
      </c>
    </row>
    <row r="1196" spans="1:29" ht="15" x14ac:dyDescent="0.25">
      <c r="A1196" s="365" t="s">
        <v>971</v>
      </c>
      <c r="H1196" s="366"/>
      <c r="J1196" s="367"/>
      <c r="K1196" s="367"/>
      <c r="L1196" s="367">
        <v>330</v>
      </c>
      <c r="M1196" s="367">
        <v>21</v>
      </c>
      <c r="N1196" s="367">
        <v>1.6</v>
      </c>
      <c r="O1196" s="367"/>
      <c r="P1196" s="367">
        <v>140</v>
      </c>
      <c r="Q1196" s="367"/>
      <c r="R1196" s="367">
        <v>200</v>
      </c>
      <c r="S1196" s="367"/>
      <c r="T1196" s="367"/>
      <c r="U1196" s="367"/>
      <c r="V1196" s="367"/>
      <c r="W1196" s="367"/>
      <c r="X1196" s="367"/>
      <c r="Y1196" s="367"/>
      <c r="Z1196" s="367"/>
      <c r="AA1196" s="367"/>
      <c r="AB1196" s="367"/>
      <c r="AC1196" s="367"/>
    </row>
    <row r="1197" spans="1:29" ht="15" x14ac:dyDescent="0.25">
      <c r="A1197" s="365" t="s">
        <v>972</v>
      </c>
      <c r="H1197" s="366"/>
      <c r="J1197" s="367"/>
      <c r="K1197" s="367"/>
      <c r="L1197" s="367"/>
      <c r="M1197" s="367"/>
      <c r="N1197" s="367"/>
      <c r="O1197" s="367"/>
      <c r="P1197" s="367"/>
      <c r="Q1197" s="367"/>
      <c r="R1197" s="367">
        <v>220</v>
      </c>
      <c r="S1197" s="367"/>
      <c r="T1197" s="367"/>
      <c r="U1197" s="367"/>
      <c r="V1197" s="367"/>
      <c r="W1197" s="367"/>
      <c r="X1197" s="367"/>
      <c r="Y1197" s="367"/>
      <c r="Z1197" s="367"/>
      <c r="AA1197" s="367"/>
      <c r="AB1197" s="367"/>
      <c r="AC1197" s="367"/>
    </row>
    <row r="1198" spans="1:29" ht="15" x14ac:dyDescent="0.25">
      <c r="A1198" s="365" t="s">
        <v>972</v>
      </c>
      <c r="H1198" s="366"/>
      <c r="J1198" s="367"/>
      <c r="K1198" s="367"/>
      <c r="L1198" s="367"/>
      <c r="M1198" s="367"/>
      <c r="N1198" s="367"/>
      <c r="O1198" s="367"/>
      <c r="P1198" s="367"/>
      <c r="Q1198" s="367"/>
      <c r="R1198" s="367">
        <v>220</v>
      </c>
      <c r="S1198" s="367"/>
      <c r="T1198" s="367"/>
      <c r="U1198" s="367"/>
      <c r="V1198" s="367"/>
      <c r="W1198" s="367"/>
      <c r="X1198" s="367"/>
      <c r="Y1198" s="367"/>
      <c r="Z1198" s="367"/>
      <c r="AA1198" s="367"/>
      <c r="AB1198" s="367"/>
      <c r="AC1198" s="367"/>
    </row>
    <row r="1199" spans="1:29" ht="15" x14ac:dyDescent="0.25">
      <c r="A1199" s="365" t="s">
        <v>973</v>
      </c>
      <c r="H1199" s="366"/>
      <c r="J1199" s="367"/>
      <c r="K1199" s="367"/>
      <c r="L1199" s="367">
        <v>285</v>
      </c>
      <c r="M1199" s="367">
        <v>19</v>
      </c>
      <c r="N1199" s="367">
        <v>14</v>
      </c>
      <c r="O1199" s="367"/>
      <c r="P1199" s="367">
        <v>120</v>
      </c>
      <c r="Q1199" s="367"/>
      <c r="R1199" s="367">
        <v>170</v>
      </c>
      <c r="S1199" s="367"/>
      <c r="T1199" s="367"/>
      <c r="U1199" s="367"/>
      <c r="V1199" s="367"/>
      <c r="W1199" s="367"/>
      <c r="X1199" s="367"/>
      <c r="Y1199" s="367"/>
      <c r="Z1199" s="367"/>
      <c r="AA1199" s="367"/>
      <c r="AB1199" s="367"/>
      <c r="AC1199" s="367"/>
    </row>
    <row r="1200" spans="1:29" ht="15" x14ac:dyDescent="0.25">
      <c r="A1200" s="365" t="s">
        <v>974</v>
      </c>
      <c r="H1200" s="366"/>
      <c r="J1200" s="367"/>
      <c r="K1200" s="367"/>
      <c r="L1200" s="367">
        <v>375</v>
      </c>
      <c r="M1200" s="367">
        <v>23</v>
      </c>
      <c r="N1200" s="367">
        <v>0.6</v>
      </c>
      <c r="O1200" s="367"/>
      <c r="P1200" s="367">
        <v>140</v>
      </c>
      <c r="Q1200" s="367"/>
      <c r="R1200" s="367">
        <v>225</v>
      </c>
      <c r="S1200" s="367"/>
      <c r="T1200" s="367"/>
      <c r="U1200" s="367"/>
      <c r="V1200" s="367"/>
      <c r="W1200" s="367"/>
      <c r="X1200" s="367"/>
      <c r="Y1200" s="367"/>
      <c r="Z1200" s="367"/>
      <c r="AA1200" s="367"/>
      <c r="AB1200" s="367"/>
      <c r="AC1200" s="367"/>
    </row>
    <row r="1201" spans="1:29" ht="15" x14ac:dyDescent="0.25">
      <c r="A1201" s="365" t="s">
        <v>975</v>
      </c>
      <c r="H1201" s="366"/>
      <c r="J1201" s="367"/>
      <c r="K1201" s="367"/>
      <c r="L1201" s="367">
        <v>375</v>
      </c>
      <c r="M1201" s="367">
        <v>22</v>
      </c>
      <c r="N1201" s="367">
        <v>12</v>
      </c>
      <c r="O1201" s="367"/>
      <c r="P1201" s="367">
        <v>140</v>
      </c>
      <c r="Q1201" s="367"/>
      <c r="R1201" s="367">
        <v>215</v>
      </c>
      <c r="S1201" s="367"/>
      <c r="T1201" s="367"/>
      <c r="U1201" s="367"/>
      <c r="V1201" s="367"/>
      <c r="W1201" s="367"/>
      <c r="X1201" s="367"/>
      <c r="Y1201" s="367"/>
      <c r="Z1201" s="367"/>
      <c r="AA1201" s="367"/>
      <c r="AB1201" s="367"/>
      <c r="AC1201" s="367"/>
    </row>
    <row r="1202" spans="1:29" ht="15" x14ac:dyDescent="0.25">
      <c r="A1202" s="365" t="s">
        <v>976</v>
      </c>
      <c r="H1202" s="366"/>
      <c r="J1202" s="367"/>
      <c r="K1202" s="367"/>
      <c r="L1202" s="367">
        <v>360</v>
      </c>
      <c r="M1202" s="367">
        <v>23</v>
      </c>
      <c r="N1202" s="367">
        <v>0.7</v>
      </c>
      <c r="O1202" s="367"/>
      <c r="P1202" s="367">
        <v>140</v>
      </c>
      <c r="Q1202" s="367"/>
      <c r="R1202" s="367">
        <v>225</v>
      </c>
      <c r="S1202" s="367"/>
      <c r="T1202" s="367"/>
      <c r="U1202" s="367"/>
      <c r="V1202" s="367"/>
      <c r="W1202" s="367"/>
      <c r="X1202" s="367"/>
      <c r="Y1202" s="367"/>
      <c r="Z1202" s="367"/>
      <c r="AA1202" s="367"/>
      <c r="AB1202" s="367"/>
      <c r="AC1202" s="367"/>
    </row>
    <row r="1203" spans="1:29" ht="15" x14ac:dyDescent="0.25">
      <c r="A1203" s="365" t="s">
        <v>977</v>
      </c>
      <c r="H1203" s="366"/>
      <c r="J1203" s="367"/>
      <c r="K1203" s="367"/>
      <c r="L1203" s="367">
        <v>360</v>
      </c>
      <c r="M1203" s="367">
        <v>23</v>
      </c>
      <c r="N1203" s="367">
        <v>1.5</v>
      </c>
      <c r="O1203" s="367"/>
      <c r="P1203" s="367">
        <v>140</v>
      </c>
      <c r="Q1203" s="367"/>
      <c r="R1203" s="367">
        <v>225</v>
      </c>
      <c r="S1203" s="367"/>
      <c r="T1203" s="367"/>
      <c r="U1203" s="367"/>
      <c r="V1203" s="367"/>
      <c r="W1203" s="367"/>
      <c r="X1203" s="367"/>
      <c r="Y1203" s="367"/>
      <c r="Z1203" s="367"/>
      <c r="AA1203" s="367"/>
      <c r="AB1203" s="367"/>
      <c r="AC1203" s="367"/>
    </row>
    <row r="1204" spans="1:29" ht="15" x14ac:dyDescent="0.25">
      <c r="A1204" s="365" t="s">
        <v>978</v>
      </c>
      <c r="H1204" s="366"/>
      <c r="J1204" s="367"/>
      <c r="K1204" s="367"/>
      <c r="L1204" s="367">
        <v>375</v>
      </c>
      <c r="M1204" s="367">
        <v>24</v>
      </c>
      <c r="N1204" s="367">
        <v>1.5</v>
      </c>
      <c r="O1204" s="367"/>
      <c r="P1204" s="367">
        <v>140</v>
      </c>
      <c r="Q1204" s="367"/>
      <c r="R1204" s="367">
        <v>225</v>
      </c>
      <c r="S1204" s="367"/>
      <c r="T1204" s="367"/>
      <c r="U1204" s="367"/>
      <c r="V1204" s="367"/>
      <c r="W1204" s="367"/>
      <c r="X1204" s="367"/>
      <c r="Y1204" s="367"/>
      <c r="Z1204" s="367"/>
      <c r="AA1204" s="367"/>
      <c r="AB1204" s="367"/>
      <c r="AC1204" s="367"/>
    </row>
    <row r="1205" spans="1:29" ht="15" x14ac:dyDescent="0.25">
      <c r="A1205" s="365" t="s">
        <v>971</v>
      </c>
      <c r="H1205" s="366"/>
      <c r="J1205" s="367"/>
      <c r="K1205" s="367"/>
      <c r="L1205" s="367">
        <v>330</v>
      </c>
      <c r="M1205" s="367">
        <v>21</v>
      </c>
      <c r="N1205" s="367">
        <v>1.6</v>
      </c>
      <c r="O1205" s="367"/>
      <c r="P1205" s="367">
        <v>140</v>
      </c>
      <c r="Q1205" s="367"/>
      <c r="R1205" s="367">
        <v>200</v>
      </c>
      <c r="S1205" s="367"/>
      <c r="T1205" s="367"/>
      <c r="U1205" s="367"/>
      <c r="V1205" s="367"/>
      <c r="W1205" s="367"/>
      <c r="X1205" s="367"/>
      <c r="Y1205" s="367"/>
      <c r="Z1205" s="367"/>
      <c r="AA1205" s="367"/>
      <c r="AB1205" s="367"/>
      <c r="AC1205" s="367"/>
    </row>
    <row r="1206" spans="1:29" ht="15" x14ac:dyDescent="0.25">
      <c r="A1206" s="365" t="s">
        <v>972</v>
      </c>
      <c r="H1206" s="366"/>
      <c r="J1206" s="367"/>
      <c r="K1206" s="367"/>
      <c r="L1206" s="367"/>
      <c r="M1206" s="367"/>
      <c r="N1206" s="367"/>
      <c r="O1206" s="367"/>
      <c r="P1206" s="367"/>
      <c r="Q1206" s="367"/>
      <c r="R1206" s="367">
        <v>220</v>
      </c>
      <c r="S1206" s="367"/>
      <c r="T1206" s="367"/>
      <c r="U1206" s="367"/>
      <c r="V1206" s="367"/>
      <c r="W1206" s="367"/>
      <c r="X1206" s="367"/>
      <c r="Y1206" s="367"/>
      <c r="Z1206" s="367"/>
      <c r="AA1206" s="367"/>
      <c r="AB1206" s="367"/>
      <c r="AC1206" s="367"/>
    </row>
    <row r="1207" spans="1:29" ht="15" x14ac:dyDescent="0.25">
      <c r="A1207" s="365" t="s">
        <v>972</v>
      </c>
      <c r="H1207" s="366"/>
      <c r="J1207" s="367"/>
      <c r="K1207" s="367"/>
      <c r="L1207" s="367"/>
      <c r="M1207" s="367"/>
      <c r="N1207" s="367"/>
      <c r="O1207" s="367"/>
      <c r="P1207" s="367"/>
      <c r="Q1207" s="367"/>
      <c r="R1207" s="367">
        <v>220</v>
      </c>
    </row>
    <row r="1208" spans="1:29" ht="15" x14ac:dyDescent="0.25">
      <c r="A1208" s="365" t="s">
        <v>973</v>
      </c>
      <c r="H1208" s="366"/>
      <c r="J1208" s="367"/>
      <c r="K1208" s="367"/>
      <c r="L1208" s="367">
        <v>285</v>
      </c>
      <c r="M1208" s="367">
        <v>19</v>
      </c>
      <c r="N1208" s="367">
        <v>14</v>
      </c>
      <c r="O1208" s="367"/>
      <c r="P1208" s="367">
        <v>120</v>
      </c>
      <c r="Q1208" s="367"/>
      <c r="R1208" s="367">
        <v>170</v>
      </c>
    </row>
    <row r="1209" spans="1:29" ht="15" x14ac:dyDescent="0.25">
      <c r="A1209" s="365" t="s">
        <v>974</v>
      </c>
      <c r="H1209" s="366"/>
      <c r="J1209" s="367"/>
      <c r="K1209" s="367"/>
      <c r="L1209" s="367">
        <v>375</v>
      </c>
      <c r="M1209" s="367">
        <v>23</v>
      </c>
      <c r="N1209" s="367">
        <v>0.6</v>
      </c>
      <c r="O1209" s="367"/>
      <c r="P1209" s="367">
        <v>140</v>
      </c>
      <c r="Q1209" s="367"/>
      <c r="R1209" s="367">
        <v>225</v>
      </c>
    </row>
    <row r="1210" spans="1:29" ht="15" x14ac:dyDescent="0.25">
      <c r="A1210" s="365" t="s">
        <v>975</v>
      </c>
      <c r="H1210" s="366"/>
      <c r="J1210" s="367"/>
      <c r="K1210" s="367"/>
      <c r="L1210" s="367">
        <v>375</v>
      </c>
      <c r="M1210" s="367">
        <v>22</v>
      </c>
      <c r="N1210" s="367">
        <v>12</v>
      </c>
      <c r="O1210" s="367"/>
      <c r="P1210" s="367">
        <v>140</v>
      </c>
      <c r="Q1210" s="367"/>
      <c r="R1210" s="367">
        <v>215</v>
      </c>
    </row>
    <row r="1211" spans="1:29" ht="15" x14ac:dyDescent="0.25">
      <c r="A1211" s="365" t="s">
        <v>976</v>
      </c>
      <c r="H1211" s="366"/>
      <c r="J1211" s="367"/>
      <c r="K1211" s="367"/>
      <c r="L1211" s="367">
        <v>360</v>
      </c>
      <c r="M1211" s="367">
        <v>23</v>
      </c>
      <c r="N1211" s="367">
        <v>0.7</v>
      </c>
      <c r="O1211" s="367"/>
      <c r="P1211" s="367">
        <v>140</v>
      </c>
      <c r="Q1211" s="367"/>
      <c r="R1211" s="367">
        <v>225</v>
      </c>
    </row>
    <row r="1212" spans="1:29" ht="15" x14ac:dyDescent="0.25">
      <c r="A1212" s="365" t="s">
        <v>973</v>
      </c>
      <c r="H1212" s="366"/>
      <c r="J1212" s="367"/>
      <c r="K1212" s="367"/>
      <c r="L1212" s="367">
        <v>285</v>
      </c>
      <c r="M1212" s="367">
        <v>19</v>
      </c>
      <c r="N1212" s="367">
        <v>14</v>
      </c>
      <c r="O1212" s="367"/>
      <c r="P1212" s="367">
        <v>120</v>
      </c>
      <c r="Q1212" s="367"/>
      <c r="R1212" s="367">
        <v>170</v>
      </c>
    </row>
    <row r="1213" spans="1:29" ht="15" x14ac:dyDescent="0.25">
      <c r="A1213" s="365" t="s">
        <v>974</v>
      </c>
      <c r="H1213" s="366"/>
      <c r="J1213" s="367"/>
      <c r="K1213" s="367"/>
      <c r="L1213" s="367">
        <v>375</v>
      </c>
      <c r="M1213" s="367">
        <v>23</v>
      </c>
      <c r="N1213" s="367">
        <v>0.6</v>
      </c>
      <c r="O1213" s="367"/>
      <c r="P1213" s="367">
        <v>140</v>
      </c>
      <c r="Q1213" s="367"/>
      <c r="R1213" s="367">
        <v>225</v>
      </c>
    </row>
    <row r="1214" spans="1:29" ht="15" x14ac:dyDescent="0.25">
      <c r="A1214" s="365" t="s">
        <v>975</v>
      </c>
      <c r="H1214" s="366"/>
      <c r="J1214" s="367"/>
      <c r="K1214" s="367"/>
      <c r="L1214" s="367">
        <v>375</v>
      </c>
      <c r="M1214" s="367">
        <v>22</v>
      </c>
      <c r="N1214" s="367">
        <v>12</v>
      </c>
      <c r="O1214" s="367"/>
      <c r="P1214" s="367">
        <v>140</v>
      </c>
      <c r="Q1214" s="367"/>
      <c r="R1214" s="367">
        <v>215</v>
      </c>
    </row>
    <row r="1215" spans="1:29" ht="15" x14ac:dyDescent="0.25">
      <c r="A1215" s="365" t="s">
        <v>976</v>
      </c>
      <c r="H1215" s="366"/>
      <c r="J1215" s="367"/>
      <c r="K1215" s="367"/>
      <c r="L1215" s="367">
        <v>360</v>
      </c>
      <c r="M1215" s="367">
        <v>23</v>
      </c>
      <c r="N1215" s="367">
        <v>0.7</v>
      </c>
      <c r="O1215" s="367"/>
      <c r="P1215" s="367">
        <v>140</v>
      </c>
      <c r="Q1215" s="367"/>
      <c r="R1215" s="367">
        <v>225</v>
      </c>
    </row>
    <row r="1216" spans="1:29" ht="15" x14ac:dyDescent="0.25">
      <c r="A1216" s="365" t="s">
        <v>977</v>
      </c>
      <c r="H1216" s="366"/>
      <c r="J1216" s="367"/>
      <c r="K1216" s="367"/>
      <c r="L1216" s="367">
        <v>360</v>
      </c>
      <c r="M1216" s="367">
        <v>23</v>
      </c>
      <c r="N1216" s="367">
        <v>1.5</v>
      </c>
      <c r="O1216" s="367"/>
      <c r="P1216" s="367">
        <v>140</v>
      </c>
      <c r="Q1216" s="367"/>
      <c r="R1216" s="367">
        <v>225</v>
      </c>
    </row>
    <row r="1217" spans="1:29" ht="15" x14ac:dyDescent="0.25">
      <c r="A1217" s="365" t="s">
        <v>978</v>
      </c>
      <c r="H1217" s="366"/>
      <c r="J1217" s="367"/>
      <c r="K1217" s="367"/>
      <c r="L1217" s="367">
        <v>375</v>
      </c>
      <c r="M1217" s="367">
        <v>24</v>
      </c>
      <c r="N1217" s="367">
        <v>1.5</v>
      </c>
      <c r="O1217" s="367"/>
      <c r="P1217" s="367">
        <v>140</v>
      </c>
      <c r="Q1217" s="367"/>
      <c r="R1217" s="367">
        <v>225</v>
      </c>
    </row>
    <row r="1218" spans="1:29" ht="15" x14ac:dyDescent="0.25">
      <c r="A1218" s="365" t="s">
        <v>971</v>
      </c>
      <c r="H1218" s="366"/>
      <c r="J1218" s="367"/>
      <c r="K1218" s="367"/>
      <c r="L1218" s="367">
        <v>330</v>
      </c>
      <c r="M1218" s="367">
        <v>21</v>
      </c>
      <c r="N1218" s="367">
        <v>1.6</v>
      </c>
      <c r="O1218" s="367"/>
      <c r="P1218" s="367">
        <v>140</v>
      </c>
      <c r="Q1218" s="367"/>
      <c r="R1218" s="367">
        <v>200</v>
      </c>
    </row>
    <row r="1219" spans="1:29" ht="15" x14ac:dyDescent="0.25">
      <c r="A1219" s="365" t="s">
        <v>972</v>
      </c>
      <c r="H1219" s="366"/>
      <c r="J1219" s="367"/>
      <c r="K1219" s="367"/>
      <c r="L1219" s="367"/>
      <c r="M1219" s="367"/>
      <c r="N1219" s="367"/>
      <c r="O1219" s="367"/>
      <c r="P1219" s="367"/>
      <c r="Q1219" s="367"/>
      <c r="R1219" s="367">
        <v>220</v>
      </c>
    </row>
    <row r="1220" spans="1:29" ht="15" x14ac:dyDescent="0.25">
      <c r="A1220" s="365" t="s">
        <v>972</v>
      </c>
      <c r="H1220" s="366"/>
      <c r="J1220" s="367"/>
      <c r="K1220" s="367"/>
      <c r="L1220" s="367"/>
      <c r="M1220" s="367"/>
      <c r="N1220" s="367"/>
      <c r="O1220" s="367"/>
      <c r="P1220" s="367"/>
      <c r="Q1220" s="367"/>
      <c r="R1220" s="367">
        <v>220</v>
      </c>
    </row>
    <row r="1221" spans="1:29" ht="15" x14ac:dyDescent="0.25">
      <c r="A1221" s="365" t="s">
        <v>973</v>
      </c>
      <c r="H1221" s="366"/>
      <c r="J1221" s="367"/>
      <c r="K1221" s="367"/>
      <c r="L1221" s="367">
        <v>285</v>
      </c>
      <c r="M1221" s="367">
        <v>19</v>
      </c>
      <c r="N1221" s="367">
        <v>14</v>
      </c>
      <c r="O1221" s="367"/>
      <c r="P1221" s="367">
        <v>120</v>
      </c>
      <c r="Q1221" s="367"/>
      <c r="R1221" s="367">
        <v>170</v>
      </c>
    </row>
    <row r="1222" spans="1:29" ht="15" x14ac:dyDescent="0.25">
      <c r="A1222" s="365" t="s">
        <v>974</v>
      </c>
      <c r="H1222" s="366"/>
      <c r="J1222" s="367"/>
      <c r="K1222" s="367"/>
      <c r="L1222" s="367">
        <v>375</v>
      </c>
      <c r="M1222" s="367">
        <v>23</v>
      </c>
      <c r="N1222" s="367">
        <v>0.6</v>
      </c>
      <c r="O1222" s="367"/>
      <c r="P1222" s="367">
        <v>140</v>
      </c>
      <c r="Q1222" s="367"/>
      <c r="R1222" s="367">
        <v>225</v>
      </c>
    </row>
    <row r="1223" spans="1:29" ht="15" x14ac:dyDescent="0.25">
      <c r="A1223" s="365" t="s">
        <v>975</v>
      </c>
      <c r="H1223" s="366"/>
      <c r="J1223" s="367"/>
      <c r="K1223" s="367"/>
      <c r="L1223" s="367">
        <v>375</v>
      </c>
      <c r="M1223" s="367">
        <v>22</v>
      </c>
      <c r="N1223" s="367">
        <v>12</v>
      </c>
      <c r="O1223" s="367"/>
      <c r="P1223" s="367">
        <v>140</v>
      </c>
      <c r="Q1223" s="367"/>
      <c r="R1223" s="367">
        <v>215</v>
      </c>
      <c r="S1223" s="367"/>
      <c r="T1223" s="367"/>
      <c r="U1223" s="367"/>
      <c r="V1223" s="367"/>
      <c r="W1223" s="367"/>
      <c r="X1223" s="367"/>
      <c r="Y1223" s="367"/>
      <c r="Z1223" s="367"/>
      <c r="AA1223" s="367"/>
      <c r="AB1223" s="367"/>
      <c r="AC1223" s="367"/>
    </row>
    <row r="1224" spans="1:29" ht="15" x14ac:dyDescent="0.25">
      <c r="A1224" s="365" t="s">
        <v>976</v>
      </c>
      <c r="H1224" s="366"/>
      <c r="J1224" s="367"/>
      <c r="K1224" s="367"/>
      <c r="L1224" s="367">
        <v>360</v>
      </c>
      <c r="M1224" s="367">
        <v>23</v>
      </c>
      <c r="N1224" s="367">
        <v>0.7</v>
      </c>
      <c r="O1224" s="367"/>
      <c r="P1224" s="367">
        <v>140</v>
      </c>
      <c r="Q1224" s="367"/>
      <c r="R1224" s="367">
        <v>225</v>
      </c>
      <c r="S1224" s="367"/>
      <c r="T1224" s="367"/>
      <c r="U1224" s="367"/>
      <c r="V1224" s="367"/>
      <c r="W1224" s="367"/>
      <c r="X1224" s="367"/>
      <c r="Y1224" s="367"/>
      <c r="Z1224" s="367"/>
      <c r="AA1224" s="367"/>
      <c r="AB1224" s="367"/>
      <c r="AC1224" s="367"/>
    </row>
    <row r="1225" spans="1:29" ht="15" x14ac:dyDescent="0.25">
      <c r="A1225" s="365" t="s">
        <v>977</v>
      </c>
      <c r="H1225" s="366"/>
      <c r="J1225" s="367"/>
      <c r="K1225" s="367"/>
      <c r="L1225" s="367">
        <v>360</v>
      </c>
      <c r="M1225" s="367">
        <v>23</v>
      </c>
      <c r="N1225" s="367">
        <v>1.5</v>
      </c>
      <c r="O1225" s="367"/>
      <c r="P1225" s="367">
        <v>140</v>
      </c>
      <c r="Q1225" s="367"/>
      <c r="R1225" s="367">
        <v>225</v>
      </c>
      <c r="S1225" s="367"/>
      <c r="T1225" s="367"/>
      <c r="U1225" s="367"/>
      <c r="V1225" s="367"/>
      <c r="W1225" s="367"/>
      <c r="X1225" s="367"/>
      <c r="Y1225" s="367"/>
      <c r="Z1225" s="367"/>
      <c r="AA1225" s="367"/>
      <c r="AB1225" s="367"/>
      <c r="AC1225" s="367"/>
    </row>
    <row r="1226" spans="1:29" ht="15" x14ac:dyDescent="0.25">
      <c r="A1226" s="365" t="s">
        <v>978</v>
      </c>
      <c r="H1226" s="366"/>
      <c r="J1226" s="367"/>
      <c r="K1226" s="367"/>
      <c r="L1226" s="367">
        <v>375</v>
      </c>
      <c r="M1226" s="367">
        <v>24</v>
      </c>
      <c r="N1226" s="367">
        <v>1.5</v>
      </c>
      <c r="O1226" s="367"/>
      <c r="P1226" s="367">
        <v>140</v>
      </c>
      <c r="Q1226" s="367"/>
      <c r="R1226" s="367">
        <v>225</v>
      </c>
      <c r="S1226" s="367"/>
      <c r="T1226" s="367"/>
      <c r="U1226" s="367"/>
      <c r="V1226" s="367"/>
      <c r="W1226" s="367"/>
      <c r="X1226" s="367"/>
      <c r="Y1226" s="367"/>
      <c r="Z1226" s="367"/>
      <c r="AA1226" s="367"/>
      <c r="AB1226" s="367"/>
      <c r="AC1226" s="367"/>
    </row>
    <row r="1227" spans="1:29" ht="15" x14ac:dyDescent="0.25">
      <c r="A1227" s="365" t="s">
        <v>971</v>
      </c>
      <c r="H1227" s="366"/>
      <c r="J1227" s="367"/>
      <c r="K1227" s="367"/>
      <c r="L1227" s="367">
        <v>330</v>
      </c>
      <c r="M1227" s="367">
        <v>21</v>
      </c>
      <c r="N1227" s="367">
        <v>1.6</v>
      </c>
      <c r="O1227" s="367"/>
      <c r="P1227" s="367">
        <v>140</v>
      </c>
      <c r="Q1227" s="367"/>
      <c r="R1227" s="367">
        <v>200</v>
      </c>
      <c r="S1227" s="367"/>
      <c r="T1227" s="367"/>
      <c r="U1227" s="367"/>
      <c r="V1227" s="367"/>
      <c r="W1227" s="367"/>
      <c r="X1227" s="367"/>
      <c r="Y1227" s="367"/>
      <c r="Z1227" s="367"/>
      <c r="AA1227" s="367"/>
      <c r="AB1227" s="367"/>
      <c r="AC1227" s="367"/>
    </row>
    <row r="1228" spans="1:29" ht="15" x14ac:dyDescent="0.25">
      <c r="A1228" s="365" t="s">
        <v>972</v>
      </c>
      <c r="H1228" s="366"/>
      <c r="J1228" s="367"/>
      <c r="K1228" s="367"/>
      <c r="L1228" s="367"/>
      <c r="M1228" s="367"/>
      <c r="N1228" s="367"/>
      <c r="O1228" s="367"/>
      <c r="P1228" s="367"/>
      <c r="Q1228" s="367"/>
      <c r="R1228" s="367">
        <v>220</v>
      </c>
      <c r="S1228" s="367"/>
      <c r="T1228" s="367"/>
      <c r="U1228" s="367"/>
      <c r="V1228" s="367"/>
      <c r="W1228" s="367"/>
      <c r="X1228" s="367"/>
      <c r="Y1228" s="367"/>
      <c r="Z1228" s="367"/>
      <c r="AA1228" s="367"/>
      <c r="AB1228" s="367"/>
      <c r="AC1228" s="367"/>
    </row>
    <row r="1229" spans="1:29" ht="15" x14ac:dyDescent="0.25">
      <c r="A1229" s="365" t="s">
        <v>972</v>
      </c>
      <c r="H1229" s="366"/>
      <c r="J1229" s="367"/>
      <c r="K1229" s="367"/>
      <c r="L1229" s="367"/>
      <c r="M1229" s="367"/>
      <c r="N1229" s="367"/>
      <c r="O1229" s="367"/>
      <c r="P1229" s="367"/>
      <c r="Q1229" s="367"/>
      <c r="R1229" s="367">
        <v>220</v>
      </c>
      <c r="S1229" s="367"/>
      <c r="T1229" s="367"/>
      <c r="U1229" s="367"/>
      <c r="V1229" s="367"/>
      <c r="W1229" s="367"/>
      <c r="X1229" s="367"/>
      <c r="Y1229" s="367"/>
      <c r="Z1229" s="367"/>
      <c r="AA1229" s="367"/>
      <c r="AB1229" s="367"/>
      <c r="AC1229" s="367"/>
    </row>
    <row r="1230" spans="1:29" ht="15" x14ac:dyDescent="0.25">
      <c r="A1230" s="365" t="s">
        <v>977</v>
      </c>
      <c r="H1230" s="366"/>
      <c r="J1230" s="367"/>
      <c r="K1230" s="367"/>
      <c r="L1230" s="367">
        <v>360</v>
      </c>
      <c r="M1230" s="367">
        <v>23</v>
      </c>
      <c r="N1230" s="367">
        <v>1.5</v>
      </c>
      <c r="O1230" s="367"/>
      <c r="P1230" s="367">
        <v>140</v>
      </c>
      <c r="Q1230" s="367"/>
      <c r="R1230" s="367">
        <v>225</v>
      </c>
      <c r="S1230" s="367"/>
      <c r="T1230" s="367"/>
      <c r="U1230" s="367"/>
      <c r="V1230" s="367"/>
      <c r="W1230" s="367"/>
      <c r="X1230" s="367"/>
      <c r="Y1230" s="367"/>
      <c r="Z1230" s="367"/>
      <c r="AA1230" s="367"/>
      <c r="AB1230" s="367"/>
      <c r="AC1230" s="367"/>
    </row>
    <row r="1231" spans="1:29" ht="15" x14ac:dyDescent="0.25">
      <c r="A1231" s="365" t="s">
        <v>978</v>
      </c>
      <c r="H1231" s="366"/>
      <c r="J1231" s="367"/>
      <c r="K1231" s="367"/>
      <c r="L1231" s="367">
        <v>375</v>
      </c>
      <c r="M1231" s="367">
        <v>24</v>
      </c>
      <c r="N1231" s="367">
        <v>1.5</v>
      </c>
      <c r="O1231" s="367"/>
      <c r="P1231" s="367">
        <v>140</v>
      </c>
      <c r="Q1231" s="367"/>
      <c r="R1231" s="367">
        <v>225</v>
      </c>
      <c r="S1231" s="367"/>
      <c r="T1231" s="367"/>
      <c r="U1231" s="367"/>
      <c r="V1231" s="367"/>
      <c r="W1231" s="367"/>
      <c r="X1231" s="367"/>
      <c r="Y1231" s="367"/>
      <c r="Z1231" s="367"/>
      <c r="AA1231" s="367"/>
      <c r="AB1231" s="367"/>
      <c r="AC1231" s="367"/>
    </row>
    <row r="1232" spans="1:29" ht="15" x14ac:dyDescent="0.25">
      <c r="A1232" s="365" t="s">
        <v>463</v>
      </c>
      <c r="H1232" s="366">
        <v>24</v>
      </c>
      <c r="J1232" s="367"/>
      <c r="K1232" s="367"/>
      <c r="L1232" s="367">
        <v>242</v>
      </c>
      <c r="M1232" s="367">
        <v>25</v>
      </c>
      <c r="N1232" s="367"/>
      <c r="O1232" s="367"/>
      <c r="P1232" s="367"/>
      <c r="Q1232" s="367"/>
      <c r="R1232" s="367">
        <v>460</v>
      </c>
      <c r="S1232" s="367"/>
      <c r="T1232" s="367">
        <v>1.6</v>
      </c>
      <c r="U1232" s="367"/>
      <c r="V1232" s="367"/>
      <c r="W1232" s="367"/>
      <c r="X1232" s="367"/>
      <c r="Y1232" s="367"/>
      <c r="Z1232" s="367"/>
      <c r="AA1232" s="367"/>
      <c r="AB1232" s="367"/>
      <c r="AC1232" s="367"/>
    </row>
    <row r="1233" spans="1:29" ht="15" x14ac:dyDescent="0.25">
      <c r="A1233" s="365" t="s">
        <v>387</v>
      </c>
      <c r="H1233" s="366">
        <v>37</v>
      </c>
      <c r="J1233" s="367"/>
      <c r="K1233" s="367"/>
      <c r="L1233" s="367"/>
      <c r="M1233" s="367"/>
      <c r="N1233" s="367">
        <v>44</v>
      </c>
      <c r="O1233" s="367"/>
      <c r="P1233" s="367"/>
      <c r="Q1233" s="367"/>
      <c r="R1233" s="367">
        <v>426</v>
      </c>
      <c r="S1233" s="367"/>
      <c r="T1233" s="367">
        <v>0.8</v>
      </c>
      <c r="U1233" s="367"/>
      <c r="V1233" s="367"/>
      <c r="W1233" s="367"/>
      <c r="X1233" s="367"/>
      <c r="Y1233" s="367"/>
      <c r="Z1233" s="367"/>
      <c r="AA1233" s="367"/>
      <c r="AB1233" s="367"/>
      <c r="AC1233" s="367"/>
    </row>
    <row r="1234" spans="1:29" ht="15" x14ac:dyDescent="0.25">
      <c r="A1234" s="365" t="s">
        <v>387</v>
      </c>
      <c r="H1234" s="366">
        <v>43</v>
      </c>
      <c r="J1234" s="367"/>
      <c r="K1234" s="367"/>
      <c r="L1234" s="367">
        <v>240</v>
      </c>
      <c r="M1234" s="367">
        <v>23</v>
      </c>
      <c r="N1234" s="367">
        <v>32</v>
      </c>
      <c r="O1234" s="367"/>
      <c r="P1234" s="367">
        <v>160</v>
      </c>
      <c r="Q1234" s="367"/>
      <c r="R1234" s="367">
        <v>460</v>
      </c>
      <c r="S1234" s="367">
        <v>-0.1</v>
      </c>
      <c r="T1234" s="367">
        <v>2</v>
      </c>
      <c r="U1234" s="367"/>
      <c r="V1234" s="367"/>
      <c r="W1234" s="367"/>
      <c r="X1234" s="367"/>
      <c r="Y1234" s="367"/>
      <c r="Z1234" s="367"/>
      <c r="AA1234" s="367"/>
      <c r="AB1234" s="367"/>
      <c r="AC1234" s="367">
        <v>0.03</v>
      </c>
    </row>
    <row r="1235" spans="1:29" ht="15" x14ac:dyDescent="0.25">
      <c r="A1235" s="365" t="s">
        <v>464</v>
      </c>
      <c r="H1235" s="366">
        <v>42</v>
      </c>
      <c r="J1235" s="367"/>
      <c r="K1235" s="367"/>
      <c r="L1235" s="367">
        <v>230</v>
      </c>
      <c r="M1235" s="367">
        <v>24</v>
      </c>
      <c r="N1235" s="367">
        <v>37</v>
      </c>
      <c r="O1235" s="367"/>
      <c r="P1235" s="367">
        <v>157</v>
      </c>
      <c r="Q1235" s="367"/>
      <c r="R1235" s="367">
        <v>453</v>
      </c>
      <c r="S1235" s="367">
        <v>0.1</v>
      </c>
      <c r="T1235" s="367">
        <v>7.4</v>
      </c>
      <c r="U1235" s="367"/>
      <c r="V1235" s="367"/>
      <c r="W1235" s="367"/>
      <c r="X1235" s="367"/>
      <c r="Y1235" s="367"/>
      <c r="Z1235" s="367"/>
      <c r="AA1235" s="367">
        <v>1.5</v>
      </c>
      <c r="AB1235" s="367"/>
      <c r="AC1235" s="367">
        <v>1.2</v>
      </c>
    </row>
    <row r="1236" spans="1:29" ht="15" x14ac:dyDescent="0.25">
      <c r="A1236" s="365" t="s">
        <v>463</v>
      </c>
      <c r="H1236" s="366">
        <v>24</v>
      </c>
      <c r="J1236" s="367"/>
      <c r="K1236" s="367"/>
      <c r="L1236" s="367">
        <v>242</v>
      </c>
      <c r="M1236" s="367">
        <v>25</v>
      </c>
      <c r="N1236" s="367"/>
      <c r="O1236" s="367"/>
      <c r="P1236" s="367"/>
      <c r="Q1236" s="367"/>
      <c r="R1236" s="367">
        <v>460</v>
      </c>
      <c r="S1236" s="367"/>
      <c r="T1236" s="367">
        <v>1.6</v>
      </c>
      <c r="U1236" s="367"/>
      <c r="V1236" s="367"/>
      <c r="W1236" s="367"/>
      <c r="X1236" s="367"/>
      <c r="Y1236" s="367"/>
      <c r="Z1236" s="367"/>
      <c r="AA1236" s="367"/>
      <c r="AB1236" s="367"/>
      <c r="AC1236" s="367"/>
    </row>
    <row r="1237" spans="1:29" ht="15" x14ac:dyDescent="0.25">
      <c r="A1237" s="365" t="s">
        <v>387</v>
      </c>
      <c r="H1237" s="366">
        <v>37</v>
      </c>
      <c r="J1237" s="367"/>
      <c r="K1237" s="367"/>
      <c r="L1237" s="367"/>
      <c r="M1237" s="367"/>
      <c r="N1237" s="367">
        <v>44</v>
      </c>
      <c r="O1237" s="367"/>
      <c r="P1237" s="367"/>
      <c r="Q1237" s="367"/>
      <c r="R1237" s="367">
        <v>426</v>
      </c>
      <c r="S1237" s="367"/>
      <c r="T1237" s="367">
        <v>0.8</v>
      </c>
      <c r="U1237" s="367"/>
      <c r="V1237" s="367"/>
      <c r="W1237" s="367"/>
      <c r="X1237" s="367"/>
      <c r="Y1237" s="367"/>
      <c r="Z1237" s="367"/>
      <c r="AA1237" s="367"/>
      <c r="AB1237" s="367"/>
      <c r="AC1237" s="367"/>
    </row>
    <row r="1238" spans="1:29" ht="15" x14ac:dyDescent="0.25">
      <c r="A1238" s="365" t="s">
        <v>387</v>
      </c>
      <c r="H1238" s="366">
        <v>43</v>
      </c>
      <c r="J1238" s="367"/>
      <c r="K1238" s="367"/>
      <c r="L1238" s="367">
        <v>240</v>
      </c>
      <c r="M1238" s="367">
        <v>23</v>
      </c>
      <c r="N1238" s="367">
        <v>32</v>
      </c>
      <c r="O1238" s="367"/>
      <c r="P1238" s="367">
        <v>160</v>
      </c>
      <c r="Q1238" s="367"/>
      <c r="R1238" s="367">
        <v>460</v>
      </c>
      <c r="S1238" s="367">
        <v>-0.1</v>
      </c>
      <c r="T1238" s="367">
        <v>2</v>
      </c>
      <c r="U1238" s="367"/>
      <c r="V1238" s="367"/>
      <c r="W1238" s="367"/>
      <c r="X1238" s="367"/>
      <c r="Y1238" s="367"/>
      <c r="Z1238" s="367"/>
      <c r="AA1238" s="367"/>
      <c r="AB1238" s="367"/>
      <c r="AC1238" s="367">
        <v>0.03</v>
      </c>
    </row>
    <row r="1239" spans="1:29" ht="15" x14ac:dyDescent="0.25">
      <c r="A1239" s="365" t="s">
        <v>464</v>
      </c>
      <c r="H1239" s="366">
        <v>42</v>
      </c>
      <c r="J1239" s="367"/>
      <c r="K1239" s="367"/>
      <c r="L1239" s="367">
        <v>230</v>
      </c>
      <c r="M1239" s="367">
        <v>24</v>
      </c>
      <c r="N1239" s="367">
        <v>37</v>
      </c>
      <c r="O1239" s="367"/>
      <c r="P1239" s="367">
        <v>157</v>
      </c>
      <c r="Q1239" s="367"/>
      <c r="R1239" s="367">
        <v>453</v>
      </c>
      <c r="S1239" s="367">
        <v>0.1</v>
      </c>
      <c r="T1239" s="367">
        <v>7.4</v>
      </c>
      <c r="U1239" s="367"/>
      <c r="V1239" s="367"/>
      <c r="W1239" s="367"/>
      <c r="X1239" s="367"/>
      <c r="Y1239" s="367"/>
      <c r="Z1239" s="367"/>
      <c r="AA1239" s="367">
        <v>1.5</v>
      </c>
      <c r="AB1239" s="367"/>
      <c r="AC1239" s="367">
        <v>1.2</v>
      </c>
    </row>
    <row r="1240" spans="1:29" ht="15" x14ac:dyDescent="0.25">
      <c r="A1240" s="365" t="s">
        <v>463</v>
      </c>
      <c r="H1240" s="366">
        <v>24</v>
      </c>
      <c r="J1240" s="367"/>
      <c r="K1240" s="367"/>
      <c r="L1240" s="367">
        <v>242</v>
      </c>
      <c r="M1240" s="367">
        <v>25</v>
      </c>
      <c r="N1240" s="367"/>
      <c r="O1240" s="367"/>
      <c r="P1240" s="367"/>
      <c r="Q1240" s="367"/>
      <c r="R1240" s="367">
        <v>460</v>
      </c>
      <c r="S1240" s="367"/>
      <c r="T1240" s="367">
        <v>1.6</v>
      </c>
      <c r="U1240" s="367"/>
      <c r="V1240" s="367"/>
      <c r="W1240" s="367"/>
      <c r="X1240" s="367"/>
      <c r="Y1240" s="367"/>
      <c r="Z1240" s="367"/>
      <c r="AA1240" s="367"/>
      <c r="AB1240" s="367"/>
      <c r="AC1240" s="367"/>
    </row>
    <row r="1241" spans="1:29" ht="15" x14ac:dyDescent="0.25">
      <c r="A1241" s="365" t="s">
        <v>387</v>
      </c>
      <c r="H1241" s="366">
        <v>37</v>
      </c>
      <c r="J1241" s="367"/>
      <c r="K1241" s="367"/>
      <c r="L1241" s="367"/>
      <c r="M1241" s="367"/>
      <c r="N1241" s="367">
        <v>44</v>
      </c>
      <c r="O1241" s="367"/>
      <c r="P1241" s="367"/>
      <c r="Q1241" s="367"/>
      <c r="R1241" s="367">
        <v>426</v>
      </c>
      <c r="S1241" s="367"/>
      <c r="T1241" s="367">
        <v>0.8</v>
      </c>
      <c r="U1241" s="367"/>
      <c r="V1241" s="367"/>
      <c r="W1241" s="367"/>
      <c r="X1241" s="367"/>
      <c r="Y1241" s="367"/>
      <c r="Z1241" s="367"/>
      <c r="AA1241" s="367"/>
      <c r="AB1241" s="367"/>
      <c r="AC1241" s="367"/>
    </row>
    <row r="1242" spans="1:29" ht="15" x14ac:dyDescent="0.25">
      <c r="A1242" s="365" t="s">
        <v>387</v>
      </c>
      <c r="H1242" s="366">
        <v>43</v>
      </c>
      <c r="J1242" s="367"/>
      <c r="K1242" s="367"/>
      <c r="L1242" s="367">
        <v>240</v>
      </c>
      <c r="M1242" s="367">
        <v>23</v>
      </c>
      <c r="N1242" s="367">
        <v>32</v>
      </c>
      <c r="O1242" s="367"/>
      <c r="P1242" s="367">
        <v>160</v>
      </c>
      <c r="Q1242" s="367"/>
      <c r="R1242" s="367">
        <v>460</v>
      </c>
      <c r="S1242" s="367">
        <v>-0.1</v>
      </c>
      <c r="T1242" s="367">
        <v>2</v>
      </c>
      <c r="U1242" s="367"/>
      <c r="V1242" s="367"/>
      <c r="W1242" s="367"/>
      <c r="X1242" s="367"/>
      <c r="Y1242" s="367"/>
      <c r="Z1242" s="367"/>
      <c r="AA1242" s="367"/>
      <c r="AB1242" s="367"/>
      <c r="AC1242" s="367">
        <v>0.03</v>
      </c>
    </row>
    <row r="1243" spans="1:29" ht="15" x14ac:dyDescent="0.25">
      <c r="A1243" s="365" t="s">
        <v>464</v>
      </c>
      <c r="H1243" s="366">
        <v>42</v>
      </c>
      <c r="J1243" s="367"/>
      <c r="K1243" s="367"/>
      <c r="L1243" s="367">
        <v>230</v>
      </c>
      <c r="M1243" s="367">
        <v>24</v>
      </c>
      <c r="N1243" s="367">
        <v>37</v>
      </c>
      <c r="O1243" s="367"/>
      <c r="P1243" s="367">
        <v>157</v>
      </c>
      <c r="Q1243" s="367"/>
      <c r="R1243" s="367">
        <v>453</v>
      </c>
      <c r="S1243" s="367">
        <v>0.1</v>
      </c>
      <c r="T1243" s="367">
        <v>7.4</v>
      </c>
      <c r="U1243" s="367"/>
      <c r="V1243" s="367"/>
      <c r="W1243" s="367"/>
      <c r="X1243" s="367"/>
      <c r="Y1243" s="367"/>
      <c r="Z1243" s="367"/>
      <c r="AA1243" s="367">
        <v>1.5</v>
      </c>
      <c r="AB1243" s="367"/>
      <c r="AC1243" s="367">
        <v>1.2</v>
      </c>
    </row>
    <row r="1244" spans="1:29" ht="15" x14ac:dyDescent="0.25">
      <c r="A1244" s="365" t="s">
        <v>465</v>
      </c>
      <c r="H1244" s="366"/>
      <c r="J1244" s="367"/>
      <c r="K1244" s="367"/>
      <c r="L1244" s="367">
        <v>45500</v>
      </c>
      <c r="M1244" s="367">
        <v>20800</v>
      </c>
      <c r="N1244" s="367">
        <v>38700</v>
      </c>
      <c r="O1244" s="367"/>
      <c r="P1244" s="367"/>
      <c r="Q1244" s="367"/>
      <c r="R1244" s="367">
        <v>178000</v>
      </c>
      <c r="S1244" s="367"/>
      <c r="T1244" s="367">
        <v>18</v>
      </c>
      <c r="U1244" s="367"/>
      <c r="V1244" s="367"/>
      <c r="W1244" s="367"/>
      <c r="X1244" s="367"/>
      <c r="Y1244" s="367"/>
      <c r="Z1244" s="367"/>
      <c r="AA1244" s="367"/>
      <c r="AB1244" s="367"/>
      <c r="AC1244" s="367"/>
    </row>
    <row r="1245" spans="1:29" ht="15" x14ac:dyDescent="0.25">
      <c r="A1245" s="365" t="s">
        <v>310</v>
      </c>
      <c r="H1245" s="366">
        <v>56</v>
      </c>
      <c r="J1245" s="367"/>
      <c r="K1245" s="367"/>
      <c r="L1245" s="367">
        <v>296</v>
      </c>
      <c r="M1245" s="367">
        <v>5</v>
      </c>
      <c r="N1245" s="367">
        <v>50</v>
      </c>
      <c r="O1245" s="367"/>
      <c r="P1245" s="367">
        <v>48</v>
      </c>
      <c r="Q1245" s="367"/>
      <c r="R1245" s="367">
        <v>148</v>
      </c>
      <c r="S1245" s="367">
        <v>2.4</v>
      </c>
      <c r="T1245" s="367">
        <v>204</v>
      </c>
      <c r="U1245" s="367"/>
      <c r="V1245" s="367"/>
      <c r="W1245" s="367"/>
      <c r="X1245" s="367"/>
      <c r="Y1245" s="367"/>
      <c r="Z1245" s="367"/>
      <c r="AA1245" s="367">
        <v>0.57999999999999996</v>
      </c>
      <c r="AB1245" s="367"/>
      <c r="AC1245" s="367"/>
    </row>
    <row r="1246" spans="1:29" ht="15" x14ac:dyDescent="0.25">
      <c r="A1246" s="365" t="s">
        <v>466</v>
      </c>
      <c r="H1246" s="366">
        <v>58</v>
      </c>
      <c r="J1246" s="367"/>
      <c r="K1246" s="367"/>
      <c r="L1246" s="367">
        <v>300</v>
      </c>
      <c r="M1246" s="367">
        <v>4.3</v>
      </c>
      <c r="N1246" s="367">
        <v>52</v>
      </c>
      <c r="O1246" s="367"/>
      <c r="P1246" s="367">
        <v>47</v>
      </c>
      <c r="Q1246" s="367"/>
      <c r="R1246" s="367">
        <v>140</v>
      </c>
      <c r="S1246" s="367">
        <v>3.6</v>
      </c>
      <c r="T1246" s="367">
        <v>520</v>
      </c>
      <c r="U1246" s="367"/>
      <c r="V1246" s="367"/>
      <c r="W1246" s="367"/>
      <c r="X1246" s="367"/>
      <c r="Y1246" s="367"/>
      <c r="Z1246" s="367"/>
      <c r="AA1246" s="367"/>
      <c r="AB1246" s="367"/>
      <c r="AC1246" s="367">
        <v>-0.06</v>
      </c>
    </row>
    <row r="1247" spans="1:29" ht="15" x14ac:dyDescent="0.25">
      <c r="A1247" s="365" t="s">
        <v>466</v>
      </c>
      <c r="H1247" s="366">
        <v>58</v>
      </c>
      <c r="J1247" s="367"/>
      <c r="K1247" s="367"/>
      <c r="L1247" s="367"/>
      <c r="M1247" s="367"/>
      <c r="N1247" s="367"/>
      <c r="O1247" s="367"/>
      <c r="P1247" s="367"/>
      <c r="Q1247" s="367"/>
      <c r="R1247" s="367"/>
      <c r="S1247" s="367"/>
      <c r="T1247" s="367"/>
      <c r="U1247" s="367"/>
      <c r="V1247" s="367"/>
      <c r="W1247" s="367"/>
      <c r="X1247" s="367"/>
      <c r="Y1247" s="367"/>
      <c r="Z1247" s="367"/>
      <c r="AA1247" s="367"/>
      <c r="AB1247" s="367"/>
      <c r="AC1247" s="367"/>
    </row>
    <row r="1248" spans="1:29" ht="15" x14ac:dyDescent="0.25">
      <c r="A1248" s="365" t="s">
        <v>533</v>
      </c>
      <c r="H1248" s="366">
        <v>19</v>
      </c>
      <c r="J1248" s="367"/>
      <c r="K1248" s="367"/>
      <c r="L1248" s="367">
        <v>2650</v>
      </c>
      <c r="M1248" s="367">
        <v>7.7</v>
      </c>
      <c r="N1248" s="367">
        <v>1150</v>
      </c>
      <c r="O1248" s="367"/>
      <c r="P1248" s="367">
        <v>15</v>
      </c>
      <c r="Q1248" s="367"/>
      <c r="R1248" s="367">
        <v>6100</v>
      </c>
      <c r="S1248" s="367">
        <v>-0.5</v>
      </c>
      <c r="T1248" s="367">
        <v>-1</v>
      </c>
      <c r="U1248" s="367"/>
      <c r="V1248" s="367"/>
      <c r="W1248" s="367"/>
      <c r="X1248" s="367"/>
      <c r="Y1248" s="367"/>
      <c r="Z1248" s="367"/>
      <c r="AA1248" s="367">
        <v>9.8000000000000007</v>
      </c>
      <c r="AB1248" s="367"/>
      <c r="AC1248" s="367">
        <v>-0.05</v>
      </c>
    </row>
    <row r="1249" spans="1:29" ht="15" x14ac:dyDescent="0.25">
      <c r="A1249" s="365" t="s">
        <v>467</v>
      </c>
      <c r="H1249" s="366"/>
      <c r="J1249" s="367"/>
      <c r="K1249" s="367"/>
      <c r="L1249" s="367">
        <v>10600</v>
      </c>
      <c r="M1249" s="367">
        <v>1250</v>
      </c>
      <c r="N1249" s="367">
        <v>1130</v>
      </c>
      <c r="O1249" s="367"/>
      <c r="P1249" s="367">
        <v>120</v>
      </c>
      <c r="Q1249" s="367"/>
      <c r="R1249" s="367">
        <v>19700</v>
      </c>
      <c r="S1249" s="367">
        <v>1</v>
      </c>
      <c r="T1249" s="367">
        <v>621</v>
      </c>
      <c r="U1249" s="367"/>
      <c r="V1249" s="367"/>
      <c r="W1249" s="367"/>
      <c r="X1249" s="367"/>
      <c r="Y1249" s="367"/>
      <c r="Z1249" s="367"/>
      <c r="AA1249" s="367">
        <v>85</v>
      </c>
      <c r="AB1249" s="367"/>
      <c r="AC1249" s="367">
        <v>0.7</v>
      </c>
    </row>
    <row r="1250" spans="1:29" ht="15" x14ac:dyDescent="0.25">
      <c r="A1250" s="365" t="s">
        <v>468</v>
      </c>
      <c r="H1250" s="366"/>
      <c r="J1250" s="367"/>
      <c r="K1250" s="367"/>
      <c r="L1250" s="367">
        <v>50400</v>
      </c>
      <c r="M1250" s="367">
        <v>17500</v>
      </c>
      <c r="N1250" s="367">
        <v>28000</v>
      </c>
      <c r="O1250" s="367"/>
      <c r="P1250" s="367">
        <v>400</v>
      </c>
      <c r="Q1250" s="367"/>
      <c r="R1250" s="367">
        <v>155000</v>
      </c>
      <c r="S1250" s="367">
        <v>15</v>
      </c>
      <c r="T1250" s="367">
        <v>5.4</v>
      </c>
      <c r="U1250" s="367"/>
      <c r="V1250" s="367"/>
      <c r="W1250" s="367"/>
      <c r="X1250" s="367"/>
      <c r="Y1250" s="367"/>
      <c r="Z1250" s="367"/>
      <c r="AA1250" s="367">
        <v>413</v>
      </c>
      <c r="AB1250" s="367"/>
      <c r="AC1250" s="367">
        <v>2090</v>
      </c>
    </row>
    <row r="1251" spans="1:29" ht="15" x14ac:dyDescent="0.25">
      <c r="A1251" s="365" t="s">
        <v>469</v>
      </c>
      <c r="H1251" s="366">
        <v>74</v>
      </c>
      <c r="J1251" s="367"/>
      <c r="K1251" s="367"/>
      <c r="L1251" s="367">
        <v>1050</v>
      </c>
      <c r="M1251" s="367">
        <v>53</v>
      </c>
      <c r="N1251" s="367">
        <v>160</v>
      </c>
      <c r="O1251" s="367"/>
      <c r="P1251" s="367">
        <v>77</v>
      </c>
      <c r="Q1251" s="367"/>
      <c r="R1251" s="367">
        <v>1650</v>
      </c>
      <c r="S1251" s="367">
        <v>4</v>
      </c>
      <c r="T1251" s="367">
        <v>190</v>
      </c>
      <c r="U1251" s="367"/>
      <c r="V1251" s="367"/>
      <c r="W1251" s="367"/>
      <c r="X1251" s="367"/>
      <c r="Y1251" s="367"/>
      <c r="Z1251" s="367"/>
      <c r="AA1251" s="367"/>
      <c r="AB1251" s="367"/>
      <c r="AC1251" s="367"/>
    </row>
    <row r="1252" spans="1:29" ht="15" x14ac:dyDescent="0.25">
      <c r="A1252" s="365" t="s">
        <v>470</v>
      </c>
      <c r="H1252" s="366"/>
      <c r="J1252" s="367"/>
      <c r="K1252" s="367"/>
      <c r="L1252" s="367">
        <v>190</v>
      </c>
      <c r="M1252" s="367">
        <v>4.2</v>
      </c>
      <c r="N1252" s="367">
        <v>4</v>
      </c>
      <c r="O1252" s="367"/>
      <c r="P1252" s="367">
        <v>55</v>
      </c>
      <c r="Q1252" s="367"/>
      <c r="R1252" s="367">
        <v>211</v>
      </c>
      <c r="S1252" s="367">
        <v>4.8</v>
      </c>
      <c r="T1252" s="367">
        <v>57</v>
      </c>
      <c r="U1252" s="367"/>
      <c r="V1252" s="367"/>
      <c r="W1252" s="367"/>
      <c r="X1252" s="367"/>
      <c r="Y1252" s="367"/>
      <c r="Z1252" s="367"/>
      <c r="AA1252" s="367"/>
      <c r="AB1252" s="367"/>
      <c r="AC1252" s="367">
        <v>0.01</v>
      </c>
    </row>
    <row r="1253" spans="1:29" ht="15" x14ac:dyDescent="0.25">
      <c r="A1253" s="365" t="s">
        <v>471</v>
      </c>
      <c r="H1253" s="366"/>
      <c r="J1253" s="367"/>
      <c r="K1253" s="367"/>
      <c r="L1253" s="367">
        <v>62800</v>
      </c>
      <c r="M1253" s="367">
        <v>20800</v>
      </c>
      <c r="N1253" s="367">
        <v>31500</v>
      </c>
      <c r="O1253" s="367"/>
      <c r="P1253" s="367"/>
      <c r="Q1253" s="367"/>
      <c r="R1253" s="367">
        <v>185000</v>
      </c>
      <c r="S1253" s="367"/>
      <c r="T1253" s="367">
        <v>49</v>
      </c>
      <c r="U1253" s="367"/>
      <c r="V1253" s="367"/>
      <c r="W1253" s="367"/>
      <c r="X1253" s="367"/>
      <c r="Y1253" s="367"/>
      <c r="Z1253" s="367"/>
      <c r="AA1253" s="367"/>
      <c r="AB1253" s="367"/>
      <c r="AC1253" s="367"/>
    </row>
    <row r="1254" spans="1:29" ht="15" x14ac:dyDescent="0.25">
      <c r="A1254" s="365" t="s">
        <v>967</v>
      </c>
      <c r="H1254" s="366">
        <v>360</v>
      </c>
      <c r="J1254" s="367"/>
      <c r="K1254" s="367"/>
      <c r="L1254" s="367">
        <v>62800</v>
      </c>
      <c r="M1254" s="367">
        <v>20800</v>
      </c>
      <c r="N1254" s="367">
        <v>31500</v>
      </c>
      <c r="O1254" s="367"/>
      <c r="P1254" s="367"/>
      <c r="Q1254" s="367"/>
      <c r="R1254" s="367">
        <v>185000</v>
      </c>
      <c r="S1254" s="367"/>
      <c r="T1254" s="367">
        <v>49</v>
      </c>
      <c r="U1254" s="367"/>
      <c r="V1254" s="367"/>
      <c r="W1254" s="367"/>
      <c r="X1254" s="367"/>
      <c r="Y1254" s="367"/>
      <c r="Z1254" s="367"/>
      <c r="AA1254" s="367"/>
      <c r="AB1254" s="367"/>
      <c r="AC1254" s="367"/>
    </row>
    <row r="1255" spans="1:29" ht="15" x14ac:dyDescent="0.25">
      <c r="A1255" s="365" t="s">
        <v>472</v>
      </c>
      <c r="H1255" s="366">
        <v>43</v>
      </c>
      <c r="J1255" s="367"/>
      <c r="K1255" s="367"/>
      <c r="L1255" s="367">
        <v>970</v>
      </c>
      <c r="M1255" s="367">
        <v>92</v>
      </c>
      <c r="N1255" s="367">
        <v>110</v>
      </c>
      <c r="O1255" s="367"/>
      <c r="P1255" s="367">
        <v>190</v>
      </c>
      <c r="Q1255" s="367"/>
      <c r="R1255" s="367">
        <v>880</v>
      </c>
      <c r="S1255" s="367">
        <v>1</v>
      </c>
      <c r="T1255" s="367">
        <v>250</v>
      </c>
      <c r="U1255" s="367"/>
      <c r="V1255" s="367"/>
      <c r="W1255" s="367"/>
      <c r="X1255" s="367"/>
      <c r="Y1255" s="367"/>
      <c r="Z1255" s="367"/>
      <c r="AA1255" s="367"/>
      <c r="AB1255" s="367"/>
      <c r="AC1255" s="367">
        <v>1.9</v>
      </c>
    </row>
    <row r="1256" spans="1:29" ht="15" x14ac:dyDescent="0.25">
      <c r="A1256" s="365" t="s">
        <v>473</v>
      </c>
      <c r="H1256" s="366"/>
      <c r="J1256" s="367"/>
      <c r="K1256" s="367"/>
      <c r="L1256" s="367">
        <v>822</v>
      </c>
      <c r="M1256" s="367">
        <v>8.6999999999999993</v>
      </c>
      <c r="N1256" s="367">
        <v>43</v>
      </c>
      <c r="O1256" s="367"/>
      <c r="P1256" s="367"/>
      <c r="Q1256" s="367"/>
      <c r="R1256" s="367">
        <v>908</v>
      </c>
      <c r="S1256" s="367"/>
      <c r="T1256" s="367"/>
      <c r="U1256" s="367"/>
      <c r="V1256" s="367"/>
      <c r="W1256" s="367"/>
      <c r="X1256" s="367"/>
      <c r="Y1256" s="367"/>
      <c r="Z1256" s="367"/>
      <c r="AA1256" s="367"/>
      <c r="AB1256" s="367"/>
      <c r="AC1256" s="367"/>
    </row>
    <row r="1257" spans="1:29" ht="15" x14ac:dyDescent="0.25">
      <c r="A1257" s="365" t="s">
        <v>475</v>
      </c>
      <c r="H1257" s="366">
        <v>92</v>
      </c>
      <c r="J1257" s="367"/>
      <c r="K1257" s="367"/>
      <c r="L1257" s="367">
        <v>250</v>
      </c>
      <c r="M1257" s="367">
        <v>6.5</v>
      </c>
      <c r="N1257" s="367">
        <v>20</v>
      </c>
      <c r="O1257" s="367"/>
      <c r="P1257" s="367">
        <v>110</v>
      </c>
      <c r="Q1257" s="367"/>
      <c r="R1257" s="367">
        <v>160</v>
      </c>
      <c r="S1257" s="367">
        <v>2.1</v>
      </c>
      <c r="T1257" s="367">
        <v>300</v>
      </c>
      <c r="U1257" s="367"/>
      <c r="V1257" s="367"/>
      <c r="W1257" s="367"/>
      <c r="X1257" s="367"/>
      <c r="Y1257" s="367"/>
      <c r="Z1257" s="367"/>
      <c r="AA1257" s="367"/>
      <c r="AB1257" s="367"/>
      <c r="AC1257" s="367">
        <v>-0.06</v>
      </c>
    </row>
    <row r="1258" spans="1:29" ht="15" x14ac:dyDescent="0.25">
      <c r="A1258" s="365" t="s">
        <v>475</v>
      </c>
      <c r="H1258" s="366"/>
      <c r="J1258" s="367"/>
      <c r="K1258" s="367"/>
      <c r="L1258" s="367">
        <v>231</v>
      </c>
      <c r="M1258" s="367">
        <v>6.4</v>
      </c>
      <c r="N1258" s="367">
        <v>23</v>
      </c>
      <c r="O1258" s="367"/>
      <c r="P1258" s="367">
        <v>127</v>
      </c>
      <c r="Q1258" s="367"/>
      <c r="R1258" s="367">
        <v>161</v>
      </c>
      <c r="S1258" s="367">
        <v>2.5</v>
      </c>
      <c r="T1258" s="367">
        <v>294</v>
      </c>
      <c r="U1258" s="367"/>
      <c r="V1258" s="367"/>
      <c r="W1258" s="367"/>
      <c r="X1258" s="367"/>
      <c r="Y1258" s="367"/>
      <c r="Z1258" s="367"/>
      <c r="AA1258" s="367"/>
      <c r="AB1258" s="367"/>
      <c r="AC1258" s="367"/>
    </row>
    <row r="1259" spans="1:29" ht="15" x14ac:dyDescent="0.25">
      <c r="A1259" s="365" t="s">
        <v>317</v>
      </c>
      <c r="H1259" s="366">
        <v>92</v>
      </c>
      <c r="J1259" s="367"/>
      <c r="K1259" s="367"/>
      <c r="L1259" s="367">
        <v>250</v>
      </c>
      <c r="M1259" s="367">
        <v>6.5</v>
      </c>
      <c r="N1259" s="367">
        <v>20</v>
      </c>
      <c r="O1259" s="367"/>
      <c r="P1259" s="367">
        <v>110</v>
      </c>
      <c r="Q1259" s="367"/>
      <c r="R1259" s="367">
        <v>160</v>
      </c>
      <c r="S1259" s="367">
        <v>2.1</v>
      </c>
      <c r="T1259" s="367">
        <v>300</v>
      </c>
      <c r="U1259" s="367"/>
      <c r="V1259" s="367"/>
      <c r="W1259" s="367"/>
      <c r="X1259" s="367"/>
      <c r="Y1259" s="367"/>
      <c r="Z1259" s="367"/>
      <c r="AA1259" s="367"/>
      <c r="AB1259" s="367"/>
      <c r="AC1259" s="367"/>
    </row>
    <row r="1260" spans="1:29" ht="15" x14ac:dyDescent="0.25">
      <c r="A1260" s="365" t="s">
        <v>475</v>
      </c>
      <c r="H1260" s="366">
        <v>92</v>
      </c>
      <c r="J1260" s="367"/>
      <c r="K1260" s="367"/>
      <c r="L1260" s="367">
        <v>250</v>
      </c>
      <c r="M1260" s="367">
        <v>6.5</v>
      </c>
      <c r="N1260" s="367">
        <v>20</v>
      </c>
      <c r="O1260" s="367"/>
      <c r="P1260" s="367">
        <v>110</v>
      </c>
      <c r="Q1260" s="367"/>
      <c r="R1260" s="367">
        <v>160</v>
      </c>
      <c r="S1260" s="367">
        <v>2.1</v>
      </c>
      <c r="T1260" s="367">
        <v>300</v>
      </c>
      <c r="U1260" s="367"/>
      <c r="V1260" s="367"/>
      <c r="W1260" s="367"/>
      <c r="X1260" s="367"/>
      <c r="Y1260" s="367"/>
      <c r="Z1260" s="367"/>
      <c r="AA1260" s="367"/>
      <c r="AB1260" s="367"/>
      <c r="AC1260" s="367">
        <v>-0.06</v>
      </c>
    </row>
    <row r="1261" spans="1:29" ht="15" x14ac:dyDescent="0.25">
      <c r="A1261" s="365" t="s">
        <v>475</v>
      </c>
      <c r="H1261" s="366"/>
      <c r="J1261" s="367"/>
      <c r="K1261" s="367"/>
      <c r="L1261" s="367">
        <v>231</v>
      </c>
      <c r="M1261" s="367">
        <v>6.4</v>
      </c>
      <c r="N1261" s="367">
        <v>23</v>
      </c>
      <c r="O1261" s="367"/>
      <c r="P1261" s="367">
        <v>127</v>
      </c>
      <c r="Q1261" s="367"/>
      <c r="R1261" s="367">
        <v>161</v>
      </c>
      <c r="S1261" s="367">
        <v>2.5</v>
      </c>
      <c r="T1261" s="367">
        <v>294</v>
      </c>
      <c r="U1261" s="367"/>
      <c r="V1261" s="367"/>
      <c r="W1261" s="367"/>
      <c r="X1261" s="367"/>
      <c r="Y1261" s="367"/>
      <c r="Z1261" s="367"/>
      <c r="AA1261" s="367"/>
      <c r="AB1261" s="367"/>
      <c r="AC1261" s="367"/>
    </row>
    <row r="1262" spans="1:29" ht="15" x14ac:dyDescent="0.25">
      <c r="A1262" s="365" t="s">
        <v>317</v>
      </c>
      <c r="H1262" s="366">
        <v>92</v>
      </c>
      <c r="J1262" s="367"/>
      <c r="K1262" s="367"/>
      <c r="L1262" s="367">
        <v>250</v>
      </c>
      <c r="M1262" s="367">
        <v>6.5</v>
      </c>
      <c r="N1262" s="367">
        <v>20</v>
      </c>
      <c r="O1262" s="367"/>
      <c r="P1262" s="367">
        <v>110</v>
      </c>
      <c r="Q1262" s="367"/>
      <c r="R1262" s="367">
        <v>160</v>
      </c>
      <c r="S1262" s="367">
        <v>2.1</v>
      </c>
      <c r="T1262" s="367">
        <v>300</v>
      </c>
      <c r="U1262" s="367"/>
      <c r="V1262" s="367"/>
      <c r="W1262" s="367"/>
      <c r="X1262" s="367"/>
      <c r="Y1262" s="367"/>
      <c r="Z1262" s="367"/>
      <c r="AA1262" s="367"/>
      <c r="AB1262" s="367"/>
      <c r="AC1262" s="367"/>
    </row>
    <row r="1263" spans="1:29" ht="15" x14ac:dyDescent="0.25">
      <c r="A1263" s="365" t="s">
        <v>477</v>
      </c>
      <c r="H1263" s="366">
        <v>43</v>
      </c>
      <c r="J1263" s="367"/>
      <c r="K1263" s="367"/>
      <c r="L1263" s="367">
        <v>257</v>
      </c>
      <c r="M1263" s="367">
        <v>7.4</v>
      </c>
      <c r="N1263" s="367">
        <v>50</v>
      </c>
      <c r="O1263" s="367"/>
      <c r="P1263" s="367">
        <v>67</v>
      </c>
      <c r="Q1263" s="367"/>
      <c r="R1263" s="367">
        <v>345</v>
      </c>
      <c r="S1263" s="367"/>
      <c r="T1263" s="367">
        <v>150</v>
      </c>
      <c r="U1263" s="367"/>
      <c r="V1263" s="367"/>
      <c r="W1263" s="367"/>
      <c r="X1263" s="367"/>
      <c r="Y1263" s="367"/>
      <c r="Z1263" s="367"/>
      <c r="AA1263" s="367"/>
      <c r="AB1263" s="367"/>
      <c r="AC1263" s="367"/>
    </row>
    <row r="1264" spans="1:29" ht="15" x14ac:dyDescent="0.25">
      <c r="A1264" s="365" t="s">
        <v>570</v>
      </c>
      <c r="H1264" s="366">
        <v>69</v>
      </c>
      <c r="J1264" s="367"/>
      <c r="K1264" s="367"/>
      <c r="L1264" s="367">
        <v>543</v>
      </c>
      <c r="M1264" s="367">
        <v>4.8</v>
      </c>
      <c r="N1264" s="367">
        <v>143</v>
      </c>
      <c r="O1264" s="367"/>
      <c r="P1264" s="367">
        <v>82</v>
      </c>
      <c r="Q1264" s="367"/>
      <c r="R1264" s="367">
        <v>788</v>
      </c>
      <c r="S1264" s="367"/>
      <c r="T1264" s="367">
        <v>365</v>
      </c>
      <c r="U1264" s="367"/>
      <c r="V1264" s="367"/>
      <c r="W1264" s="367"/>
      <c r="X1264" s="367"/>
      <c r="Y1264" s="367"/>
      <c r="Z1264" s="367"/>
      <c r="AA1264" s="367"/>
      <c r="AB1264" s="367"/>
      <c r="AC1264" s="367"/>
    </row>
    <row r="1265" spans="1:29" ht="15" x14ac:dyDescent="0.25">
      <c r="A1265" s="365" t="s">
        <v>479</v>
      </c>
      <c r="H1265" s="366">
        <v>39</v>
      </c>
      <c r="J1265" s="367"/>
      <c r="K1265" s="367"/>
      <c r="L1265" s="367">
        <v>425</v>
      </c>
      <c r="M1265" s="367">
        <v>12</v>
      </c>
      <c r="N1265" s="367">
        <v>110</v>
      </c>
      <c r="O1265" s="367"/>
      <c r="P1265" s="367">
        <v>81</v>
      </c>
      <c r="Q1265" s="367"/>
      <c r="R1265" s="367">
        <v>555</v>
      </c>
      <c r="S1265" s="367">
        <v>1.1000000000000001</v>
      </c>
      <c r="T1265" s="367">
        <v>300</v>
      </c>
      <c r="U1265" s="367"/>
      <c r="V1265" s="367"/>
      <c r="W1265" s="367"/>
      <c r="X1265" s="367"/>
      <c r="Y1265" s="367"/>
      <c r="Z1265" s="367"/>
      <c r="AA1265" s="367"/>
      <c r="AB1265" s="367"/>
      <c r="AC1265" s="367">
        <v>-0.02</v>
      </c>
    </row>
    <row r="1266" spans="1:29" ht="15" x14ac:dyDescent="0.25">
      <c r="A1266" s="365" t="s">
        <v>481</v>
      </c>
      <c r="H1266" s="366">
        <v>97</v>
      </c>
      <c r="J1266" s="367"/>
      <c r="K1266" s="367"/>
      <c r="L1266" s="367">
        <v>300</v>
      </c>
      <c r="M1266" s="367">
        <v>16</v>
      </c>
      <c r="N1266" s="367">
        <v>21</v>
      </c>
      <c r="O1266" s="367"/>
      <c r="P1266" s="367">
        <v>173</v>
      </c>
      <c r="Q1266" s="367"/>
      <c r="R1266" s="367">
        <v>223</v>
      </c>
      <c r="S1266" s="367">
        <v>7.3</v>
      </c>
      <c r="T1266" s="367">
        <v>326</v>
      </c>
      <c r="U1266" s="367"/>
      <c r="V1266" s="367"/>
      <c r="W1266" s="367"/>
      <c r="X1266" s="367"/>
      <c r="Y1266" s="367"/>
      <c r="Z1266" s="367"/>
      <c r="AA1266" s="367">
        <v>1.5</v>
      </c>
      <c r="AB1266" s="367"/>
      <c r="AC1266" s="367">
        <v>0.19</v>
      </c>
    </row>
    <row r="1267" spans="1:29" ht="15" x14ac:dyDescent="0.25">
      <c r="A1267" s="365" t="s">
        <v>571</v>
      </c>
      <c r="H1267" s="366">
        <v>97</v>
      </c>
      <c r="J1267" s="367"/>
      <c r="K1267" s="367"/>
      <c r="L1267" s="367">
        <v>320</v>
      </c>
      <c r="M1267" s="367">
        <v>15</v>
      </c>
      <c r="N1267" s="367">
        <v>7.7</v>
      </c>
      <c r="O1267" s="367"/>
      <c r="P1267" s="367">
        <v>200</v>
      </c>
      <c r="Q1267" s="367"/>
      <c r="R1267" s="367">
        <v>220</v>
      </c>
      <c r="S1267" s="367">
        <v>7.6</v>
      </c>
      <c r="T1267" s="367">
        <v>320</v>
      </c>
      <c r="U1267" s="367"/>
      <c r="V1267" s="367"/>
      <c r="W1267" s="367"/>
      <c r="X1267" s="367"/>
      <c r="Y1267" s="367"/>
      <c r="Z1267" s="367"/>
      <c r="AA1267" s="367"/>
      <c r="AB1267" s="367"/>
      <c r="AC1267" s="367"/>
    </row>
    <row r="1268" spans="1:29" ht="15" x14ac:dyDescent="0.25">
      <c r="A1268" s="365" t="s">
        <v>480</v>
      </c>
      <c r="H1268" s="366">
        <v>97</v>
      </c>
      <c r="J1268" s="367"/>
      <c r="K1268" s="367"/>
      <c r="L1268" s="367">
        <v>320</v>
      </c>
      <c r="M1268" s="367">
        <v>15</v>
      </c>
      <c r="N1268" s="367">
        <v>7.7</v>
      </c>
      <c r="O1268" s="367"/>
      <c r="P1268" s="367">
        <v>200</v>
      </c>
      <c r="Q1268" s="367"/>
      <c r="R1268" s="367">
        <v>220</v>
      </c>
      <c r="S1268" s="367">
        <v>7.6</v>
      </c>
      <c r="T1268" s="367">
        <v>320</v>
      </c>
      <c r="U1268" s="367"/>
      <c r="V1268" s="367"/>
      <c r="W1268" s="367"/>
      <c r="X1268" s="367"/>
      <c r="Y1268" s="367"/>
      <c r="Z1268" s="367"/>
      <c r="AA1268" s="367"/>
      <c r="AB1268" s="367"/>
      <c r="AC1268" s="367">
        <v>-0.06</v>
      </c>
    </row>
    <row r="1269" spans="1:29" ht="15" x14ac:dyDescent="0.25">
      <c r="A1269" s="365" t="s">
        <v>481</v>
      </c>
      <c r="H1269" s="366">
        <v>97</v>
      </c>
      <c r="J1269" s="367"/>
      <c r="K1269" s="367"/>
      <c r="L1269" s="367">
        <v>300</v>
      </c>
      <c r="M1269" s="367">
        <v>16</v>
      </c>
      <c r="N1269" s="367">
        <v>21</v>
      </c>
      <c r="O1269" s="367"/>
      <c r="P1269" s="367">
        <v>173</v>
      </c>
      <c r="Q1269" s="367"/>
      <c r="R1269" s="367">
        <v>223</v>
      </c>
      <c r="S1269" s="367">
        <v>7.3</v>
      </c>
      <c r="T1269" s="367">
        <v>326</v>
      </c>
      <c r="U1269" s="367"/>
      <c r="V1269" s="367"/>
      <c r="W1269" s="367"/>
      <c r="X1269" s="367"/>
      <c r="Y1269" s="367"/>
      <c r="Z1269" s="367"/>
      <c r="AA1269" s="367">
        <v>1.5</v>
      </c>
      <c r="AB1269" s="367"/>
      <c r="AC1269" s="367">
        <v>0.19</v>
      </c>
    </row>
    <row r="1270" spans="1:29" ht="15" x14ac:dyDescent="0.25">
      <c r="A1270" s="365" t="s">
        <v>571</v>
      </c>
      <c r="H1270" s="366">
        <v>97</v>
      </c>
      <c r="J1270" s="367"/>
      <c r="K1270" s="367"/>
      <c r="L1270" s="367">
        <v>320</v>
      </c>
      <c r="M1270" s="367">
        <v>15</v>
      </c>
      <c r="N1270" s="367">
        <v>7.7</v>
      </c>
      <c r="O1270" s="367"/>
      <c r="P1270" s="367">
        <v>200</v>
      </c>
      <c r="Q1270" s="367"/>
      <c r="R1270" s="367">
        <v>220</v>
      </c>
      <c r="S1270" s="367">
        <v>7.6</v>
      </c>
      <c r="T1270" s="367">
        <v>320</v>
      </c>
      <c r="U1270" s="367"/>
      <c r="V1270" s="367"/>
      <c r="W1270" s="367"/>
      <c r="X1270" s="367"/>
      <c r="Y1270" s="367"/>
      <c r="Z1270" s="367"/>
      <c r="AA1270" s="367"/>
      <c r="AB1270" s="367"/>
      <c r="AC1270" s="367"/>
    </row>
    <row r="1271" spans="1:29" ht="15" x14ac:dyDescent="0.25">
      <c r="A1271" s="365" t="s">
        <v>480</v>
      </c>
      <c r="H1271" s="366">
        <v>97</v>
      </c>
      <c r="J1271" s="367"/>
      <c r="K1271" s="367"/>
      <c r="L1271" s="367">
        <v>320</v>
      </c>
      <c r="M1271" s="367">
        <v>15</v>
      </c>
      <c r="N1271" s="367">
        <v>7.7</v>
      </c>
      <c r="O1271" s="367"/>
      <c r="P1271" s="367">
        <v>200</v>
      </c>
      <c r="Q1271" s="367"/>
      <c r="R1271" s="367">
        <v>220</v>
      </c>
      <c r="S1271" s="367">
        <v>7.6</v>
      </c>
      <c r="T1271" s="367">
        <v>320</v>
      </c>
      <c r="U1271" s="367"/>
      <c r="V1271" s="367"/>
      <c r="W1271" s="367"/>
      <c r="X1271" s="367"/>
      <c r="Y1271" s="367"/>
      <c r="Z1271" s="367"/>
      <c r="AA1271" s="367"/>
      <c r="AB1271" s="367"/>
      <c r="AC1271" s="367">
        <v>-0.06</v>
      </c>
    </row>
    <row r="1272" spans="1:29" ht="15" x14ac:dyDescent="0.25">
      <c r="A1272" s="365" t="s">
        <v>572</v>
      </c>
      <c r="H1272" s="366">
        <v>36</v>
      </c>
      <c r="J1272" s="367"/>
      <c r="K1272" s="367"/>
      <c r="L1272" s="367">
        <v>151</v>
      </c>
      <c r="M1272" s="367"/>
      <c r="N1272" s="367">
        <v>23</v>
      </c>
      <c r="O1272" s="367"/>
      <c r="P1272" s="367">
        <v>29</v>
      </c>
      <c r="Q1272" s="367"/>
      <c r="R1272" s="367">
        <v>53</v>
      </c>
      <c r="S1272" s="367">
        <v>0.6</v>
      </c>
      <c r="T1272" s="367">
        <v>90</v>
      </c>
      <c r="U1272" s="367"/>
      <c r="V1272" s="367"/>
      <c r="W1272" s="367"/>
      <c r="X1272" s="367"/>
      <c r="Y1272" s="367"/>
      <c r="Z1272" s="367"/>
      <c r="AA1272" s="367">
        <v>0.48</v>
      </c>
      <c r="AB1272" s="367"/>
      <c r="AC1272" s="367">
        <v>0.24</v>
      </c>
    </row>
    <row r="1273" spans="1:29" ht="15" x14ac:dyDescent="0.25">
      <c r="A1273" s="365" t="s">
        <v>485</v>
      </c>
      <c r="H1273" s="366"/>
      <c r="J1273" s="367"/>
      <c r="K1273" s="367"/>
      <c r="L1273" s="367">
        <v>395</v>
      </c>
      <c r="M1273" s="367">
        <v>28</v>
      </c>
      <c r="N1273" s="367">
        <v>22</v>
      </c>
      <c r="O1273" s="367"/>
      <c r="P1273" s="367">
        <v>87</v>
      </c>
      <c r="Q1273" s="367"/>
      <c r="R1273" s="367">
        <v>200</v>
      </c>
      <c r="S1273" s="367"/>
      <c r="T1273" s="367"/>
      <c r="U1273" s="367"/>
      <c r="V1273" s="367"/>
      <c r="W1273" s="367"/>
      <c r="X1273" s="367"/>
      <c r="Y1273" s="367"/>
      <c r="Z1273" s="367"/>
      <c r="AA1273" s="367"/>
      <c r="AB1273" s="367"/>
      <c r="AC1273" s="367"/>
    </row>
    <row r="1274" spans="1:29" ht="15" x14ac:dyDescent="0.25">
      <c r="A1274" s="365" t="s">
        <v>486</v>
      </c>
      <c r="H1274" s="366"/>
      <c r="J1274" s="367"/>
      <c r="K1274" s="367"/>
      <c r="L1274" s="367"/>
      <c r="M1274" s="367"/>
      <c r="N1274" s="367"/>
      <c r="O1274" s="367"/>
      <c r="P1274" s="367">
        <v>87</v>
      </c>
      <c r="Q1274" s="367"/>
      <c r="R1274" s="367">
        <v>200</v>
      </c>
      <c r="S1274" s="367"/>
      <c r="T1274" s="367"/>
      <c r="U1274" s="367"/>
      <c r="V1274" s="367"/>
      <c r="W1274" s="367"/>
      <c r="X1274" s="367"/>
      <c r="Y1274" s="367"/>
      <c r="Z1274" s="367"/>
      <c r="AA1274" s="367"/>
      <c r="AB1274" s="367"/>
      <c r="AC1274" s="367"/>
    </row>
    <row r="1275" spans="1:29" ht="15" x14ac:dyDescent="0.25">
      <c r="A1275" s="365" t="s">
        <v>485</v>
      </c>
      <c r="H1275" s="366"/>
      <c r="J1275" s="367"/>
      <c r="K1275" s="367"/>
      <c r="L1275" s="367"/>
      <c r="M1275" s="367"/>
      <c r="N1275" s="367"/>
      <c r="O1275" s="367"/>
      <c r="P1275" s="367">
        <v>89</v>
      </c>
      <c r="Q1275" s="367"/>
      <c r="R1275" s="367">
        <v>200</v>
      </c>
      <c r="S1275" s="367"/>
      <c r="T1275" s="367"/>
      <c r="U1275" s="367"/>
      <c r="V1275" s="367"/>
      <c r="W1275" s="367"/>
      <c r="X1275" s="367"/>
      <c r="Y1275" s="367"/>
      <c r="Z1275" s="367"/>
      <c r="AA1275" s="367"/>
      <c r="AB1275" s="367"/>
      <c r="AC1275" s="367"/>
    </row>
    <row r="1276" spans="1:29" ht="15" x14ac:dyDescent="0.25">
      <c r="A1276" s="365" t="s">
        <v>484</v>
      </c>
      <c r="H1276" s="366"/>
      <c r="J1276" s="367"/>
      <c r="K1276" s="367"/>
      <c r="L1276" s="367">
        <v>385</v>
      </c>
      <c r="M1276" s="367">
        <v>27</v>
      </c>
      <c r="N1276" s="367">
        <v>22</v>
      </c>
      <c r="O1276" s="367"/>
      <c r="P1276" s="367">
        <v>88</v>
      </c>
      <c r="Q1276" s="367"/>
      <c r="R1276" s="367">
        <v>200</v>
      </c>
      <c r="S1276" s="367"/>
      <c r="T1276" s="367"/>
      <c r="U1276" s="367"/>
      <c r="V1276" s="367"/>
      <c r="W1276" s="367"/>
      <c r="X1276" s="367"/>
      <c r="Y1276" s="367"/>
      <c r="Z1276" s="367"/>
      <c r="AA1276" s="367"/>
      <c r="AB1276" s="367"/>
      <c r="AC1276" s="367"/>
    </row>
    <row r="1277" spans="1:29" ht="15" x14ac:dyDescent="0.25">
      <c r="A1277" s="365" t="s">
        <v>484</v>
      </c>
      <c r="H1277" s="366"/>
      <c r="J1277" s="367"/>
      <c r="K1277" s="367"/>
      <c r="L1277" s="367"/>
      <c r="M1277" s="367"/>
      <c r="N1277" s="367"/>
      <c r="O1277" s="367"/>
      <c r="P1277" s="367">
        <v>88</v>
      </c>
      <c r="Q1277" s="367"/>
      <c r="R1277" s="367"/>
      <c r="S1277" s="367"/>
      <c r="T1277" s="367">
        <v>200</v>
      </c>
      <c r="U1277" s="367"/>
      <c r="V1277" s="367"/>
      <c r="W1277" s="367"/>
      <c r="X1277" s="367"/>
      <c r="Y1277" s="367"/>
      <c r="Z1277" s="367"/>
      <c r="AA1277" s="367"/>
      <c r="AB1277" s="367"/>
      <c r="AC1277" s="367"/>
    </row>
    <row r="1278" spans="1:29" ht="15" x14ac:dyDescent="0.25">
      <c r="A1278" s="365" t="s">
        <v>483</v>
      </c>
      <c r="H1278" s="366"/>
      <c r="J1278" s="367"/>
      <c r="K1278" s="367"/>
      <c r="L1278" s="367"/>
      <c r="M1278" s="367"/>
      <c r="N1278" s="367"/>
      <c r="O1278" s="367"/>
      <c r="P1278" s="367">
        <v>89</v>
      </c>
      <c r="Q1278" s="367"/>
      <c r="R1278" s="367">
        <v>200</v>
      </c>
      <c r="S1278" s="367"/>
      <c r="T1278" s="367"/>
      <c r="U1278" s="367"/>
      <c r="V1278" s="367"/>
      <c r="W1278" s="367"/>
      <c r="X1278" s="367"/>
      <c r="Y1278" s="367"/>
      <c r="Z1278" s="367"/>
      <c r="AA1278" s="367"/>
      <c r="AB1278" s="367"/>
      <c r="AC1278" s="367"/>
    </row>
    <row r="1279" spans="1:29" ht="15" x14ac:dyDescent="0.25">
      <c r="A1279" s="365" t="s">
        <v>483</v>
      </c>
      <c r="H1279" s="366"/>
      <c r="J1279" s="367"/>
      <c r="K1279" s="367"/>
      <c r="L1279" s="367">
        <v>385</v>
      </c>
      <c r="M1279" s="367">
        <v>27</v>
      </c>
      <c r="N1279" s="367">
        <v>22</v>
      </c>
      <c r="O1279" s="367"/>
      <c r="P1279" s="367">
        <v>88</v>
      </c>
      <c r="Q1279" s="367"/>
      <c r="R1279" s="367">
        <v>200</v>
      </c>
      <c r="S1279" s="367"/>
      <c r="T1279" s="367"/>
      <c r="U1279" s="367"/>
      <c r="V1279" s="367"/>
      <c r="W1279" s="367"/>
      <c r="X1279" s="367"/>
      <c r="Y1279" s="367"/>
      <c r="Z1279" s="367"/>
      <c r="AA1279" s="367"/>
      <c r="AB1279" s="367"/>
      <c r="AC1279" s="367"/>
    </row>
    <row r="1280" spans="1:29" ht="15" x14ac:dyDescent="0.25">
      <c r="A1280" s="365" t="s">
        <v>485</v>
      </c>
      <c r="H1280" s="366"/>
      <c r="J1280" s="367"/>
      <c r="K1280" s="367"/>
      <c r="L1280" s="367">
        <v>395</v>
      </c>
      <c r="M1280" s="367">
        <v>28</v>
      </c>
      <c r="N1280" s="367">
        <v>22</v>
      </c>
      <c r="O1280" s="367"/>
      <c r="P1280" s="367">
        <v>87</v>
      </c>
      <c r="Q1280" s="367"/>
      <c r="R1280" s="367">
        <v>200</v>
      </c>
      <c r="S1280" s="367"/>
      <c r="T1280" s="367"/>
      <c r="U1280" s="367"/>
      <c r="V1280" s="367"/>
      <c r="W1280" s="367"/>
      <c r="X1280" s="367"/>
      <c r="Y1280" s="367"/>
      <c r="Z1280" s="367"/>
      <c r="AA1280" s="367"/>
      <c r="AB1280" s="367"/>
      <c r="AC1280" s="367"/>
    </row>
    <row r="1281" spans="1:29" ht="15" x14ac:dyDescent="0.25">
      <c r="A1281" s="365" t="s">
        <v>486</v>
      </c>
      <c r="H1281" s="366"/>
      <c r="J1281" s="367"/>
      <c r="K1281" s="367"/>
      <c r="L1281" s="367"/>
      <c r="M1281" s="367"/>
      <c r="N1281" s="367"/>
      <c r="O1281" s="367"/>
      <c r="P1281" s="367">
        <v>87</v>
      </c>
      <c r="Q1281" s="367"/>
      <c r="R1281" s="367">
        <v>200</v>
      </c>
      <c r="S1281" s="367"/>
      <c r="T1281" s="367"/>
      <c r="U1281" s="367"/>
      <c r="V1281" s="367"/>
      <c r="W1281" s="367"/>
      <c r="X1281" s="367"/>
      <c r="Y1281" s="367"/>
      <c r="Z1281" s="367"/>
      <c r="AA1281" s="367"/>
      <c r="AB1281" s="367"/>
      <c r="AC1281" s="367"/>
    </row>
    <row r="1282" spans="1:29" ht="15" x14ac:dyDescent="0.25">
      <c r="A1282" s="365" t="s">
        <v>485</v>
      </c>
      <c r="H1282" s="366"/>
      <c r="J1282" s="367"/>
      <c r="K1282" s="367"/>
      <c r="L1282" s="367"/>
      <c r="M1282" s="367"/>
      <c r="N1282" s="367"/>
      <c r="O1282" s="367"/>
      <c r="P1282" s="367">
        <v>89</v>
      </c>
      <c r="Q1282" s="367"/>
      <c r="R1282" s="367">
        <v>200</v>
      </c>
      <c r="S1282" s="367"/>
      <c r="T1282" s="367"/>
      <c r="U1282" s="367"/>
      <c r="V1282" s="367"/>
      <c r="W1282" s="367"/>
      <c r="X1282" s="367"/>
      <c r="Y1282" s="367"/>
      <c r="Z1282" s="367"/>
      <c r="AA1282" s="367"/>
      <c r="AB1282" s="367"/>
      <c r="AC1282" s="367"/>
    </row>
    <row r="1283" spans="1:29" ht="15" x14ac:dyDescent="0.25">
      <c r="A1283" s="365" t="s">
        <v>484</v>
      </c>
      <c r="H1283" s="366"/>
      <c r="J1283" s="367"/>
      <c r="K1283" s="367"/>
      <c r="L1283" s="367">
        <v>385</v>
      </c>
      <c r="M1283" s="367">
        <v>27</v>
      </c>
      <c r="N1283" s="367">
        <v>22</v>
      </c>
      <c r="O1283" s="367"/>
      <c r="P1283" s="367">
        <v>88</v>
      </c>
      <c r="Q1283" s="367"/>
      <c r="R1283" s="367">
        <v>200</v>
      </c>
      <c r="S1283" s="367"/>
      <c r="T1283" s="367"/>
      <c r="U1283" s="367"/>
      <c r="V1283" s="367"/>
      <c r="W1283" s="367"/>
      <c r="X1283" s="367"/>
      <c r="Y1283" s="367"/>
      <c r="Z1283" s="367"/>
      <c r="AA1283" s="367"/>
      <c r="AB1283" s="367"/>
      <c r="AC1283" s="367"/>
    </row>
    <row r="1284" spans="1:29" ht="15" x14ac:dyDescent="0.25">
      <c r="A1284" s="365" t="s">
        <v>484</v>
      </c>
      <c r="H1284" s="366"/>
      <c r="J1284" s="367"/>
      <c r="K1284" s="367"/>
      <c r="L1284" s="367"/>
      <c r="M1284" s="367"/>
      <c r="N1284" s="367"/>
      <c r="O1284" s="367"/>
      <c r="P1284" s="367">
        <v>88</v>
      </c>
      <c r="Q1284" s="367"/>
      <c r="R1284" s="367"/>
      <c r="S1284" s="367"/>
      <c r="T1284" s="367">
        <v>200</v>
      </c>
      <c r="U1284" s="367"/>
      <c r="V1284" s="367"/>
      <c r="W1284" s="367"/>
      <c r="X1284" s="367"/>
      <c r="Y1284" s="367"/>
      <c r="Z1284" s="367"/>
      <c r="AA1284" s="367"/>
      <c r="AB1284" s="367"/>
      <c r="AC1284" s="367"/>
    </row>
    <row r="1285" spans="1:29" ht="15" x14ac:dyDescent="0.25">
      <c r="A1285" s="365" t="s">
        <v>483</v>
      </c>
      <c r="H1285" s="366"/>
      <c r="J1285" s="367"/>
      <c r="K1285" s="367"/>
      <c r="L1285" s="367"/>
      <c r="M1285" s="367"/>
      <c r="N1285" s="367"/>
      <c r="O1285" s="367"/>
      <c r="P1285" s="367">
        <v>89</v>
      </c>
      <c r="Q1285" s="367"/>
      <c r="R1285" s="367">
        <v>200</v>
      </c>
      <c r="S1285" s="367"/>
      <c r="T1285" s="367"/>
      <c r="U1285" s="367"/>
      <c r="V1285" s="367"/>
      <c r="W1285" s="367"/>
      <c r="X1285" s="367"/>
      <c r="Y1285" s="367"/>
      <c r="Z1285" s="367"/>
      <c r="AA1285" s="367"/>
      <c r="AB1285" s="367"/>
      <c r="AC1285" s="367"/>
    </row>
    <row r="1286" spans="1:29" ht="15" x14ac:dyDescent="0.25">
      <c r="A1286" s="365" t="s">
        <v>483</v>
      </c>
      <c r="H1286" s="366"/>
      <c r="J1286" s="367"/>
      <c r="K1286" s="367"/>
      <c r="L1286" s="367">
        <v>385</v>
      </c>
      <c r="M1286" s="367">
        <v>27</v>
      </c>
      <c r="N1286" s="367">
        <v>22</v>
      </c>
      <c r="O1286" s="367"/>
      <c r="P1286" s="367">
        <v>88</v>
      </c>
      <c r="Q1286" s="367"/>
      <c r="R1286" s="367">
        <v>200</v>
      </c>
      <c r="S1286" s="367"/>
      <c r="T1286" s="367"/>
      <c r="U1286" s="367"/>
      <c r="V1286" s="367"/>
      <c r="W1286" s="367"/>
      <c r="X1286" s="367"/>
      <c r="Y1286" s="367"/>
      <c r="Z1286" s="367"/>
      <c r="AA1286" s="367"/>
      <c r="AB1286" s="367"/>
      <c r="AC1286" s="367"/>
    </row>
    <row r="1287" spans="1:29" ht="15" x14ac:dyDescent="0.25">
      <c r="A1287" s="365" t="s">
        <v>485</v>
      </c>
      <c r="H1287" s="366"/>
      <c r="J1287" s="367"/>
      <c r="K1287" s="367"/>
      <c r="L1287" s="367">
        <v>395</v>
      </c>
      <c r="M1287" s="367">
        <v>28</v>
      </c>
      <c r="N1287" s="367">
        <v>22</v>
      </c>
      <c r="O1287" s="367"/>
      <c r="P1287" s="367">
        <v>87</v>
      </c>
      <c r="Q1287" s="367"/>
      <c r="R1287" s="367">
        <v>200</v>
      </c>
      <c r="S1287" s="367"/>
      <c r="T1287" s="367"/>
    </row>
    <row r="1288" spans="1:29" ht="15" x14ac:dyDescent="0.25">
      <c r="A1288" s="365" t="s">
        <v>486</v>
      </c>
      <c r="H1288" s="366"/>
      <c r="J1288" s="367"/>
      <c r="K1288" s="367"/>
      <c r="L1288" s="367"/>
      <c r="M1288" s="367"/>
      <c r="N1288" s="367"/>
      <c r="O1288" s="367"/>
      <c r="P1288" s="367">
        <v>87</v>
      </c>
      <c r="Q1288" s="367"/>
      <c r="R1288" s="367">
        <v>200</v>
      </c>
      <c r="S1288" s="367"/>
      <c r="T1288" s="367"/>
    </row>
    <row r="1289" spans="1:29" ht="15" x14ac:dyDescent="0.25">
      <c r="A1289" s="365" t="s">
        <v>485</v>
      </c>
      <c r="H1289" s="366"/>
      <c r="J1289" s="367"/>
      <c r="K1289" s="367"/>
      <c r="L1289" s="367"/>
      <c r="M1289" s="367"/>
      <c r="N1289" s="367"/>
      <c r="O1289" s="367"/>
      <c r="P1289" s="367">
        <v>89</v>
      </c>
      <c r="Q1289" s="367"/>
      <c r="R1289" s="367">
        <v>200</v>
      </c>
      <c r="S1289" s="367"/>
      <c r="T1289" s="367"/>
    </row>
    <row r="1290" spans="1:29" ht="15" x14ac:dyDescent="0.25">
      <c r="A1290" s="365" t="s">
        <v>484</v>
      </c>
      <c r="H1290" s="366"/>
      <c r="J1290" s="367"/>
      <c r="K1290" s="367"/>
      <c r="L1290" s="367">
        <v>385</v>
      </c>
      <c r="M1290" s="367">
        <v>27</v>
      </c>
      <c r="N1290" s="367">
        <v>22</v>
      </c>
      <c r="O1290" s="367"/>
      <c r="P1290" s="367">
        <v>88</v>
      </c>
      <c r="Q1290" s="367"/>
      <c r="R1290" s="367">
        <v>200</v>
      </c>
      <c r="S1290" s="367"/>
      <c r="T1290" s="367"/>
    </row>
    <row r="1291" spans="1:29" ht="15" x14ac:dyDescent="0.25">
      <c r="A1291" s="365" t="s">
        <v>484</v>
      </c>
      <c r="H1291" s="366"/>
      <c r="J1291" s="367"/>
      <c r="K1291" s="367"/>
      <c r="L1291" s="367"/>
      <c r="M1291" s="367"/>
      <c r="N1291" s="367"/>
      <c r="O1291" s="367"/>
      <c r="P1291" s="367">
        <v>88</v>
      </c>
      <c r="Q1291" s="367"/>
      <c r="R1291" s="367"/>
      <c r="S1291" s="367"/>
      <c r="T1291" s="367">
        <v>200</v>
      </c>
    </row>
    <row r="1292" spans="1:29" ht="15" x14ac:dyDescent="0.25">
      <c r="A1292" s="365" t="s">
        <v>483</v>
      </c>
      <c r="H1292" s="366"/>
      <c r="J1292" s="367"/>
      <c r="K1292" s="367"/>
      <c r="L1292" s="367"/>
      <c r="M1292" s="367"/>
      <c r="N1292" s="367"/>
      <c r="O1292" s="367"/>
      <c r="P1292" s="367">
        <v>89</v>
      </c>
      <c r="Q1292" s="367"/>
      <c r="R1292" s="367">
        <v>200</v>
      </c>
      <c r="S1292" s="367"/>
      <c r="T1292" s="367"/>
    </row>
    <row r="1293" spans="1:29" ht="15" x14ac:dyDescent="0.25">
      <c r="A1293" s="365" t="s">
        <v>483</v>
      </c>
      <c r="H1293" s="366"/>
      <c r="J1293" s="367"/>
      <c r="K1293" s="367"/>
      <c r="L1293" s="367">
        <v>385</v>
      </c>
      <c r="M1293" s="367">
        <v>27</v>
      </c>
      <c r="N1293" s="367">
        <v>22</v>
      </c>
      <c r="O1293" s="367"/>
      <c r="P1293" s="367">
        <v>88</v>
      </c>
      <c r="Q1293" s="367"/>
      <c r="R1293" s="367">
        <v>200</v>
      </c>
      <c r="S1293" s="367"/>
      <c r="T1293" s="367"/>
    </row>
    <row r="1294" spans="1:29" ht="15" x14ac:dyDescent="0.25">
      <c r="A1294" s="365" t="s">
        <v>485</v>
      </c>
      <c r="H1294" s="366"/>
      <c r="J1294" s="367"/>
      <c r="K1294" s="367"/>
      <c r="L1294" s="367">
        <v>395</v>
      </c>
      <c r="M1294" s="367">
        <v>28</v>
      </c>
      <c r="N1294" s="367">
        <v>22</v>
      </c>
      <c r="O1294" s="367"/>
      <c r="P1294" s="367">
        <v>87</v>
      </c>
      <c r="Q1294" s="367"/>
      <c r="R1294" s="367">
        <v>200</v>
      </c>
      <c r="S1294" s="367"/>
      <c r="T1294" s="367"/>
    </row>
    <row r="1295" spans="1:29" ht="15" x14ac:dyDescent="0.25">
      <c r="A1295" s="365" t="s">
        <v>486</v>
      </c>
      <c r="H1295" s="366"/>
      <c r="J1295" s="367"/>
      <c r="K1295" s="367"/>
      <c r="L1295" s="367"/>
      <c r="M1295" s="367"/>
      <c r="N1295" s="367"/>
      <c r="O1295" s="367"/>
      <c r="P1295" s="367">
        <v>87</v>
      </c>
      <c r="Q1295" s="367"/>
      <c r="R1295" s="367">
        <v>200</v>
      </c>
      <c r="S1295" s="367"/>
      <c r="T1295" s="367"/>
    </row>
    <row r="1296" spans="1:29" ht="15" x14ac:dyDescent="0.25">
      <c r="A1296" s="365" t="s">
        <v>485</v>
      </c>
      <c r="H1296" s="366"/>
      <c r="J1296" s="367"/>
      <c r="K1296" s="367"/>
      <c r="L1296" s="367"/>
      <c r="M1296" s="367"/>
      <c r="N1296" s="367"/>
      <c r="O1296" s="367"/>
      <c r="P1296" s="367">
        <v>89</v>
      </c>
      <c r="Q1296" s="367"/>
      <c r="R1296" s="367">
        <v>200</v>
      </c>
      <c r="S1296" s="367"/>
      <c r="T1296" s="367"/>
    </row>
    <row r="1297" spans="1:29" ht="15" x14ac:dyDescent="0.25">
      <c r="A1297" s="365" t="s">
        <v>484</v>
      </c>
      <c r="H1297" s="366"/>
      <c r="J1297" s="367"/>
      <c r="K1297" s="367"/>
      <c r="L1297" s="367">
        <v>385</v>
      </c>
      <c r="M1297" s="367">
        <v>27</v>
      </c>
      <c r="N1297" s="367">
        <v>22</v>
      </c>
      <c r="O1297" s="367"/>
      <c r="P1297" s="367">
        <v>88</v>
      </c>
      <c r="Q1297" s="367"/>
      <c r="R1297" s="367">
        <v>200</v>
      </c>
      <c r="S1297" s="367"/>
      <c r="T1297" s="367"/>
    </row>
    <row r="1298" spans="1:29" ht="15" x14ac:dyDescent="0.25">
      <c r="A1298" s="365" t="s">
        <v>484</v>
      </c>
      <c r="H1298" s="366"/>
      <c r="J1298" s="367"/>
      <c r="K1298" s="367"/>
      <c r="L1298" s="367"/>
      <c r="M1298" s="367"/>
      <c r="N1298" s="367"/>
      <c r="O1298" s="367"/>
      <c r="P1298" s="367">
        <v>88</v>
      </c>
      <c r="Q1298" s="367"/>
      <c r="R1298" s="367"/>
      <c r="S1298" s="367"/>
      <c r="T1298" s="367">
        <v>200</v>
      </c>
    </row>
    <row r="1299" spans="1:29" ht="15" x14ac:dyDescent="0.25">
      <c r="A1299" s="365" t="s">
        <v>483</v>
      </c>
      <c r="H1299" s="366"/>
      <c r="J1299" s="367"/>
      <c r="K1299" s="367"/>
      <c r="L1299" s="367"/>
      <c r="M1299" s="367"/>
      <c r="N1299" s="367"/>
      <c r="O1299" s="367"/>
      <c r="P1299" s="367">
        <v>89</v>
      </c>
      <c r="Q1299" s="367"/>
      <c r="R1299" s="367">
        <v>200</v>
      </c>
      <c r="S1299" s="367"/>
      <c r="T1299" s="367"/>
    </row>
    <row r="1300" spans="1:29" ht="15" x14ac:dyDescent="0.25">
      <c r="A1300" s="365" t="s">
        <v>483</v>
      </c>
      <c r="H1300" s="366"/>
      <c r="J1300" s="367"/>
      <c r="K1300" s="367"/>
      <c r="L1300" s="367">
        <v>385</v>
      </c>
      <c r="M1300" s="367">
        <v>27</v>
      </c>
      <c r="N1300" s="367">
        <v>22</v>
      </c>
      <c r="O1300" s="367"/>
      <c r="P1300" s="367">
        <v>88</v>
      </c>
      <c r="Q1300" s="367"/>
      <c r="R1300" s="367">
        <v>200</v>
      </c>
      <c r="S1300" s="367"/>
      <c r="T1300" s="367"/>
    </row>
    <row r="1301" spans="1:29" ht="15" x14ac:dyDescent="0.25">
      <c r="A1301" s="365" t="s">
        <v>485</v>
      </c>
      <c r="H1301" s="366"/>
      <c r="J1301" s="367"/>
      <c r="K1301" s="367"/>
      <c r="L1301" s="367">
        <v>395</v>
      </c>
      <c r="M1301" s="367">
        <v>28</v>
      </c>
      <c r="N1301" s="367">
        <v>22</v>
      </c>
      <c r="O1301" s="367"/>
      <c r="P1301" s="367">
        <v>87</v>
      </c>
      <c r="Q1301" s="367"/>
      <c r="R1301" s="367">
        <v>200</v>
      </c>
      <c r="S1301" s="367"/>
      <c r="T1301" s="367"/>
    </row>
    <row r="1302" spans="1:29" ht="15" x14ac:dyDescent="0.25">
      <c r="A1302" s="365" t="s">
        <v>486</v>
      </c>
      <c r="H1302" s="366"/>
      <c r="J1302" s="367"/>
      <c r="K1302" s="367"/>
      <c r="L1302" s="367"/>
      <c r="M1302" s="367"/>
      <c r="N1302" s="367"/>
      <c r="O1302" s="367"/>
      <c r="P1302" s="367">
        <v>87</v>
      </c>
      <c r="Q1302" s="367"/>
      <c r="R1302" s="367">
        <v>200</v>
      </c>
      <c r="S1302" s="367"/>
      <c r="T1302" s="367"/>
    </row>
    <row r="1303" spans="1:29" ht="15" x14ac:dyDescent="0.25">
      <c r="A1303" s="365" t="s">
        <v>485</v>
      </c>
      <c r="H1303" s="366"/>
      <c r="J1303" s="367"/>
      <c r="K1303" s="367"/>
      <c r="L1303" s="367"/>
      <c r="M1303" s="367"/>
      <c r="N1303" s="367"/>
      <c r="O1303" s="367"/>
      <c r="P1303" s="367">
        <v>89</v>
      </c>
      <c r="Q1303" s="367"/>
      <c r="R1303" s="367">
        <v>200</v>
      </c>
      <c r="S1303" s="367"/>
      <c r="T1303" s="367"/>
      <c r="U1303" s="367"/>
      <c r="V1303" s="367"/>
      <c r="W1303" s="367"/>
      <c r="X1303" s="367"/>
      <c r="Y1303" s="367"/>
      <c r="Z1303" s="367"/>
      <c r="AA1303" s="367"/>
      <c r="AB1303" s="367"/>
      <c r="AC1303" s="367"/>
    </row>
    <row r="1304" spans="1:29" ht="15" x14ac:dyDescent="0.25">
      <c r="A1304" s="365" t="s">
        <v>484</v>
      </c>
      <c r="H1304" s="366"/>
      <c r="J1304" s="367"/>
      <c r="K1304" s="367"/>
      <c r="L1304" s="367">
        <v>385</v>
      </c>
      <c r="M1304" s="367">
        <v>27</v>
      </c>
      <c r="N1304" s="367">
        <v>22</v>
      </c>
      <c r="O1304" s="367"/>
      <c r="P1304" s="367">
        <v>88</v>
      </c>
      <c r="Q1304" s="367"/>
      <c r="R1304" s="367">
        <v>200</v>
      </c>
      <c r="S1304" s="367"/>
      <c r="T1304" s="367"/>
      <c r="U1304" s="367"/>
      <c r="V1304" s="367"/>
      <c r="W1304" s="367"/>
      <c r="X1304" s="367"/>
      <c r="Y1304" s="367"/>
      <c r="Z1304" s="367"/>
      <c r="AA1304" s="367"/>
      <c r="AB1304" s="367"/>
      <c r="AC1304" s="367"/>
    </row>
    <row r="1305" spans="1:29" ht="15" x14ac:dyDescent="0.25">
      <c r="A1305" s="365" t="s">
        <v>484</v>
      </c>
      <c r="H1305" s="366"/>
      <c r="J1305" s="367"/>
      <c r="K1305" s="367"/>
      <c r="L1305" s="367"/>
      <c r="M1305" s="367"/>
      <c r="N1305" s="367"/>
      <c r="O1305" s="367"/>
      <c r="P1305" s="367">
        <v>88</v>
      </c>
      <c r="Q1305" s="367"/>
      <c r="R1305" s="367"/>
      <c r="S1305" s="367"/>
      <c r="T1305" s="367">
        <v>200</v>
      </c>
      <c r="U1305" s="367"/>
      <c r="V1305" s="367"/>
      <c r="W1305" s="367"/>
      <c r="X1305" s="367"/>
      <c r="Y1305" s="367"/>
      <c r="Z1305" s="367"/>
      <c r="AA1305" s="367"/>
      <c r="AB1305" s="367"/>
      <c r="AC1305" s="367"/>
    </row>
    <row r="1306" spans="1:29" ht="15" x14ac:dyDescent="0.25">
      <c r="A1306" s="365" t="s">
        <v>483</v>
      </c>
      <c r="H1306" s="366"/>
      <c r="J1306" s="367"/>
      <c r="K1306" s="367"/>
      <c r="L1306" s="367"/>
      <c r="M1306" s="367"/>
      <c r="N1306" s="367"/>
      <c r="O1306" s="367"/>
      <c r="P1306" s="367">
        <v>89</v>
      </c>
      <c r="Q1306" s="367"/>
      <c r="R1306" s="367">
        <v>200</v>
      </c>
      <c r="S1306" s="367"/>
      <c r="T1306" s="367"/>
      <c r="U1306" s="367"/>
      <c r="V1306" s="367"/>
      <c r="W1306" s="367"/>
      <c r="X1306" s="367"/>
      <c r="Y1306" s="367"/>
      <c r="Z1306" s="367"/>
      <c r="AA1306" s="367"/>
      <c r="AB1306" s="367"/>
      <c r="AC1306" s="367"/>
    </row>
    <row r="1307" spans="1:29" ht="15" x14ac:dyDescent="0.25">
      <c r="A1307" s="365" t="s">
        <v>483</v>
      </c>
      <c r="H1307" s="366"/>
      <c r="J1307" s="367"/>
      <c r="K1307" s="367"/>
      <c r="L1307" s="367">
        <v>385</v>
      </c>
      <c r="M1307" s="367">
        <v>27</v>
      </c>
      <c r="N1307" s="367">
        <v>22</v>
      </c>
      <c r="O1307" s="367"/>
      <c r="P1307" s="367">
        <v>88</v>
      </c>
      <c r="Q1307" s="367"/>
      <c r="R1307" s="367">
        <v>200</v>
      </c>
      <c r="S1307" s="367"/>
      <c r="T1307" s="367"/>
      <c r="U1307" s="367"/>
      <c r="V1307" s="367"/>
      <c r="W1307" s="367"/>
      <c r="X1307" s="367"/>
      <c r="Y1307" s="367"/>
      <c r="Z1307" s="367"/>
      <c r="AA1307" s="367"/>
      <c r="AB1307" s="367"/>
      <c r="AC1307" s="367"/>
    </row>
    <row r="1308" spans="1:29" ht="15" x14ac:dyDescent="0.25">
      <c r="A1308" s="365" t="s">
        <v>363</v>
      </c>
      <c r="H1308" s="366">
        <v>73.5</v>
      </c>
      <c r="J1308" s="367"/>
      <c r="K1308" s="367"/>
      <c r="L1308" s="367">
        <v>223</v>
      </c>
      <c r="M1308" s="367">
        <v>5</v>
      </c>
      <c r="N1308" s="367">
        <v>78</v>
      </c>
      <c r="O1308" s="367"/>
      <c r="P1308" s="367">
        <v>68</v>
      </c>
      <c r="Q1308" s="367"/>
      <c r="R1308" s="367">
        <v>141</v>
      </c>
      <c r="S1308" s="367">
        <v>1.9</v>
      </c>
      <c r="T1308" s="367">
        <v>365</v>
      </c>
      <c r="U1308" s="367"/>
      <c r="V1308" s="367"/>
      <c r="W1308" s="367"/>
      <c r="X1308" s="367"/>
      <c r="Y1308" s="367"/>
      <c r="Z1308" s="367"/>
      <c r="AA1308" s="367">
        <v>0.71</v>
      </c>
      <c r="AB1308" s="367"/>
      <c r="AC1308" s="367">
        <v>0.28000000000000003</v>
      </c>
    </row>
    <row r="1309" spans="1:29" ht="15" x14ac:dyDescent="0.25">
      <c r="A1309" s="365" t="s">
        <v>487</v>
      </c>
      <c r="H1309" s="366">
        <v>76</v>
      </c>
      <c r="J1309" s="367"/>
      <c r="K1309" s="367"/>
      <c r="L1309" s="367">
        <v>230</v>
      </c>
      <c r="M1309" s="367">
        <v>5.2</v>
      </c>
      <c r="N1309" s="367">
        <v>44</v>
      </c>
      <c r="O1309" s="367"/>
      <c r="P1309" s="367">
        <v>87</v>
      </c>
      <c r="Q1309" s="367"/>
      <c r="R1309" s="367">
        <v>120</v>
      </c>
      <c r="S1309" s="367">
        <v>1.9</v>
      </c>
      <c r="T1309" s="367">
        <v>400</v>
      </c>
      <c r="U1309" s="367"/>
      <c r="V1309" s="367"/>
      <c r="W1309" s="367"/>
      <c r="X1309" s="367"/>
      <c r="Y1309" s="367"/>
      <c r="Z1309" s="367"/>
      <c r="AA1309" s="367"/>
      <c r="AB1309" s="367"/>
      <c r="AC1309" s="367">
        <v>-0.06</v>
      </c>
    </row>
    <row r="1310" spans="1:29" ht="15" x14ac:dyDescent="0.25">
      <c r="A1310" s="365" t="s">
        <v>487</v>
      </c>
      <c r="H1310" s="366">
        <v>46</v>
      </c>
      <c r="J1310" s="367"/>
      <c r="K1310" s="367"/>
      <c r="L1310" s="367">
        <v>235</v>
      </c>
      <c r="M1310" s="367">
        <v>5.4</v>
      </c>
      <c r="N1310" s="367">
        <v>48</v>
      </c>
      <c r="O1310" s="367"/>
      <c r="P1310" s="367">
        <v>80</v>
      </c>
      <c r="Q1310" s="367"/>
      <c r="R1310" s="367">
        <v>120</v>
      </c>
      <c r="S1310" s="367">
        <v>1.9</v>
      </c>
      <c r="T1310" s="367">
        <v>390</v>
      </c>
      <c r="U1310" s="367"/>
      <c r="V1310" s="367"/>
      <c r="W1310" s="367"/>
      <c r="X1310" s="367"/>
      <c r="Y1310" s="367"/>
      <c r="Z1310" s="367"/>
      <c r="AA1310" s="367"/>
      <c r="AB1310" s="367"/>
      <c r="AC1310" s="367">
        <v>-0.02</v>
      </c>
    </row>
    <row r="1311" spans="1:29" ht="15" x14ac:dyDescent="0.25">
      <c r="A1311" s="365" t="s">
        <v>363</v>
      </c>
      <c r="H1311" s="366">
        <v>73.5</v>
      </c>
      <c r="J1311" s="367"/>
      <c r="K1311" s="367"/>
      <c r="L1311" s="367">
        <v>223</v>
      </c>
      <c r="M1311" s="367">
        <v>5</v>
      </c>
      <c r="N1311" s="367">
        <v>78</v>
      </c>
      <c r="O1311" s="367"/>
      <c r="P1311" s="367">
        <v>68</v>
      </c>
      <c r="Q1311" s="367"/>
      <c r="R1311" s="367">
        <v>141</v>
      </c>
      <c r="S1311" s="367">
        <v>1.9</v>
      </c>
      <c r="T1311" s="367">
        <v>365</v>
      </c>
      <c r="U1311" s="367"/>
      <c r="V1311" s="367"/>
      <c r="W1311" s="367"/>
      <c r="X1311" s="367"/>
      <c r="Y1311" s="367"/>
      <c r="Z1311" s="367"/>
      <c r="AA1311" s="367">
        <v>0.71</v>
      </c>
      <c r="AB1311" s="367"/>
      <c r="AC1311" s="367">
        <v>0.28000000000000003</v>
      </c>
    </row>
    <row r="1312" spans="1:29" ht="15" x14ac:dyDescent="0.25">
      <c r="A1312" s="365" t="s">
        <v>487</v>
      </c>
      <c r="H1312" s="366">
        <v>76</v>
      </c>
      <c r="J1312" s="367"/>
      <c r="K1312" s="367"/>
      <c r="L1312" s="367">
        <v>230</v>
      </c>
      <c r="M1312" s="367">
        <v>5.2</v>
      </c>
      <c r="N1312" s="367">
        <v>44</v>
      </c>
      <c r="O1312" s="367"/>
      <c r="P1312" s="367">
        <v>87</v>
      </c>
      <c r="Q1312" s="367"/>
      <c r="R1312" s="367">
        <v>120</v>
      </c>
      <c r="S1312" s="367">
        <v>1.9</v>
      </c>
      <c r="T1312" s="367">
        <v>400</v>
      </c>
      <c r="U1312" s="367"/>
      <c r="V1312" s="367"/>
      <c r="W1312" s="367"/>
      <c r="X1312" s="367"/>
      <c r="Y1312" s="367"/>
      <c r="Z1312" s="367"/>
      <c r="AA1312" s="367"/>
      <c r="AB1312" s="367"/>
      <c r="AC1312" s="367">
        <v>-0.06</v>
      </c>
    </row>
    <row r="1313" spans="1:29" ht="15" x14ac:dyDescent="0.25">
      <c r="A1313" s="365" t="s">
        <v>487</v>
      </c>
      <c r="H1313" s="366">
        <v>46</v>
      </c>
      <c r="J1313" s="367"/>
      <c r="K1313" s="367"/>
      <c r="L1313" s="367">
        <v>235</v>
      </c>
      <c r="M1313" s="367">
        <v>5.4</v>
      </c>
      <c r="N1313" s="367">
        <v>48</v>
      </c>
      <c r="O1313" s="367"/>
      <c r="P1313" s="367">
        <v>80</v>
      </c>
      <c r="Q1313" s="367"/>
      <c r="R1313" s="367">
        <v>120</v>
      </c>
      <c r="S1313" s="367">
        <v>1.9</v>
      </c>
      <c r="T1313" s="367">
        <v>390</v>
      </c>
      <c r="U1313" s="367"/>
      <c r="V1313" s="367"/>
      <c r="W1313" s="367"/>
      <c r="X1313" s="367"/>
      <c r="Y1313" s="367"/>
      <c r="Z1313" s="367"/>
      <c r="AA1313" s="367"/>
      <c r="AB1313" s="367"/>
      <c r="AC1313" s="367">
        <v>-0.02</v>
      </c>
    </row>
    <row r="1314" spans="1:29" ht="15" x14ac:dyDescent="0.25">
      <c r="A1314" s="365" t="s">
        <v>488</v>
      </c>
      <c r="H1314" s="366"/>
      <c r="J1314" s="367"/>
      <c r="K1314" s="367"/>
      <c r="L1314" s="367">
        <v>470</v>
      </c>
      <c r="M1314" s="367">
        <v>21</v>
      </c>
      <c r="N1314" s="367">
        <v>55</v>
      </c>
      <c r="O1314" s="367"/>
      <c r="P1314" s="367">
        <v>160</v>
      </c>
      <c r="Q1314" s="367"/>
      <c r="R1314" s="367">
        <v>200</v>
      </c>
      <c r="S1314" s="367">
        <v>5.4</v>
      </c>
      <c r="T1314" s="367">
        <v>82</v>
      </c>
      <c r="U1314" s="367"/>
      <c r="V1314" s="367"/>
      <c r="W1314" s="367"/>
      <c r="X1314" s="367"/>
      <c r="Y1314" s="367"/>
      <c r="Z1314" s="367"/>
      <c r="AA1314" s="367"/>
      <c r="AB1314" s="367"/>
      <c r="AC1314" s="367"/>
    </row>
    <row r="1315" spans="1:29" ht="15" x14ac:dyDescent="0.25">
      <c r="A1315" s="365" t="s">
        <v>489</v>
      </c>
      <c r="H1315" s="366">
        <v>44</v>
      </c>
      <c r="J1315" s="367"/>
      <c r="K1315" s="367"/>
      <c r="L1315" s="367">
        <v>210</v>
      </c>
      <c r="M1315" s="367">
        <v>21</v>
      </c>
      <c r="N1315" s="367">
        <v>62</v>
      </c>
      <c r="O1315" s="367"/>
      <c r="P1315" s="367">
        <v>45</v>
      </c>
      <c r="Q1315" s="367"/>
      <c r="R1315" s="367">
        <v>65</v>
      </c>
      <c r="S1315" s="367">
        <v>5.2</v>
      </c>
      <c r="T1315" s="367">
        <v>250</v>
      </c>
      <c r="U1315" s="367"/>
      <c r="V1315" s="367"/>
      <c r="W1315" s="367"/>
      <c r="X1315" s="367"/>
      <c r="Y1315" s="367"/>
      <c r="Z1315" s="367"/>
      <c r="AA1315" s="367"/>
      <c r="AB1315" s="367"/>
      <c r="AC1315" s="367">
        <v>-0.02</v>
      </c>
    </row>
    <row r="1316" spans="1:29" ht="15" x14ac:dyDescent="0.25">
      <c r="A1316" s="365" t="s">
        <v>490</v>
      </c>
      <c r="H1316" s="366"/>
      <c r="J1316" s="367"/>
      <c r="K1316" s="367"/>
      <c r="L1316" s="367">
        <v>1300</v>
      </c>
      <c r="M1316" s="367">
        <v>40</v>
      </c>
      <c r="N1316" s="367">
        <v>8</v>
      </c>
      <c r="O1316" s="367"/>
      <c r="P1316" s="367">
        <v>120</v>
      </c>
      <c r="Q1316" s="367"/>
      <c r="R1316" s="367">
        <v>738</v>
      </c>
      <c r="S1316" s="367"/>
      <c r="T1316" s="367">
        <v>1170</v>
      </c>
      <c r="U1316" s="367"/>
      <c r="V1316" s="367"/>
      <c r="W1316" s="367"/>
      <c r="X1316" s="367"/>
      <c r="Y1316" s="367"/>
      <c r="Z1316" s="367"/>
      <c r="AA1316" s="367"/>
      <c r="AB1316" s="367"/>
      <c r="AC1316" s="367"/>
    </row>
    <row r="1317" spans="1:29" ht="15" x14ac:dyDescent="0.25">
      <c r="A1317" s="365" t="s">
        <v>405</v>
      </c>
      <c r="H1317" s="366"/>
      <c r="J1317" s="367"/>
      <c r="K1317" s="367"/>
      <c r="L1317" s="367">
        <v>9500</v>
      </c>
      <c r="M1317" s="367">
        <v>630</v>
      </c>
      <c r="N1317" s="367">
        <v>1.7</v>
      </c>
      <c r="O1317" s="367"/>
      <c r="P1317" s="367">
        <v>205</v>
      </c>
      <c r="Q1317" s="367"/>
      <c r="R1317" s="367">
        <v>12900</v>
      </c>
      <c r="S1317" s="367"/>
      <c r="T1317" s="367">
        <v>46</v>
      </c>
      <c r="U1317" s="367"/>
      <c r="V1317" s="367"/>
      <c r="W1317" s="367"/>
      <c r="X1317" s="367"/>
      <c r="Y1317" s="367"/>
      <c r="Z1317" s="367"/>
      <c r="AA1317" s="367">
        <v>0.5</v>
      </c>
      <c r="AB1317" s="367"/>
      <c r="AC1317" s="367">
        <v>0.12</v>
      </c>
    </row>
    <row r="1318" spans="1:29" ht="15" x14ac:dyDescent="0.25">
      <c r="A1318" s="365" t="s">
        <v>491</v>
      </c>
      <c r="H1318" s="366"/>
      <c r="J1318" s="367"/>
      <c r="K1318" s="367"/>
      <c r="L1318" s="367">
        <v>10000</v>
      </c>
      <c r="M1318" s="367">
        <v>460</v>
      </c>
      <c r="N1318" s="367">
        <v>2.2000000000000002</v>
      </c>
      <c r="O1318" s="367"/>
      <c r="P1318" s="367">
        <v>78</v>
      </c>
      <c r="Q1318" s="367"/>
      <c r="R1318" s="367">
        <v>11200</v>
      </c>
      <c r="S1318" s="367"/>
      <c r="T1318" s="367">
        <v>153</v>
      </c>
      <c r="U1318" s="367"/>
      <c r="V1318" s="367"/>
      <c r="W1318" s="367"/>
      <c r="X1318" s="367"/>
      <c r="Y1318" s="367"/>
      <c r="Z1318" s="367"/>
      <c r="AA1318" s="367">
        <v>1.3</v>
      </c>
      <c r="AB1318" s="367"/>
      <c r="AC1318" s="367">
        <v>0.14000000000000001</v>
      </c>
    </row>
    <row r="1319" spans="1:29" ht="15" x14ac:dyDescent="0.25">
      <c r="A1319" s="365" t="s">
        <v>492</v>
      </c>
      <c r="H1319" s="366"/>
      <c r="J1319" s="367"/>
      <c r="K1319" s="367"/>
      <c r="L1319" s="367">
        <v>49700</v>
      </c>
      <c r="M1319" s="367">
        <v>7400</v>
      </c>
      <c r="N1319" s="367">
        <v>23000</v>
      </c>
      <c r="O1319" s="367"/>
      <c r="P1319" s="367">
        <v>680</v>
      </c>
      <c r="Q1319" s="367"/>
      <c r="R1319" s="367">
        <v>132000</v>
      </c>
      <c r="S1319" s="367"/>
      <c r="T1319" s="367">
        <v>6400</v>
      </c>
    </row>
    <row r="1320" spans="1:29" ht="15" x14ac:dyDescent="0.25">
      <c r="A1320" s="365" t="s">
        <v>496</v>
      </c>
      <c r="H1320" s="366"/>
      <c r="J1320" s="367"/>
      <c r="K1320" s="367"/>
      <c r="L1320" s="367">
        <v>762</v>
      </c>
      <c r="M1320" s="367">
        <v>114</v>
      </c>
      <c r="N1320" s="367">
        <v>87</v>
      </c>
      <c r="O1320" s="367"/>
      <c r="P1320" s="367">
        <v>5</v>
      </c>
      <c r="Q1320" s="367"/>
      <c r="R1320" s="367">
        <v>1950</v>
      </c>
      <c r="S1320" s="367"/>
      <c r="T1320" s="367">
        <v>15</v>
      </c>
    </row>
    <row r="1321" spans="1:29" ht="15" x14ac:dyDescent="0.25">
      <c r="A1321" s="365" t="s">
        <v>495</v>
      </c>
      <c r="H1321" s="366"/>
      <c r="J1321" s="367"/>
      <c r="K1321" s="367"/>
      <c r="L1321" s="367">
        <v>290</v>
      </c>
      <c r="M1321" s="367">
        <v>34.700000000000003</v>
      </c>
      <c r="N1321" s="367">
        <v>36</v>
      </c>
      <c r="O1321" s="367"/>
      <c r="P1321" s="367">
        <v>-5</v>
      </c>
      <c r="Q1321" s="367"/>
      <c r="R1321" s="367">
        <v>788</v>
      </c>
      <c r="S1321" s="367"/>
      <c r="T1321" s="367">
        <v>4</v>
      </c>
    </row>
    <row r="1322" spans="1:29" ht="15" x14ac:dyDescent="0.25">
      <c r="A1322" s="365" t="s">
        <v>494</v>
      </c>
      <c r="H1322" s="366"/>
      <c r="J1322" s="367"/>
      <c r="K1322" s="367"/>
      <c r="L1322" s="367">
        <v>54000</v>
      </c>
      <c r="M1322" s="367">
        <v>8800</v>
      </c>
      <c r="N1322" s="367">
        <v>24000</v>
      </c>
      <c r="O1322" s="367"/>
      <c r="P1322" s="367">
        <v>380</v>
      </c>
      <c r="Q1322" s="367"/>
      <c r="R1322" s="367">
        <v>142000</v>
      </c>
      <c r="S1322" s="367"/>
      <c r="T1322" s="367"/>
    </row>
    <row r="1323" spans="1:29" ht="15" x14ac:dyDescent="0.25">
      <c r="A1323" s="365" t="s">
        <v>493</v>
      </c>
      <c r="H1323" s="366"/>
      <c r="J1323" s="367"/>
      <c r="K1323" s="367"/>
      <c r="L1323" s="367">
        <v>50600</v>
      </c>
      <c r="M1323" s="367">
        <v>7000</v>
      </c>
      <c r="N1323" s="367">
        <v>22000</v>
      </c>
      <c r="O1323" s="367"/>
      <c r="P1323" s="367"/>
      <c r="Q1323" s="367"/>
      <c r="R1323" s="367">
        <v>128000</v>
      </c>
      <c r="S1323" s="367"/>
      <c r="T1323" s="367">
        <v>6400</v>
      </c>
    </row>
    <row r="1324" spans="1:29" ht="15" x14ac:dyDescent="0.25">
      <c r="A1324" s="365" t="s">
        <v>963</v>
      </c>
      <c r="H1324" s="366">
        <v>265</v>
      </c>
      <c r="J1324" s="367"/>
      <c r="K1324" s="367"/>
      <c r="L1324" s="367">
        <v>47300</v>
      </c>
      <c r="M1324" s="367">
        <v>7960</v>
      </c>
      <c r="N1324" s="367">
        <v>23600</v>
      </c>
      <c r="O1324" s="367"/>
      <c r="P1324" s="367">
        <v>435</v>
      </c>
      <c r="Q1324" s="367"/>
      <c r="R1324" s="367">
        <v>123389</v>
      </c>
      <c r="S1324" s="367">
        <v>12</v>
      </c>
      <c r="T1324" s="367">
        <v>10</v>
      </c>
    </row>
    <row r="1325" spans="1:29" ht="15" x14ac:dyDescent="0.25">
      <c r="A1325" s="365" t="s">
        <v>492</v>
      </c>
      <c r="H1325" s="366"/>
      <c r="J1325" s="367"/>
      <c r="K1325" s="367"/>
      <c r="L1325" s="367">
        <v>49700</v>
      </c>
      <c r="M1325" s="367">
        <v>7400</v>
      </c>
      <c r="N1325" s="367">
        <v>23000</v>
      </c>
      <c r="O1325" s="367"/>
      <c r="P1325" s="367">
        <v>680</v>
      </c>
      <c r="Q1325" s="367"/>
      <c r="R1325" s="367">
        <v>132000</v>
      </c>
      <c r="S1325" s="367"/>
      <c r="T1325" s="367">
        <v>6400</v>
      </c>
    </row>
    <row r="1326" spans="1:29" ht="15" x14ac:dyDescent="0.25">
      <c r="A1326" s="365" t="s">
        <v>496</v>
      </c>
      <c r="H1326" s="366"/>
      <c r="J1326" s="367"/>
      <c r="K1326" s="367"/>
      <c r="L1326" s="367">
        <v>762</v>
      </c>
      <c r="M1326" s="367">
        <v>114</v>
      </c>
      <c r="N1326" s="367">
        <v>87</v>
      </c>
      <c r="O1326" s="367"/>
      <c r="P1326" s="367">
        <v>5</v>
      </c>
      <c r="Q1326" s="367"/>
      <c r="R1326" s="367">
        <v>1950</v>
      </c>
      <c r="S1326" s="367"/>
      <c r="T1326" s="367">
        <v>15</v>
      </c>
    </row>
    <row r="1327" spans="1:29" ht="15" x14ac:dyDescent="0.25">
      <c r="A1327" s="365" t="s">
        <v>495</v>
      </c>
      <c r="H1327" s="366"/>
      <c r="J1327" s="367"/>
      <c r="K1327" s="367"/>
      <c r="L1327" s="367">
        <v>290</v>
      </c>
      <c r="M1327" s="367">
        <v>34.700000000000003</v>
      </c>
      <c r="N1327" s="367">
        <v>36</v>
      </c>
      <c r="O1327" s="367"/>
      <c r="P1327" s="367">
        <v>-5</v>
      </c>
      <c r="Q1327" s="367"/>
      <c r="R1327" s="367">
        <v>788</v>
      </c>
      <c r="S1327" s="367"/>
      <c r="T1327" s="367">
        <v>4</v>
      </c>
    </row>
    <row r="1328" spans="1:29" ht="15" x14ac:dyDescent="0.25">
      <c r="A1328" s="365" t="s">
        <v>494</v>
      </c>
      <c r="H1328" s="366"/>
      <c r="J1328" s="367"/>
      <c r="K1328" s="367"/>
      <c r="L1328" s="367">
        <v>54000</v>
      </c>
      <c r="M1328" s="367">
        <v>8800</v>
      </c>
      <c r="N1328" s="367">
        <v>24000</v>
      </c>
      <c r="O1328" s="367"/>
      <c r="P1328" s="367">
        <v>380</v>
      </c>
      <c r="Q1328" s="367"/>
      <c r="R1328" s="367">
        <v>142000</v>
      </c>
      <c r="S1328" s="367"/>
      <c r="T1328" s="367"/>
    </row>
    <row r="1329" spans="1:29" ht="15" x14ac:dyDescent="0.25">
      <c r="A1329" s="365" t="s">
        <v>493</v>
      </c>
      <c r="H1329" s="366"/>
      <c r="J1329" s="367"/>
      <c r="K1329" s="367"/>
      <c r="L1329" s="367">
        <v>50600</v>
      </c>
      <c r="M1329" s="367">
        <v>7000</v>
      </c>
      <c r="N1329" s="367">
        <v>22000</v>
      </c>
      <c r="O1329" s="367"/>
      <c r="P1329" s="367"/>
      <c r="Q1329" s="367"/>
      <c r="R1329" s="367">
        <v>128000</v>
      </c>
      <c r="S1329" s="367"/>
      <c r="T1329" s="367">
        <v>6400</v>
      </c>
    </row>
    <row r="1330" spans="1:29" ht="15" x14ac:dyDescent="0.25">
      <c r="A1330" s="365" t="s">
        <v>963</v>
      </c>
      <c r="H1330" s="366">
        <v>265</v>
      </c>
      <c r="J1330" s="367"/>
      <c r="K1330" s="367"/>
      <c r="L1330" s="367">
        <v>47300</v>
      </c>
      <c r="M1330" s="367">
        <v>7960</v>
      </c>
      <c r="N1330" s="367">
        <v>23600</v>
      </c>
      <c r="O1330" s="367"/>
      <c r="P1330" s="367">
        <v>435</v>
      </c>
      <c r="Q1330" s="367"/>
      <c r="R1330" s="367">
        <v>123389</v>
      </c>
      <c r="S1330" s="367">
        <v>12</v>
      </c>
      <c r="T1330" s="367">
        <v>10</v>
      </c>
    </row>
    <row r="1331" spans="1:29" ht="15" x14ac:dyDescent="0.25">
      <c r="A1331" s="365" t="s">
        <v>492</v>
      </c>
      <c r="H1331" s="366"/>
      <c r="J1331" s="367"/>
      <c r="K1331" s="367"/>
      <c r="L1331" s="367">
        <v>49700</v>
      </c>
      <c r="M1331" s="367">
        <v>7400</v>
      </c>
      <c r="N1331" s="367">
        <v>23000</v>
      </c>
      <c r="O1331" s="367"/>
      <c r="P1331" s="367">
        <v>680</v>
      </c>
      <c r="Q1331" s="367"/>
      <c r="R1331" s="367">
        <v>132000</v>
      </c>
      <c r="S1331" s="367"/>
      <c r="T1331" s="367">
        <v>6400</v>
      </c>
    </row>
    <row r="1332" spans="1:29" ht="15" x14ac:dyDescent="0.25">
      <c r="A1332" s="365" t="s">
        <v>496</v>
      </c>
      <c r="H1332" s="366"/>
      <c r="J1332" s="367"/>
      <c r="K1332" s="367"/>
      <c r="L1332" s="367">
        <v>762</v>
      </c>
      <c r="M1332" s="367">
        <v>114</v>
      </c>
      <c r="N1332" s="367">
        <v>87</v>
      </c>
      <c r="O1332" s="367"/>
      <c r="P1332" s="367">
        <v>5</v>
      </c>
      <c r="Q1332" s="367"/>
      <c r="R1332" s="367">
        <v>1950</v>
      </c>
      <c r="S1332" s="367"/>
      <c r="T1332" s="367">
        <v>15</v>
      </c>
    </row>
    <row r="1333" spans="1:29" ht="15" x14ac:dyDescent="0.25">
      <c r="A1333" s="365" t="s">
        <v>495</v>
      </c>
      <c r="H1333" s="366"/>
      <c r="J1333" s="367"/>
      <c r="K1333" s="367"/>
      <c r="L1333" s="367">
        <v>290</v>
      </c>
      <c r="M1333" s="367">
        <v>34.700000000000003</v>
      </c>
      <c r="N1333" s="367">
        <v>36</v>
      </c>
      <c r="O1333" s="367"/>
      <c r="P1333" s="367">
        <v>-5</v>
      </c>
      <c r="Q1333" s="367"/>
      <c r="R1333" s="367">
        <v>788</v>
      </c>
      <c r="S1333" s="367"/>
      <c r="T1333" s="367">
        <v>4</v>
      </c>
    </row>
    <row r="1334" spans="1:29" ht="15" x14ac:dyDescent="0.25">
      <c r="A1334" s="365" t="s">
        <v>494</v>
      </c>
      <c r="H1334" s="366"/>
      <c r="J1334" s="367"/>
      <c r="K1334" s="367"/>
      <c r="L1334" s="367">
        <v>54000</v>
      </c>
      <c r="M1334" s="367">
        <v>8800</v>
      </c>
      <c r="N1334" s="367">
        <v>24000</v>
      </c>
      <c r="O1334" s="367"/>
      <c r="P1334" s="367">
        <v>380</v>
      </c>
      <c r="Q1334" s="367"/>
      <c r="R1334" s="367">
        <v>142000</v>
      </c>
      <c r="S1334" s="367"/>
      <c r="T1334" s="367"/>
    </row>
    <row r="1335" spans="1:29" ht="15" x14ac:dyDescent="0.25">
      <c r="A1335" s="365" t="s">
        <v>493</v>
      </c>
      <c r="H1335" s="366"/>
      <c r="J1335" s="367"/>
      <c r="K1335" s="367"/>
      <c r="L1335" s="367">
        <v>50600</v>
      </c>
      <c r="M1335" s="367">
        <v>7000</v>
      </c>
      <c r="N1335" s="367">
        <v>22000</v>
      </c>
      <c r="O1335" s="367"/>
      <c r="P1335" s="367"/>
      <c r="Q1335" s="367"/>
      <c r="R1335" s="367">
        <v>128000</v>
      </c>
      <c r="S1335" s="367"/>
      <c r="T1335" s="367">
        <v>6400</v>
      </c>
      <c r="U1335" s="367"/>
      <c r="V1335" s="367"/>
      <c r="W1335" s="367"/>
      <c r="X1335" s="367"/>
      <c r="Y1335" s="367"/>
      <c r="Z1335" s="367"/>
      <c r="AA1335" s="367"/>
      <c r="AB1335" s="367"/>
      <c r="AC1335" s="367"/>
    </row>
    <row r="1336" spans="1:29" ht="15" x14ac:dyDescent="0.25">
      <c r="A1336" s="365" t="s">
        <v>963</v>
      </c>
      <c r="H1336" s="366">
        <v>265</v>
      </c>
      <c r="J1336" s="367"/>
      <c r="K1336" s="367"/>
      <c r="L1336" s="367">
        <v>47300</v>
      </c>
      <c r="M1336" s="367">
        <v>7960</v>
      </c>
      <c r="N1336" s="367">
        <v>23600</v>
      </c>
      <c r="O1336" s="367"/>
      <c r="P1336" s="367">
        <v>435</v>
      </c>
      <c r="Q1336" s="367"/>
      <c r="R1336" s="367">
        <v>123389</v>
      </c>
      <c r="S1336" s="367">
        <v>12</v>
      </c>
      <c r="T1336" s="367">
        <v>10</v>
      </c>
      <c r="U1336" s="367"/>
      <c r="V1336" s="367"/>
      <c r="W1336" s="367"/>
      <c r="X1336" s="367"/>
      <c r="Y1336" s="367"/>
      <c r="Z1336" s="367"/>
      <c r="AA1336" s="367"/>
      <c r="AB1336" s="367"/>
      <c r="AC1336" s="367"/>
    </row>
    <row r="1337" spans="1:29" ht="15" x14ac:dyDescent="0.25">
      <c r="A1337" s="365" t="s">
        <v>492</v>
      </c>
      <c r="H1337" s="366"/>
      <c r="J1337" s="367"/>
      <c r="K1337" s="367"/>
      <c r="L1337" s="367">
        <v>49700</v>
      </c>
      <c r="M1337" s="367">
        <v>7400</v>
      </c>
      <c r="N1337" s="367">
        <v>23000</v>
      </c>
      <c r="O1337" s="367"/>
      <c r="P1337" s="367">
        <v>680</v>
      </c>
      <c r="Q1337" s="367"/>
      <c r="R1337" s="367">
        <v>132000</v>
      </c>
      <c r="S1337" s="367"/>
      <c r="T1337" s="367">
        <v>6400</v>
      </c>
      <c r="U1337" s="367"/>
      <c r="V1337" s="367"/>
      <c r="W1337" s="367"/>
      <c r="X1337" s="367"/>
      <c r="Y1337" s="367"/>
      <c r="Z1337" s="367"/>
      <c r="AA1337" s="367"/>
      <c r="AB1337" s="367"/>
      <c r="AC1337" s="367"/>
    </row>
    <row r="1338" spans="1:29" ht="15" x14ac:dyDescent="0.25">
      <c r="A1338" s="365" t="s">
        <v>496</v>
      </c>
      <c r="H1338" s="366"/>
      <c r="J1338" s="367"/>
      <c r="K1338" s="367"/>
      <c r="L1338" s="367">
        <v>762</v>
      </c>
      <c r="M1338" s="367">
        <v>114</v>
      </c>
      <c r="N1338" s="367">
        <v>87</v>
      </c>
      <c r="O1338" s="367"/>
      <c r="P1338" s="367">
        <v>5</v>
      </c>
      <c r="Q1338" s="367"/>
      <c r="R1338" s="367">
        <v>1950</v>
      </c>
      <c r="S1338" s="367"/>
      <c r="T1338" s="367">
        <v>15</v>
      </c>
      <c r="U1338" s="367"/>
      <c r="V1338" s="367"/>
      <c r="W1338" s="367"/>
      <c r="X1338" s="367"/>
      <c r="Y1338" s="367"/>
      <c r="Z1338" s="367"/>
      <c r="AA1338" s="367"/>
      <c r="AB1338" s="367"/>
      <c r="AC1338" s="367"/>
    </row>
    <row r="1339" spans="1:29" ht="15" x14ac:dyDescent="0.25">
      <c r="A1339" s="365" t="s">
        <v>495</v>
      </c>
      <c r="H1339" s="366"/>
      <c r="J1339" s="367"/>
      <c r="K1339" s="367"/>
      <c r="L1339" s="367">
        <v>290</v>
      </c>
      <c r="M1339" s="367">
        <v>34.700000000000003</v>
      </c>
      <c r="N1339" s="367">
        <v>36</v>
      </c>
      <c r="O1339" s="367"/>
      <c r="P1339" s="367">
        <v>-5</v>
      </c>
      <c r="Q1339" s="367"/>
      <c r="R1339" s="367">
        <v>788</v>
      </c>
      <c r="S1339" s="367"/>
      <c r="T1339" s="367">
        <v>4</v>
      </c>
      <c r="U1339" s="367"/>
      <c r="V1339" s="367"/>
      <c r="W1339" s="367"/>
      <c r="X1339" s="367"/>
      <c r="Y1339" s="367"/>
      <c r="Z1339" s="367"/>
      <c r="AA1339" s="367"/>
      <c r="AB1339" s="367"/>
      <c r="AC1339" s="367"/>
    </row>
    <row r="1340" spans="1:29" ht="15" x14ac:dyDescent="0.25">
      <c r="A1340" s="365" t="s">
        <v>494</v>
      </c>
      <c r="H1340" s="366"/>
      <c r="J1340" s="367"/>
      <c r="K1340" s="367"/>
      <c r="L1340" s="367">
        <v>54000</v>
      </c>
      <c r="M1340" s="367">
        <v>8800</v>
      </c>
      <c r="N1340" s="367">
        <v>24000</v>
      </c>
      <c r="O1340" s="367"/>
      <c r="P1340" s="367">
        <v>380</v>
      </c>
      <c r="Q1340" s="367"/>
      <c r="R1340" s="367">
        <v>142000</v>
      </c>
      <c r="S1340" s="367"/>
      <c r="T1340" s="367"/>
      <c r="U1340" s="367"/>
      <c r="V1340" s="367"/>
      <c r="W1340" s="367"/>
      <c r="X1340" s="367"/>
      <c r="Y1340" s="367"/>
      <c r="Z1340" s="367"/>
      <c r="AA1340" s="367"/>
      <c r="AB1340" s="367"/>
      <c r="AC1340" s="367"/>
    </row>
    <row r="1341" spans="1:29" ht="15" x14ac:dyDescent="0.25">
      <c r="A1341" s="365" t="s">
        <v>493</v>
      </c>
      <c r="H1341" s="366"/>
      <c r="J1341" s="367"/>
      <c r="K1341" s="367"/>
      <c r="L1341" s="367">
        <v>50600</v>
      </c>
      <c r="M1341" s="367">
        <v>7000</v>
      </c>
      <c r="N1341" s="367">
        <v>22000</v>
      </c>
      <c r="O1341" s="367"/>
      <c r="P1341" s="367"/>
      <c r="Q1341" s="367"/>
      <c r="R1341" s="367">
        <v>128000</v>
      </c>
      <c r="S1341" s="367"/>
      <c r="T1341" s="367">
        <v>6400</v>
      </c>
      <c r="U1341" s="367"/>
      <c r="V1341" s="367"/>
      <c r="W1341" s="367"/>
      <c r="X1341" s="367"/>
      <c r="Y1341" s="367"/>
      <c r="Z1341" s="367"/>
      <c r="AA1341" s="367"/>
      <c r="AB1341" s="367"/>
      <c r="AC1341" s="367"/>
    </row>
    <row r="1342" spans="1:29" ht="15" x14ac:dyDescent="0.25">
      <c r="A1342" s="365" t="s">
        <v>963</v>
      </c>
      <c r="H1342" s="366">
        <v>265</v>
      </c>
      <c r="J1342" s="367"/>
      <c r="K1342" s="367"/>
      <c r="L1342" s="367">
        <v>47300</v>
      </c>
      <c r="M1342" s="367">
        <v>7960</v>
      </c>
      <c r="N1342" s="367">
        <v>23600</v>
      </c>
      <c r="O1342" s="367"/>
      <c r="P1342" s="367">
        <v>435</v>
      </c>
      <c r="Q1342" s="367"/>
      <c r="R1342" s="367">
        <v>123389</v>
      </c>
      <c r="S1342" s="367">
        <v>12</v>
      </c>
      <c r="T1342" s="367">
        <v>10</v>
      </c>
      <c r="U1342" s="367"/>
      <c r="V1342" s="367"/>
      <c r="W1342" s="367"/>
      <c r="X1342" s="367"/>
      <c r="Y1342" s="367"/>
      <c r="Z1342" s="367"/>
      <c r="AA1342" s="367"/>
      <c r="AB1342" s="367"/>
      <c r="AC1342" s="367"/>
    </row>
    <row r="1343" spans="1:29" ht="15" x14ac:dyDescent="0.25">
      <c r="A1343" s="365" t="s">
        <v>492</v>
      </c>
      <c r="H1343" s="366"/>
      <c r="J1343" s="367"/>
      <c r="K1343" s="367"/>
      <c r="L1343" s="367">
        <v>49700</v>
      </c>
      <c r="M1343" s="367">
        <v>7400</v>
      </c>
      <c r="N1343" s="367">
        <v>23000</v>
      </c>
      <c r="O1343" s="367"/>
      <c r="P1343" s="367">
        <v>680</v>
      </c>
      <c r="Q1343" s="367"/>
      <c r="R1343" s="367">
        <v>132000</v>
      </c>
      <c r="S1343" s="367"/>
      <c r="T1343" s="367">
        <v>6400</v>
      </c>
      <c r="U1343" s="367"/>
      <c r="V1343" s="367"/>
      <c r="W1343" s="367"/>
      <c r="X1343" s="367"/>
      <c r="Y1343" s="367"/>
      <c r="Z1343" s="367"/>
      <c r="AA1343" s="367"/>
      <c r="AB1343" s="367"/>
      <c r="AC1343" s="367"/>
    </row>
    <row r="1344" spans="1:29" ht="15" x14ac:dyDescent="0.25">
      <c r="A1344" s="365" t="s">
        <v>496</v>
      </c>
      <c r="H1344" s="366"/>
      <c r="J1344" s="367"/>
      <c r="K1344" s="367"/>
      <c r="L1344" s="367">
        <v>762</v>
      </c>
      <c r="M1344" s="367">
        <v>114</v>
      </c>
      <c r="N1344" s="367">
        <v>87</v>
      </c>
      <c r="O1344" s="367"/>
      <c r="P1344" s="367">
        <v>5</v>
      </c>
      <c r="Q1344" s="367"/>
      <c r="R1344" s="367">
        <v>1950</v>
      </c>
      <c r="S1344" s="367"/>
      <c r="T1344" s="367">
        <v>15</v>
      </c>
      <c r="U1344" s="367"/>
      <c r="V1344" s="367"/>
      <c r="W1344" s="367"/>
      <c r="X1344" s="367"/>
      <c r="Y1344" s="367"/>
      <c r="Z1344" s="367"/>
      <c r="AA1344" s="367"/>
      <c r="AB1344" s="367"/>
      <c r="AC1344" s="367"/>
    </row>
    <row r="1345" spans="1:29" ht="15" x14ac:dyDescent="0.25">
      <c r="A1345" s="365" t="s">
        <v>495</v>
      </c>
      <c r="H1345" s="366"/>
      <c r="J1345" s="367"/>
      <c r="K1345" s="367"/>
      <c r="L1345" s="367">
        <v>290</v>
      </c>
      <c r="M1345" s="367">
        <v>34.700000000000003</v>
      </c>
      <c r="N1345" s="367">
        <v>36</v>
      </c>
      <c r="O1345" s="367"/>
      <c r="P1345" s="367">
        <v>-5</v>
      </c>
      <c r="Q1345" s="367"/>
      <c r="R1345" s="367">
        <v>788</v>
      </c>
      <c r="S1345" s="367"/>
      <c r="T1345" s="367">
        <v>4</v>
      </c>
      <c r="U1345" s="367"/>
      <c r="V1345" s="367"/>
      <c r="W1345" s="367"/>
      <c r="X1345" s="367"/>
      <c r="Y1345" s="367"/>
      <c r="Z1345" s="367"/>
      <c r="AA1345" s="367"/>
      <c r="AB1345" s="367"/>
      <c r="AC1345" s="367"/>
    </row>
    <row r="1346" spans="1:29" ht="15" x14ac:dyDescent="0.25">
      <c r="A1346" s="365" t="s">
        <v>494</v>
      </c>
      <c r="H1346" s="366"/>
      <c r="J1346" s="367"/>
      <c r="K1346" s="367"/>
      <c r="L1346" s="367">
        <v>54000</v>
      </c>
      <c r="M1346" s="367">
        <v>8800</v>
      </c>
      <c r="N1346" s="367">
        <v>24000</v>
      </c>
      <c r="O1346" s="367"/>
      <c r="P1346" s="367">
        <v>380</v>
      </c>
      <c r="Q1346" s="367"/>
      <c r="R1346" s="367">
        <v>142000</v>
      </c>
      <c r="S1346" s="367"/>
      <c r="T1346" s="367"/>
      <c r="U1346" s="367"/>
      <c r="V1346" s="367"/>
      <c r="W1346" s="367"/>
      <c r="X1346" s="367"/>
      <c r="Y1346" s="367"/>
      <c r="Z1346" s="367"/>
      <c r="AA1346" s="367"/>
      <c r="AB1346" s="367"/>
      <c r="AC1346" s="367"/>
    </row>
    <row r="1347" spans="1:29" ht="15" x14ac:dyDescent="0.25">
      <c r="A1347" s="365" t="s">
        <v>493</v>
      </c>
      <c r="H1347" s="366"/>
      <c r="J1347" s="367"/>
      <c r="K1347" s="367"/>
      <c r="L1347" s="367">
        <v>50600</v>
      </c>
      <c r="M1347" s="367">
        <v>7000</v>
      </c>
      <c r="N1347" s="367">
        <v>22000</v>
      </c>
      <c r="O1347" s="367"/>
      <c r="P1347" s="367"/>
      <c r="Q1347" s="367"/>
      <c r="R1347" s="367">
        <v>128000</v>
      </c>
      <c r="S1347" s="367"/>
      <c r="T1347" s="367">
        <v>6400</v>
      </c>
      <c r="U1347" s="367"/>
      <c r="V1347" s="367"/>
      <c r="W1347" s="367"/>
      <c r="X1347" s="367"/>
      <c r="Y1347" s="367"/>
      <c r="Z1347" s="367"/>
      <c r="AA1347" s="367"/>
      <c r="AB1347" s="367"/>
      <c r="AC1347" s="367"/>
    </row>
    <row r="1348" spans="1:29" ht="15" x14ac:dyDescent="0.25">
      <c r="A1348" s="365" t="s">
        <v>963</v>
      </c>
      <c r="H1348" s="366">
        <v>265</v>
      </c>
      <c r="J1348" s="367"/>
      <c r="K1348" s="367"/>
      <c r="L1348" s="367">
        <v>47300</v>
      </c>
      <c r="M1348" s="367">
        <v>7960</v>
      </c>
      <c r="N1348" s="367">
        <v>23600</v>
      </c>
      <c r="O1348" s="367"/>
      <c r="P1348" s="367">
        <v>435</v>
      </c>
      <c r="Q1348" s="367"/>
      <c r="R1348" s="367">
        <v>123389</v>
      </c>
      <c r="S1348" s="367">
        <v>12</v>
      </c>
      <c r="T1348" s="367">
        <v>10</v>
      </c>
      <c r="U1348" s="367"/>
      <c r="V1348" s="367"/>
      <c r="W1348" s="367"/>
      <c r="X1348" s="367"/>
      <c r="Y1348" s="367"/>
      <c r="Z1348" s="367"/>
      <c r="AA1348" s="367"/>
      <c r="AB1348" s="367"/>
      <c r="AC1348" s="367"/>
    </row>
    <row r="1349" spans="1:29" ht="15" x14ac:dyDescent="0.25">
      <c r="A1349" s="365" t="s">
        <v>372</v>
      </c>
      <c r="H1349" s="366">
        <v>33</v>
      </c>
      <c r="J1349" s="367"/>
      <c r="K1349" s="367"/>
      <c r="L1349" s="367">
        <v>18</v>
      </c>
      <c r="M1349" s="367">
        <v>4.2</v>
      </c>
      <c r="N1349" s="367">
        <v>20</v>
      </c>
      <c r="O1349" s="367"/>
      <c r="P1349" s="367">
        <v>57</v>
      </c>
      <c r="Q1349" s="367"/>
      <c r="R1349" s="367">
        <v>2</v>
      </c>
      <c r="S1349" s="367">
        <v>-0.1</v>
      </c>
      <c r="T1349" s="367">
        <v>5</v>
      </c>
      <c r="U1349" s="367"/>
      <c r="V1349" s="367"/>
      <c r="W1349" s="367"/>
      <c r="X1349" s="367"/>
      <c r="Y1349" s="367"/>
      <c r="Z1349" s="367"/>
      <c r="AA1349" s="367"/>
      <c r="AB1349" s="367"/>
      <c r="AC1349" s="367"/>
    </row>
    <row r="1350" spans="1:29" ht="15" x14ac:dyDescent="0.25">
      <c r="A1350" s="365" t="s">
        <v>497</v>
      </c>
      <c r="H1350" s="366">
        <v>36</v>
      </c>
      <c r="J1350" s="367"/>
      <c r="K1350" s="367"/>
      <c r="L1350" s="367">
        <v>20</v>
      </c>
      <c r="M1350" s="367">
        <v>3.8</v>
      </c>
      <c r="N1350" s="367">
        <v>19</v>
      </c>
      <c r="O1350" s="367"/>
      <c r="P1350" s="367">
        <v>53</v>
      </c>
      <c r="Q1350" s="367"/>
      <c r="R1350" s="367">
        <v>2</v>
      </c>
      <c r="S1350" s="367">
        <v>-0.1</v>
      </c>
      <c r="T1350" s="367">
        <v>11</v>
      </c>
      <c r="U1350" s="367"/>
      <c r="V1350" s="367"/>
      <c r="W1350" s="367"/>
      <c r="X1350" s="367"/>
      <c r="Y1350" s="367"/>
      <c r="Z1350" s="367"/>
      <c r="AA1350" s="367"/>
      <c r="AB1350" s="367"/>
      <c r="AC1350" s="367">
        <v>-0.06</v>
      </c>
    </row>
    <row r="1351" spans="1:29" ht="15" x14ac:dyDescent="0.25">
      <c r="A1351" s="365" t="s">
        <v>498</v>
      </c>
      <c r="H1351" s="366"/>
      <c r="J1351" s="367"/>
      <c r="K1351" s="367"/>
      <c r="L1351" s="367">
        <v>310</v>
      </c>
      <c r="M1351" s="367">
        <v>17</v>
      </c>
      <c r="N1351" s="367">
        <v>2</v>
      </c>
      <c r="O1351" s="367"/>
      <c r="P1351" s="367">
        <v>200</v>
      </c>
      <c r="Q1351" s="367"/>
      <c r="R1351" s="367">
        <v>43</v>
      </c>
      <c r="S1351" s="367">
        <v>2</v>
      </c>
      <c r="T1351" s="367">
        <v>51.3</v>
      </c>
      <c r="U1351" s="367"/>
      <c r="V1351" s="367"/>
      <c r="W1351" s="367"/>
      <c r="X1351" s="367"/>
      <c r="Y1351" s="367"/>
      <c r="Z1351" s="367"/>
      <c r="AA1351" s="367"/>
      <c r="AB1351" s="367"/>
      <c r="AC1351" s="367"/>
    </row>
    <row r="1352" spans="1:29" ht="15" x14ac:dyDescent="0.25">
      <c r="A1352" s="365" t="s">
        <v>499</v>
      </c>
      <c r="H1352" s="366">
        <v>32</v>
      </c>
      <c r="J1352" s="367"/>
      <c r="K1352" s="367"/>
      <c r="L1352" s="367">
        <v>300</v>
      </c>
      <c r="M1352" s="367">
        <v>2.4</v>
      </c>
      <c r="N1352" s="367">
        <v>3.6</v>
      </c>
      <c r="O1352" s="367"/>
      <c r="P1352" s="367">
        <v>52</v>
      </c>
      <c r="Q1352" s="367"/>
      <c r="R1352" s="367">
        <v>128</v>
      </c>
      <c r="S1352" s="367">
        <v>1.9</v>
      </c>
      <c r="T1352" s="367">
        <v>143</v>
      </c>
      <c r="U1352" s="367"/>
      <c r="V1352" s="367"/>
      <c r="W1352" s="367"/>
      <c r="X1352" s="367"/>
      <c r="Y1352" s="367"/>
      <c r="Z1352" s="367"/>
      <c r="AA1352" s="367"/>
      <c r="AB1352" s="367"/>
      <c r="AC1352" s="367">
        <v>0.04</v>
      </c>
    </row>
    <row r="1353" spans="1:29" ht="15" x14ac:dyDescent="0.25">
      <c r="A1353" s="365" t="s">
        <v>243</v>
      </c>
      <c r="H1353" s="366">
        <v>38</v>
      </c>
      <c r="J1353" s="367"/>
      <c r="K1353" s="367"/>
      <c r="L1353" s="367">
        <v>505</v>
      </c>
      <c r="M1353" s="367">
        <v>35</v>
      </c>
      <c r="N1353" s="367">
        <v>79</v>
      </c>
      <c r="O1353" s="367"/>
      <c r="P1353" s="367">
        <v>22</v>
      </c>
      <c r="Q1353" s="367"/>
      <c r="R1353" s="367">
        <v>417</v>
      </c>
      <c r="S1353" s="367">
        <v>1.5</v>
      </c>
      <c r="T1353" s="367">
        <v>46</v>
      </c>
      <c r="U1353" s="367"/>
      <c r="V1353" s="367"/>
      <c r="W1353" s="367"/>
      <c r="X1353" s="367"/>
      <c r="Y1353" s="367"/>
      <c r="Z1353" s="367"/>
      <c r="AA1353" s="367">
        <v>1.05</v>
      </c>
      <c r="AB1353" s="367"/>
      <c r="AC1353" s="367">
        <v>1.1399999999999999</v>
      </c>
    </row>
    <row r="1354" spans="1:29" ht="15" x14ac:dyDescent="0.25">
      <c r="A1354" s="365" t="s">
        <v>339</v>
      </c>
      <c r="H1354" s="366">
        <v>27</v>
      </c>
      <c r="J1354" s="367"/>
      <c r="K1354" s="367"/>
      <c r="L1354" s="367">
        <v>50</v>
      </c>
      <c r="M1354" s="367"/>
      <c r="N1354" s="367">
        <v>2</v>
      </c>
      <c r="O1354" s="367"/>
      <c r="P1354" s="367">
        <v>57</v>
      </c>
      <c r="Q1354" s="367"/>
      <c r="R1354" s="367">
        <v>8</v>
      </c>
      <c r="S1354" s="367">
        <v>0.3</v>
      </c>
      <c r="T1354" s="367">
        <v>49</v>
      </c>
      <c r="U1354" s="367"/>
      <c r="V1354" s="367"/>
      <c r="W1354" s="367"/>
      <c r="X1354" s="367"/>
      <c r="Y1354" s="367"/>
      <c r="Z1354" s="367"/>
      <c r="AA1354" s="367">
        <v>0.02</v>
      </c>
      <c r="AB1354" s="367"/>
      <c r="AC1354" s="367"/>
    </row>
    <row r="1355" spans="1:29" ht="15" x14ac:dyDescent="0.25">
      <c r="A1355" s="365" t="s">
        <v>501</v>
      </c>
      <c r="H1355" s="366">
        <v>17</v>
      </c>
      <c r="J1355" s="367"/>
      <c r="K1355" s="367"/>
      <c r="L1355" s="367">
        <v>3.7</v>
      </c>
      <c r="M1355" s="367">
        <v>0.4</v>
      </c>
      <c r="N1355" s="367">
        <v>10</v>
      </c>
      <c r="O1355" s="367"/>
      <c r="P1355" s="367">
        <v>17</v>
      </c>
      <c r="Q1355" s="367"/>
      <c r="R1355" s="367">
        <v>2</v>
      </c>
      <c r="S1355" s="367">
        <v>-0.1</v>
      </c>
      <c r="T1355" s="367">
        <v>4</v>
      </c>
      <c r="U1355" s="367"/>
      <c r="V1355" s="367"/>
      <c r="W1355" s="367"/>
      <c r="X1355" s="367"/>
      <c r="Y1355" s="367"/>
      <c r="Z1355" s="367"/>
      <c r="AA1355" s="367"/>
      <c r="AB1355" s="367"/>
      <c r="AC1355" s="367">
        <v>0.08</v>
      </c>
    </row>
    <row r="1356" spans="1:29" ht="15" x14ac:dyDescent="0.25">
      <c r="A1356" s="365" t="s">
        <v>502</v>
      </c>
      <c r="H1356" s="366">
        <v>56</v>
      </c>
      <c r="J1356" s="367"/>
      <c r="K1356" s="367"/>
      <c r="L1356" s="367">
        <v>310</v>
      </c>
      <c r="M1356" s="367">
        <v>37</v>
      </c>
      <c r="N1356" s="367">
        <v>25</v>
      </c>
      <c r="O1356" s="367"/>
      <c r="P1356" s="367">
        <v>250</v>
      </c>
      <c r="Q1356" s="367"/>
      <c r="R1356" s="367">
        <v>150</v>
      </c>
      <c r="S1356" s="367">
        <v>4.5999999999999996</v>
      </c>
      <c r="T1356" s="367">
        <v>68</v>
      </c>
      <c r="U1356" s="367"/>
      <c r="V1356" s="367"/>
      <c r="W1356" s="367"/>
      <c r="X1356" s="367"/>
      <c r="Y1356" s="367"/>
      <c r="Z1356" s="367"/>
      <c r="AA1356" s="367">
        <v>0.2</v>
      </c>
      <c r="AB1356" s="367"/>
      <c r="AC1356" s="367">
        <v>0.23</v>
      </c>
    </row>
    <row r="1357" spans="1:29" ht="15" x14ac:dyDescent="0.25">
      <c r="A1357" s="365" t="s">
        <v>418</v>
      </c>
      <c r="H1357" s="366">
        <v>60</v>
      </c>
      <c r="J1357" s="367"/>
      <c r="K1357" s="367"/>
      <c r="L1357" s="367">
        <v>550</v>
      </c>
      <c r="M1357" s="367">
        <v>35</v>
      </c>
      <c r="N1357" s="367">
        <v>38</v>
      </c>
      <c r="O1357" s="367"/>
      <c r="P1357" s="367">
        <v>110</v>
      </c>
      <c r="Q1357" s="367"/>
      <c r="R1357" s="367">
        <v>160</v>
      </c>
      <c r="S1357" s="367">
        <v>4.5</v>
      </c>
      <c r="T1357" s="367">
        <v>260</v>
      </c>
      <c r="U1357" s="367"/>
      <c r="V1357" s="367"/>
      <c r="W1357" s="367"/>
      <c r="X1357" s="367"/>
      <c r="Y1357" s="367"/>
      <c r="Z1357" s="367"/>
      <c r="AA1357" s="367"/>
      <c r="AB1357" s="367"/>
      <c r="AC1357" s="367"/>
    </row>
    <row r="1358" spans="1:29" ht="15" x14ac:dyDescent="0.25">
      <c r="A1358" s="365" t="s">
        <v>418</v>
      </c>
      <c r="H1358" s="366"/>
      <c r="J1358" s="367"/>
      <c r="K1358" s="367"/>
      <c r="L1358" s="367"/>
      <c r="M1358" s="367"/>
      <c r="N1358" s="367"/>
      <c r="O1358" s="367"/>
      <c r="P1358" s="367"/>
      <c r="Q1358" s="367"/>
      <c r="R1358" s="367"/>
      <c r="S1358" s="367"/>
      <c r="T1358" s="367"/>
      <c r="U1358" s="367"/>
      <c r="V1358" s="367"/>
      <c r="W1358" s="367"/>
      <c r="X1358" s="367"/>
      <c r="Y1358" s="367"/>
      <c r="Z1358" s="367"/>
      <c r="AA1358" s="367"/>
      <c r="AB1358" s="367"/>
      <c r="AC1358" s="367"/>
    </row>
    <row r="1359" spans="1:29" ht="15" x14ac:dyDescent="0.25">
      <c r="A1359" s="365" t="s">
        <v>252</v>
      </c>
      <c r="H1359" s="366">
        <v>61</v>
      </c>
      <c r="J1359" s="367"/>
      <c r="K1359" s="367"/>
      <c r="L1359" s="367">
        <v>514</v>
      </c>
      <c r="M1359" s="367">
        <v>33</v>
      </c>
      <c r="N1359" s="367">
        <v>34</v>
      </c>
      <c r="O1359" s="367"/>
      <c r="P1359" s="367">
        <v>77</v>
      </c>
      <c r="Q1359" s="367"/>
      <c r="R1359" s="367">
        <v>161</v>
      </c>
      <c r="S1359" s="367">
        <v>53</v>
      </c>
      <c r="T1359" s="367">
        <v>238</v>
      </c>
      <c r="U1359" s="367"/>
      <c r="V1359" s="367"/>
      <c r="W1359" s="367"/>
      <c r="X1359" s="367"/>
      <c r="Y1359" s="367"/>
      <c r="Z1359" s="367"/>
      <c r="AA1359" s="367">
        <v>1.34</v>
      </c>
      <c r="AB1359" s="367"/>
      <c r="AC1359" s="367">
        <v>0.04</v>
      </c>
    </row>
    <row r="1360" spans="1:29" ht="15" x14ac:dyDescent="0.25">
      <c r="A1360" s="365" t="s">
        <v>418</v>
      </c>
      <c r="H1360" s="366">
        <v>60</v>
      </c>
      <c r="J1360" s="367"/>
      <c r="K1360" s="367"/>
      <c r="L1360" s="367"/>
      <c r="M1360" s="367"/>
      <c r="N1360" s="367">
        <v>46</v>
      </c>
      <c r="O1360" s="367"/>
      <c r="P1360" s="367"/>
      <c r="Q1360" s="367"/>
      <c r="R1360" s="367">
        <v>156</v>
      </c>
      <c r="S1360" s="367"/>
      <c r="T1360" s="367"/>
      <c r="U1360" s="367"/>
      <c r="V1360" s="367"/>
      <c r="W1360" s="367"/>
      <c r="X1360" s="367"/>
      <c r="Y1360" s="367"/>
      <c r="Z1360" s="367"/>
      <c r="AA1360" s="367"/>
      <c r="AB1360" s="367"/>
      <c r="AC1360" s="367"/>
    </row>
    <row r="1361" spans="1:29" ht="15" x14ac:dyDescent="0.25">
      <c r="A1361" s="365" t="s">
        <v>418</v>
      </c>
      <c r="H1361" s="366">
        <v>61</v>
      </c>
      <c r="J1361" s="367"/>
      <c r="K1361" s="367"/>
      <c r="L1361" s="367">
        <v>560</v>
      </c>
      <c r="M1361" s="367">
        <v>37</v>
      </c>
      <c r="N1361" s="367">
        <v>41</v>
      </c>
      <c r="O1361" s="367"/>
      <c r="P1361" s="367">
        <v>114</v>
      </c>
      <c r="Q1361" s="367"/>
      <c r="R1361" s="367">
        <v>160</v>
      </c>
      <c r="S1361" s="367">
        <v>4.7</v>
      </c>
      <c r="T1361" s="367">
        <v>260</v>
      </c>
      <c r="U1361" s="367"/>
      <c r="V1361" s="367"/>
      <c r="W1361" s="367"/>
      <c r="X1361" s="367"/>
      <c r="Y1361" s="367"/>
      <c r="Z1361" s="367"/>
      <c r="AA1361" s="367"/>
      <c r="AB1361" s="367"/>
      <c r="AC1361" s="367">
        <v>0.02</v>
      </c>
    </row>
    <row r="1362" spans="1:29" ht="15" x14ac:dyDescent="0.25">
      <c r="A1362" s="365" t="s">
        <v>288</v>
      </c>
      <c r="H1362" s="366">
        <v>84</v>
      </c>
      <c r="J1362" s="367"/>
      <c r="K1362" s="367"/>
      <c r="L1362" s="367">
        <v>14</v>
      </c>
      <c r="M1362" s="367">
        <v>3.4</v>
      </c>
      <c r="N1362" s="367"/>
      <c r="O1362" s="367"/>
      <c r="P1362" s="367">
        <v>213</v>
      </c>
      <c r="Q1362" s="367"/>
      <c r="R1362" s="367">
        <v>2</v>
      </c>
      <c r="S1362" s="367">
        <v>0.3</v>
      </c>
      <c r="T1362" s="367">
        <v>967</v>
      </c>
      <c r="U1362" s="367"/>
      <c r="V1362" s="367"/>
      <c r="W1362" s="367"/>
      <c r="X1362" s="367"/>
      <c r="Y1362" s="367"/>
      <c r="Z1362" s="367"/>
      <c r="AA1362" s="367"/>
      <c r="AB1362" s="367"/>
      <c r="AC1362" s="367"/>
    </row>
    <row r="1363" spans="1:29" ht="15" x14ac:dyDescent="0.25">
      <c r="A1363" s="365" t="s">
        <v>427</v>
      </c>
      <c r="H1363" s="366">
        <v>52</v>
      </c>
      <c r="J1363" s="367"/>
      <c r="K1363" s="367"/>
      <c r="L1363" s="367">
        <v>36</v>
      </c>
      <c r="M1363" s="367">
        <v>7.3</v>
      </c>
      <c r="N1363" s="367">
        <v>94</v>
      </c>
      <c r="O1363" s="367"/>
      <c r="P1363" s="367">
        <v>60</v>
      </c>
      <c r="Q1363" s="367"/>
      <c r="R1363" s="367">
        <v>2.4</v>
      </c>
      <c r="S1363" s="367">
        <v>0.4</v>
      </c>
      <c r="T1363" s="367">
        <v>320</v>
      </c>
      <c r="U1363" s="367"/>
      <c r="V1363" s="367"/>
      <c r="W1363" s="367"/>
      <c r="X1363" s="367"/>
      <c r="Y1363" s="367"/>
      <c r="Z1363" s="367"/>
      <c r="AA1363" s="367"/>
      <c r="AB1363" s="367"/>
      <c r="AC1363" s="367">
        <v>3.3</v>
      </c>
    </row>
    <row r="1364" spans="1:29" ht="15" x14ac:dyDescent="0.25">
      <c r="A1364" s="365" t="s">
        <v>504</v>
      </c>
      <c r="H1364" s="366">
        <v>42</v>
      </c>
      <c r="J1364" s="367"/>
      <c r="K1364" s="367"/>
      <c r="L1364" s="367">
        <v>28</v>
      </c>
      <c r="M1364" s="367">
        <v>6.6</v>
      </c>
      <c r="N1364" s="367">
        <v>78</v>
      </c>
      <c r="O1364" s="367"/>
      <c r="P1364" s="367">
        <v>50</v>
      </c>
      <c r="Q1364" s="367"/>
      <c r="R1364" s="367">
        <v>3</v>
      </c>
      <c r="S1364" s="367">
        <v>0.3</v>
      </c>
      <c r="T1364" s="367">
        <v>283</v>
      </c>
      <c r="U1364" s="367"/>
      <c r="V1364" s="367"/>
      <c r="W1364" s="367"/>
      <c r="X1364" s="367"/>
      <c r="Y1364" s="367"/>
      <c r="Z1364" s="367"/>
      <c r="AA1364" s="367"/>
      <c r="AB1364" s="367"/>
      <c r="AC1364" s="367">
        <v>3.7</v>
      </c>
    </row>
    <row r="1365" spans="1:29" ht="15" x14ac:dyDescent="0.25">
      <c r="A1365" s="365" t="s">
        <v>505</v>
      </c>
      <c r="H1365" s="366">
        <v>27</v>
      </c>
      <c r="J1365" s="367"/>
      <c r="K1365" s="367"/>
      <c r="L1365" s="367">
        <v>326</v>
      </c>
      <c r="M1365" s="367">
        <v>9.6999999999999993</v>
      </c>
      <c r="N1365" s="367">
        <v>13</v>
      </c>
      <c r="O1365" s="367"/>
      <c r="P1365" s="367">
        <v>18</v>
      </c>
      <c r="Q1365" s="367"/>
      <c r="R1365" s="367">
        <v>44</v>
      </c>
      <c r="S1365" s="367">
        <v>0.6</v>
      </c>
      <c r="T1365" s="367">
        <v>199</v>
      </c>
      <c r="U1365" s="367"/>
      <c r="V1365" s="367"/>
      <c r="W1365" s="367"/>
      <c r="X1365" s="367"/>
      <c r="Y1365" s="367"/>
      <c r="Z1365" s="367"/>
      <c r="AA1365" s="367">
        <v>1.9</v>
      </c>
      <c r="AB1365" s="367"/>
      <c r="AC1365" s="367">
        <v>-0.01</v>
      </c>
    </row>
    <row r="1366" spans="1:29" ht="15" x14ac:dyDescent="0.25">
      <c r="A1366" s="365" t="s">
        <v>422</v>
      </c>
      <c r="H1366" s="366">
        <v>25</v>
      </c>
      <c r="J1366" s="367"/>
      <c r="K1366" s="367"/>
      <c r="L1366" s="367">
        <v>220</v>
      </c>
      <c r="M1366" s="367">
        <v>7.3</v>
      </c>
      <c r="N1366" s="367">
        <v>11</v>
      </c>
      <c r="O1366" s="367"/>
      <c r="P1366" s="367">
        <v>20</v>
      </c>
      <c r="Q1366" s="367"/>
      <c r="R1366" s="367">
        <v>50</v>
      </c>
      <c r="S1366" s="367">
        <v>0.5</v>
      </c>
      <c r="T1366" s="367">
        <v>19</v>
      </c>
      <c r="U1366" s="367"/>
      <c r="V1366" s="367"/>
      <c r="W1366" s="367"/>
      <c r="X1366" s="367"/>
      <c r="Y1366" s="367"/>
      <c r="Z1366" s="367"/>
      <c r="AA1366" s="367">
        <v>0.64</v>
      </c>
      <c r="AB1366" s="367"/>
      <c r="AC1366" s="367">
        <v>-0.01</v>
      </c>
    </row>
    <row r="1367" spans="1:29" ht="15" x14ac:dyDescent="0.25">
      <c r="A1367" s="365" t="s">
        <v>400</v>
      </c>
      <c r="H1367" s="366">
        <v>27</v>
      </c>
      <c r="J1367" s="367"/>
      <c r="K1367" s="367"/>
      <c r="L1367" s="367">
        <v>248</v>
      </c>
      <c r="M1367" s="367">
        <v>8.1999999999999993</v>
      </c>
      <c r="N1367" s="367">
        <v>3.4</v>
      </c>
      <c r="O1367" s="367"/>
      <c r="P1367" s="367">
        <v>19</v>
      </c>
      <c r="Q1367" s="367"/>
      <c r="R1367" s="367">
        <v>47</v>
      </c>
      <c r="S1367" s="367">
        <v>0.6</v>
      </c>
      <c r="T1367" s="367">
        <v>18</v>
      </c>
      <c r="U1367" s="367"/>
      <c r="V1367" s="367"/>
      <c r="W1367" s="367"/>
      <c r="X1367" s="367"/>
      <c r="Y1367" s="367"/>
      <c r="Z1367" s="367"/>
      <c r="AA1367" s="367">
        <v>0.44</v>
      </c>
      <c r="AB1367" s="367"/>
      <c r="AC1367" s="367">
        <v>-0.01</v>
      </c>
    </row>
    <row r="1368" spans="1:29" ht="15" x14ac:dyDescent="0.25">
      <c r="A1368" s="365" t="s">
        <v>411</v>
      </c>
      <c r="H1368" s="366">
        <v>31</v>
      </c>
      <c r="J1368" s="367"/>
      <c r="K1368" s="367"/>
      <c r="L1368" s="367">
        <v>1880</v>
      </c>
      <c r="M1368" s="367">
        <v>39</v>
      </c>
      <c r="N1368" s="367">
        <v>243</v>
      </c>
      <c r="O1368" s="367"/>
      <c r="P1368" s="367">
        <v>35</v>
      </c>
      <c r="Q1368" s="367"/>
      <c r="R1368" s="367">
        <v>3590</v>
      </c>
      <c r="S1368" s="367"/>
      <c r="T1368" s="367">
        <v>238</v>
      </c>
      <c r="U1368" s="367"/>
      <c r="V1368" s="367"/>
      <c r="W1368" s="367"/>
      <c r="X1368" s="367"/>
      <c r="Y1368" s="367"/>
      <c r="Z1368" s="367"/>
      <c r="AA1368" s="367"/>
      <c r="AB1368" s="367"/>
      <c r="AC1368" s="367"/>
    </row>
    <row r="1369" spans="1:29" ht="15" x14ac:dyDescent="0.25">
      <c r="A1369" s="365" t="s">
        <v>411</v>
      </c>
      <c r="H1369" s="366">
        <v>30</v>
      </c>
      <c r="J1369" s="367"/>
      <c r="K1369" s="367"/>
      <c r="L1369" s="367">
        <v>1990</v>
      </c>
      <c r="M1369" s="367">
        <v>40</v>
      </c>
      <c r="N1369" s="367">
        <v>265</v>
      </c>
      <c r="O1369" s="367"/>
      <c r="P1369" s="367"/>
      <c r="Q1369" s="367"/>
      <c r="R1369" s="367">
        <v>3680</v>
      </c>
      <c r="S1369" s="367"/>
      <c r="T1369" s="367"/>
      <c r="U1369" s="367"/>
      <c r="V1369" s="367"/>
      <c r="W1369" s="367"/>
      <c r="X1369" s="367"/>
      <c r="Y1369" s="367"/>
      <c r="Z1369" s="367"/>
      <c r="AA1369" s="367"/>
      <c r="AB1369" s="367"/>
      <c r="AC1369" s="367"/>
    </row>
    <row r="1370" spans="1:29" ht="15" x14ac:dyDescent="0.25">
      <c r="A1370" s="365" t="s">
        <v>413</v>
      </c>
      <c r="H1370" s="366">
        <v>35</v>
      </c>
      <c r="J1370" s="367"/>
      <c r="K1370" s="367"/>
      <c r="L1370" s="367">
        <v>140</v>
      </c>
      <c r="M1370" s="367">
        <v>1.3</v>
      </c>
      <c r="N1370" s="367">
        <v>3.4</v>
      </c>
      <c r="O1370" s="367"/>
      <c r="P1370" s="367">
        <v>50</v>
      </c>
      <c r="Q1370" s="367"/>
      <c r="R1370" s="367">
        <v>52</v>
      </c>
      <c r="S1370" s="367">
        <v>14</v>
      </c>
      <c r="T1370" s="367">
        <v>4</v>
      </c>
      <c r="U1370" s="367"/>
      <c r="V1370" s="367"/>
      <c r="W1370" s="367"/>
      <c r="X1370" s="367"/>
      <c r="Y1370" s="367"/>
      <c r="Z1370" s="367"/>
      <c r="AA1370" s="367"/>
      <c r="AB1370" s="367"/>
      <c r="AC1370" s="367">
        <v>-0.02</v>
      </c>
    </row>
    <row r="1371" spans="1:29" ht="15" x14ac:dyDescent="0.25">
      <c r="A1371" s="365" t="s">
        <v>413</v>
      </c>
      <c r="H1371" s="366"/>
      <c r="J1371" s="367"/>
      <c r="K1371" s="367"/>
      <c r="L1371" s="367"/>
      <c r="M1371" s="367"/>
      <c r="N1371" s="367"/>
      <c r="O1371" s="367"/>
      <c r="P1371" s="367"/>
      <c r="Q1371" s="367"/>
      <c r="R1371" s="367">
        <v>49</v>
      </c>
      <c r="S1371" s="367"/>
      <c r="T1371" s="367"/>
      <c r="U1371" s="367"/>
      <c r="V1371" s="367"/>
      <c r="W1371" s="367"/>
      <c r="X1371" s="367"/>
      <c r="Y1371" s="367"/>
      <c r="Z1371" s="367"/>
      <c r="AA1371" s="367"/>
      <c r="AB1371" s="367"/>
      <c r="AC1371" s="367"/>
    </row>
    <row r="1372" spans="1:29" ht="15" x14ac:dyDescent="0.25">
      <c r="A1372" s="365" t="s">
        <v>581</v>
      </c>
      <c r="H1372" s="366">
        <v>29</v>
      </c>
      <c r="J1372" s="367"/>
      <c r="K1372" s="367"/>
      <c r="L1372" s="367">
        <v>140</v>
      </c>
      <c r="M1372" s="367">
        <v>1.8</v>
      </c>
      <c r="N1372" s="367">
        <v>5.67</v>
      </c>
      <c r="O1372" s="367"/>
      <c r="P1372" s="367">
        <v>60.4</v>
      </c>
      <c r="Q1372" s="367"/>
      <c r="R1372" s="367">
        <v>51</v>
      </c>
      <c r="S1372" s="367">
        <v>13.6</v>
      </c>
      <c r="T1372" s="367">
        <v>1</v>
      </c>
      <c r="U1372" s="367"/>
      <c r="V1372" s="367"/>
      <c r="W1372" s="367"/>
      <c r="X1372" s="367"/>
      <c r="Y1372" s="367"/>
      <c r="Z1372" s="367"/>
      <c r="AA1372" s="367">
        <v>0.21</v>
      </c>
      <c r="AB1372" s="367"/>
      <c r="AC1372" s="367"/>
    </row>
    <row r="1373" spans="1:29" ht="15" x14ac:dyDescent="0.25">
      <c r="A1373" s="365" t="s">
        <v>413</v>
      </c>
      <c r="H1373" s="366"/>
      <c r="J1373" s="367"/>
      <c r="K1373" s="367"/>
      <c r="L1373" s="367"/>
      <c r="M1373" s="367"/>
      <c r="N1373" s="367"/>
      <c r="O1373" s="367"/>
      <c r="P1373" s="367"/>
      <c r="Q1373" s="367"/>
      <c r="R1373" s="367">
        <v>54</v>
      </c>
      <c r="S1373" s="367"/>
      <c r="T1373" s="367"/>
      <c r="U1373" s="367"/>
      <c r="V1373" s="367"/>
      <c r="W1373" s="367"/>
      <c r="X1373" s="367"/>
      <c r="Y1373" s="367"/>
      <c r="Z1373" s="367"/>
      <c r="AA1373" s="367"/>
      <c r="AB1373" s="367"/>
      <c r="AC1373" s="367"/>
    </row>
    <row r="1374" spans="1:29" ht="15" x14ac:dyDescent="0.25">
      <c r="A1374" s="365" t="s">
        <v>413</v>
      </c>
      <c r="H1374" s="366"/>
      <c r="J1374" s="367"/>
      <c r="K1374" s="367"/>
      <c r="L1374" s="367"/>
      <c r="M1374" s="367"/>
      <c r="N1374" s="367"/>
      <c r="O1374" s="367"/>
      <c r="P1374" s="367"/>
      <c r="Q1374" s="367"/>
      <c r="R1374" s="367">
        <v>48</v>
      </c>
      <c r="S1374" s="367"/>
      <c r="T1374" s="367"/>
      <c r="U1374" s="367"/>
      <c r="V1374" s="367"/>
      <c r="W1374" s="367"/>
      <c r="X1374" s="367"/>
      <c r="Y1374" s="367"/>
      <c r="Z1374" s="367"/>
      <c r="AA1374" s="367"/>
      <c r="AB1374" s="367"/>
      <c r="AC1374" s="367"/>
    </row>
    <row r="1375" spans="1:29" ht="15" x14ac:dyDescent="0.25">
      <c r="A1375" s="365" t="s">
        <v>298</v>
      </c>
      <c r="H1375" s="366">
        <v>28</v>
      </c>
      <c r="J1375" s="367"/>
      <c r="K1375" s="367"/>
      <c r="L1375" s="367">
        <v>140</v>
      </c>
      <c r="M1375" s="367">
        <v>1.9</v>
      </c>
      <c r="N1375" s="367">
        <v>5.5</v>
      </c>
      <c r="O1375" s="367"/>
      <c r="P1375" s="367">
        <v>55</v>
      </c>
      <c r="Q1375" s="367"/>
      <c r="R1375" s="367">
        <v>52</v>
      </c>
      <c r="S1375" s="367">
        <v>13.3</v>
      </c>
      <c r="T1375" s="367">
        <v>1</v>
      </c>
      <c r="U1375" s="367"/>
      <c r="V1375" s="367"/>
      <c r="W1375" s="367"/>
      <c r="X1375" s="367"/>
      <c r="Y1375" s="367"/>
      <c r="Z1375" s="367"/>
      <c r="AA1375" s="367">
        <v>0.22</v>
      </c>
      <c r="AB1375" s="367"/>
      <c r="AC1375" s="367"/>
    </row>
    <row r="1376" spans="1:29" ht="15" x14ac:dyDescent="0.25">
      <c r="A1376" s="365" t="s">
        <v>299</v>
      </c>
      <c r="H1376" s="366">
        <v>40</v>
      </c>
      <c r="J1376" s="367"/>
      <c r="K1376" s="367"/>
      <c r="L1376" s="367">
        <v>140</v>
      </c>
      <c r="M1376" s="367">
        <v>1.3</v>
      </c>
      <c r="N1376" s="367">
        <v>4.8</v>
      </c>
      <c r="O1376" s="367"/>
      <c r="P1376" s="367">
        <v>61</v>
      </c>
      <c r="Q1376" s="367"/>
      <c r="R1376" s="367">
        <v>50</v>
      </c>
      <c r="S1376" s="367">
        <v>14</v>
      </c>
      <c r="T1376" s="367">
        <v>1</v>
      </c>
      <c r="U1376" s="367"/>
      <c r="V1376" s="367"/>
      <c r="W1376" s="367"/>
      <c r="X1376" s="367"/>
      <c r="Y1376" s="367"/>
      <c r="Z1376" s="367"/>
      <c r="AA1376" s="367"/>
      <c r="AB1376" s="367"/>
      <c r="AC1376" s="367"/>
    </row>
    <row r="1377" spans="1:29" ht="15" x14ac:dyDescent="0.25">
      <c r="A1377" s="365" t="s">
        <v>413</v>
      </c>
      <c r="H1377" s="366"/>
      <c r="J1377" s="367"/>
      <c r="K1377" s="367"/>
      <c r="L1377" s="367"/>
      <c r="M1377" s="367"/>
      <c r="N1377" s="367"/>
      <c r="O1377" s="367"/>
      <c r="P1377" s="367"/>
      <c r="Q1377" s="367"/>
      <c r="R1377" s="367">
        <v>51</v>
      </c>
      <c r="S1377" s="367"/>
      <c r="T1377" s="367"/>
      <c r="U1377" s="367"/>
      <c r="V1377" s="367"/>
      <c r="W1377" s="367"/>
      <c r="X1377" s="367"/>
      <c r="Y1377" s="367"/>
      <c r="Z1377" s="367"/>
      <c r="AA1377" s="367"/>
      <c r="AB1377" s="367"/>
      <c r="AC1377" s="367"/>
    </row>
    <row r="1378" spans="1:29" ht="15" x14ac:dyDescent="0.25">
      <c r="A1378" s="365" t="s">
        <v>506</v>
      </c>
      <c r="H1378" s="366">
        <v>33</v>
      </c>
      <c r="J1378" s="367"/>
      <c r="K1378" s="367"/>
      <c r="L1378" s="367">
        <v>325</v>
      </c>
      <c r="M1378" s="367">
        <v>2.2999999999999998</v>
      </c>
      <c r="N1378" s="367">
        <v>4</v>
      </c>
      <c r="O1378" s="367"/>
      <c r="P1378" s="367">
        <v>52</v>
      </c>
      <c r="Q1378" s="367"/>
      <c r="R1378" s="367">
        <v>133</v>
      </c>
      <c r="S1378" s="367">
        <v>1.7</v>
      </c>
      <c r="T1378" s="367">
        <v>141</v>
      </c>
      <c r="U1378" s="367"/>
      <c r="V1378" s="367"/>
      <c r="W1378" s="367"/>
      <c r="X1378" s="367"/>
      <c r="Y1378" s="367"/>
      <c r="Z1378" s="367"/>
      <c r="AA1378" s="367"/>
      <c r="AB1378" s="367"/>
      <c r="AC1378" s="367"/>
    </row>
    <row r="1379" spans="1:29" ht="15" x14ac:dyDescent="0.25">
      <c r="A1379" s="365" t="s">
        <v>507</v>
      </c>
      <c r="H1379" s="366">
        <v>25</v>
      </c>
      <c r="J1379" s="367"/>
      <c r="K1379" s="367"/>
      <c r="L1379" s="367">
        <v>272</v>
      </c>
      <c r="M1379" s="367">
        <v>7.5</v>
      </c>
      <c r="N1379" s="367">
        <v>38</v>
      </c>
      <c r="O1379" s="367"/>
      <c r="P1379" s="367">
        <v>21</v>
      </c>
      <c r="Q1379" s="367"/>
      <c r="R1379" s="367">
        <v>222</v>
      </c>
      <c r="S1379" s="367">
        <v>1.6</v>
      </c>
      <c r="T1379" s="367">
        <v>8</v>
      </c>
      <c r="U1379" s="367"/>
      <c r="V1379" s="367"/>
      <c r="W1379" s="367"/>
      <c r="X1379" s="367"/>
      <c r="Y1379" s="367"/>
      <c r="Z1379" s="367"/>
      <c r="AA1379" s="367"/>
      <c r="AB1379" s="367"/>
      <c r="AC1379" s="367"/>
    </row>
    <row r="1380" spans="1:29" ht="15" x14ac:dyDescent="0.25">
      <c r="A1380" s="365" t="s">
        <v>508</v>
      </c>
      <c r="H1380" s="366">
        <v>54</v>
      </c>
      <c r="J1380" s="367"/>
      <c r="K1380" s="367"/>
      <c r="L1380" s="367">
        <v>111</v>
      </c>
      <c r="M1380" s="367">
        <v>5</v>
      </c>
      <c r="N1380" s="367">
        <v>7</v>
      </c>
      <c r="O1380" s="367"/>
      <c r="P1380" s="367">
        <v>48</v>
      </c>
      <c r="Q1380" s="367"/>
      <c r="R1380" s="367">
        <v>41</v>
      </c>
      <c r="S1380" s="367">
        <v>8</v>
      </c>
      <c r="T1380" s="367"/>
      <c r="U1380" s="367"/>
      <c r="V1380" s="367"/>
      <c r="W1380" s="367"/>
      <c r="X1380" s="367"/>
      <c r="Y1380" s="367"/>
      <c r="Z1380" s="367"/>
      <c r="AA1380" s="367">
        <v>0.12</v>
      </c>
      <c r="AB1380" s="367"/>
      <c r="AC1380" s="367"/>
    </row>
    <row r="1381" spans="1:29" ht="15" x14ac:dyDescent="0.25">
      <c r="A1381" s="365" t="s">
        <v>509</v>
      </c>
      <c r="H1381" s="366">
        <v>29</v>
      </c>
      <c r="J1381" s="367"/>
      <c r="K1381" s="367"/>
      <c r="L1381" s="367">
        <v>1150</v>
      </c>
      <c r="M1381" s="367">
        <v>42</v>
      </c>
      <c r="N1381" s="367">
        <v>142</v>
      </c>
      <c r="O1381" s="367"/>
      <c r="P1381" s="367"/>
      <c r="Q1381" s="367"/>
      <c r="R1381" s="367">
        <v>253</v>
      </c>
      <c r="S1381" s="367">
        <v>1.3</v>
      </c>
      <c r="T1381" s="367">
        <v>4</v>
      </c>
      <c r="U1381" s="367"/>
      <c r="V1381" s="367"/>
      <c r="W1381" s="367"/>
      <c r="X1381" s="367"/>
      <c r="Y1381" s="367"/>
      <c r="Z1381" s="367"/>
      <c r="AA1381" s="367"/>
      <c r="AB1381" s="367"/>
      <c r="AC1381" s="367">
        <v>1.77</v>
      </c>
    </row>
    <row r="1382" spans="1:29" ht="15" x14ac:dyDescent="0.25">
      <c r="A1382" s="365" t="s">
        <v>626</v>
      </c>
      <c r="H1382" s="366">
        <v>96</v>
      </c>
      <c r="J1382" s="367"/>
      <c r="K1382" s="367"/>
      <c r="L1382" s="367">
        <v>280</v>
      </c>
      <c r="M1382" s="367">
        <v>7.5</v>
      </c>
      <c r="N1382" s="367">
        <v>18</v>
      </c>
      <c r="O1382" s="367"/>
      <c r="P1382" s="367">
        <v>120</v>
      </c>
      <c r="Q1382" s="367"/>
      <c r="R1382" s="367">
        <v>190</v>
      </c>
      <c r="S1382" s="367">
        <v>4.0999999999999996</v>
      </c>
      <c r="T1382" s="367">
        <v>360</v>
      </c>
      <c r="U1382" s="367"/>
      <c r="V1382" s="367"/>
      <c r="W1382" s="367"/>
      <c r="X1382" s="367"/>
      <c r="Y1382" s="367"/>
      <c r="Z1382" s="367"/>
      <c r="AA1382" s="367"/>
      <c r="AB1382" s="367"/>
      <c r="AC1382" s="367">
        <v>-0.06</v>
      </c>
    </row>
    <row r="1383" spans="1:29" ht="15" x14ac:dyDescent="0.25">
      <c r="A1383" s="365" t="s">
        <v>627</v>
      </c>
      <c r="H1383" s="366"/>
      <c r="J1383" s="367"/>
      <c r="K1383" s="367"/>
      <c r="L1383" s="367"/>
      <c r="M1383" s="367"/>
      <c r="N1383" s="367"/>
      <c r="O1383" s="367"/>
      <c r="P1383" s="367"/>
      <c r="Q1383" s="367"/>
      <c r="R1383" s="367"/>
      <c r="S1383" s="367"/>
      <c r="T1383" s="367"/>
      <c r="U1383" s="367"/>
      <c r="V1383" s="367"/>
      <c r="W1383" s="367"/>
      <c r="X1383" s="367"/>
      <c r="Y1383" s="367"/>
      <c r="Z1383" s="367"/>
      <c r="AA1383" s="367"/>
      <c r="AB1383" s="367"/>
      <c r="AC1383" s="367">
        <v>0.16</v>
      </c>
    </row>
    <row r="1384" spans="1:29" ht="15" x14ac:dyDescent="0.25">
      <c r="A1384" s="365" t="s">
        <v>940</v>
      </c>
      <c r="H1384" s="366">
        <v>73</v>
      </c>
      <c r="J1384" s="367"/>
      <c r="K1384" s="367"/>
      <c r="L1384" s="367">
        <v>405</v>
      </c>
      <c r="M1384" s="367">
        <v>8</v>
      </c>
      <c r="N1384" s="367">
        <v>37</v>
      </c>
      <c r="O1384" s="367"/>
      <c r="P1384" s="367">
        <v>57</v>
      </c>
      <c r="Q1384" s="367"/>
      <c r="R1384" s="367">
        <v>462</v>
      </c>
      <c r="S1384" s="367">
        <v>2.2000000000000002</v>
      </c>
      <c r="T1384" s="367">
        <v>178</v>
      </c>
      <c r="U1384" s="367"/>
      <c r="V1384" s="367"/>
      <c r="W1384" s="367"/>
      <c r="X1384" s="367"/>
      <c r="Y1384" s="367"/>
      <c r="Z1384" s="367"/>
      <c r="AA1384" s="367">
        <v>0.79</v>
      </c>
      <c r="AB1384" s="367"/>
      <c r="AC1384" s="367"/>
    </row>
    <row r="1385" spans="1:29" ht="15" x14ac:dyDescent="0.25">
      <c r="A1385" s="365" t="s">
        <v>511</v>
      </c>
      <c r="H1385" s="366">
        <v>73</v>
      </c>
      <c r="J1385" s="367"/>
      <c r="K1385" s="367"/>
      <c r="L1385" s="367">
        <v>410</v>
      </c>
      <c r="M1385" s="367">
        <v>7.6</v>
      </c>
      <c r="N1385" s="367">
        <v>37</v>
      </c>
      <c r="O1385" s="367"/>
      <c r="P1385" s="367">
        <v>60</v>
      </c>
      <c r="Q1385" s="367"/>
      <c r="R1385" s="367">
        <v>460</v>
      </c>
      <c r="S1385" s="367">
        <v>2.2000000000000002</v>
      </c>
      <c r="T1385" s="367">
        <v>340</v>
      </c>
      <c r="U1385" s="367"/>
      <c r="V1385" s="367"/>
      <c r="W1385" s="367"/>
      <c r="X1385" s="367"/>
      <c r="Y1385" s="367"/>
      <c r="Z1385" s="367"/>
      <c r="AA1385" s="367"/>
      <c r="AB1385" s="367"/>
      <c r="AC1385" s="367">
        <v>-0.06</v>
      </c>
    </row>
    <row r="1386" spans="1:29" ht="15" x14ac:dyDescent="0.25">
      <c r="A1386" s="365" t="s">
        <v>512</v>
      </c>
      <c r="H1386" s="366">
        <v>70</v>
      </c>
      <c r="J1386" s="367"/>
      <c r="K1386" s="367"/>
      <c r="L1386" s="367">
        <v>400</v>
      </c>
      <c r="M1386" s="367">
        <v>7.4</v>
      </c>
      <c r="N1386" s="367">
        <v>38</v>
      </c>
      <c r="O1386" s="367"/>
      <c r="P1386" s="367">
        <v>62</v>
      </c>
      <c r="Q1386" s="367"/>
      <c r="R1386" s="367">
        <v>460</v>
      </c>
      <c r="S1386" s="367">
        <v>2.2000000000000002</v>
      </c>
      <c r="T1386" s="367">
        <v>330</v>
      </c>
      <c r="U1386" s="367"/>
      <c r="V1386" s="367"/>
      <c r="W1386" s="367"/>
      <c r="X1386" s="367"/>
      <c r="Y1386" s="367"/>
      <c r="Z1386" s="367"/>
      <c r="AA1386" s="367"/>
      <c r="AB1386" s="367"/>
      <c r="AC1386" s="367">
        <v>-0.06</v>
      </c>
    </row>
    <row r="1387" spans="1:29" ht="15" x14ac:dyDescent="0.25">
      <c r="A1387" s="365" t="s">
        <v>500</v>
      </c>
      <c r="H1387" s="366">
        <v>39</v>
      </c>
      <c r="J1387" s="367"/>
      <c r="K1387" s="367"/>
      <c r="L1387" s="367">
        <v>820</v>
      </c>
      <c r="M1387" s="367">
        <v>52</v>
      </c>
      <c r="N1387" s="367">
        <v>120</v>
      </c>
      <c r="O1387" s="367"/>
      <c r="P1387" s="367">
        <v>30</v>
      </c>
      <c r="Q1387" s="367"/>
      <c r="R1387" s="367">
        <v>270</v>
      </c>
      <c r="S1387" s="367">
        <v>1.8</v>
      </c>
      <c r="T1387" s="367">
        <v>44</v>
      </c>
      <c r="U1387" s="367"/>
      <c r="V1387" s="367"/>
      <c r="W1387" s="367"/>
      <c r="X1387" s="367"/>
      <c r="Y1387" s="367"/>
      <c r="Z1387" s="367"/>
      <c r="AA1387" s="367">
        <v>1.3</v>
      </c>
      <c r="AB1387" s="367"/>
      <c r="AC1387" s="367">
        <v>0.25</v>
      </c>
    </row>
    <row r="1388" spans="1:29" ht="15" x14ac:dyDescent="0.25">
      <c r="A1388" s="365" t="s">
        <v>516</v>
      </c>
      <c r="H1388" s="366">
        <v>43</v>
      </c>
      <c r="J1388" s="367"/>
      <c r="K1388" s="367"/>
      <c r="L1388" s="367">
        <v>300</v>
      </c>
      <c r="M1388" s="367">
        <v>8.8000000000000007</v>
      </c>
      <c r="N1388" s="367">
        <v>70</v>
      </c>
      <c r="O1388" s="367"/>
      <c r="P1388" s="367">
        <v>60</v>
      </c>
      <c r="Q1388" s="367"/>
      <c r="R1388" s="367">
        <v>370</v>
      </c>
      <c r="S1388" s="367">
        <v>3</v>
      </c>
      <c r="T1388" s="367">
        <v>74</v>
      </c>
      <c r="U1388" s="367"/>
      <c r="V1388" s="367"/>
      <c r="W1388" s="367"/>
      <c r="X1388" s="367"/>
      <c r="Y1388" s="367"/>
      <c r="Z1388" s="367"/>
      <c r="AA1388" s="367"/>
      <c r="AB1388" s="367"/>
      <c r="AC1388" s="367">
        <v>0.08</v>
      </c>
    </row>
    <row r="1389" spans="1:29" ht="15" x14ac:dyDescent="0.25">
      <c r="A1389" s="365" t="s">
        <v>517</v>
      </c>
      <c r="H1389" s="366">
        <v>24</v>
      </c>
      <c r="J1389" s="367"/>
      <c r="K1389" s="367"/>
      <c r="L1389" s="367">
        <v>3730</v>
      </c>
      <c r="M1389" s="367">
        <v>170</v>
      </c>
      <c r="N1389" s="367">
        <v>31</v>
      </c>
      <c r="O1389" s="367"/>
      <c r="P1389" s="367">
        <v>583</v>
      </c>
      <c r="Q1389" s="367"/>
      <c r="R1389" s="367">
        <v>3430</v>
      </c>
      <c r="S1389" s="367"/>
      <c r="T1389" s="367">
        <v>438</v>
      </c>
      <c r="U1389" s="367"/>
      <c r="V1389" s="367"/>
      <c r="W1389" s="367"/>
      <c r="X1389" s="367"/>
      <c r="Y1389" s="367"/>
      <c r="Z1389" s="367"/>
      <c r="AA1389" s="367"/>
      <c r="AB1389" s="367"/>
      <c r="AC1389" s="367"/>
    </row>
    <row r="1390" spans="1:29" ht="15" x14ac:dyDescent="0.25">
      <c r="A1390" s="365" t="s">
        <v>517</v>
      </c>
      <c r="H1390" s="366">
        <v>21</v>
      </c>
      <c r="J1390" s="367"/>
      <c r="K1390" s="367"/>
      <c r="L1390" s="367">
        <v>10800</v>
      </c>
      <c r="M1390" s="367">
        <v>292</v>
      </c>
      <c r="N1390" s="367">
        <v>1790</v>
      </c>
      <c r="O1390" s="367"/>
      <c r="P1390" s="367">
        <v>22</v>
      </c>
      <c r="Q1390" s="367"/>
      <c r="R1390" s="367">
        <v>23200</v>
      </c>
      <c r="S1390" s="367"/>
      <c r="T1390" s="367">
        <v>1520</v>
      </c>
      <c r="U1390" s="367"/>
      <c r="V1390" s="367"/>
      <c r="W1390" s="367"/>
      <c r="X1390" s="367"/>
      <c r="Y1390" s="367"/>
      <c r="Z1390" s="367"/>
      <c r="AA1390" s="367"/>
      <c r="AB1390" s="367"/>
      <c r="AC1390" s="367"/>
    </row>
    <row r="1391" spans="1:29" ht="15" x14ac:dyDescent="0.25">
      <c r="A1391" s="365" t="s">
        <v>517</v>
      </c>
      <c r="H1391" s="366">
        <v>25</v>
      </c>
      <c r="J1391" s="367"/>
      <c r="K1391" s="367"/>
      <c r="L1391" s="367">
        <v>4100</v>
      </c>
      <c r="M1391" s="367">
        <v>84</v>
      </c>
      <c r="N1391" s="367">
        <v>364</v>
      </c>
      <c r="O1391" s="367"/>
      <c r="P1391" s="367">
        <v>79</v>
      </c>
      <c r="Q1391" s="367"/>
      <c r="R1391" s="367">
        <v>5730</v>
      </c>
      <c r="S1391" s="367"/>
      <c r="T1391" s="367">
        <v>2590</v>
      </c>
      <c r="U1391" s="367"/>
      <c r="V1391" s="367"/>
      <c r="W1391" s="367"/>
      <c r="X1391" s="367"/>
      <c r="Y1391" s="367"/>
      <c r="Z1391" s="367"/>
      <c r="AA1391" s="367"/>
      <c r="AB1391" s="367"/>
      <c r="AC1391" s="367"/>
    </row>
    <row r="1392" spans="1:29" ht="15" x14ac:dyDescent="0.25">
      <c r="A1392" s="365" t="s">
        <v>578</v>
      </c>
      <c r="H1392" s="366">
        <v>26</v>
      </c>
      <c r="J1392" s="367"/>
      <c r="K1392" s="367"/>
      <c r="L1392" s="367">
        <v>136</v>
      </c>
      <c r="M1392" s="367">
        <v>5.6</v>
      </c>
      <c r="N1392" s="367">
        <v>22</v>
      </c>
      <c r="O1392" s="367"/>
      <c r="P1392" s="367">
        <v>111</v>
      </c>
      <c r="Q1392" s="367"/>
      <c r="R1392" s="367">
        <v>146</v>
      </c>
      <c r="S1392" s="367">
        <v>0.1</v>
      </c>
      <c r="T1392" s="367"/>
      <c r="U1392" s="367"/>
      <c r="V1392" s="367"/>
      <c r="W1392" s="367"/>
      <c r="X1392" s="367"/>
      <c r="Y1392" s="367"/>
      <c r="Z1392" s="367"/>
      <c r="AA1392" s="367"/>
      <c r="AB1392" s="367"/>
      <c r="AC1392" s="367"/>
    </row>
    <row r="1393" spans="1:29" ht="15" x14ac:dyDescent="0.25">
      <c r="A1393" s="365" t="s">
        <v>518</v>
      </c>
      <c r="H1393" s="366">
        <v>26</v>
      </c>
      <c r="J1393" s="367"/>
      <c r="K1393" s="367"/>
      <c r="L1393" s="367">
        <v>135</v>
      </c>
      <c r="M1393" s="367">
        <v>5</v>
      </c>
      <c r="N1393" s="367">
        <v>20</v>
      </c>
      <c r="O1393" s="367"/>
      <c r="P1393" s="367">
        <v>113</v>
      </c>
      <c r="Q1393" s="367"/>
      <c r="R1393" s="367">
        <v>145</v>
      </c>
      <c r="S1393" s="367">
        <v>-0.5</v>
      </c>
      <c r="T1393" s="367">
        <v>-1</v>
      </c>
      <c r="U1393" s="367"/>
      <c r="V1393" s="367"/>
      <c r="W1393" s="367"/>
      <c r="X1393" s="367"/>
      <c r="Y1393" s="367"/>
      <c r="Z1393" s="367"/>
      <c r="AA1393" s="367"/>
      <c r="AB1393" s="367"/>
      <c r="AC1393" s="367">
        <v>0.83</v>
      </c>
    </row>
    <row r="1394" spans="1:29" ht="15" x14ac:dyDescent="0.25">
      <c r="A1394" s="365" t="s">
        <v>523</v>
      </c>
      <c r="H1394" s="366">
        <v>34</v>
      </c>
      <c r="J1394" s="367"/>
      <c r="K1394" s="367"/>
      <c r="L1394" s="367">
        <v>5430</v>
      </c>
      <c r="M1394" s="367">
        <v>334</v>
      </c>
      <c r="N1394" s="367">
        <v>435</v>
      </c>
      <c r="O1394" s="367"/>
      <c r="P1394" s="367">
        <v>41</v>
      </c>
      <c r="Q1394" s="367"/>
      <c r="R1394" s="367">
        <v>8920</v>
      </c>
      <c r="S1394" s="367"/>
      <c r="T1394" s="367">
        <v>414</v>
      </c>
      <c r="U1394" s="367"/>
      <c r="V1394" s="367"/>
      <c r="W1394" s="367"/>
      <c r="X1394" s="367"/>
      <c r="Y1394" s="367"/>
      <c r="Z1394" s="367"/>
      <c r="AA1394" s="367"/>
      <c r="AB1394" s="367"/>
      <c r="AC1394" s="367"/>
    </row>
    <row r="1395" spans="1:29" ht="15" x14ac:dyDescent="0.25">
      <c r="A1395" s="365" t="s">
        <v>523</v>
      </c>
      <c r="H1395" s="366">
        <v>42</v>
      </c>
      <c r="J1395" s="367"/>
      <c r="K1395" s="367"/>
      <c r="L1395" s="367">
        <v>4570</v>
      </c>
      <c r="M1395" s="367">
        <v>313</v>
      </c>
      <c r="N1395" s="367">
        <v>352</v>
      </c>
      <c r="O1395" s="367"/>
      <c r="P1395" s="367"/>
      <c r="Q1395" s="367"/>
      <c r="R1395" s="367">
        <v>8640</v>
      </c>
      <c r="S1395" s="367"/>
      <c r="T1395" s="367">
        <v>283</v>
      </c>
      <c r="U1395" s="367"/>
      <c r="V1395" s="367"/>
      <c r="W1395" s="367"/>
      <c r="X1395" s="367"/>
      <c r="Y1395" s="367"/>
      <c r="Z1395" s="367"/>
      <c r="AA1395" s="367"/>
      <c r="AB1395" s="367"/>
      <c r="AC1395" s="367"/>
    </row>
    <row r="1396" spans="1:29" ht="15" x14ac:dyDescent="0.25">
      <c r="A1396" s="365" t="s">
        <v>523</v>
      </c>
      <c r="H1396" s="366">
        <v>34</v>
      </c>
      <c r="J1396" s="367"/>
      <c r="K1396" s="367"/>
      <c r="L1396" s="367">
        <v>5430</v>
      </c>
      <c r="M1396" s="367">
        <v>334</v>
      </c>
      <c r="N1396" s="367">
        <v>435</v>
      </c>
      <c r="O1396" s="367"/>
      <c r="P1396" s="367">
        <v>41</v>
      </c>
      <c r="Q1396" s="367"/>
      <c r="R1396" s="367">
        <v>8920</v>
      </c>
      <c r="S1396" s="367"/>
      <c r="T1396" s="367">
        <v>414</v>
      </c>
      <c r="U1396" s="367"/>
      <c r="V1396" s="367"/>
      <c r="W1396" s="367"/>
      <c r="X1396" s="367"/>
      <c r="Y1396" s="367"/>
      <c r="Z1396" s="367"/>
      <c r="AA1396" s="367"/>
      <c r="AB1396" s="367"/>
      <c r="AC1396" s="367"/>
    </row>
    <row r="1397" spans="1:29" ht="15" x14ac:dyDescent="0.25">
      <c r="A1397" s="365" t="s">
        <v>523</v>
      </c>
      <c r="H1397" s="366">
        <v>42</v>
      </c>
      <c r="J1397" s="367"/>
      <c r="K1397" s="367"/>
      <c r="L1397" s="367">
        <v>4570</v>
      </c>
      <c r="M1397" s="367">
        <v>313</v>
      </c>
      <c r="N1397" s="367">
        <v>352</v>
      </c>
      <c r="O1397" s="367"/>
      <c r="P1397" s="367"/>
      <c r="Q1397" s="367"/>
      <c r="R1397" s="367">
        <v>8640</v>
      </c>
      <c r="S1397" s="367"/>
      <c r="T1397" s="367">
        <v>283</v>
      </c>
      <c r="U1397" s="367"/>
      <c r="V1397" s="367"/>
      <c r="W1397" s="367"/>
      <c r="X1397" s="367"/>
      <c r="Y1397" s="367"/>
      <c r="Z1397" s="367"/>
      <c r="AA1397" s="367"/>
      <c r="AB1397" s="367"/>
      <c r="AC1397" s="367"/>
    </row>
    <row r="1398" spans="1:29" ht="15" x14ac:dyDescent="0.25">
      <c r="A1398" s="365" t="s">
        <v>981</v>
      </c>
      <c r="H1398" s="366"/>
      <c r="J1398" s="367"/>
      <c r="K1398" s="367"/>
      <c r="L1398" s="367"/>
      <c r="M1398" s="367"/>
      <c r="N1398" s="367">
        <v>312</v>
      </c>
      <c r="O1398" s="367"/>
      <c r="P1398" s="367"/>
      <c r="Q1398" s="367"/>
      <c r="R1398" s="367">
        <v>11</v>
      </c>
      <c r="S1398" s="367"/>
      <c r="T1398" s="367">
        <v>272</v>
      </c>
      <c r="U1398" s="367"/>
      <c r="V1398" s="367"/>
      <c r="W1398" s="367"/>
      <c r="X1398" s="367"/>
      <c r="Y1398" s="367"/>
      <c r="Z1398" s="367"/>
      <c r="AA1398" s="367"/>
      <c r="AB1398" s="367"/>
      <c r="AC1398" s="367"/>
    </row>
    <row r="1399" spans="1:29" ht="15" x14ac:dyDescent="0.25">
      <c r="A1399" s="365" t="s">
        <v>979</v>
      </c>
      <c r="H1399" s="366">
        <v>41</v>
      </c>
      <c r="J1399" s="367"/>
      <c r="K1399" s="367"/>
      <c r="L1399" s="367"/>
      <c r="M1399" s="367"/>
      <c r="N1399" s="367">
        <v>306</v>
      </c>
      <c r="O1399" s="367"/>
      <c r="P1399" s="367"/>
      <c r="Q1399" s="367"/>
      <c r="R1399" s="367">
        <v>13</v>
      </c>
      <c r="S1399" s="367"/>
      <c r="T1399" s="367">
        <v>279</v>
      </c>
      <c r="U1399" s="367"/>
      <c r="V1399" s="367"/>
      <c r="W1399" s="367"/>
      <c r="X1399" s="367"/>
      <c r="Y1399" s="367"/>
      <c r="Z1399" s="367"/>
      <c r="AA1399" s="367"/>
      <c r="AB1399" s="367"/>
      <c r="AC1399" s="367"/>
    </row>
    <row r="1400" spans="1:29" ht="15" x14ac:dyDescent="0.25">
      <c r="A1400" s="365" t="s">
        <v>524</v>
      </c>
      <c r="H1400" s="366">
        <v>44</v>
      </c>
      <c r="J1400" s="367"/>
      <c r="K1400" s="367"/>
      <c r="L1400" s="367">
        <v>184</v>
      </c>
      <c r="M1400" s="367">
        <v>5.3</v>
      </c>
      <c r="N1400" s="367">
        <v>288</v>
      </c>
      <c r="O1400" s="367"/>
      <c r="P1400" s="367">
        <v>130</v>
      </c>
      <c r="Q1400" s="367"/>
      <c r="R1400" s="367">
        <v>16</v>
      </c>
      <c r="S1400" s="367">
        <v>0.5</v>
      </c>
      <c r="T1400" s="367">
        <v>142</v>
      </c>
      <c r="U1400" s="367"/>
      <c r="V1400" s="367"/>
      <c r="W1400" s="367"/>
      <c r="X1400" s="367"/>
      <c r="Y1400" s="367"/>
      <c r="Z1400" s="367"/>
      <c r="AA1400" s="367"/>
      <c r="AB1400" s="367"/>
      <c r="AC1400" s="367"/>
    </row>
    <row r="1401" spans="1:29" ht="15" x14ac:dyDescent="0.25">
      <c r="A1401" s="365" t="s">
        <v>455</v>
      </c>
      <c r="H1401" s="366">
        <v>43</v>
      </c>
      <c r="J1401" s="367"/>
      <c r="K1401" s="367"/>
      <c r="L1401" s="367">
        <v>625</v>
      </c>
      <c r="M1401" s="367">
        <v>0.9</v>
      </c>
      <c r="N1401" s="367">
        <v>174</v>
      </c>
      <c r="O1401" s="367"/>
      <c r="P1401" s="367">
        <v>0.8</v>
      </c>
      <c r="Q1401" s="367"/>
      <c r="R1401" s="367">
        <v>751</v>
      </c>
      <c r="S1401" s="367"/>
      <c r="T1401" s="367">
        <v>3090</v>
      </c>
      <c r="U1401" s="367"/>
      <c r="V1401" s="367"/>
      <c r="W1401" s="367"/>
      <c r="X1401" s="367"/>
      <c r="Y1401" s="367"/>
      <c r="Z1401" s="367"/>
      <c r="AA1401" s="367"/>
      <c r="AB1401" s="367"/>
      <c r="AC1401" s="367">
        <v>1600</v>
      </c>
    </row>
    <row r="1402" spans="1:29" ht="15" x14ac:dyDescent="0.25">
      <c r="A1402" s="365" t="s">
        <v>982</v>
      </c>
      <c r="H1402" s="366">
        <v>53</v>
      </c>
      <c r="J1402" s="367"/>
      <c r="K1402" s="367"/>
      <c r="L1402" s="367"/>
      <c r="M1402" s="367"/>
      <c r="N1402" s="367">
        <v>10</v>
      </c>
      <c r="O1402" s="367"/>
      <c r="P1402" s="367"/>
      <c r="Q1402" s="367"/>
      <c r="R1402" s="367">
        <v>760</v>
      </c>
      <c r="S1402" s="367"/>
      <c r="T1402" s="367">
        <v>31</v>
      </c>
      <c r="U1402" s="367"/>
      <c r="V1402" s="367"/>
      <c r="W1402" s="367"/>
      <c r="X1402" s="367"/>
      <c r="Y1402" s="367"/>
      <c r="Z1402" s="367"/>
      <c r="AA1402" s="367"/>
      <c r="AB1402" s="367"/>
      <c r="AC1402" s="367"/>
    </row>
    <row r="1403" spans="1:29" ht="15" x14ac:dyDescent="0.25">
      <c r="A1403" s="365" t="s">
        <v>983</v>
      </c>
      <c r="H1403" s="366">
        <v>26</v>
      </c>
      <c r="J1403" s="367"/>
      <c r="K1403" s="367"/>
      <c r="L1403" s="367"/>
      <c r="M1403" s="367"/>
      <c r="N1403" s="367">
        <v>12</v>
      </c>
      <c r="O1403" s="367"/>
      <c r="P1403" s="367"/>
      <c r="Q1403" s="367"/>
      <c r="R1403" s="367">
        <v>866</v>
      </c>
      <c r="S1403" s="367"/>
      <c r="T1403" s="367">
        <v>114</v>
      </c>
      <c r="U1403" s="367"/>
      <c r="V1403" s="367"/>
      <c r="W1403" s="367"/>
      <c r="X1403" s="367"/>
      <c r="Y1403" s="367"/>
      <c r="Z1403" s="367"/>
      <c r="AA1403" s="367"/>
      <c r="AB1403" s="367"/>
      <c r="AC1403" s="367"/>
    </row>
    <row r="1404" spans="1:29" ht="15" x14ac:dyDescent="0.25">
      <c r="A1404" s="365" t="s">
        <v>600</v>
      </c>
      <c r="H1404" s="366">
        <v>63</v>
      </c>
      <c r="J1404" s="367"/>
      <c r="K1404" s="367"/>
      <c r="L1404" s="367">
        <v>1030</v>
      </c>
      <c r="M1404" s="367">
        <v>8.5</v>
      </c>
      <c r="N1404" s="367">
        <v>72</v>
      </c>
      <c r="O1404" s="367"/>
      <c r="P1404" s="367">
        <v>28</v>
      </c>
      <c r="Q1404" s="367"/>
      <c r="R1404" s="367">
        <v>640</v>
      </c>
      <c r="S1404" s="367"/>
      <c r="T1404" s="367">
        <v>1490</v>
      </c>
      <c r="U1404" s="367"/>
      <c r="V1404" s="367"/>
      <c r="W1404" s="367"/>
      <c r="X1404" s="367"/>
      <c r="Y1404" s="367"/>
      <c r="Z1404" s="367"/>
      <c r="AA1404" s="367"/>
      <c r="AB1404" s="367"/>
      <c r="AC1404" s="367"/>
    </row>
    <row r="1405" spans="1:29" ht="15" x14ac:dyDescent="0.25">
      <c r="A1405" s="365" t="s">
        <v>981</v>
      </c>
      <c r="H1405" s="366">
        <v>35</v>
      </c>
      <c r="J1405" s="367"/>
      <c r="K1405" s="367"/>
      <c r="L1405" s="367"/>
      <c r="M1405" s="367"/>
      <c r="N1405" s="367">
        <v>10</v>
      </c>
      <c r="O1405" s="367"/>
      <c r="P1405" s="367"/>
      <c r="Q1405" s="367"/>
      <c r="R1405" s="367">
        <v>814</v>
      </c>
      <c r="S1405" s="367"/>
      <c r="T1405" s="367">
        <v>57</v>
      </c>
      <c r="U1405" s="367"/>
      <c r="V1405" s="367"/>
      <c r="W1405" s="367"/>
      <c r="X1405" s="367"/>
      <c r="Y1405" s="367"/>
      <c r="Z1405" s="367"/>
      <c r="AA1405" s="367"/>
      <c r="AB1405" s="367"/>
      <c r="AC1405" s="367"/>
    </row>
    <row r="1406" spans="1:29" ht="15" x14ac:dyDescent="0.25">
      <c r="A1406" s="365" t="s">
        <v>525</v>
      </c>
      <c r="H1406" s="366">
        <v>23</v>
      </c>
      <c r="J1406" s="367"/>
      <c r="K1406" s="367"/>
      <c r="L1406" s="367">
        <v>616</v>
      </c>
      <c r="M1406" s="367">
        <v>19</v>
      </c>
      <c r="N1406" s="367">
        <v>172</v>
      </c>
      <c r="O1406" s="367"/>
      <c r="P1406" s="367">
        <v>16</v>
      </c>
      <c r="Q1406" s="367"/>
      <c r="R1406" s="367">
        <v>270</v>
      </c>
      <c r="S1406" s="367"/>
      <c r="T1406" s="367">
        <v>2800</v>
      </c>
      <c r="U1406" s="367"/>
      <c r="V1406" s="367"/>
      <c r="W1406" s="367"/>
      <c r="X1406" s="367"/>
      <c r="Y1406" s="367"/>
      <c r="Z1406" s="367"/>
      <c r="AA1406" s="367"/>
      <c r="AB1406" s="367"/>
      <c r="AC1406" s="367">
        <v>30</v>
      </c>
    </row>
    <row r="1407" spans="1:29" ht="15" x14ac:dyDescent="0.25">
      <c r="A1407" s="365" t="s">
        <v>263</v>
      </c>
      <c r="H1407" s="366">
        <v>52</v>
      </c>
      <c r="J1407" s="367"/>
      <c r="K1407" s="367"/>
      <c r="L1407" s="367">
        <v>162</v>
      </c>
      <c r="M1407" s="367">
        <v>20</v>
      </c>
      <c r="N1407" s="367">
        <v>30</v>
      </c>
      <c r="O1407" s="367"/>
      <c r="P1407" s="367">
        <v>170</v>
      </c>
      <c r="Q1407" s="367"/>
      <c r="R1407" s="367">
        <v>272</v>
      </c>
      <c r="S1407" s="367">
        <v>0.1</v>
      </c>
      <c r="T1407" s="367">
        <v>6</v>
      </c>
      <c r="U1407" s="367"/>
      <c r="V1407" s="367"/>
      <c r="W1407" s="367"/>
      <c r="X1407" s="367"/>
      <c r="Y1407" s="367"/>
      <c r="Z1407" s="367"/>
      <c r="AA1407" s="367"/>
      <c r="AB1407" s="367"/>
      <c r="AC1407" s="367"/>
    </row>
    <row r="1408" spans="1:29" ht="15" x14ac:dyDescent="0.25">
      <c r="A1408" s="365" t="s">
        <v>527</v>
      </c>
      <c r="H1408" s="366">
        <v>77</v>
      </c>
      <c r="J1408" s="367"/>
      <c r="K1408" s="367"/>
      <c r="L1408" s="367">
        <v>330</v>
      </c>
      <c r="M1408" s="367">
        <v>11</v>
      </c>
      <c r="N1408" s="367">
        <v>19</v>
      </c>
      <c r="O1408" s="367"/>
      <c r="P1408" s="367">
        <v>130</v>
      </c>
      <c r="Q1408" s="367"/>
      <c r="R1408" s="367">
        <v>150</v>
      </c>
      <c r="S1408" s="367">
        <v>4</v>
      </c>
      <c r="T1408" s="367">
        <v>510</v>
      </c>
      <c r="U1408" s="367"/>
      <c r="V1408" s="367"/>
      <c r="W1408" s="367"/>
      <c r="X1408" s="367"/>
      <c r="Y1408" s="367"/>
      <c r="Z1408" s="367"/>
      <c r="AA1408" s="367"/>
      <c r="AB1408" s="367"/>
      <c r="AC1408" s="367">
        <v>-0.06</v>
      </c>
    </row>
    <row r="1409" spans="1:29" ht="15" x14ac:dyDescent="0.25">
      <c r="A1409" s="365" t="s">
        <v>528</v>
      </c>
      <c r="H1409" s="366">
        <v>20</v>
      </c>
      <c r="J1409" s="367"/>
      <c r="K1409" s="367"/>
      <c r="L1409" s="367">
        <v>50</v>
      </c>
      <c r="M1409" s="367">
        <v>10</v>
      </c>
      <c r="N1409" s="367">
        <v>81</v>
      </c>
      <c r="O1409" s="367"/>
      <c r="P1409" s="367">
        <v>115</v>
      </c>
      <c r="Q1409" s="367"/>
      <c r="R1409" s="367">
        <v>4</v>
      </c>
      <c r="S1409" s="367">
        <v>-0.5</v>
      </c>
      <c r="T1409" s="367">
        <v>-1</v>
      </c>
      <c r="U1409" s="367"/>
      <c r="V1409" s="367"/>
      <c r="W1409" s="367"/>
      <c r="X1409" s="367"/>
      <c r="Y1409" s="367"/>
      <c r="Z1409" s="367"/>
      <c r="AA1409" s="367"/>
      <c r="AB1409" s="367"/>
      <c r="AC1409" s="367">
        <v>7</v>
      </c>
    </row>
    <row r="1410" spans="1:29" ht="15" x14ac:dyDescent="0.25">
      <c r="A1410" s="365" t="s">
        <v>413</v>
      </c>
      <c r="H1410" s="366">
        <v>35</v>
      </c>
      <c r="J1410" s="367"/>
      <c r="K1410" s="367"/>
      <c r="L1410" s="367">
        <v>140</v>
      </c>
      <c r="M1410" s="367">
        <v>1.3</v>
      </c>
      <c r="N1410" s="367">
        <v>3.4</v>
      </c>
      <c r="O1410" s="367"/>
      <c r="P1410" s="367">
        <v>50</v>
      </c>
      <c r="Q1410" s="367"/>
      <c r="R1410" s="367">
        <v>52</v>
      </c>
      <c r="S1410" s="367">
        <v>14</v>
      </c>
      <c r="T1410" s="367">
        <v>4</v>
      </c>
      <c r="U1410" s="367"/>
      <c r="V1410" s="367"/>
      <c r="W1410" s="367"/>
      <c r="X1410" s="367"/>
      <c r="Y1410" s="367"/>
      <c r="Z1410" s="367"/>
      <c r="AA1410" s="367"/>
      <c r="AB1410" s="367"/>
      <c r="AC1410" s="367">
        <v>-0.02</v>
      </c>
    </row>
    <row r="1411" spans="1:29" ht="15" x14ac:dyDescent="0.25">
      <c r="A1411" s="365" t="s">
        <v>413</v>
      </c>
      <c r="H1411" s="366"/>
      <c r="J1411" s="367"/>
      <c r="K1411" s="367"/>
      <c r="L1411" s="367"/>
      <c r="M1411" s="367"/>
      <c r="N1411" s="367"/>
      <c r="O1411" s="367"/>
      <c r="P1411" s="367"/>
      <c r="Q1411" s="367"/>
      <c r="R1411" s="367">
        <v>49</v>
      </c>
      <c r="S1411" s="367"/>
      <c r="T1411" s="367"/>
      <c r="U1411" s="367"/>
      <c r="V1411" s="367"/>
      <c r="W1411" s="367"/>
      <c r="X1411" s="367"/>
      <c r="Y1411" s="367"/>
      <c r="Z1411" s="367"/>
      <c r="AA1411" s="367"/>
      <c r="AB1411" s="367"/>
      <c r="AC1411" s="367"/>
    </row>
    <row r="1412" spans="1:29" ht="15" x14ac:dyDescent="0.25">
      <c r="A1412" s="365" t="s">
        <v>581</v>
      </c>
      <c r="H1412" s="366">
        <v>29</v>
      </c>
      <c r="J1412" s="367"/>
      <c r="K1412" s="367"/>
      <c r="L1412" s="367">
        <v>140</v>
      </c>
      <c r="M1412" s="367">
        <v>1.8</v>
      </c>
      <c r="N1412" s="367">
        <v>5.67</v>
      </c>
      <c r="O1412" s="367"/>
      <c r="P1412" s="367">
        <v>60.4</v>
      </c>
      <c r="Q1412" s="367"/>
      <c r="R1412" s="367">
        <v>51</v>
      </c>
      <c r="S1412" s="367">
        <v>13.6</v>
      </c>
      <c r="T1412" s="367">
        <v>1</v>
      </c>
      <c r="U1412" s="367"/>
      <c r="V1412" s="367"/>
      <c r="W1412" s="367"/>
      <c r="X1412" s="367"/>
      <c r="Y1412" s="367"/>
      <c r="Z1412" s="367"/>
      <c r="AA1412" s="367">
        <v>0.21</v>
      </c>
      <c r="AB1412" s="367"/>
      <c r="AC1412" s="367"/>
    </row>
    <row r="1413" spans="1:29" ht="15" x14ac:dyDescent="0.25">
      <c r="A1413" s="365" t="s">
        <v>413</v>
      </c>
      <c r="H1413" s="366"/>
      <c r="J1413" s="367"/>
      <c r="K1413" s="367"/>
      <c r="L1413" s="367"/>
      <c r="M1413" s="367"/>
      <c r="N1413" s="367"/>
      <c r="O1413" s="367"/>
      <c r="P1413" s="367"/>
      <c r="Q1413" s="367"/>
      <c r="R1413" s="367">
        <v>54</v>
      </c>
      <c r="S1413" s="367"/>
      <c r="T1413" s="367"/>
      <c r="U1413" s="367"/>
      <c r="V1413" s="367"/>
      <c r="W1413" s="367"/>
      <c r="X1413" s="367"/>
      <c r="Y1413" s="367"/>
      <c r="Z1413" s="367"/>
      <c r="AA1413" s="367"/>
      <c r="AB1413" s="367"/>
      <c r="AC1413" s="367"/>
    </row>
    <row r="1414" spans="1:29" ht="15" x14ac:dyDescent="0.25">
      <c r="A1414" s="365" t="s">
        <v>413</v>
      </c>
      <c r="H1414" s="366"/>
      <c r="J1414" s="367"/>
      <c r="K1414" s="367"/>
      <c r="L1414" s="367"/>
      <c r="M1414" s="367"/>
      <c r="N1414" s="367"/>
      <c r="O1414" s="367"/>
      <c r="P1414" s="367"/>
      <c r="Q1414" s="367"/>
      <c r="R1414" s="367">
        <v>48</v>
      </c>
      <c r="S1414" s="367"/>
      <c r="T1414" s="367"/>
      <c r="U1414" s="367"/>
      <c r="V1414" s="367"/>
      <c r="W1414" s="367"/>
      <c r="X1414" s="367"/>
      <c r="Y1414" s="367"/>
      <c r="Z1414" s="367"/>
      <c r="AA1414" s="367"/>
      <c r="AB1414" s="367"/>
      <c r="AC1414" s="367"/>
    </row>
    <row r="1415" spans="1:29" ht="15" x14ac:dyDescent="0.25">
      <c r="A1415" s="365" t="s">
        <v>298</v>
      </c>
      <c r="H1415" s="366">
        <v>28</v>
      </c>
      <c r="J1415" s="367"/>
      <c r="K1415" s="367"/>
      <c r="L1415" s="367">
        <v>140</v>
      </c>
      <c r="M1415" s="367">
        <v>1.9</v>
      </c>
      <c r="N1415" s="367">
        <v>5.5</v>
      </c>
      <c r="O1415" s="367"/>
      <c r="P1415" s="367">
        <v>55</v>
      </c>
      <c r="Q1415" s="367"/>
      <c r="R1415" s="367">
        <v>52</v>
      </c>
      <c r="S1415" s="367">
        <v>13.3</v>
      </c>
      <c r="T1415" s="367">
        <v>1</v>
      </c>
      <c r="U1415" s="367"/>
      <c r="V1415" s="367"/>
      <c r="W1415" s="367"/>
      <c r="X1415" s="367"/>
      <c r="Y1415" s="367"/>
      <c r="Z1415" s="367"/>
      <c r="AA1415" s="367">
        <v>0.22</v>
      </c>
      <c r="AB1415" s="367"/>
      <c r="AC1415" s="367"/>
    </row>
    <row r="1416" spans="1:29" ht="15" x14ac:dyDescent="0.25">
      <c r="A1416" s="365" t="s">
        <v>299</v>
      </c>
      <c r="H1416" s="366">
        <v>40</v>
      </c>
      <c r="J1416" s="367"/>
      <c r="K1416" s="367"/>
      <c r="L1416" s="367">
        <v>140</v>
      </c>
      <c r="M1416" s="367">
        <v>1.3</v>
      </c>
      <c r="N1416" s="367">
        <v>4.8</v>
      </c>
      <c r="O1416" s="367"/>
      <c r="P1416" s="367">
        <v>61</v>
      </c>
      <c r="Q1416" s="367"/>
      <c r="R1416" s="367">
        <v>50</v>
      </c>
      <c r="S1416" s="367">
        <v>14</v>
      </c>
      <c r="T1416" s="367">
        <v>1</v>
      </c>
      <c r="U1416" s="367"/>
      <c r="V1416" s="367"/>
      <c r="W1416" s="367"/>
      <c r="X1416" s="367"/>
      <c r="Y1416" s="367"/>
      <c r="Z1416" s="367"/>
      <c r="AA1416" s="367"/>
      <c r="AB1416" s="367"/>
      <c r="AC1416" s="367"/>
    </row>
    <row r="1417" spans="1:29" ht="15" x14ac:dyDescent="0.25">
      <c r="A1417" s="365" t="s">
        <v>413</v>
      </c>
      <c r="H1417" s="366"/>
      <c r="J1417" s="367"/>
      <c r="K1417" s="367"/>
      <c r="L1417" s="367"/>
      <c r="M1417" s="367"/>
      <c r="N1417" s="367"/>
      <c r="O1417" s="367"/>
      <c r="P1417" s="367"/>
      <c r="Q1417" s="367"/>
      <c r="R1417" s="367">
        <v>51</v>
      </c>
      <c r="S1417" s="367"/>
      <c r="T1417" s="367"/>
      <c r="U1417" s="367"/>
      <c r="V1417" s="367"/>
      <c r="W1417" s="367"/>
      <c r="X1417" s="367"/>
      <c r="Y1417" s="367"/>
      <c r="Z1417" s="367"/>
      <c r="AA1417" s="367"/>
      <c r="AB1417" s="367"/>
      <c r="AC1417" s="367"/>
    </row>
    <row r="1418" spans="1:29" ht="15" x14ac:dyDescent="0.25">
      <c r="A1418" s="365" t="s">
        <v>413</v>
      </c>
      <c r="H1418" s="366">
        <v>35</v>
      </c>
      <c r="J1418" s="367"/>
      <c r="K1418" s="367"/>
      <c r="L1418" s="367">
        <v>140</v>
      </c>
      <c r="M1418" s="367">
        <v>1.3</v>
      </c>
      <c r="N1418" s="367">
        <v>3.4</v>
      </c>
      <c r="O1418" s="367"/>
      <c r="P1418" s="367">
        <v>50</v>
      </c>
      <c r="Q1418" s="367"/>
      <c r="R1418" s="367">
        <v>52</v>
      </c>
      <c r="S1418" s="367">
        <v>14</v>
      </c>
      <c r="T1418" s="367">
        <v>4</v>
      </c>
      <c r="U1418" s="367"/>
      <c r="V1418" s="367"/>
      <c r="W1418" s="367"/>
      <c r="X1418" s="367"/>
      <c r="Y1418" s="367"/>
      <c r="Z1418" s="367"/>
      <c r="AA1418" s="367"/>
      <c r="AB1418" s="367"/>
      <c r="AC1418" s="367">
        <v>-0.02</v>
      </c>
    </row>
    <row r="1419" spans="1:29" ht="15" x14ac:dyDescent="0.25">
      <c r="A1419" s="365" t="s">
        <v>413</v>
      </c>
      <c r="H1419" s="366"/>
      <c r="J1419" s="367"/>
      <c r="K1419" s="367"/>
      <c r="L1419" s="367"/>
      <c r="M1419" s="367"/>
      <c r="N1419" s="367"/>
      <c r="O1419" s="367"/>
      <c r="P1419" s="367"/>
      <c r="Q1419" s="367"/>
      <c r="R1419" s="367">
        <v>49</v>
      </c>
      <c r="S1419" s="367"/>
      <c r="T1419" s="367"/>
      <c r="U1419" s="367"/>
      <c r="V1419" s="367"/>
      <c r="W1419" s="367"/>
      <c r="X1419" s="367"/>
      <c r="Y1419" s="367"/>
      <c r="Z1419" s="367"/>
      <c r="AA1419" s="367"/>
      <c r="AB1419" s="367"/>
      <c r="AC1419" s="367"/>
    </row>
    <row r="1420" spans="1:29" ht="15" x14ac:dyDescent="0.25">
      <c r="A1420" s="365" t="s">
        <v>581</v>
      </c>
      <c r="H1420" s="366">
        <v>29</v>
      </c>
      <c r="J1420" s="367"/>
      <c r="K1420" s="367"/>
      <c r="L1420" s="367">
        <v>140</v>
      </c>
      <c r="M1420" s="367">
        <v>1.8</v>
      </c>
      <c r="N1420" s="367">
        <v>5.67</v>
      </c>
      <c r="O1420" s="367"/>
      <c r="P1420" s="367">
        <v>60.4</v>
      </c>
      <c r="Q1420" s="367"/>
      <c r="R1420" s="367">
        <v>51</v>
      </c>
      <c r="S1420" s="367">
        <v>13.6</v>
      </c>
      <c r="T1420" s="367">
        <v>1</v>
      </c>
      <c r="U1420" s="367"/>
      <c r="V1420" s="367"/>
      <c r="W1420" s="367"/>
      <c r="X1420" s="367"/>
      <c r="Y1420" s="367"/>
      <c r="Z1420" s="367"/>
      <c r="AA1420" s="367">
        <v>0.21</v>
      </c>
      <c r="AB1420" s="367"/>
      <c r="AC1420" s="367"/>
    </row>
    <row r="1421" spans="1:29" ht="15" x14ac:dyDescent="0.25">
      <c r="A1421" s="365" t="s">
        <v>413</v>
      </c>
      <c r="H1421" s="366"/>
      <c r="J1421" s="367"/>
      <c r="K1421" s="367"/>
      <c r="L1421" s="367"/>
      <c r="M1421" s="367"/>
      <c r="N1421" s="367"/>
      <c r="O1421" s="367"/>
      <c r="P1421" s="367"/>
      <c r="Q1421" s="367"/>
      <c r="R1421" s="367">
        <v>54</v>
      </c>
      <c r="S1421" s="367"/>
      <c r="T1421" s="367"/>
      <c r="U1421" s="367"/>
      <c r="V1421" s="367"/>
      <c r="W1421" s="367"/>
      <c r="X1421" s="367"/>
      <c r="Y1421" s="367"/>
      <c r="Z1421" s="367"/>
      <c r="AA1421" s="367"/>
      <c r="AB1421" s="367"/>
      <c r="AC1421" s="367"/>
    </row>
    <row r="1422" spans="1:29" ht="15" x14ac:dyDescent="0.25">
      <c r="A1422" s="365" t="s">
        <v>413</v>
      </c>
      <c r="H1422" s="366"/>
      <c r="J1422" s="367"/>
      <c r="K1422" s="367"/>
      <c r="L1422" s="367"/>
      <c r="M1422" s="367"/>
      <c r="N1422" s="367"/>
      <c r="O1422" s="367"/>
      <c r="P1422" s="367"/>
      <c r="Q1422" s="367"/>
      <c r="R1422" s="367">
        <v>48</v>
      </c>
      <c r="S1422" s="367"/>
      <c r="T1422" s="367"/>
      <c r="U1422" s="367"/>
      <c r="V1422" s="367"/>
      <c r="W1422" s="367"/>
      <c r="X1422" s="367"/>
      <c r="Y1422" s="367"/>
      <c r="Z1422" s="367"/>
      <c r="AA1422" s="367"/>
      <c r="AB1422" s="367"/>
      <c r="AC1422" s="367"/>
    </row>
    <row r="1423" spans="1:29" ht="15" x14ac:dyDescent="0.25">
      <c r="A1423" s="365" t="s">
        <v>298</v>
      </c>
      <c r="H1423" s="366">
        <v>28</v>
      </c>
      <c r="J1423" s="367"/>
      <c r="K1423" s="367"/>
      <c r="L1423" s="367">
        <v>140</v>
      </c>
      <c r="M1423" s="367">
        <v>1.9</v>
      </c>
      <c r="N1423" s="367">
        <v>5.5</v>
      </c>
      <c r="O1423" s="367"/>
      <c r="P1423" s="367">
        <v>55</v>
      </c>
      <c r="Q1423" s="367"/>
      <c r="R1423" s="367">
        <v>52</v>
      </c>
      <c r="S1423" s="367">
        <v>13.3</v>
      </c>
      <c r="T1423" s="367">
        <v>1</v>
      </c>
      <c r="U1423" s="367"/>
      <c r="V1423" s="367"/>
      <c r="W1423" s="367"/>
      <c r="X1423" s="367"/>
      <c r="Y1423" s="367"/>
      <c r="Z1423" s="367"/>
      <c r="AA1423" s="367">
        <v>0.22</v>
      </c>
      <c r="AB1423" s="367"/>
      <c r="AC1423" s="367"/>
    </row>
    <row r="1424" spans="1:29" ht="15" x14ac:dyDescent="0.25">
      <c r="A1424" s="365" t="s">
        <v>299</v>
      </c>
      <c r="H1424" s="366">
        <v>40</v>
      </c>
      <c r="J1424" s="367"/>
      <c r="K1424" s="367"/>
      <c r="L1424" s="367">
        <v>140</v>
      </c>
      <c r="M1424" s="367">
        <v>1.3</v>
      </c>
      <c r="N1424" s="367">
        <v>4.8</v>
      </c>
      <c r="O1424" s="367"/>
      <c r="P1424" s="367">
        <v>61</v>
      </c>
      <c r="Q1424" s="367"/>
      <c r="R1424" s="367">
        <v>50</v>
      </c>
      <c r="S1424" s="367">
        <v>14</v>
      </c>
      <c r="T1424" s="367">
        <v>1</v>
      </c>
      <c r="U1424" s="367"/>
      <c r="V1424" s="367"/>
      <c r="W1424" s="367"/>
      <c r="X1424" s="367"/>
      <c r="Y1424" s="367"/>
      <c r="Z1424" s="367"/>
      <c r="AA1424" s="367"/>
      <c r="AB1424" s="367"/>
      <c r="AC1424" s="367"/>
    </row>
    <row r="1425" spans="1:29" ht="15" x14ac:dyDescent="0.25">
      <c r="A1425" s="365" t="s">
        <v>413</v>
      </c>
      <c r="H1425" s="366"/>
      <c r="J1425" s="367"/>
      <c r="K1425" s="367"/>
      <c r="L1425" s="367"/>
      <c r="M1425" s="367"/>
      <c r="N1425" s="367"/>
      <c r="O1425" s="367"/>
      <c r="P1425" s="367"/>
      <c r="Q1425" s="367"/>
      <c r="R1425" s="367">
        <v>51</v>
      </c>
      <c r="S1425" s="367"/>
      <c r="T1425" s="367"/>
      <c r="U1425" s="367"/>
      <c r="V1425" s="367"/>
      <c r="W1425" s="367"/>
      <c r="X1425" s="367"/>
      <c r="Y1425" s="367"/>
      <c r="Z1425" s="367"/>
      <c r="AA1425" s="367"/>
      <c r="AB1425" s="367"/>
      <c r="AC1425" s="367"/>
    </row>
    <row r="1426" spans="1:29" ht="15" x14ac:dyDescent="0.25">
      <c r="A1426" s="365" t="s">
        <v>413</v>
      </c>
      <c r="H1426" s="366">
        <v>35</v>
      </c>
      <c r="J1426" s="367"/>
      <c r="K1426" s="367"/>
      <c r="L1426" s="367">
        <v>140</v>
      </c>
      <c r="M1426" s="367">
        <v>1.3</v>
      </c>
      <c r="N1426" s="367">
        <v>3.4</v>
      </c>
      <c r="O1426" s="367"/>
      <c r="P1426" s="367">
        <v>50</v>
      </c>
      <c r="Q1426" s="367"/>
      <c r="R1426" s="367">
        <v>52</v>
      </c>
      <c r="S1426" s="367">
        <v>14</v>
      </c>
      <c r="T1426" s="367">
        <v>4</v>
      </c>
      <c r="U1426" s="367"/>
      <c r="V1426" s="367"/>
      <c r="W1426" s="367"/>
      <c r="X1426" s="367"/>
      <c r="Y1426" s="367"/>
      <c r="Z1426" s="367"/>
      <c r="AA1426" s="367"/>
      <c r="AB1426" s="367"/>
      <c r="AC1426" s="367">
        <v>-0.02</v>
      </c>
    </row>
    <row r="1427" spans="1:29" ht="15" x14ac:dyDescent="0.25">
      <c r="A1427" s="365" t="s">
        <v>413</v>
      </c>
      <c r="H1427" s="366"/>
      <c r="J1427" s="367"/>
      <c r="K1427" s="367"/>
      <c r="L1427" s="367"/>
      <c r="M1427" s="367"/>
      <c r="N1427" s="367"/>
      <c r="O1427" s="367"/>
      <c r="P1427" s="367"/>
      <c r="Q1427" s="367"/>
      <c r="R1427" s="367">
        <v>49</v>
      </c>
      <c r="S1427" s="367"/>
      <c r="T1427" s="367"/>
      <c r="U1427" s="367"/>
      <c r="V1427" s="367"/>
      <c r="W1427" s="367"/>
      <c r="X1427" s="367"/>
      <c r="Y1427" s="367"/>
      <c r="Z1427" s="367"/>
      <c r="AA1427" s="367"/>
      <c r="AB1427" s="367"/>
      <c r="AC1427" s="367"/>
    </row>
    <row r="1428" spans="1:29" ht="15" x14ac:dyDescent="0.25">
      <c r="A1428" s="365" t="s">
        <v>581</v>
      </c>
      <c r="H1428" s="366">
        <v>29</v>
      </c>
      <c r="J1428" s="367"/>
      <c r="K1428" s="367"/>
      <c r="L1428" s="367">
        <v>140</v>
      </c>
      <c r="M1428" s="367">
        <v>1.8</v>
      </c>
      <c r="N1428" s="367">
        <v>5.67</v>
      </c>
      <c r="O1428" s="367"/>
      <c r="P1428" s="367">
        <v>60.4</v>
      </c>
      <c r="Q1428" s="367"/>
      <c r="R1428" s="367">
        <v>51</v>
      </c>
      <c r="S1428" s="367">
        <v>13.6</v>
      </c>
      <c r="T1428" s="367">
        <v>1</v>
      </c>
      <c r="U1428" s="367"/>
      <c r="V1428" s="367"/>
      <c r="W1428" s="367"/>
      <c r="X1428" s="367"/>
      <c r="Y1428" s="367"/>
      <c r="Z1428" s="367"/>
      <c r="AA1428" s="367">
        <v>0.21</v>
      </c>
      <c r="AB1428" s="367"/>
      <c r="AC1428" s="367"/>
    </row>
    <row r="1429" spans="1:29" ht="15" x14ac:dyDescent="0.25">
      <c r="A1429" s="365" t="s">
        <v>413</v>
      </c>
      <c r="H1429" s="366"/>
      <c r="J1429" s="367"/>
      <c r="K1429" s="367"/>
      <c r="L1429" s="367"/>
      <c r="M1429" s="367"/>
      <c r="N1429" s="367"/>
      <c r="O1429" s="367"/>
      <c r="P1429" s="367"/>
      <c r="Q1429" s="367"/>
      <c r="R1429" s="367">
        <v>54</v>
      </c>
      <c r="S1429" s="367"/>
      <c r="T1429" s="367"/>
      <c r="U1429" s="367"/>
      <c r="V1429" s="367"/>
      <c r="W1429" s="367"/>
      <c r="X1429" s="367"/>
      <c r="Y1429" s="367"/>
      <c r="Z1429" s="367"/>
      <c r="AA1429" s="367"/>
      <c r="AB1429" s="367"/>
      <c r="AC1429" s="367"/>
    </row>
    <row r="1430" spans="1:29" ht="15" x14ac:dyDescent="0.25">
      <c r="A1430" s="365" t="s">
        <v>413</v>
      </c>
      <c r="H1430" s="366"/>
      <c r="J1430" s="367"/>
      <c r="K1430" s="367"/>
      <c r="L1430" s="367"/>
      <c r="M1430" s="367"/>
      <c r="N1430" s="367"/>
      <c r="O1430" s="367"/>
      <c r="P1430" s="367"/>
      <c r="Q1430" s="367"/>
      <c r="R1430" s="367">
        <v>48</v>
      </c>
      <c r="S1430" s="367"/>
      <c r="T1430" s="367"/>
      <c r="U1430" s="367"/>
      <c r="V1430" s="367"/>
      <c r="W1430" s="367"/>
      <c r="X1430" s="367"/>
      <c r="Y1430" s="367"/>
      <c r="Z1430" s="367"/>
      <c r="AA1430" s="367"/>
      <c r="AB1430" s="367"/>
      <c r="AC1430" s="367"/>
    </row>
    <row r="1431" spans="1:29" ht="15" x14ac:dyDescent="0.25">
      <c r="A1431" s="365" t="s">
        <v>298</v>
      </c>
      <c r="H1431" s="366">
        <v>28</v>
      </c>
      <c r="J1431" s="367"/>
      <c r="K1431" s="367"/>
      <c r="L1431" s="367">
        <v>140</v>
      </c>
      <c r="M1431" s="367">
        <v>1.9</v>
      </c>
      <c r="N1431" s="367">
        <v>5.5</v>
      </c>
      <c r="O1431" s="367"/>
      <c r="P1431" s="367">
        <v>55</v>
      </c>
      <c r="Q1431" s="367"/>
      <c r="R1431" s="367">
        <v>52</v>
      </c>
      <c r="S1431" s="367">
        <v>13.3</v>
      </c>
      <c r="T1431" s="367">
        <v>1</v>
      </c>
      <c r="U1431" s="367"/>
      <c r="V1431" s="367"/>
      <c r="W1431" s="367"/>
      <c r="X1431" s="367"/>
      <c r="Y1431" s="367"/>
      <c r="Z1431" s="367"/>
      <c r="AA1431" s="367">
        <v>0.22</v>
      </c>
      <c r="AB1431" s="367"/>
      <c r="AC1431" s="367"/>
    </row>
    <row r="1432" spans="1:29" ht="15" x14ac:dyDescent="0.25">
      <c r="A1432" s="365" t="s">
        <v>299</v>
      </c>
      <c r="H1432" s="366">
        <v>40</v>
      </c>
      <c r="J1432" s="367"/>
      <c r="K1432" s="367"/>
      <c r="L1432" s="367">
        <v>140</v>
      </c>
      <c r="M1432" s="367">
        <v>1.3</v>
      </c>
      <c r="N1432" s="367">
        <v>4.8</v>
      </c>
      <c r="O1432" s="367"/>
      <c r="P1432" s="367">
        <v>61</v>
      </c>
      <c r="Q1432" s="367"/>
      <c r="R1432" s="367">
        <v>50</v>
      </c>
      <c r="S1432" s="367">
        <v>14</v>
      </c>
      <c r="T1432" s="367">
        <v>1</v>
      </c>
      <c r="U1432" s="367"/>
      <c r="V1432" s="367"/>
      <c r="W1432" s="367"/>
      <c r="X1432" s="367"/>
      <c r="Y1432" s="367"/>
      <c r="Z1432" s="367"/>
      <c r="AA1432" s="367"/>
      <c r="AB1432" s="367"/>
      <c r="AC1432" s="367"/>
    </row>
    <row r="1433" spans="1:29" ht="15" x14ac:dyDescent="0.25">
      <c r="A1433" s="365" t="s">
        <v>413</v>
      </c>
      <c r="H1433" s="366"/>
      <c r="J1433" s="367"/>
      <c r="K1433" s="367"/>
      <c r="L1433" s="367"/>
      <c r="M1433" s="367"/>
      <c r="N1433" s="367"/>
      <c r="O1433" s="367"/>
      <c r="P1433" s="367"/>
      <c r="Q1433" s="367"/>
      <c r="R1433" s="367">
        <v>51</v>
      </c>
      <c r="S1433" s="367"/>
      <c r="T1433" s="367"/>
      <c r="U1433" s="367"/>
      <c r="V1433" s="367"/>
      <c r="W1433" s="367"/>
      <c r="X1433" s="367"/>
      <c r="Y1433" s="367"/>
      <c r="Z1433" s="367"/>
      <c r="AA1433" s="367"/>
      <c r="AB1433" s="367"/>
      <c r="AC1433" s="367"/>
    </row>
    <row r="1434" spans="1:29" ht="15" x14ac:dyDescent="0.25">
      <c r="A1434" s="365" t="s">
        <v>519</v>
      </c>
      <c r="H1434" s="366">
        <v>98</v>
      </c>
      <c r="J1434" s="367"/>
      <c r="K1434" s="367"/>
      <c r="L1434" s="367">
        <v>180</v>
      </c>
      <c r="M1434" s="367">
        <v>10</v>
      </c>
      <c r="N1434" s="367">
        <v>4</v>
      </c>
      <c r="O1434" s="367"/>
      <c r="P1434" s="367">
        <v>134</v>
      </c>
      <c r="Q1434" s="367"/>
      <c r="R1434" s="367">
        <v>211</v>
      </c>
      <c r="S1434" s="367">
        <v>11.4</v>
      </c>
      <c r="T1434" s="367">
        <v>18</v>
      </c>
      <c r="U1434" s="367"/>
      <c r="V1434" s="367"/>
      <c r="W1434" s="367"/>
      <c r="X1434" s="367"/>
      <c r="Y1434" s="367"/>
      <c r="Z1434" s="367"/>
      <c r="AA1434" s="367"/>
      <c r="AB1434" s="367"/>
      <c r="AC1434" s="367">
        <v>-0.02</v>
      </c>
    </row>
    <row r="1435" spans="1:29" ht="15" x14ac:dyDescent="0.25">
      <c r="A1435" s="365" t="s">
        <v>520</v>
      </c>
      <c r="H1435" s="366">
        <v>50</v>
      </c>
      <c r="J1435" s="367"/>
      <c r="K1435" s="367"/>
      <c r="L1435" s="367">
        <v>210</v>
      </c>
      <c r="M1435" s="367">
        <v>20</v>
      </c>
      <c r="N1435" s="367">
        <v>61</v>
      </c>
      <c r="O1435" s="367"/>
      <c r="P1435" s="367">
        <v>44</v>
      </c>
      <c r="Q1435" s="367"/>
      <c r="R1435" s="367">
        <v>65</v>
      </c>
      <c r="S1435" s="367">
        <v>5.2</v>
      </c>
      <c r="T1435" s="367">
        <v>250</v>
      </c>
      <c r="U1435" s="367"/>
      <c r="V1435" s="367"/>
      <c r="W1435" s="367"/>
      <c r="X1435" s="367"/>
      <c r="Y1435" s="367"/>
      <c r="Z1435" s="367"/>
      <c r="AA1435" s="367"/>
      <c r="AB1435" s="367"/>
      <c r="AC1435" s="367">
        <v>-0.02</v>
      </c>
    </row>
    <row r="1436" spans="1:29" ht="15" x14ac:dyDescent="0.25">
      <c r="A1436" s="365" t="s">
        <v>300</v>
      </c>
      <c r="H1436" s="366">
        <v>50</v>
      </c>
      <c r="J1436" s="367"/>
      <c r="K1436" s="367"/>
      <c r="L1436" s="367">
        <v>210</v>
      </c>
      <c r="M1436" s="367">
        <v>20</v>
      </c>
      <c r="N1436" s="367">
        <v>61</v>
      </c>
      <c r="O1436" s="367"/>
      <c r="P1436" s="367">
        <v>44</v>
      </c>
      <c r="Q1436" s="367"/>
      <c r="R1436" s="367">
        <v>65</v>
      </c>
      <c r="S1436" s="367">
        <v>5.2</v>
      </c>
      <c r="T1436" s="367">
        <v>250</v>
      </c>
      <c r="U1436" s="367"/>
      <c r="V1436" s="367"/>
      <c r="W1436" s="367"/>
      <c r="X1436" s="367"/>
      <c r="Y1436" s="367"/>
      <c r="Z1436" s="367"/>
      <c r="AA1436" s="367"/>
      <c r="AB1436" s="367"/>
      <c r="AC1436" s="367"/>
    </row>
    <row r="1437" spans="1:29" ht="15" x14ac:dyDescent="0.25">
      <c r="A1437" s="365" t="s">
        <v>521</v>
      </c>
      <c r="H1437" s="366">
        <v>70</v>
      </c>
      <c r="J1437" s="367"/>
      <c r="K1437" s="367"/>
      <c r="L1437" s="367">
        <v>5060</v>
      </c>
      <c r="M1437" s="367">
        <v>70</v>
      </c>
      <c r="N1437" s="367">
        <v>116</v>
      </c>
      <c r="O1437" s="367"/>
      <c r="P1437" s="367">
        <v>108</v>
      </c>
      <c r="Q1437" s="367"/>
      <c r="R1437" s="367">
        <v>5470</v>
      </c>
      <c r="S1437" s="367">
        <v>1.1000000000000001</v>
      </c>
      <c r="T1437" s="367">
        <v>2.4</v>
      </c>
      <c r="U1437" s="367"/>
      <c r="V1437" s="367"/>
      <c r="W1437" s="367"/>
      <c r="X1437" s="367"/>
      <c r="Y1437" s="367"/>
      <c r="Z1437" s="367"/>
      <c r="AA1437" s="367"/>
      <c r="AB1437" s="367"/>
      <c r="AC1437" s="367">
        <v>0.08</v>
      </c>
    </row>
    <row r="1438" spans="1:29" ht="15" x14ac:dyDescent="0.25">
      <c r="A1438" s="365" t="s">
        <v>583</v>
      </c>
      <c r="H1438" s="366">
        <v>24</v>
      </c>
      <c r="J1438" s="367"/>
      <c r="K1438" s="367"/>
      <c r="L1438" s="367">
        <v>5050</v>
      </c>
      <c r="M1438" s="367">
        <v>69</v>
      </c>
      <c r="N1438" s="367">
        <v>119</v>
      </c>
      <c r="O1438" s="367"/>
      <c r="P1438" s="367">
        <v>100</v>
      </c>
      <c r="Q1438" s="367"/>
      <c r="R1438" s="367">
        <v>6040</v>
      </c>
      <c r="S1438" s="367">
        <v>2.2000000000000002</v>
      </c>
      <c r="T1438" s="367">
        <v>8</v>
      </c>
      <c r="U1438" s="367"/>
      <c r="V1438" s="367"/>
      <c r="W1438" s="367"/>
      <c r="X1438" s="367"/>
      <c r="Y1438" s="367"/>
      <c r="Z1438" s="367"/>
      <c r="AA1438" s="367"/>
      <c r="AB1438" s="367"/>
      <c r="AC1438" s="367"/>
    </row>
    <row r="1439" spans="1:29" ht="15" x14ac:dyDescent="0.25">
      <c r="A1439" s="365" t="s">
        <v>522</v>
      </c>
      <c r="H1439" s="366">
        <v>46</v>
      </c>
      <c r="J1439" s="367"/>
      <c r="K1439" s="367"/>
      <c r="L1439" s="367">
        <v>140</v>
      </c>
      <c r="M1439" s="367">
        <v>6.2</v>
      </c>
      <c r="N1439" s="367">
        <v>61</v>
      </c>
      <c r="O1439" s="367"/>
      <c r="P1439" s="367">
        <v>150</v>
      </c>
      <c r="Q1439" s="367"/>
      <c r="R1439" s="367">
        <v>6.7</v>
      </c>
      <c r="S1439" s="367">
        <v>4.8</v>
      </c>
      <c r="T1439" s="367">
        <v>33</v>
      </c>
      <c r="U1439" s="367"/>
      <c r="V1439" s="367"/>
      <c r="W1439" s="367"/>
      <c r="X1439" s="367"/>
      <c r="Y1439" s="367"/>
      <c r="Z1439" s="367"/>
      <c r="AA1439" s="367"/>
      <c r="AB1439" s="367"/>
      <c r="AC1439" s="367">
        <v>-0.02</v>
      </c>
    </row>
    <row r="1440" spans="1:29" ht="15" x14ac:dyDescent="0.25">
      <c r="A1440" s="365" t="s">
        <v>279</v>
      </c>
      <c r="H1440" s="366">
        <v>46</v>
      </c>
      <c r="J1440" s="367"/>
      <c r="K1440" s="367"/>
      <c r="L1440" s="367">
        <v>140</v>
      </c>
      <c r="M1440" s="367">
        <v>6.2</v>
      </c>
      <c r="N1440" s="367">
        <v>61</v>
      </c>
      <c r="O1440" s="367"/>
      <c r="P1440" s="367">
        <v>150</v>
      </c>
      <c r="Q1440" s="367"/>
      <c r="R1440" s="367">
        <v>7</v>
      </c>
      <c r="S1440" s="367">
        <v>4.8</v>
      </c>
      <c r="T1440" s="367">
        <v>33</v>
      </c>
      <c r="U1440" s="367"/>
      <c r="V1440" s="367"/>
      <c r="W1440" s="367"/>
      <c r="X1440" s="367"/>
      <c r="Y1440" s="367"/>
      <c r="Z1440" s="367"/>
      <c r="AA1440" s="367"/>
      <c r="AB1440" s="367"/>
      <c r="AC1440" s="367"/>
    </row>
    <row r="1441" spans="1:29" ht="15" x14ac:dyDescent="0.25">
      <c r="A1441" s="365" t="s">
        <v>529</v>
      </c>
      <c r="H1441" s="366"/>
      <c r="J1441" s="367"/>
      <c r="K1441" s="367"/>
      <c r="L1441" s="367">
        <v>45700</v>
      </c>
      <c r="M1441" s="367">
        <v>10200</v>
      </c>
      <c r="N1441" s="367">
        <v>25800</v>
      </c>
      <c r="O1441" s="367"/>
      <c r="P1441" s="367"/>
      <c r="Q1441" s="367"/>
      <c r="R1441" s="367">
        <v>132000</v>
      </c>
      <c r="S1441" s="367"/>
      <c r="T1441" s="367"/>
      <c r="U1441" s="367"/>
      <c r="V1441" s="367"/>
      <c r="W1441" s="367"/>
      <c r="X1441" s="367"/>
      <c r="Y1441" s="367"/>
      <c r="Z1441" s="367"/>
      <c r="AA1441" s="367"/>
      <c r="AB1441" s="367"/>
      <c r="AC1441" s="367"/>
    </row>
    <row r="1442" spans="1:29" ht="15" x14ac:dyDescent="0.25">
      <c r="A1442" s="365" t="s">
        <v>530</v>
      </c>
      <c r="H1442" s="366"/>
      <c r="J1442" s="367"/>
      <c r="K1442" s="367"/>
      <c r="L1442" s="367">
        <v>74700</v>
      </c>
      <c r="M1442" s="367">
        <v>21900</v>
      </c>
      <c r="N1442" s="367">
        <v>39700</v>
      </c>
      <c r="O1442" s="367"/>
      <c r="P1442" s="367"/>
      <c r="Q1442" s="367"/>
      <c r="R1442" s="367">
        <v>216000</v>
      </c>
      <c r="S1442" s="367"/>
      <c r="T1442" s="367"/>
      <c r="U1442" s="367"/>
      <c r="V1442" s="367"/>
      <c r="W1442" s="367"/>
      <c r="X1442" s="367"/>
      <c r="Y1442" s="367"/>
      <c r="Z1442" s="367"/>
      <c r="AA1442" s="367"/>
      <c r="AB1442" s="367"/>
      <c r="AC1442" s="367"/>
    </row>
    <row r="1443" spans="1:29" ht="15" x14ac:dyDescent="0.25">
      <c r="A1443" s="365" t="s">
        <v>529</v>
      </c>
      <c r="H1443" s="366"/>
      <c r="J1443" s="367"/>
      <c r="K1443" s="367"/>
      <c r="L1443" s="367">
        <v>74000</v>
      </c>
      <c r="M1443" s="367">
        <v>23600</v>
      </c>
      <c r="N1443" s="367">
        <v>41000</v>
      </c>
      <c r="O1443" s="367"/>
      <c r="P1443" s="367">
        <v>760</v>
      </c>
      <c r="Q1443" s="367"/>
      <c r="R1443" s="367">
        <v>225000</v>
      </c>
      <c r="S1443" s="367"/>
      <c r="T1443" s="367">
        <v>35</v>
      </c>
      <c r="U1443" s="367"/>
      <c r="V1443" s="367"/>
      <c r="W1443" s="367"/>
      <c r="X1443" s="367"/>
      <c r="Y1443" s="367"/>
      <c r="Z1443" s="367"/>
      <c r="AA1443" s="367">
        <v>640</v>
      </c>
      <c r="AB1443" s="367"/>
      <c r="AC1443" s="367">
        <v>2500</v>
      </c>
    </row>
    <row r="1444" spans="1:29" ht="15" x14ac:dyDescent="0.25">
      <c r="A1444" s="365" t="s">
        <v>529</v>
      </c>
      <c r="H1444" s="366"/>
      <c r="J1444" s="367"/>
      <c r="K1444" s="367"/>
      <c r="L1444" s="367">
        <v>45700</v>
      </c>
      <c r="M1444" s="367">
        <v>10200</v>
      </c>
      <c r="N1444" s="367">
        <v>25800</v>
      </c>
      <c r="O1444" s="367"/>
      <c r="P1444" s="367"/>
      <c r="Q1444" s="367"/>
      <c r="R1444" s="367">
        <v>132000</v>
      </c>
      <c r="S1444" s="367"/>
      <c r="T1444" s="367"/>
      <c r="U1444" s="367"/>
      <c r="V1444" s="367"/>
      <c r="W1444" s="367"/>
      <c r="X1444" s="367"/>
      <c r="Y1444" s="367"/>
      <c r="Z1444" s="367"/>
      <c r="AA1444" s="367"/>
      <c r="AB1444" s="367"/>
      <c r="AC1444" s="367"/>
    </row>
    <row r="1445" spans="1:29" ht="15" x14ac:dyDescent="0.25">
      <c r="A1445" s="365" t="s">
        <v>530</v>
      </c>
      <c r="H1445" s="366"/>
      <c r="J1445" s="367"/>
      <c r="K1445" s="367"/>
      <c r="L1445" s="367">
        <v>74700</v>
      </c>
      <c r="M1445" s="367">
        <v>21900</v>
      </c>
      <c r="N1445" s="367">
        <v>39700</v>
      </c>
      <c r="O1445" s="367"/>
      <c r="P1445" s="367"/>
      <c r="Q1445" s="367"/>
      <c r="R1445" s="367">
        <v>216000</v>
      </c>
      <c r="S1445" s="367"/>
      <c r="T1445" s="367"/>
      <c r="U1445" s="367"/>
      <c r="V1445" s="367"/>
      <c r="W1445" s="367"/>
      <c r="X1445" s="367"/>
      <c r="Y1445" s="367"/>
      <c r="Z1445" s="367"/>
      <c r="AA1445" s="367"/>
      <c r="AB1445" s="367"/>
      <c r="AC1445" s="367"/>
    </row>
    <row r="1446" spans="1:29" ht="15" x14ac:dyDescent="0.25">
      <c r="A1446" s="365" t="s">
        <v>529</v>
      </c>
      <c r="H1446" s="366"/>
      <c r="J1446" s="367"/>
      <c r="K1446" s="367"/>
      <c r="L1446" s="367">
        <v>74000</v>
      </c>
      <c r="M1446" s="367">
        <v>23600</v>
      </c>
      <c r="N1446" s="367">
        <v>41000</v>
      </c>
      <c r="O1446" s="367"/>
      <c r="P1446" s="367">
        <v>760</v>
      </c>
      <c r="Q1446" s="367"/>
      <c r="R1446" s="367">
        <v>225000</v>
      </c>
      <c r="S1446" s="367"/>
      <c r="T1446" s="367">
        <v>35</v>
      </c>
      <c r="U1446" s="367"/>
      <c r="V1446" s="367"/>
      <c r="W1446" s="367"/>
      <c r="X1446" s="367"/>
      <c r="Y1446" s="367"/>
      <c r="Z1446" s="367"/>
      <c r="AA1446" s="367">
        <v>640</v>
      </c>
      <c r="AB1446" s="367"/>
      <c r="AC1446" s="367">
        <v>2500</v>
      </c>
    </row>
    <row r="1447" spans="1:29" ht="15" x14ac:dyDescent="0.25">
      <c r="A1447" s="365" t="s">
        <v>529</v>
      </c>
      <c r="H1447" s="366"/>
      <c r="J1447" s="367"/>
      <c r="K1447" s="367"/>
      <c r="L1447" s="367">
        <v>45700</v>
      </c>
      <c r="M1447" s="367">
        <v>10200</v>
      </c>
      <c r="N1447" s="367">
        <v>25800</v>
      </c>
      <c r="O1447" s="367"/>
      <c r="P1447" s="367"/>
      <c r="Q1447" s="367"/>
      <c r="R1447" s="367">
        <v>132000</v>
      </c>
      <c r="S1447" s="367"/>
      <c r="T1447" s="367"/>
      <c r="U1447" s="367"/>
      <c r="V1447" s="367"/>
      <c r="W1447" s="367"/>
      <c r="X1447" s="367"/>
      <c r="Y1447" s="367"/>
      <c r="Z1447" s="367"/>
      <c r="AA1447" s="367"/>
      <c r="AB1447" s="367"/>
      <c r="AC1447" s="367"/>
    </row>
    <row r="1448" spans="1:29" ht="15" x14ac:dyDescent="0.25">
      <c r="A1448" s="365" t="s">
        <v>530</v>
      </c>
      <c r="H1448" s="366"/>
      <c r="J1448" s="367"/>
      <c r="K1448" s="367"/>
      <c r="L1448" s="367">
        <v>74700</v>
      </c>
      <c r="M1448" s="367">
        <v>21900</v>
      </c>
      <c r="N1448" s="367">
        <v>39700</v>
      </c>
      <c r="O1448" s="367"/>
      <c r="P1448" s="367"/>
      <c r="Q1448" s="367"/>
      <c r="R1448" s="367">
        <v>216000</v>
      </c>
      <c r="S1448" s="367"/>
      <c r="T1448" s="367"/>
      <c r="U1448" s="367"/>
      <c r="V1448" s="367"/>
      <c r="W1448" s="367"/>
      <c r="X1448" s="367"/>
      <c r="Y1448" s="367"/>
      <c r="Z1448" s="367"/>
      <c r="AA1448" s="367"/>
      <c r="AB1448" s="367"/>
      <c r="AC1448" s="367"/>
    </row>
    <row r="1449" spans="1:29" ht="15" x14ac:dyDescent="0.25">
      <c r="A1449" s="365" t="s">
        <v>529</v>
      </c>
      <c r="H1449" s="366"/>
      <c r="J1449" s="367"/>
      <c r="K1449" s="367"/>
      <c r="L1449" s="367">
        <v>74000</v>
      </c>
      <c r="M1449" s="367">
        <v>23600</v>
      </c>
      <c r="N1449" s="367">
        <v>41000</v>
      </c>
      <c r="O1449" s="367"/>
      <c r="P1449" s="367">
        <v>760</v>
      </c>
      <c r="Q1449" s="367"/>
      <c r="R1449" s="367">
        <v>225000</v>
      </c>
      <c r="S1449" s="367"/>
      <c r="T1449" s="367">
        <v>35</v>
      </c>
      <c r="U1449" s="367"/>
      <c r="V1449" s="367"/>
      <c r="W1449" s="367"/>
      <c r="X1449" s="367"/>
      <c r="Y1449" s="367"/>
      <c r="Z1449" s="367"/>
      <c r="AA1449" s="367">
        <v>640</v>
      </c>
      <c r="AB1449" s="367"/>
      <c r="AC1449" s="367">
        <v>2500</v>
      </c>
    </row>
    <row r="1450" spans="1:29" ht="15" x14ac:dyDescent="0.25">
      <c r="A1450" s="365" t="s">
        <v>420</v>
      </c>
      <c r="H1450" s="366"/>
      <c r="J1450" s="367"/>
      <c r="K1450" s="367"/>
      <c r="L1450" s="367">
        <v>940</v>
      </c>
      <c r="M1450" s="367">
        <v>32</v>
      </c>
      <c r="N1450" s="367">
        <v>15</v>
      </c>
      <c r="O1450" s="367"/>
      <c r="P1450" s="367">
        <v>116</v>
      </c>
      <c r="Q1450" s="367"/>
      <c r="R1450" s="367">
        <v>55</v>
      </c>
      <c r="S1450" s="367"/>
      <c r="T1450" s="367">
        <v>1.5</v>
      </c>
      <c r="U1450" s="367"/>
      <c r="V1450" s="367"/>
      <c r="W1450" s="367"/>
      <c r="X1450" s="367"/>
      <c r="Y1450" s="367"/>
      <c r="Z1450" s="367"/>
      <c r="AA1450" s="367"/>
      <c r="AB1450" s="367"/>
      <c r="AC1450" s="367"/>
    </row>
    <row r="1451" spans="1:29" ht="15" x14ac:dyDescent="0.25">
      <c r="A1451" s="365" t="s">
        <v>531</v>
      </c>
      <c r="H1451" s="366"/>
      <c r="J1451" s="367"/>
      <c r="K1451" s="367"/>
      <c r="L1451" s="367">
        <v>430</v>
      </c>
      <c r="M1451" s="367">
        <v>71</v>
      </c>
      <c r="N1451" s="367">
        <v>93</v>
      </c>
      <c r="O1451" s="367"/>
      <c r="P1451" s="367">
        <v>52</v>
      </c>
      <c r="Q1451" s="367"/>
      <c r="R1451" s="367">
        <v>420</v>
      </c>
      <c r="S1451" s="367"/>
      <c r="T1451" s="367">
        <v>480</v>
      </c>
      <c r="U1451" s="367"/>
      <c r="V1451" s="367"/>
      <c r="W1451" s="367"/>
      <c r="X1451" s="367"/>
      <c r="Y1451" s="367"/>
      <c r="Z1451" s="367"/>
      <c r="AA1451" s="367"/>
      <c r="AB1451" s="367"/>
      <c r="AC1451" s="367"/>
    </row>
    <row r="1452" spans="1:29" ht="15" x14ac:dyDescent="0.25">
      <c r="A1452" s="365" t="s">
        <v>420</v>
      </c>
      <c r="H1452" s="366">
        <v>45</v>
      </c>
      <c r="J1452" s="367"/>
      <c r="K1452" s="367"/>
      <c r="L1452" s="367">
        <v>910</v>
      </c>
      <c r="M1452" s="367">
        <v>30</v>
      </c>
      <c r="N1452" s="367">
        <v>14</v>
      </c>
      <c r="O1452" s="367"/>
      <c r="P1452" s="367">
        <v>120</v>
      </c>
      <c r="Q1452" s="367"/>
      <c r="R1452" s="367">
        <v>54</v>
      </c>
      <c r="S1452" s="367">
        <v>10</v>
      </c>
      <c r="T1452" s="367">
        <v>25</v>
      </c>
      <c r="U1452" s="367"/>
      <c r="V1452" s="367"/>
      <c r="W1452" s="367"/>
      <c r="X1452" s="367"/>
      <c r="Y1452" s="367"/>
      <c r="Z1452" s="367"/>
      <c r="AA1452" s="367">
        <v>0.91</v>
      </c>
      <c r="AB1452" s="367"/>
      <c r="AC1452" s="367">
        <v>0.1</v>
      </c>
    </row>
    <row r="1453" spans="1:29" ht="15" x14ac:dyDescent="0.25">
      <c r="A1453" s="365" t="s">
        <v>549</v>
      </c>
      <c r="H1453" s="366">
        <v>55</v>
      </c>
      <c r="J1453" s="367"/>
      <c r="K1453" s="367"/>
      <c r="L1453" s="367">
        <v>955</v>
      </c>
      <c r="M1453" s="367">
        <v>31</v>
      </c>
      <c r="N1453" s="367">
        <v>13</v>
      </c>
      <c r="O1453" s="367"/>
      <c r="P1453" s="367">
        <v>133</v>
      </c>
      <c r="Q1453" s="367"/>
      <c r="R1453" s="367">
        <v>56</v>
      </c>
      <c r="S1453" s="367">
        <v>10</v>
      </c>
      <c r="T1453" s="367">
        <v>5.8</v>
      </c>
      <c r="U1453" s="367"/>
      <c r="V1453" s="367"/>
      <c r="W1453" s="367"/>
      <c r="X1453" s="367"/>
      <c r="Y1453" s="367"/>
      <c r="Z1453" s="367"/>
      <c r="AA1453" s="367">
        <v>0.8</v>
      </c>
      <c r="AB1453" s="367"/>
      <c r="AC1453" s="367"/>
    </row>
    <row r="1454" spans="1:29" ht="15" x14ac:dyDescent="0.25">
      <c r="A1454" s="365" t="s">
        <v>549</v>
      </c>
      <c r="H1454" s="366">
        <v>55</v>
      </c>
      <c r="J1454" s="367"/>
      <c r="K1454" s="367"/>
      <c r="L1454" s="367">
        <v>1000</v>
      </c>
      <c r="M1454" s="367">
        <v>29</v>
      </c>
      <c r="N1454" s="367">
        <v>13</v>
      </c>
      <c r="O1454" s="367"/>
      <c r="P1454" s="367">
        <v>120</v>
      </c>
      <c r="Q1454" s="367"/>
      <c r="R1454" s="367">
        <v>54</v>
      </c>
      <c r="S1454" s="367">
        <v>10</v>
      </c>
      <c r="T1454" s="367">
        <v>20</v>
      </c>
      <c r="U1454" s="367"/>
      <c r="V1454" s="367"/>
      <c r="W1454" s="367"/>
      <c r="X1454" s="367"/>
      <c r="Y1454" s="367"/>
      <c r="Z1454" s="367"/>
      <c r="AA1454" s="367">
        <v>0.79</v>
      </c>
      <c r="AB1454" s="367"/>
      <c r="AC1454" s="367">
        <v>0.115</v>
      </c>
    </row>
    <row r="1455" spans="1:29" ht="15" x14ac:dyDescent="0.25">
      <c r="A1455" s="365" t="s">
        <v>419</v>
      </c>
      <c r="H1455" s="366">
        <v>54</v>
      </c>
      <c r="J1455" s="367"/>
      <c r="K1455" s="367"/>
      <c r="L1455" s="367">
        <v>930</v>
      </c>
      <c r="M1455" s="367">
        <v>31</v>
      </c>
      <c r="N1455" s="367">
        <v>14</v>
      </c>
      <c r="O1455" s="367"/>
      <c r="P1455" s="367">
        <v>127</v>
      </c>
      <c r="Q1455" s="367"/>
      <c r="R1455" s="367">
        <v>57</v>
      </c>
      <c r="S1455" s="367">
        <v>10</v>
      </c>
      <c r="T1455" s="367">
        <v>3</v>
      </c>
      <c r="U1455" s="367"/>
      <c r="V1455" s="367"/>
      <c r="W1455" s="367"/>
      <c r="X1455" s="367"/>
      <c r="Y1455" s="367"/>
      <c r="Z1455" s="367"/>
      <c r="AA1455" s="367">
        <v>0.8</v>
      </c>
      <c r="AB1455" s="367"/>
      <c r="AC1455" s="367"/>
    </row>
    <row r="1456" spans="1:29" ht="15" x14ac:dyDescent="0.25">
      <c r="A1456" s="365" t="s">
        <v>419</v>
      </c>
      <c r="H1456" s="366">
        <v>52</v>
      </c>
      <c r="J1456" s="367"/>
      <c r="K1456" s="367"/>
      <c r="L1456" s="367">
        <v>1000</v>
      </c>
      <c r="M1456" s="367">
        <v>30</v>
      </c>
      <c r="N1456" s="367">
        <v>14</v>
      </c>
      <c r="O1456" s="367"/>
      <c r="P1456" s="367">
        <v>120</v>
      </c>
      <c r="Q1456" s="367"/>
      <c r="R1456" s="367">
        <v>54</v>
      </c>
      <c r="S1456" s="367">
        <v>10</v>
      </c>
      <c r="T1456" s="367">
        <v>7.5</v>
      </c>
      <c r="U1456" s="367"/>
      <c r="V1456" s="367"/>
      <c r="W1456" s="367"/>
      <c r="X1456" s="367"/>
      <c r="Y1456" s="367"/>
      <c r="Z1456" s="367"/>
      <c r="AA1456" s="367">
        <v>0.9</v>
      </c>
      <c r="AB1456" s="367"/>
      <c r="AC1456" s="367">
        <v>0.1</v>
      </c>
    </row>
    <row r="1457" spans="1:29" ht="15" x14ac:dyDescent="0.25">
      <c r="A1457" s="365" t="s">
        <v>532</v>
      </c>
      <c r="H1457" s="366">
        <v>82</v>
      </c>
      <c r="J1457" s="367"/>
      <c r="K1457" s="367"/>
      <c r="L1457" s="367">
        <v>165</v>
      </c>
      <c r="M1457" s="367">
        <v>9.1999999999999993</v>
      </c>
      <c r="N1457" s="367">
        <v>2.1</v>
      </c>
      <c r="O1457" s="367"/>
      <c r="P1457" s="367">
        <v>163</v>
      </c>
      <c r="Q1457" s="367"/>
      <c r="R1457" s="367">
        <v>193</v>
      </c>
      <c r="S1457" s="367">
        <v>10.7</v>
      </c>
      <c r="T1457" s="367">
        <v>7.7</v>
      </c>
      <c r="U1457" s="367"/>
      <c r="V1457" s="367"/>
      <c r="W1457" s="367"/>
      <c r="X1457" s="367"/>
      <c r="Y1457" s="367"/>
      <c r="Z1457" s="367"/>
      <c r="AA1457" s="367"/>
      <c r="AB1457" s="367"/>
      <c r="AC1457" s="367">
        <v>1.2</v>
      </c>
    </row>
    <row r="1458" spans="1:29" ht="15" x14ac:dyDescent="0.25">
      <c r="A1458" s="365" t="s">
        <v>466</v>
      </c>
      <c r="H1458" s="366">
        <v>58</v>
      </c>
      <c r="J1458" s="367"/>
      <c r="K1458" s="367"/>
      <c r="L1458" s="367"/>
      <c r="M1458" s="367"/>
      <c r="N1458" s="367"/>
      <c r="O1458" s="367"/>
      <c r="P1458" s="367"/>
      <c r="Q1458" s="367"/>
      <c r="R1458" s="367"/>
      <c r="S1458" s="367"/>
      <c r="T1458" s="367"/>
      <c r="U1458" s="367"/>
      <c r="V1458" s="367"/>
      <c r="W1458" s="367"/>
      <c r="X1458" s="367"/>
      <c r="Y1458" s="367"/>
      <c r="Z1458" s="367"/>
      <c r="AA1458" s="367"/>
      <c r="AB1458" s="367"/>
      <c r="AC1458" s="367"/>
    </row>
    <row r="1459" spans="1:29" ht="15" x14ac:dyDescent="0.25">
      <c r="A1459" s="365" t="s">
        <v>533</v>
      </c>
      <c r="H1459" s="366">
        <v>19</v>
      </c>
      <c r="J1459" s="367"/>
      <c r="K1459" s="367"/>
      <c r="L1459" s="367">
        <v>2650</v>
      </c>
      <c r="M1459" s="367">
        <v>7.7</v>
      </c>
      <c r="N1459" s="367">
        <v>1150</v>
      </c>
      <c r="O1459" s="367"/>
      <c r="P1459" s="367">
        <v>15</v>
      </c>
      <c r="Q1459" s="367"/>
      <c r="R1459" s="367">
        <v>6100</v>
      </c>
      <c r="S1459" s="367">
        <v>-0.5</v>
      </c>
      <c r="T1459" s="367">
        <v>-1</v>
      </c>
      <c r="U1459" s="367"/>
      <c r="V1459" s="367"/>
      <c r="W1459" s="367"/>
      <c r="X1459" s="367"/>
      <c r="Y1459" s="367"/>
      <c r="Z1459" s="367"/>
      <c r="AA1459" s="367">
        <v>9.8000000000000007</v>
      </c>
      <c r="AB1459" s="367"/>
      <c r="AC1459" s="367">
        <v>-0.05</v>
      </c>
    </row>
    <row r="1460" spans="1:29" ht="15" x14ac:dyDescent="0.25">
      <c r="A1460" s="365" t="s">
        <v>534</v>
      </c>
      <c r="H1460" s="366">
        <v>30</v>
      </c>
      <c r="J1460" s="367"/>
      <c r="K1460" s="367"/>
      <c r="L1460" s="367">
        <v>5000</v>
      </c>
      <c r="M1460" s="367">
        <v>16</v>
      </c>
      <c r="N1460" s="367">
        <v>2000</v>
      </c>
      <c r="O1460" s="367"/>
      <c r="P1460" s="367">
        <v>21</v>
      </c>
      <c r="Q1460" s="367"/>
      <c r="R1460" s="367">
        <v>11100</v>
      </c>
      <c r="S1460" s="367">
        <v>-0.5</v>
      </c>
      <c r="T1460" s="367">
        <v>-1</v>
      </c>
      <c r="U1460" s="367"/>
      <c r="V1460" s="367"/>
      <c r="W1460" s="367"/>
      <c r="X1460" s="367"/>
      <c r="Y1460" s="367"/>
      <c r="Z1460" s="367"/>
      <c r="AA1460" s="367">
        <v>17.5</v>
      </c>
      <c r="AB1460" s="367"/>
      <c r="AC1460" s="367"/>
    </row>
    <row r="1461" spans="1:29" ht="15" x14ac:dyDescent="0.25">
      <c r="A1461" s="365" t="s">
        <v>535</v>
      </c>
      <c r="H1461" s="366"/>
      <c r="J1461" s="367"/>
      <c r="K1461" s="367"/>
      <c r="L1461" s="367">
        <v>25200</v>
      </c>
      <c r="M1461" s="367">
        <v>1850</v>
      </c>
      <c r="N1461" s="367">
        <v>296</v>
      </c>
      <c r="O1461" s="367"/>
      <c r="P1461" s="367">
        <v>34</v>
      </c>
      <c r="Q1461" s="367"/>
      <c r="R1461" s="367">
        <v>32400</v>
      </c>
      <c r="S1461" s="367"/>
      <c r="T1461" s="367">
        <v>12000</v>
      </c>
      <c r="U1461" s="367"/>
      <c r="V1461" s="367"/>
      <c r="W1461" s="367"/>
      <c r="X1461" s="367"/>
      <c r="Y1461" s="367"/>
      <c r="Z1461" s="367"/>
      <c r="AA1461" s="367"/>
      <c r="AB1461" s="367"/>
      <c r="AC1461" s="367"/>
    </row>
    <row r="1462" spans="1:29" ht="15" x14ac:dyDescent="0.25">
      <c r="A1462" s="365" t="s">
        <v>536</v>
      </c>
      <c r="H1462" s="366"/>
      <c r="J1462" s="367"/>
      <c r="K1462" s="367"/>
      <c r="L1462" s="367">
        <v>10500</v>
      </c>
      <c r="M1462" s="367">
        <v>180</v>
      </c>
      <c r="N1462" s="367">
        <v>800</v>
      </c>
      <c r="O1462" s="367"/>
      <c r="P1462" s="367">
        <v>4.5999999999999996</v>
      </c>
      <c r="Q1462" s="367"/>
      <c r="R1462" s="367">
        <v>14900</v>
      </c>
      <c r="S1462" s="367">
        <v>3.1</v>
      </c>
      <c r="T1462" s="367">
        <v>8080</v>
      </c>
      <c r="U1462" s="367"/>
      <c r="V1462" s="367"/>
      <c r="W1462" s="367"/>
      <c r="X1462" s="367"/>
      <c r="Y1462" s="367"/>
      <c r="Z1462" s="367"/>
      <c r="AA1462" s="367"/>
      <c r="AB1462" s="367"/>
      <c r="AC1462" s="367"/>
    </row>
    <row r="1463" spans="1:29" ht="15" x14ac:dyDescent="0.25">
      <c r="A1463" s="365" t="s">
        <v>538</v>
      </c>
      <c r="H1463" s="366">
        <v>54</v>
      </c>
      <c r="J1463" s="367"/>
      <c r="K1463" s="367"/>
      <c r="L1463" s="367">
        <v>145</v>
      </c>
      <c r="M1463" s="367">
        <v>3</v>
      </c>
      <c r="N1463" s="367">
        <v>2.8</v>
      </c>
      <c r="O1463" s="367"/>
      <c r="P1463" s="367">
        <v>64</v>
      </c>
      <c r="Q1463" s="367"/>
      <c r="R1463" s="367">
        <v>38</v>
      </c>
      <c r="S1463" s="367">
        <v>8.1999999999999993</v>
      </c>
      <c r="T1463" s="367">
        <v>8</v>
      </c>
      <c r="U1463" s="367"/>
      <c r="V1463" s="367"/>
      <c r="W1463" s="367"/>
      <c r="X1463" s="367"/>
      <c r="Y1463" s="367"/>
      <c r="Z1463" s="367"/>
      <c r="AA1463" s="367"/>
      <c r="AB1463" s="367"/>
      <c r="AC1463" s="367">
        <v>-0.02</v>
      </c>
    </row>
    <row r="1464" spans="1:29" ht="15" x14ac:dyDescent="0.25">
      <c r="A1464" s="365" t="s">
        <v>538</v>
      </c>
      <c r="H1464" s="366">
        <v>56</v>
      </c>
      <c r="J1464" s="367"/>
      <c r="K1464" s="367"/>
      <c r="L1464" s="367">
        <v>136</v>
      </c>
      <c r="M1464" s="367">
        <v>2.7</v>
      </c>
      <c r="N1464" s="367">
        <v>2.8</v>
      </c>
      <c r="O1464" s="367"/>
      <c r="P1464" s="367">
        <v>65</v>
      </c>
      <c r="Q1464" s="367"/>
      <c r="R1464" s="367">
        <v>37</v>
      </c>
      <c r="S1464" s="367">
        <v>8.5</v>
      </c>
      <c r="T1464" s="367">
        <v>17</v>
      </c>
      <c r="U1464" s="367"/>
      <c r="V1464" s="367"/>
      <c r="W1464" s="367"/>
      <c r="X1464" s="367"/>
      <c r="Y1464" s="367"/>
      <c r="Z1464" s="367"/>
      <c r="AA1464" s="367">
        <v>0.15</v>
      </c>
      <c r="AB1464" s="367"/>
      <c r="AC1464" s="367">
        <v>0.02</v>
      </c>
    </row>
    <row r="1465" spans="1:29" ht="15" x14ac:dyDescent="0.25">
      <c r="A1465" s="365" t="s">
        <v>538</v>
      </c>
      <c r="H1465" s="366">
        <v>54</v>
      </c>
      <c r="J1465" s="367"/>
      <c r="K1465" s="367"/>
      <c r="L1465" s="367">
        <v>145</v>
      </c>
      <c r="M1465" s="367">
        <v>3</v>
      </c>
      <c r="N1465" s="367">
        <v>2.8</v>
      </c>
      <c r="O1465" s="367"/>
      <c r="P1465" s="367">
        <v>64</v>
      </c>
      <c r="Q1465" s="367"/>
      <c r="R1465" s="367">
        <v>38</v>
      </c>
      <c r="S1465" s="367">
        <v>8.1999999999999993</v>
      </c>
      <c r="T1465" s="367">
        <v>8</v>
      </c>
      <c r="U1465" s="367"/>
      <c r="V1465" s="367"/>
      <c r="W1465" s="367"/>
      <c r="X1465" s="367"/>
      <c r="Y1465" s="367"/>
      <c r="Z1465" s="367"/>
      <c r="AA1465" s="367"/>
      <c r="AB1465" s="367"/>
      <c r="AC1465" s="367">
        <v>-0.02</v>
      </c>
    </row>
    <row r="1466" spans="1:29" ht="15" x14ac:dyDescent="0.25">
      <c r="A1466" s="365" t="s">
        <v>538</v>
      </c>
      <c r="H1466" s="366">
        <v>56</v>
      </c>
      <c r="J1466" s="367"/>
      <c r="K1466" s="367"/>
      <c r="L1466" s="367">
        <v>136</v>
      </c>
      <c r="M1466" s="367">
        <v>2.7</v>
      </c>
      <c r="N1466" s="367">
        <v>2.8</v>
      </c>
      <c r="O1466" s="367"/>
      <c r="P1466" s="367">
        <v>65</v>
      </c>
      <c r="Q1466" s="367"/>
      <c r="R1466" s="367">
        <v>37</v>
      </c>
      <c r="S1466" s="367">
        <v>8.5</v>
      </c>
      <c r="T1466" s="367">
        <v>17</v>
      </c>
      <c r="U1466" s="367"/>
      <c r="V1466" s="367"/>
      <c r="W1466" s="367"/>
      <c r="X1466" s="367"/>
      <c r="Y1466" s="367"/>
      <c r="Z1466" s="367"/>
      <c r="AA1466" s="367">
        <v>0.15</v>
      </c>
      <c r="AB1466" s="367"/>
      <c r="AC1466" s="367">
        <v>0.02</v>
      </c>
    </row>
    <row r="1467" spans="1:29" ht="15" x14ac:dyDescent="0.25">
      <c r="A1467" s="365" t="s">
        <v>539</v>
      </c>
      <c r="H1467" s="366">
        <v>20</v>
      </c>
      <c r="J1467" s="367"/>
      <c r="K1467" s="367"/>
      <c r="L1467" s="367">
        <v>4.7</v>
      </c>
      <c r="M1467" s="367">
        <v>2.6</v>
      </c>
      <c r="N1467" s="367">
        <v>4</v>
      </c>
      <c r="O1467" s="367"/>
      <c r="P1467" s="367">
        <v>75</v>
      </c>
      <c r="Q1467" s="367"/>
      <c r="R1467" s="367">
        <v>3.6</v>
      </c>
      <c r="S1467" s="367">
        <v>-0.1</v>
      </c>
      <c r="T1467" s="367">
        <v>1</v>
      </c>
      <c r="U1467" s="367"/>
      <c r="V1467" s="367"/>
      <c r="W1467" s="367"/>
      <c r="X1467" s="367"/>
      <c r="Y1467" s="367"/>
      <c r="Z1467" s="367"/>
      <c r="AA1467" s="367"/>
      <c r="AB1467" s="367"/>
      <c r="AC1467" s="367">
        <v>0.04</v>
      </c>
    </row>
    <row r="1468" spans="1:29" ht="15" x14ac:dyDescent="0.25">
      <c r="A1468" s="365" t="s">
        <v>263</v>
      </c>
      <c r="H1468" s="366">
        <v>52</v>
      </c>
      <c r="J1468" s="367"/>
      <c r="K1468" s="367"/>
      <c r="L1468" s="367">
        <v>162</v>
      </c>
      <c r="M1468" s="367">
        <v>20</v>
      </c>
      <c r="N1468" s="367">
        <v>30</v>
      </c>
      <c r="O1468" s="367"/>
      <c r="P1468" s="367">
        <v>170</v>
      </c>
      <c r="Q1468" s="367"/>
      <c r="R1468" s="367">
        <v>272</v>
      </c>
      <c r="S1468" s="367">
        <v>0.1</v>
      </c>
      <c r="T1468" s="367">
        <v>6</v>
      </c>
      <c r="U1468" s="367"/>
      <c r="V1468" s="367"/>
      <c r="W1468" s="367"/>
      <c r="X1468" s="367"/>
      <c r="Y1468" s="367"/>
      <c r="Z1468" s="367"/>
      <c r="AA1468" s="367"/>
      <c r="AB1468" s="367"/>
      <c r="AC1468" s="367"/>
    </row>
    <row r="1469" spans="1:29" ht="15" x14ac:dyDescent="0.25">
      <c r="A1469" s="365" t="s">
        <v>247</v>
      </c>
      <c r="H1469" s="366">
        <v>39</v>
      </c>
      <c r="J1469" s="367"/>
      <c r="K1469" s="367"/>
      <c r="L1469" s="367">
        <v>336</v>
      </c>
      <c r="M1469" s="367">
        <v>3.6</v>
      </c>
      <c r="N1469" s="367">
        <v>8</v>
      </c>
      <c r="O1469" s="367"/>
      <c r="P1469" s="367">
        <v>31</v>
      </c>
      <c r="Q1469" s="367"/>
      <c r="R1469" s="367">
        <v>245</v>
      </c>
      <c r="S1469" s="367">
        <v>7.4</v>
      </c>
      <c r="T1469" s="367">
        <v>29</v>
      </c>
      <c r="U1469" s="367"/>
      <c r="V1469" s="367"/>
      <c r="W1469" s="367"/>
      <c r="X1469" s="367"/>
      <c r="Y1469" s="367"/>
      <c r="Z1469" s="367"/>
      <c r="AA1469" s="367"/>
      <c r="AB1469" s="367"/>
      <c r="AC1469" s="367"/>
    </row>
    <row r="1470" spans="1:29" ht="15" x14ac:dyDescent="0.25">
      <c r="A1470" s="365" t="s">
        <v>542</v>
      </c>
      <c r="H1470" s="366">
        <v>68</v>
      </c>
      <c r="J1470" s="367"/>
      <c r="K1470" s="367"/>
      <c r="L1470" s="367">
        <v>330</v>
      </c>
      <c r="M1470" s="367">
        <v>14</v>
      </c>
      <c r="N1470" s="367">
        <v>26</v>
      </c>
      <c r="O1470" s="367"/>
      <c r="P1470" s="367">
        <v>97</v>
      </c>
      <c r="Q1470" s="367"/>
      <c r="R1470" s="367">
        <v>305</v>
      </c>
      <c r="S1470" s="367">
        <v>12</v>
      </c>
      <c r="T1470" s="367">
        <v>290</v>
      </c>
      <c r="U1470" s="367"/>
      <c r="V1470" s="367"/>
      <c r="W1470" s="367"/>
      <c r="X1470" s="367"/>
      <c r="Y1470" s="367"/>
      <c r="Z1470" s="367"/>
      <c r="AA1470" s="367"/>
      <c r="AB1470" s="367"/>
      <c r="AC1470" s="367">
        <v>-0.02</v>
      </c>
    </row>
    <row r="1471" spans="1:29" ht="15" x14ac:dyDescent="0.25">
      <c r="A1471" s="365" t="s">
        <v>460</v>
      </c>
      <c r="H1471" s="366">
        <v>32</v>
      </c>
      <c r="J1471" s="367"/>
      <c r="K1471" s="367"/>
      <c r="L1471" s="367">
        <v>280</v>
      </c>
      <c r="M1471" s="367">
        <v>11</v>
      </c>
      <c r="N1471" s="367">
        <v>52</v>
      </c>
      <c r="O1471" s="367"/>
      <c r="P1471" s="367">
        <v>76</v>
      </c>
      <c r="Q1471" s="367"/>
      <c r="R1471" s="367">
        <v>240</v>
      </c>
      <c r="S1471" s="367">
        <v>12</v>
      </c>
      <c r="T1471" s="367">
        <v>330</v>
      </c>
      <c r="U1471" s="367"/>
      <c r="V1471" s="367"/>
      <c r="W1471" s="367"/>
      <c r="X1471" s="367"/>
      <c r="Y1471" s="367"/>
      <c r="Z1471" s="367"/>
      <c r="AA1471" s="367"/>
      <c r="AB1471" s="367"/>
      <c r="AC1471" s="367"/>
    </row>
    <row r="1472" spans="1:29" ht="15" x14ac:dyDescent="0.25">
      <c r="A1472" s="365" t="s">
        <v>541</v>
      </c>
      <c r="H1472" s="366">
        <v>89</v>
      </c>
      <c r="J1472" s="367"/>
      <c r="K1472" s="367"/>
      <c r="L1472" s="367">
        <v>330</v>
      </c>
      <c r="M1472" s="367">
        <v>14</v>
      </c>
      <c r="N1472" s="367">
        <v>22</v>
      </c>
      <c r="O1472" s="367"/>
      <c r="P1472" s="367">
        <v>98</v>
      </c>
      <c r="Q1472" s="367"/>
      <c r="R1472" s="367">
        <v>290</v>
      </c>
      <c r="S1472" s="367">
        <v>12</v>
      </c>
      <c r="T1472" s="367">
        <v>290</v>
      </c>
      <c r="U1472" s="367"/>
      <c r="V1472" s="367"/>
      <c r="W1472" s="367"/>
      <c r="X1472" s="367"/>
      <c r="Y1472" s="367"/>
      <c r="Z1472" s="367"/>
      <c r="AA1472" s="367"/>
      <c r="AB1472" s="367"/>
      <c r="AC1472" s="367">
        <v>-0.02</v>
      </c>
    </row>
    <row r="1473" spans="1:29" ht="15" x14ac:dyDescent="0.25">
      <c r="A1473" s="365" t="s">
        <v>542</v>
      </c>
      <c r="H1473" s="366">
        <v>68</v>
      </c>
      <c r="J1473" s="367"/>
      <c r="K1473" s="367"/>
      <c r="L1473" s="367">
        <v>330</v>
      </c>
      <c r="M1473" s="367">
        <v>14</v>
      </c>
      <c r="N1473" s="367">
        <v>26</v>
      </c>
      <c r="O1473" s="367"/>
      <c r="P1473" s="367">
        <v>97</v>
      </c>
      <c r="Q1473" s="367"/>
      <c r="R1473" s="367">
        <v>305</v>
      </c>
      <c r="S1473" s="367">
        <v>12</v>
      </c>
      <c r="T1473" s="367">
        <v>290</v>
      </c>
      <c r="U1473" s="367"/>
      <c r="V1473" s="367"/>
      <c r="W1473" s="367"/>
      <c r="X1473" s="367"/>
      <c r="Y1473" s="367"/>
      <c r="Z1473" s="367"/>
      <c r="AA1473" s="367"/>
      <c r="AB1473" s="367"/>
      <c r="AC1473" s="367">
        <v>-0.02</v>
      </c>
    </row>
    <row r="1474" spans="1:29" ht="15" x14ac:dyDescent="0.25">
      <c r="A1474" s="365" t="s">
        <v>460</v>
      </c>
      <c r="H1474" s="366">
        <v>32</v>
      </c>
      <c r="J1474" s="367"/>
      <c r="K1474" s="367"/>
      <c r="L1474" s="367">
        <v>280</v>
      </c>
      <c r="M1474" s="367">
        <v>11</v>
      </c>
      <c r="N1474" s="367">
        <v>52</v>
      </c>
      <c r="O1474" s="367"/>
      <c r="P1474" s="367">
        <v>76</v>
      </c>
      <c r="Q1474" s="367"/>
      <c r="R1474" s="367">
        <v>240</v>
      </c>
      <c r="S1474" s="367">
        <v>12</v>
      </c>
      <c r="T1474" s="367">
        <v>330</v>
      </c>
      <c r="U1474" s="367"/>
      <c r="V1474" s="367"/>
      <c r="W1474" s="367"/>
      <c r="X1474" s="367"/>
      <c r="Y1474" s="367"/>
      <c r="Z1474" s="367"/>
      <c r="AA1474" s="367"/>
      <c r="AB1474" s="367"/>
      <c r="AC1474" s="367"/>
    </row>
    <row r="1475" spans="1:29" ht="15" x14ac:dyDescent="0.25">
      <c r="A1475" s="365" t="s">
        <v>541</v>
      </c>
      <c r="H1475" s="366">
        <v>89</v>
      </c>
      <c r="J1475" s="367"/>
      <c r="K1475" s="367"/>
      <c r="L1475" s="367">
        <v>330</v>
      </c>
      <c r="M1475" s="367">
        <v>14</v>
      </c>
      <c r="N1475" s="367">
        <v>22</v>
      </c>
      <c r="O1475" s="367"/>
      <c r="P1475" s="367">
        <v>98</v>
      </c>
      <c r="Q1475" s="367"/>
      <c r="R1475" s="367">
        <v>290</v>
      </c>
      <c r="S1475" s="367">
        <v>12</v>
      </c>
      <c r="T1475" s="367">
        <v>290</v>
      </c>
      <c r="U1475" s="367"/>
      <c r="V1475" s="367"/>
      <c r="W1475" s="367"/>
      <c r="X1475" s="367"/>
      <c r="Y1475" s="367"/>
      <c r="Z1475" s="367"/>
      <c r="AA1475" s="367"/>
      <c r="AB1475" s="367"/>
      <c r="AC1475" s="367">
        <v>-0.02</v>
      </c>
    </row>
    <row r="1476" spans="1:29" ht="15" x14ac:dyDescent="0.25">
      <c r="A1476" s="365" t="s">
        <v>625</v>
      </c>
      <c r="H1476" s="366">
        <v>96</v>
      </c>
      <c r="J1476" s="367"/>
      <c r="K1476" s="367"/>
      <c r="L1476" s="367">
        <v>280</v>
      </c>
      <c r="M1476" s="367">
        <v>8</v>
      </c>
      <c r="N1476" s="367">
        <v>20</v>
      </c>
      <c r="O1476" s="367"/>
      <c r="P1476" s="367">
        <v>125</v>
      </c>
      <c r="Q1476" s="367"/>
      <c r="R1476" s="367">
        <v>185</v>
      </c>
      <c r="S1476" s="367">
        <v>4.2</v>
      </c>
      <c r="T1476" s="367">
        <v>340</v>
      </c>
      <c r="U1476" s="367"/>
      <c r="V1476" s="367"/>
      <c r="W1476" s="367"/>
      <c r="X1476" s="367"/>
      <c r="Y1476" s="367"/>
      <c r="Z1476" s="367"/>
      <c r="AA1476" s="367"/>
      <c r="AB1476" s="367"/>
      <c r="AC1476" s="367">
        <v>-0.02</v>
      </c>
    </row>
    <row r="1477" spans="1:29" ht="15" x14ac:dyDescent="0.25">
      <c r="A1477" s="365" t="s">
        <v>543</v>
      </c>
      <c r="H1477" s="366">
        <v>23</v>
      </c>
      <c r="J1477" s="367"/>
      <c r="K1477" s="367"/>
      <c r="L1477" s="367">
        <v>60</v>
      </c>
      <c r="M1477" s="367">
        <v>1.9</v>
      </c>
      <c r="N1477" s="367">
        <v>2.7</v>
      </c>
      <c r="O1477" s="367"/>
      <c r="P1477" s="367">
        <v>49</v>
      </c>
      <c r="Q1477" s="367"/>
      <c r="R1477" s="367">
        <v>8</v>
      </c>
      <c r="S1477" s="367">
        <v>0.22</v>
      </c>
      <c r="T1477" s="367">
        <v>20</v>
      </c>
      <c r="U1477" s="367"/>
      <c r="V1477" s="367"/>
      <c r="W1477" s="367"/>
      <c r="X1477" s="367"/>
      <c r="Y1477" s="367"/>
      <c r="Z1477" s="367"/>
      <c r="AA1477" s="367"/>
      <c r="AB1477" s="367"/>
      <c r="AC1477" s="367"/>
    </row>
    <row r="1478" spans="1:29" ht="15" x14ac:dyDescent="0.25">
      <c r="A1478" s="365" t="s">
        <v>544</v>
      </c>
      <c r="H1478" s="366"/>
      <c r="J1478" s="367"/>
      <c r="K1478" s="367"/>
      <c r="L1478" s="367">
        <v>64700</v>
      </c>
      <c r="M1478" s="367">
        <v>21700</v>
      </c>
      <c r="N1478" s="367">
        <v>32600</v>
      </c>
      <c r="O1478" s="367"/>
      <c r="P1478" s="367">
        <v>600</v>
      </c>
      <c r="Q1478" s="367"/>
      <c r="R1478" s="367">
        <v>189000</v>
      </c>
      <c r="S1478" s="367"/>
      <c r="T1478" s="367">
        <v>32</v>
      </c>
      <c r="U1478" s="367"/>
      <c r="V1478" s="367"/>
      <c r="W1478" s="367"/>
      <c r="X1478" s="367"/>
      <c r="Y1478" s="367"/>
      <c r="Z1478" s="367"/>
      <c r="AA1478" s="367">
        <v>640</v>
      </c>
      <c r="AB1478" s="367"/>
      <c r="AC1478" s="367">
        <v>3400</v>
      </c>
    </row>
    <row r="1479" spans="1:29" ht="15" x14ac:dyDescent="0.25">
      <c r="A1479" s="365" t="s">
        <v>263</v>
      </c>
      <c r="H1479" s="366">
        <v>52</v>
      </c>
      <c r="J1479" s="367"/>
      <c r="K1479" s="367"/>
      <c r="L1479" s="367">
        <v>162</v>
      </c>
      <c r="M1479" s="367">
        <v>20</v>
      </c>
      <c r="N1479" s="367">
        <v>30</v>
      </c>
      <c r="O1479" s="367"/>
      <c r="P1479" s="367">
        <v>170</v>
      </c>
      <c r="Q1479" s="367"/>
      <c r="R1479" s="367">
        <v>272</v>
      </c>
      <c r="S1479" s="367">
        <v>0.1</v>
      </c>
      <c r="T1479" s="367">
        <v>6</v>
      </c>
      <c r="U1479" s="367"/>
      <c r="V1479" s="367"/>
      <c r="W1479" s="367"/>
      <c r="X1479" s="367"/>
      <c r="Y1479" s="367"/>
      <c r="Z1479" s="367"/>
      <c r="AA1479" s="367"/>
      <c r="AB1479" s="367"/>
      <c r="AC1479" s="367"/>
    </row>
    <row r="1480" spans="1:29" ht="15" x14ac:dyDescent="0.25">
      <c r="A1480" s="365" t="s">
        <v>263</v>
      </c>
      <c r="H1480" s="366">
        <v>52</v>
      </c>
      <c r="J1480" s="367"/>
      <c r="K1480" s="367"/>
      <c r="L1480" s="367">
        <v>162</v>
      </c>
      <c r="M1480" s="367">
        <v>20</v>
      </c>
      <c r="N1480" s="367">
        <v>30</v>
      </c>
      <c r="O1480" s="367"/>
      <c r="P1480" s="367">
        <v>170</v>
      </c>
      <c r="Q1480" s="367"/>
      <c r="R1480" s="367">
        <v>272</v>
      </c>
      <c r="S1480" s="367">
        <v>0.1</v>
      </c>
      <c r="T1480" s="367">
        <v>6</v>
      </c>
      <c r="U1480" s="367"/>
      <c r="V1480" s="367"/>
      <c r="W1480" s="367"/>
      <c r="X1480" s="367"/>
      <c r="Y1480" s="367"/>
      <c r="Z1480" s="367"/>
      <c r="AA1480" s="367"/>
      <c r="AB1480" s="367"/>
      <c r="AC1480" s="367"/>
    </row>
    <row r="1481" spans="1:29" ht="15" x14ac:dyDescent="0.25">
      <c r="A1481" s="365" t="s">
        <v>546</v>
      </c>
      <c r="H1481" s="366"/>
      <c r="J1481" s="367"/>
      <c r="K1481" s="367"/>
      <c r="L1481" s="367">
        <v>0.1</v>
      </c>
      <c r="M1481" s="367">
        <v>0.1</v>
      </c>
      <c r="N1481" s="367">
        <v>0.4</v>
      </c>
      <c r="O1481" s="367"/>
      <c r="P1481" s="367">
        <v>0.3</v>
      </c>
      <c r="Q1481" s="367"/>
      <c r="R1481" s="367">
        <v>19</v>
      </c>
      <c r="S1481" s="367"/>
      <c r="T1481" s="367">
        <v>20</v>
      </c>
      <c r="U1481" s="367"/>
      <c r="V1481" s="367"/>
      <c r="W1481" s="367"/>
      <c r="X1481" s="367"/>
      <c r="Y1481" s="367"/>
      <c r="Z1481" s="367"/>
      <c r="AA1481" s="367">
        <v>0.09</v>
      </c>
      <c r="AB1481" s="367"/>
      <c r="AC1481" s="367">
        <v>8.5000000000000006E-2</v>
      </c>
    </row>
    <row r="1482" spans="1:29" ht="15" x14ac:dyDescent="0.25">
      <c r="A1482" s="365" t="s">
        <v>964</v>
      </c>
      <c r="H1482" s="366">
        <v>280</v>
      </c>
      <c r="J1482" s="367"/>
      <c r="K1482" s="367"/>
      <c r="L1482" s="367">
        <v>36340</v>
      </c>
      <c r="M1482" s="367">
        <v>7820</v>
      </c>
      <c r="N1482" s="367">
        <v>14550</v>
      </c>
      <c r="O1482" s="367"/>
      <c r="P1482" s="367">
        <v>350</v>
      </c>
      <c r="Q1482" s="367"/>
      <c r="R1482" s="367">
        <v>93650</v>
      </c>
      <c r="S1482" s="367">
        <v>2.4</v>
      </c>
      <c r="T1482" s="367">
        <v>58</v>
      </c>
      <c r="U1482" s="367"/>
      <c r="V1482" s="367"/>
      <c r="W1482" s="367"/>
      <c r="X1482" s="367"/>
      <c r="Y1482" s="367"/>
      <c r="Z1482" s="367"/>
      <c r="AA1482" s="367"/>
      <c r="AB1482" s="367"/>
      <c r="AC1482" s="367"/>
    </row>
    <row r="1483" spans="1:29" ht="15" x14ac:dyDescent="0.25">
      <c r="A1483" s="365" t="s">
        <v>547</v>
      </c>
      <c r="H1483" s="366"/>
      <c r="J1483" s="367"/>
      <c r="K1483" s="367"/>
      <c r="L1483" s="367">
        <v>46800</v>
      </c>
      <c r="M1483" s="367">
        <v>12600</v>
      </c>
      <c r="N1483" s="367">
        <v>22800</v>
      </c>
      <c r="O1483" s="367"/>
      <c r="P1483" s="367">
        <v>300</v>
      </c>
      <c r="Q1483" s="367"/>
      <c r="R1483" s="367">
        <v>131000</v>
      </c>
      <c r="S1483" s="367">
        <v>5</v>
      </c>
      <c r="T1483" s="367">
        <v>-1</v>
      </c>
      <c r="U1483" s="367"/>
      <c r="V1483" s="367"/>
      <c r="W1483" s="367"/>
      <c r="X1483" s="367"/>
      <c r="Y1483" s="367"/>
      <c r="Z1483" s="367"/>
      <c r="AA1483" s="367">
        <v>590</v>
      </c>
      <c r="AB1483" s="367"/>
      <c r="AC1483" s="367">
        <v>1100</v>
      </c>
    </row>
    <row r="1484" spans="1:29" ht="15" x14ac:dyDescent="0.25">
      <c r="A1484" s="365" t="s">
        <v>548</v>
      </c>
      <c r="H1484" s="366"/>
      <c r="J1484" s="367"/>
      <c r="K1484" s="367"/>
      <c r="L1484" s="367">
        <v>60100</v>
      </c>
      <c r="M1484" s="367">
        <v>15000</v>
      </c>
      <c r="N1484" s="367">
        <v>29800</v>
      </c>
      <c r="O1484" s="367"/>
      <c r="P1484" s="367"/>
      <c r="Q1484" s="367"/>
      <c r="R1484" s="367">
        <v>167000</v>
      </c>
      <c r="S1484" s="367"/>
      <c r="T1484" s="367">
        <v>1.3</v>
      </c>
      <c r="U1484" s="367"/>
      <c r="V1484" s="367"/>
      <c r="W1484" s="367"/>
      <c r="X1484" s="367"/>
      <c r="Y1484" s="367"/>
      <c r="Z1484" s="367"/>
      <c r="AA1484" s="367"/>
      <c r="AB1484" s="367"/>
      <c r="AC1484" s="367"/>
    </row>
    <row r="1485" spans="1:29" ht="15" x14ac:dyDescent="0.25">
      <c r="A1485" s="365" t="s">
        <v>962</v>
      </c>
      <c r="H1485" s="366">
        <v>255</v>
      </c>
      <c r="J1485" s="367"/>
      <c r="K1485" s="367"/>
      <c r="L1485" s="367">
        <v>60100</v>
      </c>
      <c r="M1485" s="367">
        <v>15000</v>
      </c>
      <c r="N1485" s="367">
        <v>29800</v>
      </c>
      <c r="O1485" s="367"/>
      <c r="P1485" s="367"/>
      <c r="Q1485" s="367"/>
      <c r="R1485" s="367">
        <v>167000</v>
      </c>
      <c r="S1485" s="367"/>
      <c r="T1485" s="367">
        <v>1</v>
      </c>
      <c r="U1485" s="367"/>
      <c r="V1485" s="367"/>
      <c r="W1485" s="367"/>
      <c r="X1485" s="367"/>
      <c r="Y1485" s="367"/>
      <c r="Z1485" s="367"/>
      <c r="AA1485" s="367"/>
      <c r="AB1485" s="367"/>
      <c r="AC1485" s="367"/>
    </row>
    <row r="1486" spans="1:29" ht="15" x14ac:dyDescent="0.25">
      <c r="A1486" s="365" t="s">
        <v>268</v>
      </c>
      <c r="H1486" s="366">
        <v>55</v>
      </c>
      <c r="J1486" s="367"/>
      <c r="K1486" s="367"/>
      <c r="L1486" s="367">
        <v>955</v>
      </c>
      <c r="M1486" s="367">
        <v>31</v>
      </c>
      <c r="N1486" s="367">
        <v>13</v>
      </c>
      <c r="O1486" s="367"/>
      <c r="P1486" s="367">
        <v>133</v>
      </c>
      <c r="Q1486" s="367"/>
      <c r="R1486" s="367">
        <v>56</v>
      </c>
      <c r="S1486" s="367">
        <v>10</v>
      </c>
      <c r="T1486" s="367">
        <v>6</v>
      </c>
      <c r="U1486" s="367"/>
      <c r="V1486" s="367"/>
      <c r="W1486" s="367"/>
      <c r="X1486" s="367"/>
      <c r="Y1486" s="367"/>
      <c r="Z1486" s="367"/>
      <c r="AA1486" s="367"/>
      <c r="AB1486" s="367"/>
      <c r="AC1486" s="367"/>
    </row>
    <row r="1487" spans="1:29" ht="15" x14ac:dyDescent="0.25">
      <c r="A1487" s="365" t="s">
        <v>268</v>
      </c>
      <c r="H1487" s="366">
        <v>55</v>
      </c>
      <c r="J1487" s="367"/>
      <c r="K1487" s="367"/>
      <c r="L1487" s="367">
        <v>955</v>
      </c>
      <c r="M1487" s="367">
        <v>31</v>
      </c>
      <c r="N1487" s="367">
        <v>13</v>
      </c>
      <c r="O1487" s="367"/>
      <c r="P1487" s="367">
        <v>133</v>
      </c>
      <c r="Q1487" s="367"/>
      <c r="R1487" s="367">
        <v>56</v>
      </c>
      <c r="S1487" s="367">
        <v>10</v>
      </c>
      <c r="T1487" s="367">
        <v>6</v>
      </c>
      <c r="U1487" s="367"/>
      <c r="V1487" s="367"/>
      <c r="W1487" s="367"/>
      <c r="X1487" s="367"/>
      <c r="Y1487" s="367"/>
      <c r="Z1487" s="367"/>
      <c r="AA1487" s="367"/>
      <c r="AB1487" s="367"/>
      <c r="AC1487" s="367"/>
    </row>
    <row r="1488" spans="1:29" ht="15" x14ac:dyDescent="0.25">
      <c r="A1488" s="365" t="s">
        <v>268</v>
      </c>
      <c r="H1488" s="366">
        <v>55</v>
      </c>
      <c r="J1488" s="367"/>
      <c r="K1488" s="367"/>
      <c r="L1488" s="367">
        <v>955</v>
      </c>
      <c r="M1488" s="367">
        <v>31</v>
      </c>
      <c r="N1488" s="367">
        <v>13</v>
      </c>
      <c r="O1488" s="367"/>
      <c r="P1488" s="367">
        <v>133</v>
      </c>
      <c r="Q1488" s="367"/>
      <c r="R1488" s="367">
        <v>56</v>
      </c>
      <c r="S1488" s="367">
        <v>10</v>
      </c>
      <c r="T1488" s="367">
        <v>6</v>
      </c>
      <c r="U1488" s="367"/>
      <c r="V1488" s="367"/>
      <c r="W1488" s="367"/>
      <c r="X1488" s="367"/>
      <c r="Y1488" s="367"/>
      <c r="Z1488" s="367"/>
      <c r="AA1488" s="367"/>
      <c r="AB1488" s="367"/>
      <c r="AC1488" s="367"/>
    </row>
    <row r="1489" spans="1:29" ht="15" x14ac:dyDescent="0.25">
      <c r="A1489" s="365" t="s">
        <v>550</v>
      </c>
      <c r="H1489" s="366">
        <v>21</v>
      </c>
      <c r="J1489" s="367"/>
      <c r="K1489" s="367"/>
      <c r="L1489" s="367">
        <v>6400</v>
      </c>
      <c r="M1489" s="367">
        <v>38</v>
      </c>
      <c r="N1489" s="367">
        <v>1200</v>
      </c>
      <c r="O1489" s="367"/>
      <c r="P1489" s="367">
        <v>13</v>
      </c>
      <c r="Q1489" s="367"/>
      <c r="R1489" s="367">
        <v>14000</v>
      </c>
      <c r="S1489" s="367">
        <v>0.93</v>
      </c>
      <c r="T1489" s="367">
        <v>37</v>
      </c>
      <c r="U1489" s="367"/>
      <c r="V1489" s="367"/>
      <c r="W1489" s="367"/>
      <c r="X1489" s="367"/>
      <c r="Y1489" s="367"/>
      <c r="Z1489" s="367"/>
      <c r="AA1489" s="367">
        <v>45</v>
      </c>
      <c r="AB1489" s="367"/>
      <c r="AC1489" s="367"/>
    </row>
    <row r="1490" spans="1:29" ht="15" x14ac:dyDescent="0.25">
      <c r="A1490" s="365" t="s">
        <v>550</v>
      </c>
      <c r="H1490" s="366">
        <v>27</v>
      </c>
      <c r="J1490" s="367"/>
      <c r="K1490" s="367"/>
      <c r="L1490" s="367">
        <v>6100</v>
      </c>
      <c r="M1490" s="367">
        <v>34</v>
      </c>
      <c r="N1490" s="367">
        <v>2200</v>
      </c>
      <c r="O1490" s="367"/>
      <c r="P1490" s="367">
        <v>11</v>
      </c>
      <c r="Q1490" s="367"/>
      <c r="R1490" s="367">
        <v>14000</v>
      </c>
      <c r="S1490" s="367">
        <v>0.36</v>
      </c>
      <c r="T1490" s="367">
        <v>41</v>
      </c>
      <c r="U1490" s="367"/>
      <c r="V1490" s="367"/>
      <c r="W1490" s="367"/>
      <c r="X1490" s="367"/>
      <c r="Y1490" s="367"/>
      <c r="Z1490" s="367"/>
      <c r="AA1490" s="367">
        <v>52</v>
      </c>
      <c r="AB1490" s="367"/>
      <c r="AC1490" s="367"/>
    </row>
    <row r="1491" spans="1:29" ht="15" x14ac:dyDescent="0.25">
      <c r="A1491" s="365" t="s">
        <v>550</v>
      </c>
      <c r="H1491" s="366">
        <v>21</v>
      </c>
      <c r="J1491" s="367"/>
      <c r="K1491" s="367"/>
      <c r="L1491" s="367">
        <v>6400</v>
      </c>
      <c r="M1491" s="367">
        <v>38</v>
      </c>
      <c r="N1491" s="367">
        <v>1200</v>
      </c>
      <c r="O1491" s="367"/>
      <c r="P1491" s="367">
        <v>13</v>
      </c>
      <c r="Q1491" s="367"/>
      <c r="R1491" s="367">
        <v>14000</v>
      </c>
      <c r="S1491" s="367">
        <v>0.93</v>
      </c>
      <c r="T1491" s="367">
        <v>37</v>
      </c>
      <c r="U1491" s="367"/>
      <c r="V1491" s="367"/>
      <c r="W1491" s="367"/>
      <c r="X1491" s="367"/>
      <c r="Y1491" s="367"/>
      <c r="Z1491" s="367"/>
      <c r="AA1491" s="367">
        <v>45</v>
      </c>
      <c r="AB1491" s="367"/>
      <c r="AC1491" s="367"/>
    </row>
    <row r="1492" spans="1:29" ht="15" x14ac:dyDescent="0.25">
      <c r="A1492" s="365" t="s">
        <v>550</v>
      </c>
      <c r="H1492" s="366">
        <v>27</v>
      </c>
      <c r="J1492" s="367"/>
      <c r="K1492" s="367"/>
      <c r="L1492" s="367">
        <v>6100</v>
      </c>
      <c r="M1492" s="367">
        <v>34</v>
      </c>
      <c r="N1492" s="367">
        <v>2200</v>
      </c>
      <c r="O1492" s="367"/>
      <c r="P1492" s="367">
        <v>11</v>
      </c>
      <c r="Q1492" s="367"/>
      <c r="R1492" s="367">
        <v>14000</v>
      </c>
      <c r="S1492" s="367">
        <v>0.36</v>
      </c>
      <c r="T1492" s="367">
        <v>41</v>
      </c>
      <c r="U1492" s="367"/>
      <c r="V1492" s="367"/>
      <c r="W1492" s="367"/>
      <c r="X1492" s="367"/>
      <c r="Y1492" s="367"/>
      <c r="Z1492" s="367"/>
      <c r="AA1492" s="367">
        <v>52</v>
      </c>
      <c r="AB1492" s="367"/>
      <c r="AC1492" s="367"/>
    </row>
    <row r="1493" spans="1:29" ht="15" x14ac:dyDescent="0.25">
      <c r="A1493" s="365" t="s">
        <v>551</v>
      </c>
      <c r="H1493" s="366">
        <v>9</v>
      </c>
      <c r="J1493" s="367"/>
      <c r="K1493" s="367"/>
      <c r="L1493" s="367">
        <v>-0.5</v>
      </c>
      <c r="M1493" s="367">
        <v>-0.1</v>
      </c>
      <c r="N1493" s="367">
        <v>-0.5</v>
      </c>
      <c r="O1493" s="367"/>
      <c r="P1493" s="367">
        <v>-1</v>
      </c>
      <c r="Q1493" s="367"/>
      <c r="R1493" s="367">
        <v>2</v>
      </c>
      <c r="S1493" s="367">
        <v>-0.1</v>
      </c>
      <c r="T1493" s="367">
        <v>20</v>
      </c>
      <c r="U1493" s="367"/>
      <c r="V1493" s="367"/>
      <c r="W1493" s="367"/>
      <c r="X1493" s="367"/>
      <c r="Y1493" s="367"/>
      <c r="Z1493" s="367"/>
      <c r="AA1493" s="367"/>
      <c r="AB1493" s="367"/>
      <c r="AC1493" s="367">
        <v>-0.02</v>
      </c>
    </row>
    <row r="1494" spans="1:29" ht="15" x14ac:dyDescent="0.25">
      <c r="A1494" s="365" t="s">
        <v>552</v>
      </c>
      <c r="H1494" s="366">
        <v>48</v>
      </c>
      <c r="J1494" s="367"/>
      <c r="K1494" s="367"/>
      <c r="L1494" s="367">
        <v>675</v>
      </c>
      <c r="M1494" s="367">
        <v>5</v>
      </c>
      <c r="N1494" s="367">
        <v>36</v>
      </c>
      <c r="O1494" s="367"/>
      <c r="P1494" s="367">
        <v>58</v>
      </c>
      <c r="Q1494" s="367"/>
      <c r="R1494" s="367">
        <v>1275</v>
      </c>
      <c r="S1494" s="367">
        <v>0.5</v>
      </c>
      <c r="T1494" s="367">
        <v>109</v>
      </c>
      <c r="U1494" s="367"/>
      <c r="V1494" s="367"/>
      <c r="W1494" s="367"/>
      <c r="X1494" s="367"/>
      <c r="Y1494" s="367"/>
      <c r="Z1494" s="367"/>
      <c r="AA1494" s="367">
        <v>0.36</v>
      </c>
      <c r="AB1494" s="367"/>
      <c r="AC1494" s="367"/>
    </row>
    <row r="1495" spans="1:29" ht="15" x14ac:dyDescent="0.25">
      <c r="A1495" s="365" t="s">
        <v>514</v>
      </c>
      <c r="H1495" s="366">
        <v>44</v>
      </c>
      <c r="J1495" s="367"/>
      <c r="K1495" s="367"/>
      <c r="L1495" s="367">
        <v>830</v>
      </c>
      <c r="M1495" s="367">
        <v>5.9</v>
      </c>
      <c r="N1495" s="367">
        <v>40</v>
      </c>
      <c r="O1495" s="367"/>
      <c r="P1495" s="367">
        <v>70</v>
      </c>
      <c r="Q1495" s="367"/>
      <c r="R1495" s="367">
        <v>1300</v>
      </c>
      <c r="S1495" s="367">
        <v>0.38</v>
      </c>
      <c r="T1495" s="367">
        <v>4</v>
      </c>
      <c r="U1495" s="367"/>
      <c r="V1495" s="367"/>
      <c r="W1495" s="367"/>
      <c r="X1495" s="367"/>
      <c r="Y1495" s="367"/>
      <c r="Z1495" s="367"/>
      <c r="AA1495" s="367"/>
      <c r="AB1495" s="367"/>
      <c r="AC1495" s="367">
        <v>-0.02</v>
      </c>
    </row>
    <row r="1496" spans="1:29" ht="15" x14ac:dyDescent="0.25">
      <c r="A1496" s="365" t="s">
        <v>553</v>
      </c>
      <c r="H1496" s="366">
        <v>24</v>
      </c>
      <c r="J1496" s="367"/>
      <c r="K1496" s="367"/>
      <c r="L1496" s="367">
        <v>33</v>
      </c>
      <c r="M1496" s="367">
        <v>0.9</v>
      </c>
      <c r="N1496" s="367">
        <v>2.4</v>
      </c>
      <c r="O1496" s="367"/>
      <c r="P1496" s="367">
        <v>22</v>
      </c>
      <c r="Q1496" s="367"/>
      <c r="R1496" s="367">
        <v>14</v>
      </c>
      <c r="S1496" s="367">
        <v>0.5</v>
      </c>
      <c r="T1496" s="367">
        <v>13</v>
      </c>
      <c r="U1496" s="367"/>
      <c r="V1496" s="367"/>
      <c r="W1496" s="367"/>
      <c r="X1496" s="367"/>
      <c r="Y1496" s="367"/>
      <c r="Z1496" s="367"/>
      <c r="AA1496" s="367"/>
      <c r="AB1496" s="367"/>
      <c r="AC1496" s="367"/>
    </row>
    <row r="1497" spans="1:29" ht="15" x14ac:dyDescent="0.25">
      <c r="A1497" s="365" t="s">
        <v>415</v>
      </c>
      <c r="H1497" s="366">
        <v>24</v>
      </c>
      <c r="J1497" s="367"/>
      <c r="K1497" s="367"/>
      <c r="L1497" s="367">
        <v>32</v>
      </c>
      <c r="M1497" s="367">
        <v>0.8</v>
      </c>
      <c r="N1497" s="367">
        <v>3.4</v>
      </c>
      <c r="O1497" s="367"/>
      <c r="P1497" s="367">
        <v>23</v>
      </c>
      <c r="Q1497" s="367"/>
      <c r="R1497" s="367">
        <v>16</v>
      </c>
      <c r="S1497" s="367">
        <v>0.4</v>
      </c>
      <c r="T1497" s="367">
        <v>14</v>
      </c>
      <c r="U1497" s="367"/>
      <c r="V1497" s="367"/>
      <c r="W1497" s="367"/>
      <c r="X1497" s="367"/>
      <c r="Y1497" s="367"/>
      <c r="Z1497" s="367"/>
      <c r="AA1497" s="367">
        <v>0.03</v>
      </c>
      <c r="AB1497" s="367"/>
      <c r="AC1497" s="367"/>
    </row>
    <row r="1498" spans="1:29" ht="15" x14ac:dyDescent="0.25">
      <c r="A1498" s="365" t="s">
        <v>623</v>
      </c>
      <c r="H1498" s="366">
        <v>24</v>
      </c>
      <c r="J1498" s="367"/>
      <c r="K1498" s="367"/>
      <c r="L1498" s="367">
        <v>33</v>
      </c>
      <c r="M1498" s="367">
        <v>0.9</v>
      </c>
      <c r="N1498" s="367">
        <v>2.8</v>
      </c>
      <c r="O1498" s="367"/>
      <c r="P1498" s="367">
        <v>22</v>
      </c>
      <c r="Q1498" s="367"/>
      <c r="R1498" s="367">
        <v>14</v>
      </c>
      <c r="S1498" s="367">
        <v>0.5</v>
      </c>
      <c r="T1498" s="367">
        <v>13</v>
      </c>
      <c r="U1498" s="367"/>
      <c r="V1498" s="367"/>
      <c r="W1498" s="367"/>
      <c r="X1498" s="367"/>
      <c r="Y1498" s="367"/>
      <c r="Z1498" s="367"/>
      <c r="AA1498" s="367"/>
      <c r="AB1498" s="367"/>
      <c r="AC1498" s="367">
        <v>0.01</v>
      </c>
    </row>
    <row r="1499" spans="1:29" ht="15" x14ac:dyDescent="0.25">
      <c r="A1499" s="365" t="s">
        <v>515</v>
      </c>
      <c r="H1499" s="366">
        <v>50</v>
      </c>
      <c r="J1499" s="367"/>
      <c r="K1499" s="367"/>
      <c r="L1499" s="367">
        <v>71</v>
      </c>
      <c r="M1499" s="367">
        <v>1</v>
      </c>
      <c r="N1499" s="367">
        <v>1.5</v>
      </c>
      <c r="O1499" s="367"/>
      <c r="P1499" s="367">
        <v>50</v>
      </c>
      <c r="Q1499" s="367"/>
      <c r="R1499" s="367">
        <v>41</v>
      </c>
      <c r="S1499" s="367">
        <v>4.7</v>
      </c>
      <c r="T1499" s="367">
        <v>8</v>
      </c>
      <c r="U1499" s="367"/>
      <c r="V1499" s="367"/>
      <c r="W1499" s="367"/>
      <c r="X1499" s="367"/>
      <c r="Y1499" s="367"/>
      <c r="Z1499" s="367"/>
      <c r="AA1499" s="367"/>
      <c r="AB1499" s="367"/>
      <c r="AC1499" s="367">
        <v>-0.02</v>
      </c>
    </row>
    <row r="1500" spans="1:29" ht="15" x14ac:dyDescent="0.25">
      <c r="A1500" s="365" t="s">
        <v>554</v>
      </c>
      <c r="H1500" s="366">
        <v>50</v>
      </c>
      <c r="J1500" s="367"/>
      <c r="K1500" s="367"/>
      <c r="L1500" s="367">
        <v>56</v>
      </c>
      <c r="M1500" s="367">
        <v>4</v>
      </c>
      <c r="N1500" s="367">
        <v>4</v>
      </c>
      <c r="O1500" s="367"/>
      <c r="P1500" s="367">
        <v>36</v>
      </c>
      <c r="Q1500" s="367"/>
      <c r="R1500" s="367">
        <v>44</v>
      </c>
      <c r="S1500" s="367">
        <v>5</v>
      </c>
      <c r="T1500" s="367"/>
      <c r="U1500" s="367"/>
      <c r="V1500" s="367"/>
      <c r="W1500" s="367"/>
      <c r="X1500" s="367"/>
      <c r="Y1500" s="367"/>
      <c r="Z1500" s="367"/>
      <c r="AA1500" s="367">
        <v>0.01</v>
      </c>
      <c r="AB1500" s="367"/>
      <c r="AC1500" s="367"/>
    </row>
    <row r="1501" spans="1:29" ht="15" x14ac:dyDescent="0.25">
      <c r="A1501" s="365" t="s">
        <v>555</v>
      </c>
      <c r="H1501" s="366">
        <v>23</v>
      </c>
      <c r="J1501" s="367"/>
      <c r="K1501" s="367"/>
      <c r="L1501" s="367">
        <v>484</v>
      </c>
      <c r="M1501" s="367">
        <v>4.8</v>
      </c>
      <c r="N1501" s="367">
        <v>301</v>
      </c>
      <c r="O1501" s="367"/>
      <c r="P1501" s="367">
        <v>14</v>
      </c>
      <c r="Q1501" s="367"/>
      <c r="R1501" s="367">
        <v>264</v>
      </c>
      <c r="S1501" s="367">
        <v>0.6</v>
      </c>
      <c r="T1501" s="367">
        <v>1740</v>
      </c>
      <c r="U1501" s="367"/>
      <c r="V1501" s="367"/>
      <c r="W1501" s="367"/>
      <c r="X1501" s="367"/>
      <c r="Y1501" s="367"/>
      <c r="Z1501" s="367"/>
      <c r="AA1501" s="367"/>
      <c r="AB1501" s="367"/>
      <c r="AC1501" s="367"/>
    </row>
    <row r="1502" spans="1:29" ht="15" x14ac:dyDescent="0.25">
      <c r="A1502" s="365" t="s">
        <v>373</v>
      </c>
      <c r="H1502" s="366">
        <v>32</v>
      </c>
      <c r="J1502" s="367"/>
      <c r="K1502" s="367"/>
      <c r="L1502" s="367">
        <v>120</v>
      </c>
      <c r="M1502" s="367">
        <v>0.4</v>
      </c>
      <c r="N1502" s="367">
        <v>1.1000000000000001</v>
      </c>
      <c r="O1502" s="367"/>
      <c r="P1502" s="367">
        <v>33</v>
      </c>
      <c r="Q1502" s="367"/>
      <c r="R1502" s="367">
        <v>14</v>
      </c>
      <c r="S1502" s="367">
        <v>0.65</v>
      </c>
      <c r="T1502" s="367">
        <v>5.5</v>
      </c>
      <c r="U1502" s="367"/>
      <c r="V1502" s="367"/>
      <c r="W1502" s="367"/>
      <c r="X1502" s="367"/>
      <c r="Y1502" s="367"/>
      <c r="Z1502" s="367"/>
      <c r="AA1502" s="367"/>
      <c r="AB1502" s="367"/>
      <c r="AC1502" s="367">
        <v>-0.02</v>
      </c>
    </row>
    <row r="1503" spans="1:29" ht="15" x14ac:dyDescent="0.25">
      <c r="A1503" s="365" t="s">
        <v>382</v>
      </c>
      <c r="H1503" s="366">
        <v>34</v>
      </c>
      <c r="J1503" s="367"/>
      <c r="K1503" s="367"/>
      <c r="L1503" s="367">
        <v>120</v>
      </c>
      <c r="M1503" s="367">
        <v>0.4</v>
      </c>
      <c r="N1503" s="367">
        <v>1.1000000000000001</v>
      </c>
      <c r="O1503" s="367"/>
      <c r="P1503" s="367">
        <v>33</v>
      </c>
      <c r="Q1503" s="367"/>
      <c r="R1503" s="367">
        <v>14</v>
      </c>
      <c r="S1503" s="367">
        <v>0.65</v>
      </c>
      <c r="T1503" s="367">
        <v>5.5</v>
      </c>
      <c r="U1503" s="367"/>
      <c r="V1503" s="367"/>
      <c r="W1503" s="367"/>
      <c r="X1503" s="367"/>
      <c r="Y1503" s="367"/>
      <c r="Z1503" s="367"/>
      <c r="AA1503" s="367"/>
      <c r="AB1503" s="367"/>
      <c r="AC1503" s="367"/>
    </row>
    <row r="1504" spans="1:29" ht="15" x14ac:dyDescent="0.25">
      <c r="A1504" s="365" t="s">
        <v>598</v>
      </c>
      <c r="H1504" s="366"/>
      <c r="J1504" s="367"/>
      <c r="K1504" s="367"/>
      <c r="L1504" s="367">
        <v>1.7</v>
      </c>
      <c r="M1504" s="367">
        <v>-0.1</v>
      </c>
      <c r="N1504" s="367">
        <v>0.2</v>
      </c>
      <c r="O1504" s="367"/>
      <c r="P1504" s="367">
        <v>1</v>
      </c>
      <c r="Q1504" s="367"/>
      <c r="R1504" s="367">
        <v>110</v>
      </c>
      <c r="S1504" s="367">
        <v>0.1</v>
      </c>
      <c r="T1504" s="367">
        <v>7.3</v>
      </c>
      <c r="U1504" s="367"/>
      <c r="V1504" s="367"/>
      <c r="W1504" s="367"/>
      <c r="X1504" s="367"/>
      <c r="Y1504" s="367"/>
      <c r="Z1504" s="367"/>
      <c r="AA1504" s="367">
        <v>0.04</v>
      </c>
      <c r="AB1504" s="367"/>
      <c r="AC1504" s="367"/>
    </row>
    <row r="1505" spans="1:29" ht="15" x14ac:dyDescent="0.25">
      <c r="A1505" s="365" t="s">
        <v>599</v>
      </c>
      <c r="H1505" s="366">
        <v>26</v>
      </c>
      <c r="J1505" s="367"/>
      <c r="K1505" s="367"/>
      <c r="L1505" s="367">
        <v>260</v>
      </c>
      <c r="M1505" s="367">
        <v>25</v>
      </c>
      <c r="N1505" s="367">
        <v>30</v>
      </c>
      <c r="O1505" s="367"/>
      <c r="P1505" s="367">
        <v>119</v>
      </c>
      <c r="Q1505" s="367"/>
      <c r="R1505" s="367">
        <v>420</v>
      </c>
      <c r="S1505" s="367">
        <v>-0.1</v>
      </c>
      <c r="T1505" s="367">
        <v>42</v>
      </c>
      <c r="U1505" s="367"/>
      <c r="V1505" s="367"/>
      <c r="W1505" s="367"/>
      <c r="X1505" s="367"/>
      <c r="Y1505" s="367"/>
      <c r="Z1505" s="367"/>
      <c r="AA1505" s="367"/>
      <c r="AB1505" s="367"/>
      <c r="AC1505" s="367">
        <v>0.95</v>
      </c>
    </row>
    <row r="1506" spans="1:29" ht="15" x14ac:dyDescent="0.25">
      <c r="A1506" s="365" t="s">
        <v>309</v>
      </c>
      <c r="H1506" s="366">
        <v>21</v>
      </c>
      <c r="J1506" s="367"/>
      <c r="K1506" s="367"/>
      <c r="L1506" s="367">
        <v>165</v>
      </c>
      <c r="M1506" s="367">
        <v>14.8</v>
      </c>
      <c r="N1506" s="367">
        <v>20.8</v>
      </c>
      <c r="O1506" s="367"/>
      <c r="P1506" s="367">
        <v>141</v>
      </c>
      <c r="Q1506" s="367"/>
      <c r="R1506" s="367">
        <v>255</v>
      </c>
      <c r="S1506" s="367">
        <v>0.05</v>
      </c>
      <c r="T1506" s="367">
        <v>46.5</v>
      </c>
      <c r="U1506" s="367"/>
      <c r="V1506" s="367"/>
      <c r="W1506" s="367"/>
      <c r="X1506" s="367"/>
      <c r="Y1506" s="367"/>
      <c r="Z1506" s="367"/>
      <c r="AA1506" s="367">
        <v>0.5</v>
      </c>
      <c r="AB1506" s="367"/>
      <c r="AC1506" s="367"/>
    </row>
    <row r="1507" spans="1:29" ht="15" x14ac:dyDescent="0.25">
      <c r="A1507" s="365" t="s">
        <v>981</v>
      </c>
      <c r="H1507" s="366"/>
      <c r="J1507" s="367"/>
      <c r="K1507" s="367"/>
      <c r="L1507" s="367"/>
      <c r="M1507" s="367"/>
      <c r="N1507" s="367">
        <v>312</v>
      </c>
      <c r="O1507" s="367"/>
      <c r="P1507" s="367"/>
      <c r="Q1507" s="367"/>
      <c r="R1507" s="367">
        <v>11</v>
      </c>
      <c r="S1507" s="367"/>
      <c r="T1507" s="367">
        <v>272</v>
      </c>
      <c r="U1507" s="367"/>
      <c r="V1507" s="367"/>
      <c r="W1507" s="367"/>
      <c r="X1507" s="367"/>
      <c r="Y1507" s="367"/>
      <c r="Z1507" s="367"/>
      <c r="AA1507" s="367"/>
      <c r="AB1507" s="367"/>
      <c r="AC1507" s="367"/>
    </row>
    <row r="1508" spans="1:29" ht="15" x14ac:dyDescent="0.25">
      <c r="A1508" s="365" t="s">
        <v>979</v>
      </c>
      <c r="H1508" s="366">
        <v>41</v>
      </c>
      <c r="J1508" s="367"/>
      <c r="K1508" s="367"/>
      <c r="L1508" s="367"/>
      <c r="M1508" s="367"/>
      <c r="N1508" s="367">
        <v>306</v>
      </c>
      <c r="O1508" s="367"/>
      <c r="P1508" s="367"/>
      <c r="Q1508" s="367"/>
      <c r="R1508" s="367">
        <v>13</v>
      </c>
      <c r="S1508" s="367"/>
      <c r="T1508" s="367">
        <v>279</v>
      </c>
      <c r="U1508" s="367"/>
      <c r="V1508" s="367"/>
      <c r="W1508" s="367"/>
      <c r="X1508" s="367"/>
      <c r="Y1508" s="367"/>
      <c r="Z1508" s="367"/>
      <c r="AA1508" s="367"/>
      <c r="AB1508" s="367"/>
      <c r="AC1508" s="367"/>
    </row>
    <row r="1509" spans="1:29" ht="15" x14ac:dyDescent="0.25">
      <c r="A1509" s="365" t="s">
        <v>524</v>
      </c>
      <c r="H1509" s="366">
        <v>44</v>
      </c>
      <c r="J1509" s="367"/>
      <c r="K1509" s="367"/>
      <c r="L1509" s="367">
        <v>184</v>
      </c>
      <c r="M1509" s="367">
        <v>5.3</v>
      </c>
      <c r="N1509" s="367">
        <v>288</v>
      </c>
      <c r="O1509" s="367"/>
      <c r="P1509" s="367">
        <v>130</v>
      </c>
      <c r="Q1509" s="367"/>
      <c r="R1509" s="367">
        <v>16</v>
      </c>
      <c r="S1509" s="367">
        <v>0.5</v>
      </c>
      <c r="T1509" s="367">
        <v>142</v>
      </c>
      <c r="U1509" s="367"/>
      <c r="V1509" s="367"/>
      <c r="W1509" s="367"/>
      <c r="X1509" s="367"/>
      <c r="Y1509" s="367"/>
      <c r="Z1509" s="367"/>
      <c r="AA1509" s="367"/>
      <c r="AB1509" s="367"/>
      <c r="AC1509" s="367"/>
    </row>
    <row r="1510" spans="1:29" ht="15" x14ac:dyDescent="0.25">
      <c r="A1510" s="365" t="s">
        <v>455</v>
      </c>
      <c r="H1510" s="366">
        <v>43</v>
      </c>
      <c r="J1510" s="367"/>
      <c r="K1510" s="367"/>
      <c r="L1510" s="367">
        <v>625</v>
      </c>
      <c r="M1510" s="367">
        <v>0.9</v>
      </c>
      <c r="N1510" s="367">
        <v>174</v>
      </c>
      <c r="O1510" s="367"/>
      <c r="P1510" s="367">
        <v>0.8</v>
      </c>
      <c r="Q1510" s="367"/>
      <c r="R1510" s="367">
        <v>751</v>
      </c>
      <c r="S1510" s="367"/>
      <c r="T1510" s="367">
        <v>3090</v>
      </c>
      <c r="U1510" s="367"/>
      <c r="V1510" s="367"/>
      <c r="W1510" s="367"/>
      <c r="X1510" s="367"/>
      <c r="Y1510" s="367"/>
      <c r="Z1510" s="367"/>
      <c r="AA1510" s="367"/>
      <c r="AB1510" s="367"/>
      <c r="AC1510" s="367">
        <v>1600</v>
      </c>
    </row>
    <row r="1511" spans="1:29" ht="15" x14ac:dyDescent="0.25">
      <c r="A1511" s="365" t="s">
        <v>556</v>
      </c>
      <c r="H1511" s="366">
        <v>27</v>
      </c>
      <c r="J1511" s="367"/>
      <c r="K1511" s="367"/>
      <c r="L1511" s="367">
        <v>116</v>
      </c>
      <c r="M1511" s="367">
        <v>0.3</v>
      </c>
      <c r="N1511" s="367">
        <v>11</v>
      </c>
      <c r="O1511" s="367"/>
      <c r="P1511" s="367">
        <v>34</v>
      </c>
      <c r="Q1511" s="367"/>
      <c r="R1511" s="367">
        <v>16</v>
      </c>
      <c r="S1511" s="367">
        <v>0.7</v>
      </c>
      <c r="T1511" s="367">
        <v>9</v>
      </c>
      <c r="U1511" s="367"/>
      <c r="V1511" s="367"/>
      <c r="W1511" s="367"/>
      <c r="X1511" s="367"/>
      <c r="Y1511" s="367"/>
      <c r="Z1511" s="367"/>
      <c r="AA1511" s="367"/>
      <c r="AB1511" s="367"/>
      <c r="AC1511" s="367"/>
    </row>
    <row r="1512" spans="1:29" ht="15" x14ac:dyDescent="0.25">
      <c r="A1512" s="365" t="s">
        <v>557</v>
      </c>
      <c r="H1512" s="366">
        <v>33</v>
      </c>
      <c r="J1512" s="367"/>
      <c r="K1512" s="367"/>
      <c r="L1512" s="367">
        <v>336</v>
      </c>
      <c r="M1512" s="367">
        <v>4.9000000000000004</v>
      </c>
      <c r="N1512" s="367">
        <v>76</v>
      </c>
      <c r="O1512" s="367"/>
      <c r="P1512" s="367">
        <v>36</v>
      </c>
      <c r="Q1512" s="367"/>
      <c r="R1512" s="367">
        <v>355</v>
      </c>
      <c r="S1512" s="367">
        <v>9.1999999999999993</v>
      </c>
      <c r="T1512" s="367">
        <v>368</v>
      </c>
      <c r="U1512" s="367"/>
      <c r="V1512" s="367"/>
      <c r="W1512" s="367"/>
      <c r="X1512" s="367"/>
      <c r="Y1512" s="367"/>
      <c r="Z1512" s="367"/>
      <c r="AA1512" s="367"/>
      <c r="AB1512" s="367"/>
      <c r="AC1512" s="367"/>
    </row>
    <row r="1513" spans="1:29" ht="15" x14ac:dyDescent="0.25">
      <c r="A1513" s="365" t="s">
        <v>558</v>
      </c>
      <c r="H1513" s="366">
        <v>97</v>
      </c>
      <c r="J1513" s="367"/>
      <c r="K1513" s="367"/>
      <c r="L1513" s="367">
        <v>14</v>
      </c>
      <c r="M1513" s="367">
        <v>28</v>
      </c>
      <c r="N1513" s="367">
        <v>18</v>
      </c>
      <c r="O1513" s="367"/>
      <c r="P1513" s="367">
        <v>326</v>
      </c>
      <c r="Q1513" s="367"/>
      <c r="R1513" s="367"/>
      <c r="S1513" s="367">
        <v>0.9</v>
      </c>
      <c r="T1513" s="367">
        <v>1450</v>
      </c>
      <c r="U1513" s="367"/>
      <c r="V1513" s="367"/>
      <c r="W1513" s="367"/>
      <c r="X1513" s="367"/>
      <c r="Y1513" s="367"/>
      <c r="Z1513" s="367"/>
      <c r="AA1513" s="367"/>
      <c r="AB1513" s="367"/>
      <c r="AC1513" s="367"/>
    </row>
    <row r="1514" spans="1:29" ht="15" x14ac:dyDescent="0.25">
      <c r="A1514" s="365" t="s">
        <v>559</v>
      </c>
      <c r="H1514" s="366">
        <v>37</v>
      </c>
      <c r="J1514" s="367"/>
      <c r="K1514" s="367"/>
      <c r="L1514" s="367">
        <v>46</v>
      </c>
      <c r="M1514" s="367">
        <v>0.6</v>
      </c>
      <c r="N1514" s="367">
        <v>2</v>
      </c>
      <c r="O1514" s="367"/>
      <c r="P1514" s="367">
        <v>44</v>
      </c>
      <c r="Q1514" s="367"/>
      <c r="R1514" s="367">
        <v>6</v>
      </c>
      <c r="S1514" s="367">
        <v>0.9</v>
      </c>
      <c r="T1514" s="367">
        <v>16</v>
      </c>
      <c r="U1514" s="367"/>
      <c r="V1514" s="367"/>
      <c r="W1514" s="367"/>
      <c r="X1514" s="367"/>
      <c r="Y1514" s="367"/>
      <c r="Z1514" s="367"/>
      <c r="AA1514" s="367"/>
      <c r="AB1514" s="367"/>
      <c r="AC1514" s="367"/>
    </row>
    <row r="1515" spans="1:29" ht="15" x14ac:dyDescent="0.25">
      <c r="A1515" s="365" t="s">
        <v>560</v>
      </c>
      <c r="H1515" s="366">
        <v>29</v>
      </c>
      <c r="J1515" s="367"/>
      <c r="K1515" s="367"/>
      <c r="L1515" s="367">
        <v>380</v>
      </c>
      <c r="M1515" s="367">
        <v>14</v>
      </c>
      <c r="N1515" s="367">
        <v>53</v>
      </c>
      <c r="O1515" s="367"/>
      <c r="P1515" s="367">
        <v>24</v>
      </c>
      <c r="Q1515" s="367"/>
      <c r="R1515" s="367">
        <v>440</v>
      </c>
      <c r="S1515" s="367">
        <v>2.2999999999999998</v>
      </c>
      <c r="T1515" s="367">
        <v>307</v>
      </c>
      <c r="U1515" s="367"/>
      <c r="V1515" s="367"/>
      <c r="W1515" s="367"/>
      <c r="X1515" s="367"/>
      <c r="Y1515" s="367"/>
      <c r="Z1515" s="367"/>
      <c r="AA1515" s="367"/>
      <c r="AB1515" s="367"/>
      <c r="AC1515" s="367"/>
    </row>
    <row r="1516" spans="1:29" ht="15" x14ac:dyDescent="0.25">
      <c r="A1516" s="365" t="s">
        <v>561</v>
      </c>
      <c r="H1516" s="366">
        <v>31</v>
      </c>
      <c r="J1516" s="367"/>
      <c r="K1516" s="367"/>
      <c r="L1516" s="367">
        <v>472</v>
      </c>
      <c r="M1516" s="367">
        <v>38</v>
      </c>
      <c r="N1516" s="367">
        <v>248</v>
      </c>
      <c r="O1516" s="367"/>
      <c r="P1516" s="367">
        <v>110</v>
      </c>
      <c r="Q1516" s="367"/>
      <c r="R1516" s="367">
        <v>180</v>
      </c>
      <c r="S1516" s="367">
        <v>1.3</v>
      </c>
      <c r="T1516" s="367">
        <v>2</v>
      </c>
      <c r="U1516" s="367"/>
      <c r="V1516" s="367"/>
      <c r="W1516" s="367"/>
      <c r="X1516" s="367"/>
      <c r="Y1516" s="367"/>
      <c r="Z1516" s="367"/>
      <c r="AA1516" s="367"/>
      <c r="AB1516" s="367"/>
      <c r="AC1516" s="367"/>
    </row>
    <row r="1517" spans="1:29" ht="15" x14ac:dyDescent="0.25">
      <c r="A1517" s="365" t="s">
        <v>562</v>
      </c>
      <c r="H1517" s="366">
        <v>66</v>
      </c>
      <c r="J1517" s="367"/>
      <c r="K1517" s="367"/>
      <c r="L1517" s="367">
        <v>43</v>
      </c>
      <c r="M1517" s="367">
        <v>8.1999999999999993</v>
      </c>
      <c r="N1517" s="367">
        <v>49</v>
      </c>
      <c r="O1517" s="367"/>
      <c r="P1517" s="367">
        <v>162</v>
      </c>
      <c r="Q1517" s="367"/>
      <c r="R1517" s="367">
        <v>5</v>
      </c>
      <c r="S1517" s="367">
        <v>0.2</v>
      </c>
      <c r="T1517" s="367">
        <v>174</v>
      </c>
      <c r="U1517" s="367"/>
      <c r="V1517" s="367"/>
      <c r="W1517" s="367"/>
      <c r="X1517" s="367"/>
      <c r="Y1517" s="367"/>
      <c r="Z1517" s="367"/>
      <c r="AA1517" s="367"/>
      <c r="AB1517" s="367"/>
      <c r="AC1517" s="367"/>
    </row>
    <row r="1518" spans="1:29" ht="15" x14ac:dyDescent="0.25">
      <c r="A1518" s="365" t="s">
        <v>563</v>
      </c>
      <c r="H1518" s="366">
        <v>43</v>
      </c>
      <c r="J1518" s="367"/>
      <c r="K1518" s="367"/>
      <c r="L1518" s="367">
        <v>106</v>
      </c>
      <c r="M1518" s="367"/>
      <c r="N1518" s="367"/>
      <c r="O1518" s="367"/>
      <c r="P1518" s="367">
        <v>56</v>
      </c>
      <c r="Q1518" s="367"/>
      <c r="R1518" s="367">
        <v>15</v>
      </c>
      <c r="S1518" s="367"/>
      <c r="T1518" s="367">
        <v>32</v>
      </c>
      <c r="U1518" s="367"/>
      <c r="V1518" s="367"/>
      <c r="W1518" s="367"/>
      <c r="X1518" s="367"/>
      <c r="Y1518" s="367"/>
      <c r="Z1518" s="367"/>
      <c r="AA1518" s="367"/>
      <c r="AB1518" s="367"/>
      <c r="AC1518" s="367"/>
    </row>
    <row r="1519" spans="1:29" ht="15" x14ac:dyDescent="0.25">
      <c r="A1519" s="365" t="s">
        <v>564</v>
      </c>
      <c r="H1519" s="366">
        <v>22</v>
      </c>
      <c r="J1519" s="367"/>
      <c r="K1519" s="367"/>
      <c r="L1519" s="367">
        <v>18</v>
      </c>
      <c r="M1519" s="367">
        <v>0.3</v>
      </c>
      <c r="N1519" s="367">
        <v>36</v>
      </c>
      <c r="O1519" s="367"/>
      <c r="P1519" s="367">
        <v>43</v>
      </c>
      <c r="Q1519" s="367"/>
      <c r="R1519" s="367">
        <v>10</v>
      </c>
      <c r="S1519" s="367">
        <v>0.1</v>
      </c>
      <c r="T1519" s="367">
        <v>113</v>
      </c>
      <c r="U1519" s="367"/>
      <c r="V1519" s="367"/>
      <c r="W1519" s="367"/>
      <c r="X1519" s="367"/>
      <c r="Y1519" s="367"/>
      <c r="Z1519" s="367"/>
      <c r="AA1519" s="367"/>
      <c r="AB1519" s="367"/>
      <c r="AC1519" s="367"/>
    </row>
    <row r="1520" spans="1:29" ht="15" x14ac:dyDescent="0.25">
      <c r="A1520" s="365" t="s">
        <v>565</v>
      </c>
      <c r="H1520" s="366">
        <v>43</v>
      </c>
      <c r="J1520" s="367"/>
      <c r="K1520" s="367"/>
      <c r="L1520" s="367">
        <v>231</v>
      </c>
      <c r="M1520" s="367">
        <v>22</v>
      </c>
      <c r="N1520" s="367">
        <v>51</v>
      </c>
      <c r="O1520" s="367"/>
      <c r="P1520" s="367">
        <v>54</v>
      </c>
      <c r="Q1520" s="367"/>
      <c r="R1520" s="367">
        <v>67</v>
      </c>
      <c r="S1520" s="367">
        <v>6.4</v>
      </c>
      <c r="T1520" s="367">
        <v>210</v>
      </c>
      <c r="U1520" s="367"/>
      <c r="V1520" s="367"/>
      <c r="W1520" s="367"/>
      <c r="X1520" s="367"/>
      <c r="Y1520" s="367"/>
      <c r="Z1520" s="367"/>
      <c r="AA1520" s="367"/>
      <c r="AB1520" s="367"/>
      <c r="AC1520" s="367"/>
    </row>
    <row r="1521" spans="1:29" ht="15" x14ac:dyDescent="0.25">
      <c r="A1521" s="365" t="s">
        <v>566</v>
      </c>
      <c r="H1521" s="366">
        <v>31</v>
      </c>
      <c r="J1521" s="367"/>
      <c r="K1521" s="367"/>
      <c r="L1521" s="367">
        <v>29</v>
      </c>
      <c r="M1521" s="367">
        <v>3.9</v>
      </c>
      <c r="N1521" s="367">
        <v>31</v>
      </c>
      <c r="O1521" s="367"/>
      <c r="P1521" s="367">
        <v>105</v>
      </c>
      <c r="Q1521" s="367"/>
      <c r="R1521" s="367">
        <v>16</v>
      </c>
      <c r="S1521" s="367">
        <v>0.2</v>
      </c>
      <c r="T1521" s="367">
        <v>1</v>
      </c>
      <c r="U1521" s="367"/>
      <c r="V1521" s="367"/>
      <c r="W1521" s="367"/>
      <c r="X1521" s="367"/>
      <c r="Y1521" s="367"/>
      <c r="Z1521" s="367"/>
      <c r="AA1521" s="367"/>
      <c r="AB1521" s="367"/>
      <c r="AC1521" s="367"/>
    </row>
    <row r="1522" spans="1:29" ht="15" x14ac:dyDescent="0.25">
      <c r="A1522" s="365" t="s">
        <v>567</v>
      </c>
      <c r="H1522" s="366">
        <v>28</v>
      </c>
      <c r="J1522" s="367"/>
      <c r="K1522" s="367"/>
      <c r="L1522" s="367">
        <v>405</v>
      </c>
      <c r="M1522" s="367"/>
      <c r="N1522" s="367">
        <v>102</v>
      </c>
      <c r="O1522" s="367"/>
      <c r="P1522" s="367"/>
      <c r="Q1522" s="367"/>
      <c r="R1522" s="367">
        <v>533</v>
      </c>
      <c r="S1522" s="367"/>
      <c r="T1522" s="367">
        <v>233</v>
      </c>
      <c r="U1522" s="367"/>
      <c r="V1522" s="367"/>
      <c r="W1522" s="367"/>
      <c r="X1522" s="367"/>
      <c r="Y1522" s="367"/>
      <c r="Z1522" s="367"/>
      <c r="AA1522" s="367"/>
      <c r="AB1522" s="367"/>
      <c r="AC1522" s="367"/>
    </row>
    <row r="1523" spans="1:29" ht="15" x14ac:dyDescent="0.25">
      <c r="A1523" s="365" t="s">
        <v>568</v>
      </c>
      <c r="H1523" s="366">
        <v>56</v>
      </c>
      <c r="J1523" s="367"/>
      <c r="K1523" s="367"/>
      <c r="L1523" s="367">
        <v>88</v>
      </c>
      <c r="M1523" s="367"/>
      <c r="N1523" s="367">
        <v>5</v>
      </c>
      <c r="O1523" s="367"/>
      <c r="P1523" s="367">
        <v>53</v>
      </c>
      <c r="Q1523" s="367"/>
      <c r="R1523" s="367">
        <v>30</v>
      </c>
      <c r="S1523" s="367">
        <v>3.6</v>
      </c>
      <c r="T1523" s="367">
        <v>38</v>
      </c>
      <c r="U1523" s="367"/>
      <c r="V1523" s="367"/>
      <c r="W1523" s="367"/>
      <c r="X1523" s="367"/>
      <c r="Y1523" s="367"/>
      <c r="Z1523" s="367"/>
      <c r="AA1523" s="367"/>
      <c r="AB1523" s="367"/>
      <c r="AC1523" s="367">
        <v>0.08</v>
      </c>
    </row>
    <row r="1524" spans="1:29" ht="15" x14ac:dyDescent="0.25">
      <c r="A1524" s="365" t="s">
        <v>569</v>
      </c>
      <c r="H1524" s="366">
        <v>43</v>
      </c>
      <c r="J1524" s="367"/>
      <c r="K1524" s="367"/>
      <c r="L1524" s="367">
        <v>257</v>
      </c>
      <c r="M1524" s="367">
        <v>7.4</v>
      </c>
      <c r="N1524" s="367">
        <v>50</v>
      </c>
      <c r="O1524" s="367"/>
      <c r="P1524" s="367">
        <v>67</v>
      </c>
      <c r="Q1524" s="367"/>
      <c r="R1524" s="367">
        <v>345</v>
      </c>
      <c r="S1524" s="367"/>
      <c r="T1524" s="367">
        <v>150</v>
      </c>
      <c r="U1524" s="367"/>
      <c r="V1524" s="367"/>
      <c r="W1524" s="367"/>
      <c r="X1524" s="367"/>
      <c r="Y1524" s="367"/>
      <c r="Z1524" s="367"/>
      <c r="AA1524" s="367"/>
      <c r="AB1524" s="367"/>
      <c r="AC1524" s="367"/>
    </row>
    <row r="1525" spans="1:29" ht="15" x14ac:dyDescent="0.25">
      <c r="A1525" s="365" t="s">
        <v>570</v>
      </c>
      <c r="H1525" s="366">
        <v>69</v>
      </c>
      <c r="J1525" s="367"/>
      <c r="K1525" s="367"/>
      <c r="L1525" s="367">
        <v>543</v>
      </c>
      <c r="M1525" s="367">
        <v>4.8</v>
      </c>
      <c r="N1525" s="367">
        <v>143</v>
      </c>
      <c r="O1525" s="367"/>
      <c r="P1525" s="367">
        <v>82</v>
      </c>
      <c r="Q1525" s="367"/>
      <c r="R1525" s="367">
        <v>788</v>
      </c>
      <c r="S1525" s="367"/>
      <c r="T1525" s="367">
        <v>365</v>
      </c>
      <c r="U1525" s="367"/>
      <c r="V1525" s="367"/>
      <c r="W1525" s="367"/>
      <c r="X1525" s="367"/>
      <c r="Y1525" s="367"/>
      <c r="Z1525" s="367"/>
      <c r="AA1525" s="367"/>
      <c r="AB1525" s="367"/>
      <c r="AC1525" s="367"/>
    </row>
    <row r="1526" spans="1:29" ht="15" x14ac:dyDescent="0.25">
      <c r="A1526" s="365" t="s">
        <v>481</v>
      </c>
      <c r="H1526" s="366">
        <v>97</v>
      </c>
      <c r="J1526" s="367"/>
      <c r="K1526" s="367"/>
      <c r="L1526" s="367">
        <v>300</v>
      </c>
      <c r="M1526" s="367">
        <v>16</v>
      </c>
      <c r="N1526" s="367">
        <v>21</v>
      </c>
      <c r="O1526" s="367"/>
      <c r="P1526" s="367">
        <v>173</v>
      </c>
      <c r="Q1526" s="367"/>
      <c r="R1526" s="367">
        <v>223</v>
      </c>
      <c r="S1526" s="367">
        <v>7.3</v>
      </c>
      <c r="T1526" s="367">
        <v>326</v>
      </c>
      <c r="U1526" s="367"/>
      <c r="V1526" s="367"/>
      <c r="W1526" s="367"/>
      <c r="X1526" s="367"/>
      <c r="Y1526" s="367"/>
      <c r="Z1526" s="367"/>
      <c r="AA1526" s="367">
        <v>1.5</v>
      </c>
      <c r="AB1526" s="367"/>
      <c r="AC1526" s="367">
        <v>0.19</v>
      </c>
    </row>
    <row r="1527" spans="1:29" ht="15" x14ac:dyDescent="0.25">
      <c r="A1527" s="365" t="s">
        <v>571</v>
      </c>
      <c r="H1527" s="366">
        <v>97</v>
      </c>
      <c r="J1527" s="367"/>
      <c r="K1527" s="367"/>
      <c r="L1527" s="367">
        <v>320</v>
      </c>
      <c r="M1527" s="367">
        <v>15</v>
      </c>
      <c r="N1527" s="367">
        <v>7.7</v>
      </c>
      <c r="O1527" s="367"/>
      <c r="P1527" s="367">
        <v>200</v>
      </c>
      <c r="Q1527" s="367"/>
      <c r="R1527" s="367">
        <v>220</v>
      </c>
      <c r="S1527" s="367">
        <v>7.6</v>
      </c>
      <c r="T1527" s="367">
        <v>320</v>
      </c>
      <c r="U1527" s="367"/>
      <c r="V1527" s="367"/>
      <c r="W1527" s="367"/>
      <c r="X1527" s="367"/>
      <c r="Y1527" s="367"/>
      <c r="Z1527" s="367"/>
      <c r="AA1527" s="367"/>
      <c r="AB1527" s="367"/>
      <c r="AC1527" s="367"/>
    </row>
    <row r="1528" spans="1:29" ht="15" x14ac:dyDescent="0.25">
      <c r="A1528" s="365" t="s">
        <v>480</v>
      </c>
      <c r="H1528" s="366">
        <v>97</v>
      </c>
      <c r="J1528" s="367"/>
      <c r="K1528" s="367"/>
      <c r="L1528" s="367">
        <v>320</v>
      </c>
      <c r="M1528" s="367">
        <v>15</v>
      </c>
      <c r="N1528" s="367">
        <v>7.7</v>
      </c>
      <c r="O1528" s="367"/>
      <c r="P1528" s="367">
        <v>200</v>
      </c>
      <c r="Q1528" s="367"/>
      <c r="R1528" s="367">
        <v>220</v>
      </c>
      <c r="S1528" s="367">
        <v>7.6</v>
      </c>
      <c r="T1528" s="367">
        <v>320</v>
      </c>
      <c r="U1528" s="367"/>
      <c r="V1528" s="367"/>
      <c r="W1528" s="367"/>
      <c r="X1528" s="367"/>
      <c r="Y1528" s="367"/>
      <c r="Z1528" s="367"/>
      <c r="AA1528" s="367"/>
      <c r="AB1528" s="367"/>
      <c r="AC1528" s="367">
        <v>-0.06</v>
      </c>
    </row>
    <row r="1529" spans="1:29" ht="15" x14ac:dyDescent="0.25">
      <c r="A1529" s="365" t="s">
        <v>572</v>
      </c>
      <c r="H1529" s="366">
        <v>36</v>
      </c>
      <c r="J1529" s="367"/>
      <c r="K1529" s="367"/>
      <c r="L1529" s="367">
        <v>151</v>
      </c>
      <c r="M1529" s="367"/>
      <c r="N1529" s="367">
        <v>23</v>
      </c>
      <c r="O1529" s="367"/>
      <c r="P1529" s="367">
        <v>29</v>
      </c>
      <c r="Q1529" s="367"/>
      <c r="R1529" s="367">
        <v>53</v>
      </c>
      <c r="S1529" s="367">
        <v>0.6</v>
      </c>
      <c r="T1529" s="367">
        <v>90</v>
      </c>
      <c r="U1529" s="367"/>
      <c r="V1529" s="367"/>
      <c r="W1529" s="367"/>
      <c r="X1529" s="367"/>
      <c r="Y1529" s="367"/>
      <c r="Z1529" s="367"/>
      <c r="AA1529" s="367">
        <v>0.48</v>
      </c>
      <c r="AB1529" s="367"/>
      <c r="AC1529" s="367">
        <v>0.24</v>
      </c>
    </row>
    <row r="1530" spans="1:29" ht="15" x14ac:dyDescent="0.25">
      <c r="A1530" s="365" t="s">
        <v>573</v>
      </c>
      <c r="H1530" s="366">
        <v>43</v>
      </c>
      <c r="J1530" s="367"/>
      <c r="K1530" s="367"/>
      <c r="L1530" s="367">
        <v>300</v>
      </c>
      <c r="M1530" s="367">
        <v>8.8000000000000007</v>
      </c>
      <c r="N1530" s="367">
        <v>70</v>
      </c>
      <c r="O1530" s="367"/>
      <c r="P1530" s="367">
        <v>60</v>
      </c>
      <c r="Q1530" s="367"/>
      <c r="R1530" s="367">
        <v>370</v>
      </c>
      <c r="S1530" s="367">
        <v>3</v>
      </c>
      <c r="T1530" s="367">
        <v>74</v>
      </c>
      <c r="U1530" s="367"/>
      <c r="V1530" s="367"/>
      <c r="W1530" s="367"/>
      <c r="X1530" s="367"/>
      <c r="Y1530" s="367"/>
      <c r="Z1530" s="367"/>
      <c r="AA1530" s="367"/>
      <c r="AB1530" s="367"/>
      <c r="AC1530" s="367"/>
    </row>
    <row r="1531" spans="1:29" ht="15" x14ac:dyDescent="0.25">
      <c r="A1531" s="365" t="s">
        <v>574</v>
      </c>
      <c r="H1531" s="366">
        <v>48</v>
      </c>
      <c r="J1531" s="367"/>
      <c r="K1531" s="367"/>
      <c r="L1531" s="367">
        <v>128</v>
      </c>
      <c r="M1531" s="367">
        <v>2</v>
      </c>
      <c r="N1531" s="367">
        <v>5</v>
      </c>
      <c r="O1531" s="367"/>
      <c r="P1531" s="367">
        <v>29</v>
      </c>
      <c r="Q1531" s="367"/>
      <c r="R1531" s="367">
        <v>50</v>
      </c>
      <c r="S1531" s="367">
        <v>3.6</v>
      </c>
      <c r="T1531" s="367">
        <v>14</v>
      </c>
      <c r="U1531" s="367"/>
      <c r="V1531" s="367"/>
      <c r="W1531" s="367"/>
      <c r="X1531" s="367"/>
      <c r="Y1531" s="367"/>
      <c r="Z1531" s="367"/>
      <c r="AA1531" s="367">
        <v>0.25</v>
      </c>
      <c r="AB1531" s="367"/>
      <c r="AC1531" s="367">
        <v>0.04</v>
      </c>
    </row>
    <row r="1532" spans="1:29" ht="15" x14ac:dyDescent="0.25">
      <c r="A1532" s="365" t="s">
        <v>575</v>
      </c>
      <c r="H1532" s="366">
        <v>96</v>
      </c>
      <c r="J1532" s="367"/>
      <c r="K1532" s="367"/>
      <c r="L1532" s="367">
        <v>1220</v>
      </c>
      <c r="M1532" s="367">
        <v>148</v>
      </c>
      <c r="N1532" s="367">
        <v>111</v>
      </c>
      <c r="O1532" s="367"/>
      <c r="P1532" s="367">
        <v>159</v>
      </c>
      <c r="Q1532" s="367"/>
      <c r="R1532" s="367">
        <v>2160</v>
      </c>
      <c r="S1532" s="367"/>
      <c r="T1532" s="367">
        <v>111</v>
      </c>
      <c r="U1532" s="367"/>
      <c r="V1532" s="367"/>
      <c r="W1532" s="367"/>
      <c r="X1532" s="367"/>
      <c r="Y1532" s="367"/>
      <c r="Z1532" s="367"/>
      <c r="AA1532" s="367"/>
      <c r="AB1532" s="367"/>
      <c r="AC1532" s="367"/>
    </row>
    <row r="1533" spans="1:29" ht="15" x14ac:dyDescent="0.25">
      <c r="A1533" s="365" t="s">
        <v>576</v>
      </c>
      <c r="H1533" s="366">
        <v>20</v>
      </c>
      <c r="J1533" s="367"/>
      <c r="K1533" s="367"/>
      <c r="L1533" s="367">
        <v>525</v>
      </c>
      <c r="M1533" s="367">
        <v>3</v>
      </c>
      <c r="N1533" s="367">
        <v>83</v>
      </c>
      <c r="O1533" s="367"/>
      <c r="P1533" s="367">
        <v>71</v>
      </c>
      <c r="Q1533" s="367"/>
      <c r="R1533" s="367">
        <v>745</v>
      </c>
      <c r="S1533" s="367">
        <v>3.1</v>
      </c>
      <c r="T1533" s="367">
        <v>2</v>
      </c>
      <c r="U1533" s="367"/>
      <c r="V1533" s="367"/>
      <c r="W1533" s="367"/>
      <c r="X1533" s="367"/>
      <c r="Y1533" s="367"/>
      <c r="Z1533" s="367"/>
      <c r="AA1533" s="367"/>
      <c r="AB1533" s="367"/>
      <c r="AC1533" s="367"/>
    </row>
    <row r="1534" spans="1:29" ht="15" x14ac:dyDescent="0.25">
      <c r="A1534" s="365" t="s">
        <v>577</v>
      </c>
      <c r="H1534" s="366">
        <v>54</v>
      </c>
      <c r="J1534" s="367"/>
      <c r="K1534" s="367"/>
      <c r="L1534" s="367">
        <v>214</v>
      </c>
      <c r="M1534" s="367">
        <v>6</v>
      </c>
      <c r="N1534" s="367">
        <v>17</v>
      </c>
      <c r="O1534" s="367"/>
      <c r="P1534" s="367">
        <v>40</v>
      </c>
      <c r="Q1534" s="367"/>
      <c r="R1534" s="367">
        <v>355</v>
      </c>
      <c r="S1534" s="367">
        <v>4.0999999999999996</v>
      </c>
      <c r="T1534" s="367">
        <v>10</v>
      </c>
      <c r="U1534" s="367"/>
      <c r="V1534" s="367"/>
      <c r="W1534" s="367"/>
      <c r="X1534" s="367"/>
      <c r="Y1534" s="367"/>
      <c r="Z1534" s="367"/>
      <c r="AA1534" s="367">
        <v>0.04</v>
      </c>
      <c r="AB1534" s="367"/>
      <c r="AC1534" s="367">
        <v>0.14000000000000001</v>
      </c>
    </row>
    <row r="1535" spans="1:29" ht="15" x14ac:dyDescent="0.25">
      <c r="A1535" s="365" t="s">
        <v>578</v>
      </c>
      <c r="H1535" s="366">
        <v>26</v>
      </c>
      <c r="J1535" s="367"/>
      <c r="K1535" s="367"/>
      <c r="L1535" s="367">
        <v>136</v>
      </c>
      <c r="M1535" s="367">
        <v>5.6</v>
      </c>
      <c r="N1535" s="367">
        <v>22</v>
      </c>
      <c r="O1535" s="367"/>
      <c r="P1535" s="367">
        <v>111</v>
      </c>
      <c r="Q1535" s="367"/>
      <c r="R1535" s="367">
        <v>146</v>
      </c>
      <c r="S1535" s="367">
        <v>0.1</v>
      </c>
      <c r="T1535" s="367"/>
      <c r="U1535" s="367"/>
      <c r="V1535" s="367"/>
      <c r="W1535" s="367"/>
      <c r="X1535" s="367"/>
      <c r="Y1535" s="367"/>
      <c r="Z1535" s="367"/>
      <c r="AA1535" s="367"/>
      <c r="AB1535" s="367"/>
      <c r="AC1535" s="367"/>
    </row>
    <row r="1536" spans="1:29" ht="15" x14ac:dyDescent="0.25">
      <c r="A1536" s="365" t="s">
        <v>518</v>
      </c>
      <c r="H1536" s="366">
        <v>26</v>
      </c>
      <c r="J1536" s="367"/>
      <c r="K1536" s="367"/>
      <c r="L1536" s="367">
        <v>135</v>
      </c>
      <c r="M1536" s="367">
        <v>5</v>
      </c>
      <c r="N1536" s="367">
        <v>20</v>
      </c>
      <c r="O1536" s="367"/>
      <c r="P1536" s="367">
        <v>113</v>
      </c>
      <c r="Q1536" s="367"/>
      <c r="R1536" s="367">
        <v>145</v>
      </c>
      <c r="S1536" s="367">
        <v>-0.5</v>
      </c>
      <c r="T1536" s="367">
        <v>-1</v>
      </c>
      <c r="U1536" s="367"/>
      <c r="V1536" s="367"/>
      <c r="W1536" s="367"/>
      <c r="X1536" s="367"/>
      <c r="Y1536" s="367"/>
      <c r="Z1536" s="367"/>
      <c r="AA1536" s="367"/>
      <c r="AB1536" s="367"/>
      <c r="AC1536" s="367">
        <v>0.83</v>
      </c>
    </row>
    <row r="1537" spans="1:29" ht="15" x14ac:dyDescent="0.25">
      <c r="A1537" s="365" t="s">
        <v>579</v>
      </c>
      <c r="H1537" s="366">
        <v>40</v>
      </c>
      <c r="J1537" s="367"/>
      <c r="K1537" s="367"/>
      <c r="L1537" s="367">
        <v>120</v>
      </c>
      <c r="M1537" s="367">
        <v>11</v>
      </c>
      <c r="N1537" s="367">
        <v>42</v>
      </c>
      <c r="O1537" s="367"/>
      <c r="P1537" s="367">
        <v>22</v>
      </c>
      <c r="Q1537" s="367"/>
      <c r="R1537" s="367">
        <v>38</v>
      </c>
      <c r="S1537" s="367">
        <v>3.5</v>
      </c>
      <c r="T1537" s="367">
        <v>224</v>
      </c>
      <c r="U1537" s="367"/>
      <c r="V1537" s="367"/>
      <c r="W1537" s="367"/>
      <c r="X1537" s="367"/>
      <c r="Y1537" s="367"/>
      <c r="Z1537" s="367"/>
      <c r="AA1537" s="367">
        <v>1.1299999999999999</v>
      </c>
      <c r="AB1537" s="367"/>
      <c r="AC1537" s="367"/>
    </row>
    <row r="1538" spans="1:29" ht="15" x14ac:dyDescent="0.25">
      <c r="A1538" s="365" t="s">
        <v>580</v>
      </c>
      <c r="H1538" s="366">
        <v>29.5</v>
      </c>
      <c r="J1538" s="367"/>
      <c r="K1538" s="367"/>
      <c r="L1538" s="367">
        <v>2340</v>
      </c>
      <c r="M1538" s="367">
        <v>54.3</v>
      </c>
      <c r="N1538" s="367">
        <v>154</v>
      </c>
      <c r="O1538" s="367"/>
      <c r="P1538" s="367">
        <v>179</v>
      </c>
      <c r="Q1538" s="367"/>
      <c r="R1538" s="367">
        <v>3181</v>
      </c>
      <c r="S1538" s="367">
        <v>0.37</v>
      </c>
      <c r="T1538" s="367">
        <v>34.9</v>
      </c>
      <c r="U1538" s="367"/>
      <c r="V1538" s="367"/>
      <c r="W1538" s="367"/>
      <c r="X1538" s="367"/>
      <c r="Y1538" s="367"/>
      <c r="Z1538" s="367"/>
      <c r="AA1538" s="367">
        <v>3.7</v>
      </c>
      <c r="AB1538" s="367"/>
      <c r="AC1538" s="367"/>
    </row>
    <row r="1539" spans="1:29" ht="15" x14ac:dyDescent="0.25">
      <c r="A1539" s="365" t="s">
        <v>413</v>
      </c>
      <c r="H1539" s="366">
        <v>35</v>
      </c>
      <c r="J1539" s="367"/>
      <c r="K1539" s="367"/>
      <c r="L1539" s="367">
        <v>140</v>
      </c>
      <c r="M1539" s="367">
        <v>1.3</v>
      </c>
      <c r="N1539" s="367">
        <v>3.4</v>
      </c>
      <c r="O1539" s="367"/>
      <c r="P1539" s="367">
        <v>50</v>
      </c>
      <c r="Q1539" s="367"/>
      <c r="R1539" s="367">
        <v>52</v>
      </c>
      <c r="S1539" s="367">
        <v>14</v>
      </c>
      <c r="T1539" s="367">
        <v>4</v>
      </c>
      <c r="U1539" s="367"/>
      <c r="V1539" s="367"/>
      <c r="W1539" s="367"/>
      <c r="X1539" s="367"/>
      <c r="Y1539" s="367"/>
      <c r="Z1539" s="367"/>
      <c r="AA1539" s="367"/>
      <c r="AB1539" s="367"/>
      <c r="AC1539" s="367">
        <v>-0.02</v>
      </c>
    </row>
    <row r="1540" spans="1:29" ht="15" x14ac:dyDescent="0.25">
      <c r="A1540" s="365" t="s">
        <v>413</v>
      </c>
      <c r="H1540" s="366"/>
      <c r="J1540" s="367"/>
      <c r="K1540" s="367"/>
      <c r="L1540" s="367"/>
      <c r="M1540" s="367"/>
      <c r="N1540" s="367"/>
      <c r="O1540" s="367"/>
      <c r="P1540" s="367"/>
      <c r="Q1540" s="367"/>
      <c r="R1540" s="367">
        <v>49</v>
      </c>
      <c r="S1540" s="367"/>
      <c r="T1540" s="367"/>
      <c r="U1540" s="367"/>
      <c r="V1540" s="367"/>
      <c r="W1540" s="367"/>
      <c r="X1540" s="367"/>
      <c r="Y1540" s="367"/>
      <c r="Z1540" s="367"/>
      <c r="AA1540" s="367"/>
      <c r="AB1540" s="367"/>
      <c r="AC1540" s="367"/>
    </row>
    <row r="1541" spans="1:29" ht="15" x14ac:dyDescent="0.25">
      <c r="A1541" s="365" t="s">
        <v>581</v>
      </c>
      <c r="H1541" s="366">
        <v>29</v>
      </c>
      <c r="J1541" s="367"/>
      <c r="K1541" s="367"/>
      <c r="L1541" s="367">
        <v>140</v>
      </c>
      <c r="M1541" s="367">
        <v>1.8</v>
      </c>
      <c r="N1541" s="367">
        <v>5.67</v>
      </c>
      <c r="O1541" s="367"/>
      <c r="P1541" s="367">
        <v>60.4</v>
      </c>
      <c r="Q1541" s="367"/>
      <c r="R1541" s="367">
        <v>51</v>
      </c>
      <c r="S1541" s="367">
        <v>13.6</v>
      </c>
      <c r="T1541" s="367">
        <v>1</v>
      </c>
      <c r="U1541" s="367"/>
      <c r="V1541" s="367"/>
      <c r="W1541" s="367"/>
      <c r="X1541" s="367"/>
      <c r="Y1541" s="367"/>
      <c r="Z1541" s="367"/>
      <c r="AA1541" s="367">
        <v>0.21</v>
      </c>
      <c r="AB1541" s="367"/>
      <c r="AC1541" s="367"/>
    </row>
    <row r="1542" spans="1:29" ht="15" x14ac:dyDescent="0.25">
      <c r="A1542" s="365" t="s">
        <v>413</v>
      </c>
      <c r="H1542" s="366"/>
      <c r="J1542" s="367"/>
      <c r="K1542" s="367"/>
      <c r="L1542" s="367"/>
      <c r="M1542" s="367"/>
      <c r="N1542" s="367"/>
      <c r="O1542" s="367"/>
      <c r="P1542" s="367"/>
      <c r="Q1542" s="367"/>
      <c r="R1542" s="367">
        <v>54</v>
      </c>
      <c r="S1542" s="367"/>
      <c r="T1542" s="367"/>
      <c r="U1542" s="367"/>
      <c r="V1542" s="367"/>
      <c r="W1542" s="367"/>
      <c r="X1542" s="367"/>
      <c r="Y1542" s="367"/>
      <c r="Z1542" s="367"/>
      <c r="AA1542" s="367"/>
      <c r="AB1542" s="367"/>
      <c r="AC1542" s="367"/>
    </row>
    <row r="1543" spans="1:29" ht="15" x14ac:dyDescent="0.25">
      <c r="A1543" s="365" t="s">
        <v>413</v>
      </c>
      <c r="H1543" s="366"/>
      <c r="J1543" s="367"/>
      <c r="K1543" s="367"/>
      <c r="L1543" s="367"/>
      <c r="M1543" s="367"/>
      <c r="N1543" s="367"/>
      <c r="O1543" s="367"/>
      <c r="P1543" s="367"/>
      <c r="Q1543" s="367"/>
      <c r="R1543" s="367">
        <v>48</v>
      </c>
      <c r="S1543" s="367"/>
      <c r="T1543" s="367"/>
      <c r="U1543" s="367"/>
      <c r="V1543" s="367"/>
      <c r="W1543" s="367"/>
      <c r="X1543" s="367"/>
      <c r="Y1543" s="367"/>
      <c r="Z1543" s="367"/>
      <c r="AA1543" s="367"/>
      <c r="AB1543" s="367"/>
      <c r="AC1543" s="367"/>
    </row>
    <row r="1544" spans="1:29" ht="15" x14ac:dyDescent="0.25">
      <c r="A1544" s="365" t="s">
        <v>298</v>
      </c>
      <c r="H1544" s="366">
        <v>28</v>
      </c>
      <c r="J1544" s="367"/>
      <c r="K1544" s="367"/>
      <c r="L1544" s="367">
        <v>140</v>
      </c>
      <c r="M1544" s="367">
        <v>1.9</v>
      </c>
      <c r="N1544" s="367">
        <v>5.5</v>
      </c>
      <c r="O1544" s="367"/>
      <c r="P1544" s="367">
        <v>55</v>
      </c>
      <c r="Q1544" s="367"/>
      <c r="R1544" s="367">
        <v>52</v>
      </c>
      <c r="S1544" s="367">
        <v>13.3</v>
      </c>
      <c r="T1544" s="367">
        <v>1</v>
      </c>
      <c r="U1544" s="367"/>
      <c r="V1544" s="367"/>
      <c r="W1544" s="367"/>
      <c r="X1544" s="367"/>
      <c r="Y1544" s="367"/>
      <c r="Z1544" s="367"/>
      <c r="AA1544" s="367">
        <v>0.22</v>
      </c>
      <c r="AB1544" s="367"/>
      <c r="AC1544" s="367"/>
    </row>
    <row r="1545" spans="1:29" ht="15" x14ac:dyDescent="0.25">
      <c r="A1545" s="365" t="s">
        <v>299</v>
      </c>
      <c r="H1545" s="366">
        <v>40</v>
      </c>
      <c r="J1545" s="367"/>
      <c r="K1545" s="367"/>
      <c r="L1545" s="367">
        <v>140</v>
      </c>
      <c r="M1545" s="367">
        <v>1.3</v>
      </c>
      <c r="N1545" s="367">
        <v>4.8</v>
      </c>
      <c r="O1545" s="367"/>
      <c r="P1545" s="367">
        <v>61</v>
      </c>
      <c r="Q1545" s="367"/>
      <c r="R1545" s="367">
        <v>50</v>
      </c>
      <c r="S1545" s="367">
        <v>14</v>
      </c>
      <c r="T1545" s="367">
        <v>1</v>
      </c>
      <c r="U1545" s="367"/>
      <c r="V1545" s="367"/>
      <c r="W1545" s="367"/>
      <c r="X1545" s="367"/>
      <c r="Y1545" s="367"/>
      <c r="Z1545" s="367"/>
      <c r="AA1545" s="367"/>
      <c r="AB1545" s="367"/>
      <c r="AC1545" s="367"/>
    </row>
    <row r="1546" spans="1:29" ht="15" x14ac:dyDescent="0.25">
      <c r="A1546" s="365" t="s">
        <v>413</v>
      </c>
      <c r="H1546" s="366"/>
      <c r="J1546" s="367"/>
      <c r="K1546" s="367"/>
      <c r="L1546" s="367"/>
      <c r="M1546" s="367"/>
      <c r="N1546" s="367"/>
      <c r="O1546" s="367"/>
      <c r="P1546" s="367"/>
      <c r="Q1546" s="367"/>
      <c r="R1546" s="367">
        <v>51</v>
      </c>
      <c r="S1546" s="367"/>
      <c r="T1546" s="367"/>
      <c r="U1546" s="367"/>
      <c r="V1546" s="367"/>
      <c r="W1546" s="367"/>
      <c r="X1546" s="367"/>
      <c r="Y1546" s="367"/>
      <c r="Z1546" s="367"/>
      <c r="AA1546" s="367"/>
      <c r="AB1546" s="367"/>
      <c r="AC1546" s="367"/>
    </row>
    <row r="1547" spans="1:29" ht="15" x14ac:dyDescent="0.25">
      <c r="A1547" s="365" t="s">
        <v>582</v>
      </c>
      <c r="H1547" s="366">
        <v>44</v>
      </c>
      <c r="J1547" s="367"/>
      <c r="K1547" s="367"/>
      <c r="L1547" s="367">
        <v>105</v>
      </c>
      <c r="M1547" s="367">
        <v>0.4</v>
      </c>
      <c r="N1547" s="367">
        <v>0.9</v>
      </c>
      <c r="O1547" s="367"/>
      <c r="P1547" s="367">
        <v>53</v>
      </c>
      <c r="Q1547" s="367"/>
      <c r="R1547" s="367">
        <v>22</v>
      </c>
      <c r="S1547" s="367">
        <v>6.3</v>
      </c>
      <c r="T1547" s="367">
        <v>11</v>
      </c>
      <c r="U1547" s="367"/>
      <c r="V1547" s="367"/>
      <c r="W1547" s="367"/>
      <c r="X1547" s="367"/>
      <c r="Y1547" s="367"/>
      <c r="Z1547" s="367"/>
      <c r="AA1547" s="367"/>
      <c r="AB1547" s="367"/>
      <c r="AC1547" s="367"/>
    </row>
    <row r="1548" spans="1:29" ht="15" x14ac:dyDescent="0.25">
      <c r="A1548" s="365" t="s">
        <v>521</v>
      </c>
      <c r="H1548" s="366">
        <v>70</v>
      </c>
      <c r="J1548" s="367"/>
      <c r="K1548" s="367"/>
      <c r="L1548" s="367">
        <v>5060</v>
      </c>
      <c r="M1548" s="367">
        <v>70</v>
      </c>
      <c r="N1548" s="367">
        <v>116</v>
      </c>
      <c r="O1548" s="367"/>
      <c r="P1548" s="367">
        <v>108</v>
      </c>
      <c r="Q1548" s="367"/>
      <c r="R1548" s="367">
        <v>5470</v>
      </c>
      <c r="S1548" s="367">
        <v>1.1000000000000001</v>
      </c>
      <c r="T1548" s="367">
        <v>2.4</v>
      </c>
      <c r="U1548" s="367"/>
      <c r="V1548" s="367"/>
      <c r="W1548" s="367"/>
      <c r="X1548" s="367"/>
      <c r="Y1548" s="367"/>
      <c r="Z1548" s="367"/>
      <c r="AA1548" s="367"/>
      <c r="AB1548" s="367"/>
      <c r="AC1548" s="367">
        <v>0.08</v>
      </c>
    </row>
    <row r="1549" spans="1:29" ht="15" x14ac:dyDescent="0.25">
      <c r="A1549" s="365" t="s">
        <v>583</v>
      </c>
      <c r="H1549" s="366">
        <v>24</v>
      </c>
      <c r="J1549" s="367"/>
      <c r="K1549" s="367"/>
      <c r="L1549" s="367">
        <v>5050</v>
      </c>
      <c r="M1549" s="367">
        <v>69</v>
      </c>
      <c r="N1549" s="367">
        <v>119</v>
      </c>
      <c r="O1549" s="367"/>
      <c r="P1549" s="367">
        <v>100</v>
      </c>
      <c r="Q1549" s="367"/>
      <c r="R1549" s="367">
        <v>6040</v>
      </c>
      <c r="S1549" s="367">
        <v>2.2000000000000002</v>
      </c>
      <c r="T1549" s="367">
        <v>8</v>
      </c>
      <c r="U1549" s="367"/>
      <c r="V1549" s="367"/>
      <c r="W1549" s="367"/>
      <c r="X1549" s="367"/>
      <c r="Y1549" s="367"/>
      <c r="Z1549" s="367"/>
      <c r="AA1549" s="367"/>
      <c r="AB1549" s="367"/>
      <c r="AC1549" s="367"/>
    </row>
    <row r="1550" spans="1:29" ht="15" x14ac:dyDescent="0.25">
      <c r="A1550" s="365" t="s">
        <v>584</v>
      </c>
      <c r="H1550" s="366">
        <v>97</v>
      </c>
      <c r="J1550" s="367"/>
      <c r="K1550" s="367"/>
      <c r="L1550" s="367">
        <v>1630</v>
      </c>
      <c r="M1550" s="367">
        <v>244</v>
      </c>
      <c r="N1550" s="367">
        <v>74</v>
      </c>
      <c r="O1550" s="367"/>
      <c r="P1550" s="367">
        <v>154</v>
      </c>
      <c r="Q1550" s="367"/>
      <c r="R1550" s="367">
        <v>3040</v>
      </c>
      <c r="S1550" s="367">
        <v>2.2000000000000002</v>
      </c>
      <c r="T1550" s="367">
        <v>53</v>
      </c>
      <c r="U1550" s="367"/>
      <c r="V1550" s="367"/>
      <c r="W1550" s="367"/>
      <c r="X1550" s="367"/>
      <c r="Y1550" s="367"/>
      <c r="Z1550" s="367"/>
      <c r="AA1550" s="367"/>
      <c r="AB1550" s="367"/>
      <c r="AC1550" s="367"/>
    </row>
    <row r="1551" spans="1:29" ht="15" x14ac:dyDescent="0.25">
      <c r="A1551" s="365" t="s">
        <v>407</v>
      </c>
      <c r="H1551" s="366">
        <v>38</v>
      </c>
      <c r="J1551" s="367"/>
      <c r="K1551" s="367"/>
      <c r="L1551" s="367">
        <v>1650</v>
      </c>
      <c r="M1551" s="367">
        <v>29</v>
      </c>
      <c r="N1551" s="367">
        <v>50</v>
      </c>
      <c r="O1551" s="367"/>
      <c r="P1551" s="367">
        <v>156</v>
      </c>
      <c r="Q1551" s="367"/>
      <c r="R1551" s="367">
        <v>1100</v>
      </c>
      <c r="S1551" s="367">
        <v>0.28999999999999998</v>
      </c>
      <c r="T1551" s="367">
        <v>15</v>
      </c>
      <c r="U1551" s="367"/>
      <c r="V1551" s="367"/>
      <c r="W1551" s="367"/>
      <c r="X1551" s="367"/>
      <c r="Y1551" s="367"/>
      <c r="Z1551" s="367"/>
      <c r="AA1551" s="367"/>
      <c r="AB1551" s="367"/>
      <c r="AC1551" s="367">
        <v>0.63</v>
      </c>
    </row>
    <row r="1552" spans="1:29" ht="15" x14ac:dyDescent="0.25">
      <c r="A1552" s="365" t="s">
        <v>585</v>
      </c>
      <c r="H1552" s="366">
        <v>41</v>
      </c>
      <c r="J1552" s="367"/>
      <c r="K1552" s="367"/>
      <c r="L1552" s="367">
        <v>1650</v>
      </c>
      <c r="M1552" s="367">
        <v>34</v>
      </c>
      <c r="N1552" s="367">
        <v>50</v>
      </c>
      <c r="O1552" s="367"/>
      <c r="P1552" s="367">
        <v>154</v>
      </c>
      <c r="Q1552" s="367"/>
      <c r="R1552" s="367">
        <v>1120</v>
      </c>
      <c r="S1552" s="367">
        <v>0.4</v>
      </c>
      <c r="T1552" s="367">
        <v>29</v>
      </c>
      <c r="U1552" s="367"/>
      <c r="V1552" s="367"/>
      <c r="W1552" s="367"/>
      <c r="X1552" s="367"/>
      <c r="Y1552" s="367"/>
      <c r="Z1552" s="367"/>
      <c r="AA1552" s="367"/>
      <c r="AB1552" s="367"/>
      <c r="AC1552" s="367"/>
    </row>
    <row r="1553" spans="1:29" ht="15" x14ac:dyDescent="0.25">
      <c r="A1553" s="365" t="s">
        <v>406</v>
      </c>
      <c r="H1553" s="366">
        <v>39</v>
      </c>
      <c r="J1553" s="367"/>
      <c r="K1553" s="367"/>
      <c r="L1553" s="367">
        <v>1700</v>
      </c>
      <c r="M1553" s="367">
        <v>30</v>
      </c>
      <c r="N1553" s="367">
        <v>49</v>
      </c>
      <c r="O1553" s="367"/>
      <c r="P1553" s="367">
        <v>160</v>
      </c>
      <c r="Q1553" s="367"/>
      <c r="R1553" s="367">
        <v>1150</v>
      </c>
      <c r="S1553" s="367">
        <v>0.25</v>
      </c>
      <c r="T1553" s="367">
        <v>15</v>
      </c>
      <c r="U1553" s="367"/>
      <c r="V1553" s="367"/>
      <c r="W1553" s="367"/>
      <c r="X1553" s="367"/>
      <c r="Y1553" s="367"/>
      <c r="Z1553" s="367"/>
      <c r="AA1553" s="367"/>
      <c r="AB1553" s="367"/>
      <c r="AC1553" s="367">
        <v>0.56000000000000005</v>
      </c>
    </row>
    <row r="1554" spans="1:29" ht="15" x14ac:dyDescent="0.25">
      <c r="A1554" s="365" t="s">
        <v>586</v>
      </c>
      <c r="H1554" s="366">
        <v>21</v>
      </c>
      <c r="J1554" s="367"/>
      <c r="K1554" s="367"/>
      <c r="L1554" s="367">
        <v>164</v>
      </c>
      <c r="M1554" s="367">
        <v>8.4</v>
      </c>
      <c r="N1554" s="367">
        <v>27</v>
      </c>
      <c r="O1554" s="367"/>
      <c r="P1554" s="367">
        <v>37</v>
      </c>
      <c r="Q1554" s="367"/>
      <c r="R1554" s="367">
        <v>150</v>
      </c>
      <c r="S1554" s="367">
        <v>0.2</v>
      </c>
      <c r="T1554" s="367">
        <v>74</v>
      </c>
      <c r="U1554" s="367"/>
      <c r="V1554" s="367"/>
      <c r="W1554" s="367"/>
      <c r="X1554" s="367"/>
      <c r="Y1554" s="367"/>
      <c r="Z1554" s="367"/>
      <c r="AA1554" s="367"/>
      <c r="AB1554" s="367"/>
      <c r="AC1554" s="367"/>
    </row>
    <row r="1555" spans="1:29" ht="15" x14ac:dyDescent="0.25">
      <c r="A1555" s="365" t="s">
        <v>587</v>
      </c>
      <c r="H1555" s="366">
        <v>57</v>
      </c>
      <c r="J1555" s="367"/>
      <c r="K1555" s="367"/>
      <c r="L1555" s="367">
        <v>375</v>
      </c>
      <c r="M1555" s="367">
        <v>34</v>
      </c>
      <c r="N1555" s="367">
        <v>23</v>
      </c>
      <c r="O1555" s="367"/>
      <c r="P1555" s="367">
        <v>198</v>
      </c>
      <c r="Q1555" s="367"/>
      <c r="R1555" s="367">
        <v>156</v>
      </c>
      <c r="S1555" s="367">
        <v>5.4</v>
      </c>
      <c r="T1555" s="367">
        <v>64</v>
      </c>
      <c r="U1555" s="367"/>
      <c r="V1555" s="367"/>
      <c r="W1555" s="367"/>
      <c r="X1555" s="367"/>
      <c r="Y1555" s="367"/>
      <c r="Z1555" s="367"/>
      <c r="AA1555" s="367">
        <v>0.17</v>
      </c>
      <c r="AB1555" s="367"/>
      <c r="AC1555" s="367">
        <v>0.18</v>
      </c>
    </row>
    <row r="1556" spans="1:29" ht="15" x14ac:dyDescent="0.25">
      <c r="A1556" s="365" t="s">
        <v>588</v>
      </c>
      <c r="H1556" s="366">
        <v>82</v>
      </c>
      <c r="J1556" s="367"/>
      <c r="K1556" s="367"/>
      <c r="L1556" s="367">
        <v>565</v>
      </c>
      <c r="M1556" s="367">
        <v>20</v>
      </c>
      <c r="N1556" s="367">
        <v>88</v>
      </c>
      <c r="O1556" s="367"/>
      <c r="P1556" s="367">
        <v>73</v>
      </c>
      <c r="Q1556" s="367"/>
      <c r="R1556" s="367">
        <v>850</v>
      </c>
      <c r="S1556" s="367">
        <v>1.2</v>
      </c>
      <c r="T1556" s="367">
        <v>276</v>
      </c>
      <c r="U1556" s="367"/>
      <c r="V1556" s="367"/>
      <c r="W1556" s="367"/>
      <c r="X1556" s="367"/>
      <c r="Y1556" s="367"/>
      <c r="Z1556" s="367"/>
      <c r="AA1556" s="367"/>
      <c r="AB1556" s="367"/>
      <c r="AC1556" s="367"/>
    </row>
    <row r="1557" spans="1:29" ht="15" x14ac:dyDescent="0.25">
      <c r="A1557" s="365" t="s">
        <v>395</v>
      </c>
      <c r="H1557" s="366"/>
      <c r="J1557" s="367"/>
      <c r="K1557" s="367"/>
      <c r="L1557" s="367"/>
      <c r="M1557" s="367"/>
      <c r="N1557" s="367"/>
      <c r="O1557" s="367"/>
      <c r="P1557" s="367"/>
      <c r="Q1557" s="367"/>
      <c r="R1557" s="367">
        <v>575</v>
      </c>
      <c r="S1557" s="367"/>
      <c r="T1557" s="367">
        <v>70</v>
      </c>
      <c r="U1557" s="367"/>
      <c r="V1557" s="367"/>
      <c r="W1557" s="367"/>
      <c r="X1557" s="367"/>
      <c r="Y1557" s="367"/>
      <c r="Z1557" s="367"/>
      <c r="AA1557" s="367"/>
      <c r="AB1557" s="367"/>
      <c r="AC1557" s="367"/>
    </row>
    <row r="1558" spans="1:29" ht="15" x14ac:dyDescent="0.25">
      <c r="A1558" s="365" t="s">
        <v>395</v>
      </c>
      <c r="H1558" s="366">
        <v>43</v>
      </c>
      <c r="J1558" s="367"/>
      <c r="K1558" s="367"/>
      <c r="L1558" s="367">
        <v>200</v>
      </c>
      <c r="M1558" s="367">
        <v>5</v>
      </c>
      <c r="N1558" s="367">
        <v>75</v>
      </c>
      <c r="O1558" s="367"/>
      <c r="P1558" s="367">
        <v>51</v>
      </c>
      <c r="Q1558" s="367"/>
      <c r="R1558" s="367">
        <v>400</v>
      </c>
      <c r="S1558" s="367">
        <v>2.1</v>
      </c>
      <c r="T1558" s="367">
        <v>48</v>
      </c>
      <c r="U1558" s="367"/>
      <c r="V1558" s="367"/>
      <c r="W1558" s="367"/>
      <c r="X1558" s="367"/>
      <c r="Y1558" s="367"/>
      <c r="Z1558" s="367"/>
      <c r="AA1558" s="367"/>
      <c r="AB1558" s="367"/>
      <c r="AC1558" s="367">
        <v>-0.02</v>
      </c>
    </row>
    <row r="1559" spans="1:29" ht="15" x14ac:dyDescent="0.25">
      <c r="A1559" s="365" t="s">
        <v>589</v>
      </c>
      <c r="H1559" s="366">
        <v>43</v>
      </c>
      <c r="J1559" s="367"/>
      <c r="K1559" s="367"/>
      <c r="L1559" s="367">
        <v>200</v>
      </c>
      <c r="M1559" s="367">
        <v>5</v>
      </c>
      <c r="N1559" s="367">
        <v>75</v>
      </c>
      <c r="O1559" s="367"/>
      <c r="P1559" s="367">
        <v>51</v>
      </c>
      <c r="Q1559" s="367"/>
      <c r="R1559" s="367">
        <v>400</v>
      </c>
      <c r="S1559" s="367">
        <v>2.1</v>
      </c>
      <c r="T1559" s="367">
        <v>48</v>
      </c>
      <c r="U1559" s="367"/>
      <c r="V1559" s="367"/>
      <c r="W1559" s="367"/>
      <c r="X1559" s="367"/>
      <c r="Y1559" s="367"/>
      <c r="Z1559" s="367"/>
      <c r="AA1559" s="367"/>
      <c r="AB1559" s="367"/>
      <c r="AC1559" s="367"/>
    </row>
    <row r="1560" spans="1:29" ht="15" x14ac:dyDescent="0.25">
      <c r="A1560" s="365" t="s">
        <v>590</v>
      </c>
      <c r="H1560" s="366">
        <v>47</v>
      </c>
      <c r="J1560" s="367"/>
      <c r="K1560" s="367"/>
      <c r="L1560" s="367">
        <v>66</v>
      </c>
      <c r="M1560" s="367">
        <v>0.4</v>
      </c>
      <c r="N1560" s="367">
        <v>3</v>
      </c>
      <c r="O1560" s="367"/>
      <c r="P1560" s="367">
        <v>65</v>
      </c>
      <c r="Q1560" s="367"/>
      <c r="R1560" s="367">
        <v>10</v>
      </c>
      <c r="S1560" s="367">
        <v>2.8</v>
      </c>
      <c r="T1560" s="367">
        <v>59</v>
      </c>
      <c r="U1560" s="367"/>
      <c r="V1560" s="367"/>
      <c r="W1560" s="367"/>
      <c r="X1560" s="367"/>
      <c r="Y1560" s="367"/>
      <c r="Z1560" s="367"/>
      <c r="AA1560" s="367"/>
      <c r="AB1560" s="367"/>
      <c r="AC1560" s="367"/>
    </row>
    <row r="1561" spans="1:29" ht="15" x14ac:dyDescent="0.25">
      <c r="A1561" s="365" t="s">
        <v>591</v>
      </c>
      <c r="H1561" s="366">
        <v>22</v>
      </c>
      <c r="J1561" s="367"/>
      <c r="K1561" s="367"/>
      <c r="L1561" s="367">
        <v>519</v>
      </c>
      <c r="M1561" s="367">
        <v>16</v>
      </c>
      <c r="N1561" s="367">
        <v>165</v>
      </c>
      <c r="O1561" s="367"/>
      <c r="P1561" s="367">
        <v>84</v>
      </c>
      <c r="Q1561" s="367"/>
      <c r="R1561" s="367">
        <v>568</v>
      </c>
      <c r="S1561" s="367">
        <v>1.2</v>
      </c>
      <c r="T1561" s="367">
        <v>1</v>
      </c>
      <c r="U1561" s="367"/>
      <c r="V1561" s="367"/>
      <c r="W1561" s="367"/>
      <c r="X1561" s="367"/>
      <c r="Y1561" s="367"/>
      <c r="Z1561" s="367"/>
      <c r="AA1561" s="367"/>
      <c r="AB1561" s="367"/>
      <c r="AC1561" s="367"/>
    </row>
    <row r="1562" spans="1:29" ht="15" x14ac:dyDescent="0.25">
      <c r="A1562" s="365" t="s">
        <v>592</v>
      </c>
      <c r="H1562" s="366">
        <v>24</v>
      </c>
      <c r="J1562" s="367"/>
      <c r="K1562" s="367"/>
      <c r="L1562" s="367">
        <v>708</v>
      </c>
      <c r="M1562" s="367">
        <v>16</v>
      </c>
      <c r="N1562" s="367">
        <v>16</v>
      </c>
      <c r="O1562" s="367"/>
      <c r="P1562" s="367">
        <v>53</v>
      </c>
      <c r="Q1562" s="367"/>
      <c r="R1562" s="367">
        <v>736</v>
      </c>
      <c r="S1562" s="367"/>
      <c r="T1562" s="367">
        <v>321</v>
      </c>
      <c r="U1562" s="367"/>
      <c r="V1562" s="367"/>
      <c r="W1562" s="367"/>
      <c r="X1562" s="367"/>
      <c r="Y1562" s="367"/>
      <c r="Z1562" s="367"/>
      <c r="AA1562" s="367"/>
      <c r="AB1562" s="367"/>
      <c r="AC1562" s="367"/>
    </row>
    <row r="1563" spans="1:29" ht="15" x14ac:dyDescent="0.25">
      <c r="A1563" s="365" t="s">
        <v>593</v>
      </c>
      <c r="H1563" s="366">
        <v>24.2</v>
      </c>
      <c r="J1563" s="367"/>
      <c r="K1563" s="367"/>
      <c r="L1563" s="367">
        <v>391</v>
      </c>
      <c r="M1563" s="367">
        <v>15.8</v>
      </c>
      <c r="N1563" s="367">
        <v>27.8</v>
      </c>
      <c r="O1563" s="367"/>
      <c r="P1563" s="367">
        <v>151</v>
      </c>
      <c r="Q1563" s="367"/>
      <c r="R1563" s="367">
        <v>448</v>
      </c>
      <c r="S1563" s="367"/>
      <c r="T1563" s="367">
        <v>6.3</v>
      </c>
      <c r="U1563" s="367"/>
      <c r="V1563" s="367"/>
      <c r="W1563" s="367"/>
      <c r="X1563" s="367"/>
      <c r="Y1563" s="367"/>
      <c r="Z1563" s="367"/>
      <c r="AA1563" s="367">
        <v>0.85</v>
      </c>
      <c r="AB1563" s="367"/>
      <c r="AC1563" s="367"/>
    </row>
    <row r="1564" spans="1:29" ht="15" x14ac:dyDescent="0.25">
      <c r="A1564" s="365" t="s">
        <v>594</v>
      </c>
      <c r="H1564" s="366"/>
      <c r="J1564" s="367"/>
      <c r="K1564" s="367"/>
      <c r="L1564" s="367">
        <v>0.1</v>
      </c>
      <c r="M1564" s="367">
        <v>-0.1</v>
      </c>
      <c r="N1564" s="367">
        <v>0.02</v>
      </c>
      <c r="O1564" s="367"/>
      <c r="P1564" s="367">
        <v>-1</v>
      </c>
      <c r="Q1564" s="367"/>
      <c r="R1564" s="367">
        <v>1.6</v>
      </c>
      <c r="S1564" s="367">
        <v>-0.1</v>
      </c>
      <c r="T1564" s="367">
        <v>24</v>
      </c>
      <c r="U1564" s="367"/>
      <c r="V1564" s="367"/>
      <c r="W1564" s="367"/>
      <c r="X1564" s="367"/>
      <c r="Y1564" s="367"/>
      <c r="Z1564" s="367"/>
      <c r="AA1564" s="367">
        <v>0.05</v>
      </c>
      <c r="AB1564" s="367"/>
      <c r="AC1564" s="367"/>
    </row>
    <row r="1565" spans="1:29" ht="15" x14ac:dyDescent="0.25">
      <c r="A1565" s="365" t="s">
        <v>596</v>
      </c>
      <c r="H1565" s="366"/>
      <c r="J1565" s="367"/>
      <c r="K1565" s="367"/>
      <c r="L1565" s="367">
        <v>0.1</v>
      </c>
      <c r="M1565" s="367">
        <v>0.1</v>
      </c>
      <c r="N1565" s="367"/>
      <c r="O1565" s="367"/>
      <c r="P1565" s="367"/>
      <c r="Q1565" s="367"/>
      <c r="R1565" s="367">
        <v>65</v>
      </c>
      <c r="S1565" s="367">
        <v>0.12</v>
      </c>
      <c r="T1565" s="367">
        <v>5.3</v>
      </c>
      <c r="U1565" s="367"/>
      <c r="V1565" s="367"/>
      <c r="W1565" s="367"/>
      <c r="X1565" s="367"/>
      <c r="Y1565" s="367"/>
      <c r="Z1565" s="367"/>
      <c r="AA1565" s="367">
        <v>7.0000000000000007E-2</v>
      </c>
      <c r="AB1565" s="367"/>
      <c r="AC1565" s="367">
        <v>0.1</v>
      </c>
    </row>
    <row r="1566" spans="1:29" ht="15" x14ac:dyDescent="0.25">
      <c r="A1566" s="365" t="s">
        <v>595</v>
      </c>
      <c r="H1566" s="366"/>
      <c r="J1566" s="367"/>
      <c r="K1566" s="367"/>
      <c r="L1566" s="367">
        <v>0.1</v>
      </c>
      <c r="M1566" s="367">
        <v>-0.1</v>
      </c>
      <c r="N1566" s="367">
        <v>0.1</v>
      </c>
      <c r="O1566" s="367"/>
      <c r="P1566" s="367">
        <v>-1</v>
      </c>
      <c r="Q1566" s="367"/>
      <c r="R1566" s="367">
        <v>31</v>
      </c>
      <c r="S1566" s="367">
        <v>0.17</v>
      </c>
      <c r="T1566" s="367">
        <v>11</v>
      </c>
      <c r="U1566" s="367"/>
      <c r="V1566" s="367"/>
      <c r="W1566" s="367"/>
      <c r="X1566" s="367"/>
      <c r="Y1566" s="367"/>
      <c r="Z1566" s="367"/>
      <c r="AA1566" s="367">
        <v>0.05</v>
      </c>
      <c r="AB1566" s="367"/>
      <c r="AC1566" s="367">
        <v>0.33</v>
      </c>
    </row>
    <row r="1567" spans="1:29" ht="15" x14ac:dyDescent="0.25">
      <c r="A1567" s="365" t="s">
        <v>596</v>
      </c>
      <c r="H1567" s="366"/>
      <c r="J1567" s="367"/>
      <c r="K1567" s="367"/>
      <c r="L1567" s="367">
        <v>0.1</v>
      </c>
      <c r="M1567" s="367">
        <v>0.1</v>
      </c>
      <c r="N1567" s="367"/>
      <c r="O1567" s="367"/>
      <c r="P1567" s="367"/>
      <c r="Q1567" s="367"/>
      <c r="R1567" s="367">
        <v>65</v>
      </c>
      <c r="S1567" s="367">
        <v>0.12</v>
      </c>
      <c r="T1567" s="367">
        <v>5.3</v>
      </c>
      <c r="U1567" s="367"/>
      <c r="V1567" s="367"/>
      <c r="W1567" s="367"/>
      <c r="X1567" s="367"/>
      <c r="Y1567" s="367"/>
      <c r="Z1567" s="367"/>
      <c r="AA1567" s="367">
        <v>7.0000000000000007E-2</v>
      </c>
      <c r="AB1567" s="367"/>
      <c r="AC1567" s="367">
        <v>0.1</v>
      </c>
    </row>
    <row r="1568" spans="1:29" ht="15" x14ac:dyDescent="0.25">
      <c r="A1568" s="365" t="s">
        <v>595</v>
      </c>
      <c r="H1568" s="366"/>
      <c r="J1568" s="367"/>
      <c r="K1568" s="367"/>
      <c r="L1568" s="367">
        <v>0.1</v>
      </c>
      <c r="M1568" s="367">
        <v>-0.1</v>
      </c>
      <c r="N1568" s="367">
        <v>0.1</v>
      </c>
      <c r="O1568" s="367"/>
      <c r="P1568" s="367">
        <v>-1</v>
      </c>
      <c r="Q1568" s="367"/>
      <c r="R1568" s="367">
        <v>31</v>
      </c>
      <c r="S1568" s="367">
        <v>0.17</v>
      </c>
      <c r="T1568" s="367">
        <v>11</v>
      </c>
      <c r="U1568" s="367"/>
      <c r="V1568" s="367"/>
      <c r="W1568" s="367"/>
      <c r="X1568" s="367"/>
      <c r="Y1568" s="367"/>
      <c r="Z1568" s="367"/>
      <c r="AA1568" s="367">
        <v>0.05</v>
      </c>
      <c r="AB1568" s="367"/>
      <c r="AC1568" s="367">
        <v>0.33</v>
      </c>
    </row>
    <row r="1569" spans="1:29" ht="15" x14ac:dyDescent="0.25">
      <c r="A1569" s="365" t="s">
        <v>596</v>
      </c>
      <c r="H1569" s="366"/>
      <c r="J1569" s="367"/>
      <c r="K1569" s="367"/>
      <c r="L1569" s="367">
        <v>0.1</v>
      </c>
      <c r="M1569" s="367">
        <v>0.1</v>
      </c>
      <c r="N1569" s="367">
        <v>0.1</v>
      </c>
      <c r="O1569" s="367"/>
      <c r="P1569" s="367">
        <v>-1</v>
      </c>
      <c r="Q1569" s="367"/>
      <c r="R1569" s="367">
        <v>71</v>
      </c>
      <c r="S1569" s="367">
        <v>0.14000000000000001</v>
      </c>
      <c r="T1569" s="367">
        <v>5.9</v>
      </c>
      <c r="U1569" s="367"/>
      <c r="V1569" s="367"/>
      <c r="W1569" s="367"/>
      <c r="X1569" s="367"/>
      <c r="Y1569" s="367"/>
      <c r="Z1569" s="367"/>
      <c r="AA1569" s="367"/>
      <c r="AB1569" s="367"/>
      <c r="AC1569" s="367">
        <v>0.1</v>
      </c>
    </row>
    <row r="1570" spans="1:29" ht="15" x14ac:dyDescent="0.25">
      <c r="A1570" s="365" t="s">
        <v>597</v>
      </c>
      <c r="H1570" s="366">
        <v>4</v>
      </c>
      <c r="J1570" s="367"/>
      <c r="K1570" s="367"/>
      <c r="L1570" s="367">
        <v>1.8</v>
      </c>
      <c r="M1570" s="367">
        <v>0.4</v>
      </c>
      <c r="N1570" s="367">
        <v>0.1</v>
      </c>
      <c r="O1570" s="367"/>
      <c r="P1570" s="367">
        <v>19</v>
      </c>
      <c r="Q1570" s="367"/>
      <c r="R1570" s="367">
        <v>25</v>
      </c>
      <c r="S1570" s="367">
        <v>0.27</v>
      </c>
      <c r="T1570" s="367">
        <v>7.4</v>
      </c>
      <c r="U1570" s="367"/>
      <c r="V1570" s="367"/>
      <c r="W1570" s="367"/>
      <c r="X1570" s="367"/>
      <c r="Y1570" s="367"/>
      <c r="Z1570" s="367"/>
      <c r="AA1570" s="367">
        <v>0.03</v>
      </c>
      <c r="AB1570" s="367"/>
      <c r="AC1570" s="367">
        <v>0.3</v>
      </c>
    </row>
    <row r="1571" spans="1:29" ht="15" x14ac:dyDescent="0.25">
      <c r="A1571" s="365" t="s">
        <v>982</v>
      </c>
      <c r="H1571" s="366">
        <v>53</v>
      </c>
      <c r="J1571" s="367"/>
      <c r="K1571" s="367"/>
      <c r="L1571" s="367"/>
      <c r="M1571" s="367"/>
      <c r="N1571" s="367">
        <v>10</v>
      </c>
      <c r="O1571" s="367"/>
      <c r="P1571" s="367"/>
      <c r="Q1571" s="367"/>
      <c r="R1571" s="367">
        <v>760</v>
      </c>
      <c r="S1571" s="367"/>
      <c r="T1571" s="367">
        <v>31</v>
      </c>
      <c r="U1571" s="367"/>
      <c r="V1571" s="367"/>
      <c r="W1571" s="367"/>
      <c r="X1571" s="367"/>
      <c r="Y1571" s="367"/>
      <c r="Z1571" s="367"/>
      <c r="AA1571" s="367"/>
      <c r="AB1571" s="367"/>
      <c r="AC1571" s="367"/>
    </row>
    <row r="1572" spans="1:29" ht="15" x14ac:dyDescent="0.25">
      <c r="A1572" s="365" t="s">
        <v>983</v>
      </c>
      <c r="H1572" s="366">
        <v>26</v>
      </c>
      <c r="J1572" s="367"/>
      <c r="K1572" s="367"/>
      <c r="L1572" s="367"/>
      <c r="M1572" s="367"/>
      <c r="N1572" s="367">
        <v>12</v>
      </c>
      <c r="O1572" s="367"/>
      <c r="P1572" s="367"/>
      <c r="Q1572" s="367"/>
      <c r="R1572" s="367">
        <v>866</v>
      </c>
      <c r="S1572" s="367"/>
      <c r="T1572" s="367">
        <v>114</v>
      </c>
      <c r="U1572" s="367"/>
      <c r="V1572" s="367"/>
      <c r="W1572" s="367"/>
      <c r="X1572" s="367"/>
      <c r="Y1572" s="367"/>
      <c r="Z1572" s="367"/>
      <c r="AA1572" s="367"/>
      <c r="AB1572" s="367"/>
      <c r="AC1572" s="367"/>
    </row>
    <row r="1573" spans="1:29" ht="15" x14ac:dyDescent="0.25">
      <c r="A1573" s="365" t="s">
        <v>600</v>
      </c>
      <c r="H1573" s="366">
        <v>63</v>
      </c>
      <c r="J1573" s="367"/>
      <c r="K1573" s="367"/>
      <c r="L1573" s="367">
        <v>1030</v>
      </c>
      <c r="M1573" s="367">
        <v>8.5</v>
      </c>
      <c r="N1573" s="367">
        <v>72</v>
      </c>
      <c r="O1573" s="367"/>
      <c r="P1573" s="367">
        <v>28</v>
      </c>
      <c r="Q1573" s="367"/>
      <c r="R1573" s="367">
        <v>640</v>
      </c>
      <c r="S1573" s="367"/>
      <c r="T1573" s="367">
        <v>1490</v>
      </c>
      <c r="U1573" s="367"/>
      <c r="V1573" s="367"/>
      <c r="W1573" s="367"/>
      <c r="X1573" s="367"/>
      <c r="Y1573" s="367"/>
      <c r="Z1573" s="367"/>
      <c r="AA1573" s="367"/>
      <c r="AB1573" s="367"/>
      <c r="AC1573" s="367"/>
    </row>
    <row r="1574" spans="1:29" ht="15" x14ac:dyDescent="0.25">
      <c r="A1574" s="365" t="s">
        <v>981</v>
      </c>
      <c r="H1574" s="366">
        <v>35</v>
      </c>
      <c r="J1574" s="367"/>
      <c r="K1574" s="367"/>
      <c r="L1574" s="367"/>
      <c r="M1574" s="367"/>
      <c r="N1574" s="367">
        <v>10</v>
      </c>
      <c r="O1574" s="367"/>
      <c r="P1574" s="367"/>
      <c r="Q1574" s="367"/>
      <c r="R1574" s="367">
        <v>814</v>
      </c>
      <c r="S1574" s="367"/>
      <c r="T1574" s="367">
        <v>57</v>
      </c>
      <c r="U1574" s="367"/>
      <c r="V1574" s="367"/>
      <c r="W1574" s="367"/>
      <c r="X1574" s="367"/>
      <c r="Y1574" s="367"/>
      <c r="Z1574" s="367"/>
      <c r="AA1574" s="367"/>
      <c r="AB1574" s="367"/>
      <c r="AC1574" s="367"/>
    </row>
    <row r="1575" spans="1:29" ht="15" x14ac:dyDescent="0.25">
      <c r="A1575" s="365" t="s">
        <v>457</v>
      </c>
      <c r="H1575" s="366">
        <v>30</v>
      </c>
      <c r="J1575" s="367"/>
      <c r="K1575" s="367"/>
      <c r="L1575" s="367">
        <v>670</v>
      </c>
      <c r="M1575" s="367">
        <v>6.6</v>
      </c>
      <c r="N1575" s="367">
        <v>290</v>
      </c>
      <c r="O1575" s="367"/>
      <c r="P1575" s="367">
        <v>20</v>
      </c>
      <c r="Q1575" s="367"/>
      <c r="R1575" s="367">
        <v>105</v>
      </c>
      <c r="S1575" s="367">
        <v>1.1000000000000001</v>
      </c>
      <c r="T1575" s="367">
        <v>2200</v>
      </c>
      <c r="U1575" s="367"/>
      <c r="V1575" s="367"/>
      <c r="W1575" s="367"/>
      <c r="X1575" s="367"/>
      <c r="Y1575" s="367"/>
      <c r="Z1575" s="367"/>
      <c r="AA1575" s="367"/>
      <c r="AB1575" s="367"/>
      <c r="AC1575" s="367">
        <v>0.04</v>
      </c>
    </row>
    <row r="1576" spans="1:29" ht="15" x14ac:dyDescent="0.25">
      <c r="A1576" s="365" t="s">
        <v>601</v>
      </c>
      <c r="H1576" s="366">
        <v>22</v>
      </c>
      <c r="J1576" s="367"/>
      <c r="K1576" s="367"/>
      <c r="L1576" s="367">
        <v>890</v>
      </c>
      <c r="M1576" s="367">
        <v>15</v>
      </c>
      <c r="N1576" s="367">
        <v>48</v>
      </c>
      <c r="O1576" s="367"/>
      <c r="P1576" s="367">
        <v>54</v>
      </c>
      <c r="Q1576" s="367"/>
      <c r="R1576" s="367">
        <v>1210</v>
      </c>
      <c r="S1576" s="367">
        <v>0.1</v>
      </c>
      <c r="T1576" s="367">
        <v>54</v>
      </c>
      <c r="U1576" s="367"/>
      <c r="V1576" s="367"/>
      <c r="W1576" s="367"/>
      <c r="X1576" s="367"/>
      <c r="Y1576" s="367"/>
      <c r="Z1576" s="367"/>
      <c r="AA1576" s="367">
        <v>2.8</v>
      </c>
      <c r="AB1576" s="367"/>
      <c r="AC1576" s="367"/>
    </row>
    <row r="1577" spans="1:29" ht="15" x14ac:dyDescent="0.25">
      <c r="A1577" s="365" t="s">
        <v>602</v>
      </c>
      <c r="H1577" s="366">
        <v>98</v>
      </c>
      <c r="J1577" s="367"/>
      <c r="K1577" s="367"/>
      <c r="L1577" s="367">
        <v>280</v>
      </c>
      <c r="M1577" s="367">
        <v>5.5</v>
      </c>
      <c r="N1577" s="367">
        <v>16</v>
      </c>
      <c r="O1577" s="367"/>
      <c r="P1577" s="367">
        <v>100</v>
      </c>
      <c r="Q1577" s="367"/>
      <c r="R1577" s="367">
        <v>200</v>
      </c>
      <c r="S1577" s="367">
        <v>5.0999999999999996</v>
      </c>
      <c r="T1577" s="367">
        <v>320</v>
      </c>
      <c r="U1577" s="367"/>
      <c r="V1577" s="367"/>
      <c r="W1577" s="367"/>
      <c r="X1577" s="367"/>
      <c r="Y1577" s="367"/>
      <c r="Z1577" s="367"/>
      <c r="AA1577" s="367"/>
      <c r="AB1577" s="367"/>
      <c r="AC1577" s="367">
        <v>-0.06</v>
      </c>
    </row>
    <row r="1578" spans="1:29" ht="15" x14ac:dyDescent="0.25">
      <c r="A1578" s="365" t="s">
        <v>603</v>
      </c>
      <c r="H1578" s="366">
        <v>38</v>
      </c>
      <c r="J1578" s="367"/>
      <c r="K1578" s="367"/>
      <c r="L1578" s="367">
        <v>84</v>
      </c>
      <c r="M1578" s="367">
        <v>14</v>
      </c>
      <c r="N1578" s="367">
        <v>44</v>
      </c>
      <c r="O1578" s="367"/>
      <c r="P1578" s="367">
        <v>61</v>
      </c>
      <c r="Q1578" s="367"/>
      <c r="R1578" s="367">
        <v>34</v>
      </c>
      <c r="S1578" s="367">
        <v>0.6</v>
      </c>
      <c r="T1578" s="367">
        <v>44</v>
      </c>
      <c r="U1578" s="367"/>
      <c r="V1578" s="367"/>
      <c r="W1578" s="367"/>
      <c r="X1578" s="367"/>
      <c r="Y1578" s="367"/>
      <c r="Z1578" s="367"/>
      <c r="AA1578" s="367"/>
      <c r="AB1578" s="367"/>
      <c r="AC1578" s="367">
        <v>0.09</v>
      </c>
    </row>
    <row r="1579" spans="1:29" ht="15" x14ac:dyDescent="0.25">
      <c r="A1579" s="365" t="s">
        <v>606</v>
      </c>
      <c r="H1579" s="366">
        <v>48</v>
      </c>
      <c r="J1579" s="367"/>
      <c r="K1579" s="367"/>
      <c r="L1579" s="367">
        <v>885</v>
      </c>
      <c r="M1579" s="367">
        <v>17</v>
      </c>
      <c r="N1579" s="367">
        <v>2</v>
      </c>
      <c r="O1579" s="367"/>
      <c r="P1579" s="367">
        <v>100</v>
      </c>
      <c r="Q1579" s="367"/>
      <c r="R1579" s="367">
        <v>545</v>
      </c>
      <c r="S1579" s="367">
        <v>3</v>
      </c>
      <c r="T1579" s="367">
        <v>580</v>
      </c>
      <c r="U1579" s="367"/>
      <c r="V1579" s="367"/>
      <c r="W1579" s="367"/>
      <c r="X1579" s="367"/>
      <c r="Y1579" s="367"/>
      <c r="Z1579" s="367"/>
      <c r="AA1579" s="367"/>
      <c r="AB1579" s="367"/>
      <c r="AC1579" s="367">
        <v>-0.02</v>
      </c>
    </row>
    <row r="1580" spans="1:29" ht="15" x14ac:dyDescent="0.25">
      <c r="A1580" s="365" t="s">
        <v>327</v>
      </c>
      <c r="H1580" s="366">
        <v>42</v>
      </c>
      <c r="J1580" s="367"/>
      <c r="K1580" s="367"/>
      <c r="L1580" s="367">
        <v>575</v>
      </c>
      <c r="M1580" s="367">
        <v>16</v>
      </c>
      <c r="N1580" s="367">
        <v>5</v>
      </c>
      <c r="O1580" s="367"/>
      <c r="P1580" s="367">
        <v>66</v>
      </c>
      <c r="Q1580" s="367"/>
      <c r="R1580" s="367">
        <v>389</v>
      </c>
      <c r="S1580" s="367">
        <v>3.5</v>
      </c>
      <c r="T1580" s="367">
        <v>289</v>
      </c>
      <c r="U1580" s="367"/>
      <c r="V1580" s="367"/>
      <c r="W1580" s="367"/>
      <c r="X1580" s="367"/>
      <c r="Y1580" s="367"/>
      <c r="Z1580" s="367"/>
      <c r="AA1580" s="367">
        <v>0.13</v>
      </c>
      <c r="AB1580" s="367"/>
      <c r="AC1580" s="367"/>
    </row>
    <row r="1581" spans="1:29" ht="15" x14ac:dyDescent="0.25">
      <c r="A1581" s="365" t="s">
        <v>441</v>
      </c>
      <c r="H1581" s="366">
        <v>14</v>
      </c>
      <c r="J1581" s="367"/>
      <c r="K1581" s="367"/>
      <c r="L1581" s="367">
        <v>1</v>
      </c>
      <c r="M1581" s="367">
        <v>1.9</v>
      </c>
      <c r="N1581" s="367">
        <v>1.7</v>
      </c>
      <c r="O1581" s="367"/>
      <c r="P1581" s="367">
        <v>33</v>
      </c>
      <c r="Q1581" s="367"/>
      <c r="R1581" s="367">
        <v>3</v>
      </c>
      <c r="S1581" s="367">
        <v>-0.1</v>
      </c>
      <c r="T1581" s="367">
        <v>-1</v>
      </c>
      <c r="U1581" s="367"/>
      <c r="V1581" s="367"/>
      <c r="W1581" s="367"/>
      <c r="X1581" s="367"/>
      <c r="Y1581" s="367"/>
      <c r="Z1581" s="367"/>
      <c r="AA1581" s="367"/>
      <c r="AB1581" s="367"/>
      <c r="AC1581" s="367">
        <v>0.02</v>
      </c>
    </row>
    <row r="1582" spans="1:29" ht="15" x14ac:dyDescent="0.25">
      <c r="A1582" s="365" t="s">
        <v>456</v>
      </c>
      <c r="H1582" s="366"/>
      <c r="J1582" s="367"/>
      <c r="K1582" s="367"/>
      <c r="L1582" s="367">
        <v>0.12</v>
      </c>
      <c r="M1582" s="367">
        <v>-0.1</v>
      </c>
      <c r="N1582" s="367">
        <v>0.16</v>
      </c>
      <c r="O1582" s="367"/>
      <c r="P1582" s="367">
        <v>-1</v>
      </c>
      <c r="Q1582" s="367"/>
      <c r="R1582" s="367">
        <v>17</v>
      </c>
      <c r="S1582" s="367">
        <v>-0.1</v>
      </c>
      <c r="T1582" s="367">
        <v>11</v>
      </c>
      <c r="U1582" s="367"/>
      <c r="V1582" s="367"/>
      <c r="W1582" s="367"/>
      <c r="X1582" s="367"/>
      <c r="Y1582" s="367"/>
      <c r="Z1582" s="367"/>
      <c r="AA1582" s="367">
        <v>-0.1</v>
      </c>
      <c r="AB1582" s="367"/>
      <c r="AC1582" s="367"/>
    </row>
    <row r="1583" spans="1:29" ht="15" x14ac:dyDescent="0.25">
      <c r="A1583" s="365" t="s">
        <v>608</v>
      </c>
      <c r="H1583" s="366">
        <v>99</v>
      </c>
      <c r="J1583" s="367"/>
      <c r="K1583" s="367"/>
      <c r="L1583" s="367">
        <v>5</v>
      </c>
      <c r="M1583" s="367">
        <v>-0.1</v>
      </c>
      <c r="N1583" s="367">
        <v>38</v>
      </c>
      <c r="O1583" s="367"/>
      <c r="P1583" s="367">
        <v>132</v>
      </c>
      <c r="Q1583" s="367"/>
      <c r="R1583" s="367">
        <v>6</v>
      </c>
      <c r="S1583" s="367">
        <v>0.5</v>
      </c>
      <c r="T1583" s="367">
        <v>2210</v>
      </c>
      <c r="U1583" s="367"/>
      <c r="V1583" s="367"/>
      <c r="W1583" s="367"/>
      <c r="X1583" s="367"/>
      <c r="Y1583" s="367"/>
      <c r="Z1583" s="367"/>
      <c r="AA1583" s="367"/>
      <c r="AB1583" s="367"/>
      <c r="AC1583" s="367"/>
    </row>
    <row r="1584" spans="1:29" ht="15" x14ac:dyDescent="0.25">
      <c r="A1584" s="365" t="s">
        <v>607</v>
      </c>
      <c r="H1584" s="366">
        <v>50</v>
      </c>
      <c r="J1584" s="367"/>
      <c r="K1584" s="367"/>
      <c r="L1584" s="367">
        <v>5</v>
      </c>
      <c r="M1584" s="367">
        <v>-0.1</v>
      </c>
      <c r="N1584" s="367">
        <v>41</v>
      </c>
      <c r="O1584" s="367"/>
      <c r="P1584" s="367">
        <v>114</v>
      </c>
      <c r="Q1584" s="367"/>
      <c r="R1584" s="367">
        <v>2</v>
      </c>
      <c r="S1584" s="367">
        <v>0.5</v>
      </c>
      <c r="T1584" s="367">
        <v>89</v>
      </c>
      <c r="U1584" s="367"/>
      <c r="V1584" s="367"/>
      <c r="W1584" s="367"/>
      <c r="X1584" s="367"/>
      <c r="Y1584" s="367"/>
      <c r="Z1584" s="367"/>
      <c r="AA1584" s="367"/>
      <c r="AB1584" s="367"/>
      <c r="AC1584" s="367"/>
    </row>
    <row r="1585" spans="1:29" ht="15" x14ac:dyDescent="0.25">
      <c r="A1585" s="365" t="s">
        <v>384</v>
      </c>
      <c r="H1585" s="366">
        <v>15</v>
      </c>
      <c r="J1585" s="367"/>
      <c r="K1585" s="367"/>
      <c r="L1585" s="367">
        <v>7.5</v>
      </c>
      <c r="M1585" s="367">
        <v>3.7</v>
      </c>
      <c r="N1585" s="367">
        <v>92</v>
      </c>
      <c r="O1585" s="367"/>
      <c r="P1585" s="367">
        <v>31</v>
      </c>
      <c r="Q1585" s="367"/>
      <c r="R1585" s="367">
        <v>3.1</v>
      </c>
      <c r="S1585" s="367">
        <v>0.2</v>
      </c>
      <c r="T1585" s="367">
        <v>12</v>
      </c>
      <c r="U1585" s="367"/>
      <c r="V1585" s="367"/>
      <c r="W1585" s="367"/>
      <c r="X1585" s="367"/>
      <c r="Y1585" s="367"/>
      <c r="Z1585" s="367"/>
      <c r="AA1585" s="367"/>
      <c r="AB1585" s="367"/>
      <c r="AC1585" s="367"/>
    </row>
    <row r="1586" spans="1:29" ht="15" x14ac:dyDescent="0.25">
      <c r="A1586" s="365" t="s">
        <v>383</v>
      </c>
      <c r="H1586" s="366"/>
      <c r="J1586" s="367"/>
      <c r="K1586" s="367"/>
      <c r="L1586" s="367">
        <v>380</v>
      </c>
      <c r="M1586" s="367">
        <v>41</v>
      </c>
      <c r="N1586" s="367">
        <v>76</v>
      </c>
      <c r="O1586" s="367"/>
      <c r="P1586" s="367">
        <v>110</v>
      </c>
      <c r="Q1586" s="367"/>
      <c r="R1586" s="367">
        <v>300</v>
      </c>
      <c r="S1586" s="367"/>
      <c r="T1586" s="367">
        <v>600</v>
      </c>
      <c r="U1586" s="367"/>
      <c r="V1586" s="367"/>
      <c r="W1586" s="367"/>
      <c r="X1586" s="367"/>
      <c r="Y1586" s="367"/>
      <c r="Z1586" s="367"/>
      <c r="AA1586" s="367"/>
      <c r="AB1586" s="367"/>
      <c r="AC1586" s="367"/>
    </row>
    <row r="1587" spans="1:29" ht="15" x14ac:dyDescent="0.25">
      <c r="A1587" s="365" t="s">
        <v>384</v>
      </c>
      <c r="H1587" s="366">
        <v>15</v>
      </c>
      <c r="J1587" s="367"/>
      <c r="K1587" s="367"/>
      <c r="L1587" s="367"/>
      <c r="M1587" s="367"/>
      <c r="N1587" s="367"/>
      <c r="O1587" s="367"/>
      <c r="P1587" s="367"/>
      <c r="Q1587" s="367"/>
      <c r="R1587" s="367"/>
      <c r="S1587" s="367"/>
      <c r="T1587" s="367"/>
      <c r="U1587" s="367"/>
      <c r="V1587" s="367"/>
      <c r="W1587" s="367"/>
      <c r="X1587" s="367"/>
      <c r="Y1587" s="367"/>
      <c r="Z1587" s="367"/>
      <c r="AA1587" s="367"/>
      <c r="AB1587" s="367"/>
      <c r="AC1587" s="367"/>
    </row>
    <row r="1588" spans="1:29" ht="15" x14ac:dyDescent="0.25">
      <c r="A1588" s="365" t="s">
        <v>441</v>
      </c>
      <c r="H1588" s="366">
        <v>14</v>
      </c>
      <c r="J1588" s="367"/>
      <c r="K1588" s="367"/>
      <c r="L1588" s="367">
        <v>1</v>
      </c>
      <c r="M1588" s="367">
        <v>1.9</v>
      </c>
      <c r="N1588" s="367">
        <v>1.7</v>
      </c>
      <c r="O1588" s="367"/>
      <c r="P1588" s="367">
        <v>33</v>
      </c>
      <c r="Q1588" s="367"/>
      <c r="R1588" s="367">
        <v>3</v>
      </c>
      <c r="S1588" s="367">
        <v>-0.1</v>
      </c>
      <c r="T1588" s="367">
        <v>-1</v>
      </c>
      <c r="U1588" s="367"/>
      <c r="V1588" s="367"/>
      <c r="W1588" s="367"/>
      <c r="X1588" s="367"/>
      <c r="Y1588" s="367"/>
      <c r="Z1588" s="367"/>
      <c r="AA1588" s="367"/>
      <c r="AB1588" s="367"/>
      <c r="AC1588" s="367">
        <v>0.02</v>
      </c>
    </row>
    <row r="1589" spans="1:29" ht="15" x14ac:dyDescent="0.25">
      <c r="A1589" s="365" t="s">
        <v>456</v>
      </c>
      <c r="H1589" s="366"/>
      <c r="J1589" s="367"/>
      <c r="K1589" s="367"/>
      <c r="L1589" s="367">
        <v>0.12</v>
      </c>
      <c r="M1589" s="367">
        <v>-0.1</v>
      </c>
      <c r="N1589" s="367">
        <v>0.16</v>
      </c>
      <c r="O1589" s="367"/>
      <c r="P1589" s="367">
        <v>-1</v>
      </c>
      <c r="Q1589" s="367"/>
      <c r="R1589" s="367">
        <v>17</v>
      </c>
      <c r="S1589" s="367">
        <v>-0.1</v>
      </c>
      <c r="T1589" s="367">
        <v>11</v>
      </c>
      <c r="U1589" s="367"/>
      <c r="V1589" s="367"/>
      <c r="W1589" s="367"/>
      <c r="X1589" s="367"/>
      <c r="Y1589" s="367"/>
      <c r="Z1589" s="367"/>
      <c r="AA1589" s="367">
        <v>-0.1</v>
      </c>
      <c r="AB1589" s="367"/>
      <c r="AC1589" s="367"/>
    </row>
    <row r="1590" spans="1:29" ht="15" x14ac:dyDescent="0.25">
      <c r="A1590" s="365" t="s">
        <v>608</v>
      </c>
      <c r="H1590" s="366">
        <v>99</v>
      </c>
      <c r="J1590" s="367"/>
      <c r="K1590" s="367"/>
      <c r="L1590" s="367">
        <v>5</v>
      </c>
      <c r="M1590" s="367">
        <v>-0.1</v>
      </c>
      <c r="N1590" s="367">
        <v>38</v>
      </c>
      <c r="O1590" s="367"/>
      <c r="P1590" s="367">
        <v>132</v>
      </c>
      <c r="Q1590" s="367"/>
      <c r="R1590" s="367">
        <v>6</v>
      </c>
      <c r="S1590" s="367">
        <v>0.5</v>
      </c>
      <c r="T1590" s="367">
        <v>2210</v>
      </c>
      <c r="U1590" s="367"/>
      <c r="V1590" s="367"/>
      <c r="W1590" s="367"/>
      <c r="X1590" s="367"/>
      <c r="Y1590" s="367"/>
      <c r="Z1590" s="367"/>
      <c r="AA1590" s="367"/>
      <c r="AB1590" s="367"/>
      <c r="AC1590" s="367"/>
    </row>
    <row r="1591" spans="1:29" ht="15" x14ac:dyDescent="0.25">
      <c r="A1591" s="365" t="s">
        <v>607</v>
      </c>
      <c r="H1591" s="366">
        <v>50</v>
      </c>
      <c r="J1591" s="367"/>
      <c r="K1591" s="367"/>
      <c r="L1591" s="367">
        <v>5</v>
      </c>
      <c r="M1591" s="367">
        <v>-0.1</v>
      </c>
      <c r="N1591" s="367">
        <v>41</v>
      </c>
      <c r="O1591" s="367"/>
      <c r="P1591" s="367">
        <v>114</v>
      </c>
      <c r="Q1591" s="367"/>
      <c r="R1591" s="367">
        <v>2</v>
      </c>
      <c r="S1591" s="367">
        <v>0.5</v>
      </c>
      <c r="T1591" s="367">
        <v>89</v>
      </c>
      <c r="U1591" s="367"/>
      <c r="V1591" s="367"/>
      <c r="W1591" s="367"/>
      <c r="X1591" s="367"/>
      <c r="Y1591" s="367"/>
      <c r="Z1591" s="367"/>
      <c r="AA1591" s="367"/>
      <c r="AB1591" s="367"/>
      <c r="AC1591" s="367"/>
    </row>
    <row r="1592" spans="1:29" ht="15" x14ac:dyDescent="0.25">
      <c r="A1592" s="365" t="s">
        <v>384</v>
      </c>
      <c r="H1592" s="366">
        <v>15</v>
      </c>
      <c r="J1592" s="367"/>
      <c r="K1592" s="367"/>
      <c r="L1592" s="367">
        <v>7.5</v>
      </c>
      <c r="M1592" s="367">
        <v>3.7</v>
      </c>
      <c r="N1592" s="367">
        <v>92</v>
      </c>
      <c r="O1592" s="367"/>
      <c r="P1592" s="367">
        <v>31</v>
      </c>
      <c r="Q1592" s="367"/>
      <c r="R1592" s="367">
        <v>3.1</v>
      </c>
      <c r="S1592" s="367">
        <v>0.2</v>
      </c>
      <c r="T1592" s="367">
        <v>12</v>
      </c>
      <c r="U1592" s="367"/>
      <c r="V1592" s="367"/>
      <c r="W1592" s="367"/>
      <c r="X1592" s="367"/>
      <c r="Y1592" s="367"/>
      <c r="Z1592" s="367"/>
      <c r="AA1592" s="367"/>
      <c r="AB1592" s="367"/>
      <c r="AC1592" s="367"/>
    </row>
    <row r="1593" spans="1:29" ht="15" x14ac:dyDescent="0.25">
      <c r="A1593" s="365" t="s">
        <v>383</v>
      </c>
      <c r="H1593" s="366"/>
      <c r="J1593" s="367"/>
      <c r="K1593" s="367"/>
      <c r="L1593" s="367">
        <v>380</v>
      </c>
      <c r="M1593" s="367">
        <v>41</v>
      </c>
      <c r="N1593" s="367">
        <v>76</v>
      </c>
      <c r="O1593" s="367"/>
      <c r="P1593" s="367">
        <v>110</v>
      </c>
      <c r="Q1593" s="367"/>
      <c r="R1593" s="367">
        <v>300</v>
      </c>
      <c r="S1593" s="367"/>
      <c r="T1593" s="367">
        <v>600</v>
      </c>
      <c r="U1593" s="367"/>
      <c r="V1593" s="367"/>
      <c r="W1593" s="367"/>
      <c r="X1593" s="367"/>
      <c r="Y1593" s="367"/>
      <c r="Z1593" s="367"/>
      <c r="AA1593" s="367"/>
      <c r="AB1593" s="367"/>
      <c r="AC1593" s="367"/>
    </row>
    <row r="1594" spans="1:29" ht="15" x14ac:dyDescent="0.25">
      <c r="A1594" s="365" t="s">
        <v>384</v>
      </c>
      <c r="H1594" s="366">
        <v>15</v>
      </c>
      <c r="J1594" s="367"/>
      <c r="K1594" s="367"/>
      <c r="L1594" s="367"/>
      <c r="M1594" s="367"/>
      <c r="N1594" s="367"/>
      <c r="O1594" s="367"/>
      <c r="P1594" s="367"/>
      <c r="Q1594" s="367"/>
      <c r="R1594" s="367"/>
      <c r="S1594" s="367"/>
      <c r="T1594" s="367"/>
      <c r="U1594" s="367"/>
      <c r="V1594" s="367"/>
      <c r="W1594" s="367"/>
      <c r="X1594" s="367"/>
      <c r="Y1594" s="367"/>
      <c r="Z1594" s="367"/>
      <c r="AA1594" s="367"/>
      <c r="AB1594" s="367"/>
      <c r="AC1594" s="367"/>
    </row>
    <row r="1595" spans="1:29" ht="15" x14ac:dyDescent="0.25">
      <c r="A1595" s="365" t="s">
        <v>609</v>
      </c>
      <c r="H1595" s="366">
        <v>78</v>
      </c>
      <c r="J1595" s="367"/>
      <c r="K1595" s="367"/>
      <c r="L1595" s="367">
        <v>15</v>
      </c>
      <c r="M1595" s="367">
        <v>2.2000000000000002</v>
      </c>
      <c r="N1595" s="367">
        <v>43</v>
      </c>
      <c r="O1595" s="367"/>
      <c r="P1595" s="367"/>
      <c r="Q1595" s="367"/>
      <c r="R1595" s="367">
        <v>23</v>
      </c>
      <c r="S1595" s="367"/>
      <c r="T1595" s="367"/>
      <c r="U1595" s="367"/>
      <c r="V1595" s="367"/>
      <c r="W1595" s="367"/>
      <c r="X1595" s="367"/>
      <c r="Y1595" s="367"/>
      <c r="Z1595" s="367"/>
      <c r="AA1595" s="367"/>
      <c r="AB1595" s="367"/>
      <c r="AC1595" s="367"/>
    </row>
    <row r="1596" spans="1:29" ht="15" x14ac:dyDescent="0.25">
      <c r="A1596" s="365" t="s">
        <v>611</v>
      </c>
      <c r="H1596" s="366"/>
      <c r="J1596" s="367"/>
      <c r="K1596" s="367"/>
      <c r="L1596" s="367">
        <v>0.12</v>
      </c>
      <c r="M1596" s="367">
        <v>-0.1</v>
      </c>
      <c r="N1596" s="367">
        <v>0.2</v>
      </c>
      <c r="O1596" s="367"/>
      <c r="P1596" s="367">
        <v>-1</v>
      </c>
      <c r="Q1596" s="367"/>
      <c r="R1596" s="367">
        <v>20</v>
      </c>
      <c r="S1596" s="367">
        <v>-0.1</v>
      </c>
      <c r="T1596" s="367">
        <v>7.1</v>
      </c>
      <c r="U1596" s="367"/>
      <c r="V1596" s="367"/>
      <c r="W1596" s="367"/>
      <c r="X1596" s="367"/>
      <c r="Y1596" s="367"/>
      <c r="Z1596" s="367"/>
      <c r="AA1596" s="367">
        <v>-0.1</v>
      </c>
      <c r="AB1596" s="367"/>
      <c r="AC1596" s="367"/>
    </row>
    <row r="1597" spans="1:29" ht="15" x14ac:dyDescent="0.25">
      <c r="A1597" s="365" t="s">
        <v>612</v>
      </c>
      <c r="H1597" s="366"/>
      <c r="J1597" s="367"/>
      <c r="K1597" s="367"/>
      <c r="L1597" s="367">
        <v>0.6</v>
      </c>
      <c r="M1597" s="367">
        <v>-0.1</v>
      </c>
      <c r="N1597" s="367">
        <v>0.2</v>
      </c>
      <c r="O1597" s="367"/>
      <c r="P1597" s="367">
        <v>-1</v>
      </c>
      <c r="Q1597" s="367"/>
      <c r="R1597" s="367">
        <v>70</v>
      </c>
      <c r="S1597" s="367">
        <v>0.09</v>
      </c>
      <c r="T1597" s="367">
        <v>4.4000000000000004</v>
      </c>
      <c r="U1597" s="367"/>
      <c r="V1597" s="367"/>
      <c r="W1597" s="367"/>
      <c r="X1597" s="367"/>
      <c r="Y1597" s="367"/>
      <c r="Z1597" s="367"/>
      <c r="AA1597" s="367">
        <v>0.03</v>
      </c>
      <c r="AB1597" s="367"/>
      <c r="AC1597" s="367"/>
    </row>
    <row r="1598" spans="1:29" ht="15" x14ac:dyDescent="0.25">
      <c r="A1598" s="365" t="s">
        <v>613</v>
      </c>
      <c r="H1598" s="366">
        <v>78</v>
      </c>
      <c r="J1598" s="367"/>
      <c r="K1598" s="367"/>
      <c r="L1598" s="367">
        <v>280</v>
      </c>
      <c r="M1598" s="367">
        <v>7.5</v>
      </c>
      <c r="N1598" s="367">
        <v>34</v>
      </c>
      <c r="O1598" s="367"/>
      <c r="P1598" s="367">
        <v>68</v>
      </c>
      <c r="Q1598" s="367"/>
      <c r="R1598" s="367">
        <v>100</v>
      </c>
      <c r="S1598" s="367">
        <v>9.8000000000000007</v>
      </c>
      <c r="T1598" s="367">
        <v>500</v>
      </c>
      <c r="U1598" s="367"/>
      <c r="V1598" s="367"/>
      <c r="W1598" s="367"/>
      <c r="X1598" s="367"/>
      <c r="Y1598" s="367"/>
      <c r="Z1598" s="367"/>
      <c r="AA1598" s="367"/>
      <c r="AB1598" s="367"/>
      <c r="AC1598" s="367">
        <v>-0.02</v>
      </c>
    </row>
    <row r="1599" spans="1:29" ht="15" x14ac:dyDescent="0.25">
      <c r="A1599" s="365" t="s">
        <v>614</v>
      </c>
      <c r="H1599" s="366">
        <v>25</v>
      </c>
      <c r="J1599" s="367"/>
      <c r="K1599" s="367"/>
      <c r="L1599" s="367">
        <v>6000</v>
      </c>
      <c r="M1599" s="367">
        <v>18</v>
      </c>
      <c r="N1599" s="367">
        <v>500</v>
      </c>
      <c r="O1599" s="367"/>
      <c r="P1599" s="367">
        <v>85</v>
      </c>
      <c r="Q1599" s="367"/>
      <c r="R1599" s="367">
        <v>7100</v>
      </c>
      <c r="S1599" s="367">
        <v>0.13</v>
      </c>
      <c r="T1599" s="367">
        <v>38</v>
      </c>
      <c r="U1599" s="367"/>
      <c r="V1599" s="367"/>
      <c r="W1599" s="367"/>
      <c r="X1599" s="367"/>
      <c r="Y1599" s="367"/>
      <c r="Z1599" s="367"/>
      <c r="AA1599" s="367"/>
      <c r="AB1599" s="367"/>
      <c r="AC1599" s="367">
        <v>0.8</v>
      </c>
    </row>
    <row r="1600" spans="1:29" ht="15" x14ac:dyDescent="0.25">
      <c r="A1600" s="365" t="s">
        <v>332</v>
      </c>
      <c r="H1600" s="366">
        <v>82</v>
      </c>
      <c r="J1600" s="367"/>
      <c r="K1600" s="367"/>
      <c r="L1600" s="367">
        <v>1100</v>
      </c>
      <c r="M1600" s="367">
        <v>55</v>
      </c>
      <c r="N1600" s="367">
        <v>64</v>
      </c>
      <c r="O1600" s="367"/>
      <c r="P1600" s="367">
        <v>100</v>
      </c>
      <c r="Q1600" s="367"/>
      <c r="R1600" s="367">
        <v>200</v>
      </c>
      <c r="S1600" s="367">
        <v>4.5</v>
      </c>
      <c r="T1600" s="367">
        <v>920</v>
      </c>
      <c r="U1600" s="367"/>
      <c r="V1600" s="367"/>
      <c r="W1600" s="367"/>
      <c r="X1600" s="367"/>
      <c r="Y1600" s="367"/>
      <c r="Z1600" s="367"/>
      <c r="AA1600" s="367"/>
      <c r="AB1600" s="367"/>
      <c r="AC1600" s="367"/>
    </row>
    <row r="1601" spans="1:29" ht="15" x14ac:dyDescent="0.25">
      <c r="A1601" s="365" t="s">
        <v>285</v>
      </c>
      <c r="H1601" s="366">
        <v>54</v>
      </c>
      <c r="J1601" s="367"/>
      <c r="K1601" s="367"/>
      <c r="L1601" s="367">
        <v>520</v>
      </c>
      <c r="M1601" s="367">
        <v>44</v>
      </c>
      <c r="N1601" s="367">
        <v>8</v>
      </c>
      <c r="O1601" s="367"/>
      <c r="P1601" s="367">
        <v>106</v>
      </c>
      <c r="Q1601" s="367"/>
      <c r="R1601" s="367">
        <v>584</v>
      </c>
      <c r="S1601" s="367"/>
      <c r="T1601" s="367">
        <v>12</v>
      </c>
      <c r="U1601" s="367"/>
      <c r="V1601" s="367"/>
      <c r="W1601" s="367"/>
      <c r="X1601" s="367"/>
      <c r="Y1601" s="367"/>
      <c r="Z1601" s="367"/>
      <c r="AA1601" s="367"/>
      <c r="AB1601" s="367"/>
      <c r="AC1601" s="367"/>
    </row>
    <row r="1602" spans="1:29" ht="15" x14ac:dyDescent="0.25">
      <c r="A1602" s="365" t="s">
        <v>336</v>
      </c>
      <c r="H1602" s="366">
        <v>86</v>
      </c>
      <c r="J1602" s="367"/>
      <c r="K1602" s="367"/>
      <c r="L1602" s="367">
        <v>8000</v>
      </c>
      <c r="M1602" s="367">
        <v>225</v>
      </c>
      <c r="N1602" s="367">
        <v>0.2</v>
      </c>
      <c r="O1602" s="367"/>
      <c r="P1602" s="367">
        <v>220</v>
      </c>
      <c r="Q1602" s="367"/>
      <c r="R1602" s="367">
        <v>6000</v>
      </c>
      <c r="S1602" s="367">
        <v>26</v>
      </c>
      <c r="T1602" s="367">
        <v>2700</v>
      </c>
      <c r="U1602" s="367"/>
      <c r="V1602" s="367"/>
      <c r="W1602" s="367"/>
      <c r="X1602" s="367"/>
      <c r="Y1602" s="367"/>
      <c r="Z1602" s="367"/>
      <c r="AA1602" s="367"/>
      <c r="AB1602" s="367"/>
      <c r="AC1602" s="367"/>
    </row>
    <row r="1603" spans="1:29" ht="15" x14ac:dyDescent="0.25">
      <c r="A1603" s="365" t="s">
        <v>620</v>
      </c>
      <c r="H1603" s="366">
        <v>33</v>
      </c>
      <c r="J1603" s="367"/>
      <c r="K1603" s="367"/>
      <c r="L1603" s="367">
        <v>410</v>
      </c>
      <c r="M1603" s="367">
        <v>34</v>
      </c>
      <c r="N1603" s="367">
        <v>120</v>
      </c>
      <c r="O1603" s="367"/>
      <c r="P1603" s="367">
        <v>130</v>
      </c>
      <c r="Q1603" s="367"/>
      <c r="R1603" s="367">
        <v>105</v>
      </c>
      <c r="S1603" s="367">
        <v>0.4</v>
      </c>
      <c r="T1603" s="367">
        <v>28</v>
      </c>
      <c r="U1603" s="367"/>
      <c r="V1603" s="367"/>
      <c r="W1603" s="367"/>
      <c r="X1603" s="367"/>
      <c r="Y1603" s="367"/>
      <c r="Z1603" s="367"/>
      <c r="AA1603" s="367">
        <v>0.68</v>
      </c>
      <c r="AB1603" s="367"/>
      <c r="AC1603" s="367">
        <v>1.4</v>
      </c>
    </row>
    <row r="1604" spans="1:29" ht="15" x14ac:dyDescent="0.25">
      <c r="A1604" s="365" t="s">
        <v>620</v>
      </c>
      <c r="H1604" s="366">
        <v>33</v>
      </c>
      <c r="J1604" s="367"/>
      <c r="K1604" s="367"/>
      <c r="L1604" s="367">
        <v>410</v>
      </c>
      <c r="M1604" s="367">
        <v>34</v>
      </c>
      <c r="N1604" s="367">
        <v>120</v>
      </c>
      <c r="O1604" s="367"/>
      <c r="P1604" s="367">
        <v>130</v>
      </c>
      <c r="Q1604" s="367"/>
      <c r="R1604" s="367">
        <v>105</v>
      </c>
      <c r="S1604" s="367">
        <v>0.4</v>
      </c>
      <c r="T1604" s="367">
        <v>28</v>
      </c>
      <c r="U1604" s="367"/>
      <c r="V1604" s="367"/>
      <c r="W1604" s="367"/>
      <c r="X1604" s="367"/>
      <c r="Y1604" s="367"/>
      <c r="Z1604" s="367"/>
      <c r="AA1604" s="367">
        <v>0.68</v>
      </c>
      <c r="AB1604" s="367"/>
      <c r="AC1604" s="367">
        <v>1.4</v>
      </c>
    </row>
    <row r="1605" spans="1:29" ht="15" x14ac:dyDescent="0.25">
      <c r="A1605" s="365" t="s">
        <v>622</v>
      </c>
      <c r="H1605" s="366">
        <v>24</v>
      </c>
      <c r="J1605" s="367"/>
      <c r="K1605" s="367"/>
      <c r="L1605" s="367">
        <v>38</v>
      </c>
      <c r="M1605" s="367">
        <v>1</v>
      </c>
      <c r="N1605" s="367">
        <v>3.8</v>
      </c>
      <c r="O1605" s="367"/>
      <c r="P1605" s="367">
        <v>24</v>
      </c>
      <c r="Q1605" s="367"/>
      <c r="R1605" s="367">
        <v>18</v>
      </c>
      <c r="S1605" s="367">
        <v>0.5</v>
      </c>
      <c r="T1605" s="367">
        <v>15</v>
      </c>
      <c r="U1605" s="367"/>
      <c r="V1605" s="367"/>
      <c r="W1605" s="367"/>
      <c r="X1605" s="367"/>
      <c r="Y1605" s="367"/>
      <c r="Z1605" s="367"/>
      <c r="AA1605" s="367"/>
      <c r="AB1605" s="367"/>
      <c r="AC1605" s="367">
        <v>0.05</v>
      </c>
    </row>
    <row r="1606" spans="1:29" ht="15" x14ac:dyDescent="0.25">
      <c r="A1606" s="365" t="s">
        <v>622</v>
      </c>
      <c r="H1606" s="366">
        <v>24</v>
      </c>
      <c r="J1606" s="367"/>
      <c r="K1606" s="367"/>
      <c r="L1606" s="367">
        <v>38</v>
      </c>
      <c r="M1606" s="367">
        <v>1</v>
      </c>
      <c r="N1606" s="367">
        <v>3.8</v>
      </c>
      <c r="O1606" s="367"/>
      <c r="P1606" s="367">
        <v>24</v>
      </c>
      <c r="Q1606" s="367"/>
      <c r="R1606" s="367">
        <v>18</v>
      </c>
      <c r="S1606" s="367">
        <v>0.5</v>
      </c>
      <c r="T1606" s="367">
        <v>15</v>
      </c>
      <c r="U1606" s="367"/>
      <c r="V1606" s="367"/>
      <c r="W1606" s="367"/>
      <c r="X1606" s="367"/>
      <c r="Y1606" s="367"/>
      <c r="Z1606" s="367"/>
      <c r="AA1606" s="367"/>
      <c r="AB1606" s="367"/>
      <c r="AC1606" s="367">
        <v>0.05</v>
      </c>
    </row>
    <row r="1607" spans="1:29" ht="15" x14ac:dyDescent="0.25">
      <c r="A1607" s="365" t="s">
        <v>623</v>
      </c>
      <c r="H1607" s="366">
        <v>38</v>
      </c>
      <c r="J1607" s="367"/>
      <c r="K1607" s="367"/>
      <c r="L1607" s="367">
        <v>12</v>
      </c>
      <c r="M1607" s="367">
        <v>1</v>
      </c>
      <c r="N1607" s="367">
        <v>42</v>
      </c>
      <c r="O1607" s="367"/>
      <c r="P1607" s="367">
        <v>19</v>
      </c>
      <c r="Q1607" s="367"/>
      <c r="R1607" s="367">
        <v>1.8</v>
      </c>
      <c r="S1607" s="367">
        <v>0.5</v>
      </c>
      <c r="T1607" s="367">
        <v>14</v>
      </c>
      <c r="U1607" s="367"/>
      <c r="V1607" s="367"/>
      <c r="W1607" s="367"/>
      <c r="X1607" s="367"/>
      <c r="Y1607" s="367"/>
      <c r="Z1607" s="367"/>
      <c r="AA1607" s="367"/>
      <c r="AB1607" s="367"/>
      <c r="AC1607" s="367">
        <v>-0.02</v>
      </c>
    </row>
    <row r="1608" spans="1:29" ht="15" x14ac:dyDescent="0.25">
      <c r="A1608" s="365" t="s">
        <v>624</v>
      </c>
      <c r="H1608" s="366">
        <v>23</v>
      </c>
      <c r="J1608" s="367"/>
      <c r="K1608" s="367"/>
      <c r="L1608" s="367">
        <v>2410</v>
      </c>
      <c r="M1608" s="367">
        <v>12</v>
      </c>
      <c r="N1608" s="367">
        <v>679</v>
      </c>
      <c r="O1608" s="367"/>
      <c r="P1608" s="367">
        <v>17</v>
      </c>
      <c r="Q1608" s="367"/>
      <c r="R1608" s="367">
        <v>4870</v>
      </c>
      <c r="S1608" s="367">
        <v>0.05</v>
      </c>
      <c r="T1608" s="367">
        <v>6.6</v>
      </c>
      <c r="U1608" s="367"/>
      <c r="V1608" s="367"/>
      <c r="W1608" s="367"/>
      <c r="X1608" s="367"/>
      <c r="Y1608" s="367"/>
      <c r="Z1608" s="367"/>
      <c r="AA1608" s="367"/>
      <c r="AB1608" s="367"/>
      <c r="AC1608" s="367">
        <v>0.18</v>
      </c>
    </row>
    <row r="1609" spans="1:29" ht="15" x14ac:dyDescent="0.25">
      <c r="A1609" s="365" t="s">
        <v>625</v>
      </c>
      <c r="H1609" s="366">
        <v>96</v>
      </c>
      <c r="J1609" s="367"/>
      <c r="K1609" s="367"/>
      <c r="L1609" s="367">
        <v>280</v>
      </c>
      <c r="M1609" s="367">
        <v>8</v>
      </c>
      <c r="N1609" s="367">
        <v>20</v>
      </c>
      <c r="O1609" s="367"/>
      <c r="P1609" s="367">
        <v>125</v>
      </c>
      <c r="Q1609" s="367"/>
      <c r="R1609" s="367">
        <v>185</v>
      </c>
      <c r="S1609" s="367">
        <v>4.2</v>
      </c>
      <c r="T1609" s="367">
        <v>340</v>
      </c>
      <c r="U1609" s="367"/>
      <c r="V1609" s="367"/>
      <c r="W1609" s="367"/>
      <c r="X1609" s="367"/>
      <c r="Y1609" s="367"/>
      <c r="Z1609" s="367"/>
      <c r="AA1609" s="367"/>
      <c r="AB1609" s="367"/>
      <c r="AC1609" s="367">
        <v>-0.02</v>
      </c>
    </row>
    <row r="1610" spans="1:29" ht="15" x14ac:dyDescent="0.25">
      <c r="A1610" s="365" t="s">
        <v>543</v>
      </c>
      <c r="H1610" s="366">
        <v>23</v>
      </c>
      <c r="J1610" s="367"/>
      <c r="K1610" s="367"/>
      <c r="L1610" s="367">
        <v>60</v>
      </c>
      <c r="M1610" s="367">
        <v>1.9</v>
      </c>
      <c r="N1610" s="367">
        <v>2.7</v>
      </c>
      <c r="O1610" s="367"/>
      <c r="P1610" s="367">
        <v>49</v>
      </c>
      <c r="Q1610" s="367"/>
      <c r="R1610" s="367">
        <v>8</v>
      </c>
      <c r="S1610" s="367">
        <v>0.22</v>
      </c>
      <c r="T1610" s="367">
        <v>20</v>
      </c>
      <c r="U1610" s="367"/>
      <c r="V1610" s="367"/>
      <c r="W1610" s="367"/>
      <c r="X1610" s="367"/>
      <c r="Y1610" s="367"/>
      <c r="Z1610" s="367"/>
      <c r="AA1610" s="367"/>
      <c r="AB1610" s="367"/>
      <c r="AC1610" s="367"/>
    </row>
    <row r="1611" spans="1:29" ht="15" x14ac:dyDescent="0.25">
      <c r="A1611" s="365" t="s">
        <v>626</v>
      </c>
      <c r="H1611" s="366">
        <v>96</v>
      </c>
      <c r="J1611" s="367"/>
      <c r="K1611" s="367"/>
      <c r="L1611" s="367">
        <v>280</v>
      </c>
      <c r="M1611" s="367">
        <v>7.5</v>
      </c>
      <c r="N1611" s="367">
        <v>18</v>
      </c>
      <c r="O1611" s="367"/>
      <c r="P1611" s="367">
        <v>120</v>
      </c>
      <c r="Q1611" s="367"/>
      <c r="R1611" s="367">
        <v>190</v>
      </c>
      <c r="S1611" s="367">
        <v>4.0999999999999996</v>
      </c>
      <c r="T1611" s="367">
        <v>360</v>
      </c>
      <c r="U1611" s="367"/>
      <c r="V1611" s="367"/>
      <c r="W1611" s="367"/>
      <c r="X1611" s="367"/>
      <c r="Y1611" s="367"/>
      <c r="Z1611" s="367"/>
      <c r="AA1611" s="367"/>
      <c r="AB1611" s="367"/>
      <c r="AC1611" s="367">
        <v>-0.06</v>
      </c>
    </row>
    <row r="1612" spans="1:29" ht="15" x14ac:dyDescent="0.25">
      <c r="A1612" s="365" t="s">
        <v>627</v>
      </c>
      <c r="H1612" s="366"/>
      <c r="J1612" s="367"/>
      <c r="K1612" s="367"/>
      <c r="L1612" s="367"/>
      <c r="M1612" s="367"/>
      <c r="N1612" s="367"/>
      <c r="O1612" s="367"/>
      <c r="P1612" s="367"/>
      <c r="Q1612" s="367"/>
      <c r="R1612" s="367"/>
      <c r="S1612" s="367"/>
      <c r="T1612" s="367"/>
      <c r="U1612" s="367"/>
      <c r="V1612" s="367"/>
      <c r="W1612" s="367"/>
      <c r="X1612" s="367"/>
      <c r="Y1612" s="367"/>
      <c r="Z1612" s="367"/>
      <c r="AA1612" s="367"/>
      <c r="AB1612" s="367"/>
      <c r="AC1612" s="367">
        <v>0.16</v>
      </c>
    </row>
    <row r="1613" spans="1:29" ht="15" x14ac:dyDescent="0.25">
      <c r="A1613" s="365" t="s">
        <v>626</v>
      </c>
      <c r="H1613" s="366">
        <v>96</v>
      </c>
      <c r="J1613" s="367"/>
      <c r="K1613" s="367"/>
      <c r="L1613" s="367">
        <v>280</v>
      </c>
      <c r="M1613" s="367">
        <v>7.5</v>
      </c>
      <c r="N1613" s="367">
        <v>18</v>
      </c>
      <c r="O1613" s="367"/>
      <c r="P1613" s="367">
        <v>120</v>
      </c>
      <c r="Q1613" s="367"/>
      <c r="R1613" s="367">
        <v>190</v>
      </c>
      <c r="S1613" s="367">
        <v>4.0999999999999996</v>
      </c>
      <c r="T1613" s="367">
        <v>360</v>
      </c>
      <c r="U1613" s="367"/>
      <c r="V1613" s="367"/>
      <c r="W1613" s="367"/>
      <c r="X1613" s="367"/>
      <c r="Y1613" s="367"/>
      <c r="Z1613" s="367"/>
      <c r="AA1613" s="367"/>
      <c r="AB1613" s="367"/>
      <c r="AC1613" s="367">
        <v>-0.06</v>
      </c>
    </row>
    <row r="1614" spans="1:29" ht="15" x14ac:dyDescent="0.25">
      <c r="A1614" s="365" t="s">
        <v>627</v>
      </c>
      <c r="H1614" s="366"/>
      <c r="J1614" s="367"/>
      <c r="K1614" s="367"/>
      <c r="L1614" s="367"/>
      <c r="M1614" s="367"/>
      <c r="N1614" s="367"/>
      <c r="O1614" s="367"/>
      <c r="P1614" s="367"/>
      <c r="Q1614" s="367"/>
      <c r="R1614" s="367"/>
      <c r="S1614" s="367"/>
      <c r="T1614" s="367"/>
      <c r="U1614" s="367"/>
      <c r="V1614" s="367"/>
      <c r="W1614" s="367"/>
      <c r="X1614" s="367"/>
      <c r="Y1614" s="367"/>
      <c r="Z1614" s="367"/>
      <c r="AA1614" s="367"/>
      <c r="AB1614" s="367"/>
      <c r="AC1614" s="367">
        <v>0.16</v>
      </c>
    </row>
    <row r="1615" spans="1:29" ht="15" x14ac:dyDescent="0.25">
      <c r="A1615" s="365" t="s">
        <v>339</v>
      </c>
      <c r="H1615" s="366">
        <v>27</v>
      </c>
      <c r="J1615" s="367"/>
      <c r="K1615" s="367"/>
      <c r="L1615" s="367">
        <v>50</v>
      </c>
      <c r="M1615" s="367"/>
      <c r="N1615" s="367">
        <v>2</v>
      </c>
      <c r="O1615" s="367"/>
      <c r="P1615" s="367">
        <v>57</v>
      </c>
      <c r="Q1615" s="367"/>
      <c r="R1615" s="367">
        <v>8</v>
      </c>
      <c r="S1615" s="367">
        <v>0.3</v>
      </c>
      <c r="T1615" s="367">
        <v>49</v>
      </c>
      <c r="U1615" s="367"/>
      <c r="V1615" s="367"/>
      <c r="W1615" s="367"/>
      <c r="X1615" s="367"/>
      <c r="Y1615" s="367"/>
      <c r="Z1615" s="367"/>
      <c r="AA1615" s="367">
        <v>0.02</v>
      </c>
      <c r="AB1615" s="367"/>
      <c r="AC1615" s="367"/>
    </row>
    <row r="1616" spans="1:29" ht="15" x14ac:dyDescent="0.25">
      <c r="A1616" s="365" t="s">
        <v>342</v>
      </c>
      <c r="H1616" s="366">
        <v>55.6</v>
      </c>
      <c r="J1616" s="367"/>
      <c r="K1616" s="367"/>
      <c r="L1616" s="367">
        <v>8580</v>
      </c>
      <c r="M1616" s="367">
        <v>460</v>
      </c>
      <c r="N1616" s="367">
        <v>5.6</v>
      </c>
      <c r="O1616" s="367"/>
      <c r="P1616" s="367">
        <v>199</v>
      </c>
      <c r="Q1616" s="367"/>
      <c r="R1616" s="367">
        <v>10710</v>
      </c>
      <c r="S1616" s="367">
        <v>3.32</v>
      </c>
      <c r="T1616" s="367">
        <v>157</v>
      </c>
      <c r="U1616" s="367"/>
      <c r="V1616" s="367"/>
      <c r="W1616" s="367"/>
      <c r="X1616" s="367"/>
      <c r="Y1616" s="367"/>
      <c r="Z1616" s="367"/>
      <c r="AA1616" s="367">
        <v>2</v>
      </c>
      <c r="AB1616" s="367"/>
      <c r="AC1616" s="367"/>
    </row>
    <row r="1617" spans="1:29" ht="15" x14ac:dyDescent="0.25">
      <c r="A1617" s="365" t="s">
        <v>342</v>
      </c>
      <c r="H1617" s="366">
        <v>55.6</v>
      </c>
      <c r="J1617" s="367"/>
      <c r="K1617" s="367"/>
      <c r="L1617" s="367">
        <v>8580</v>
      </c>
      <c r="M1617" s="367">
        <v>460</v>
      </c>
      <c r="N1617" s="367">
        <v>5.6</v>
      </c>
      <c r="O1617" s="367"/>
      <c r="P1617" s="367">
        <v>199</v>
      </c>
      <c r="Q1617" s="367"/>
      <c r="R1617" s="367">
        <v>10710</v>
      </c>
      <c r="S1617" s="367">
        <v>3.32</v>
      </c>
      <c r="T1617" s="367">
        <v>157</v>
      </c>
      <c r="U1617" s="367"/>
      <c r="V1617" s="367"/>
      <c r="W1617" s="367"/>
      <c r="X1617" s="367"/>
      <c r="Y1617" s="367"/>
      <c r="Z1617" s="367"/>
      <c r="AA1617" s="367">
        <v>2</v>
      </c>
      <c r="AB1617" s="367"/>
      <c r="AC1617" s="367"/>
    </row>
    <row r="1618" spans="1:29" ht="15" x14ac:dyDescent="0.25">
      <c r="A1618" s="365" t="s">
        <v>342</v>
      </c>
      <c r="H1618" s="366">
        <v>55.6</v>
      </c>
      <c r="J1618" s="367"/>
      <c r="K1618" s="367"/>
      <c r="L1618" s="367">
        <v>8580</v>
      </c>
      <c r="M1618" s="367">
        <v>460</v>
      </c>
      <c r="N1618" s="367">
        <v>5.6</v>
      </c>
      <c r="O1618" s="367"/>
      <c r="P1618" s="367">
        <v>199</v>
      </c>
      <c r="Q1618" s="367"/>
      <c r="R1618" s="367">
        <v>10710</v>
      </c>
      <c r="S1618" s="367">
        <v>3.32</v>
      </c>
      <c r="T1618" s="367">
        <v>157</v>
      </c>
      <c r="U1618" s="367"/>
      <c r="V1618" s="367"/>
      <c r="W1618" s="367"/>
      <c r="X1618" s="367"/>
      <c r="Y1618" s="367"/>
      <c r="Z1618" s="367"/>
      <c r="AA1618" s="367">
        <v>2</v>
      </c>
      <c r="AB1618" s="367"/>
      <c r="AC1618" s="367"/>
    </row>
    <row r="1619" spans="1:29" ht="15" x14ac:dyDescent="0.25">
      <c r="A1619" s="365" t="s">
        <v>644</v>
      </c>
      <c r="H1619" s="366">
        <v>46</v>
      </c>
      <c r="J1619" s="367"/>
      <c r="K1619" s="367"/>
      <c r="L1619" s="367">
        <v>830</v>
      </c>
      <c r="M1619" s="367">
        <v>15</v>
      </c>
      <c r="N1619" s="367">
        <v>63</v>
      </c>
      <c r="O1619" s="367"/>
      <c r="P1619" s="367">
        <v>43</v>
      </c>
      <c r="Q1619" s="367"/>
      <c r="R1619" s="367">
        <v>990</v>
      </c>
      <c r="S1619" s="367">
        <v>5.8</v>
      </c>
      <c r="T1619" s="367">
        <v>440</v>
      </c>
      <c r="U1619" s="367"/>
      <c r="V1619" s="367"/>
      <c r="W1619" s="367"/>
      <c r="X1619" s="367"/>
      <c r="Y1619" s="367"/>
      <c r="Z1619" s="367"/>
      <c r="AA1619" s="367"/>
      <c r="AB1619" s="367"/>
      <c r="AC1619" s="367"/>
    </row>
    <row r="1620" spans="1:29" ht="15" x14ac:dyDescent="0.25">
      <c r="A1620" s="365" t="s">
        <v>645</v>
      </c>
      <c r="H1620" s="366">
        <v>44</v>
      </c>
      <c r="J1620" s="367"/>
      <c r="K1620" s="367"/>
      <c r="L1620" s="367">
        <v>49</v>
      </c>
      <c r="M1620" s="367">
        <v>3.4</v>
      </c>
      <c r="N1620" s="367">
        <v>4.2</v>
      </c>
      <c r="O1620" s="367"/>
      <c r="P1620" s="367">
        <v>52</v>
      </c>
      <c r="Q1620" s="367"/>
      <c r="R1620" s="367">
        <v>11</v>
      </c>
      <c r="S1620" s="367">
        <v>0.4</v>
      </c>
      <c r="T1620" s="367">
        <v>28</v>
      </c>
      <c r="U1620" s="367"/>
      <c r="V1620" s="367"/>
      <c r="W1620" s="367"/>
      <c r="X1620" s="367"/>
      <c r="Y1620" s="367"/>
      <c r="Z1620" s="367"/>
      <c r="AA1620" s="367"/>
      <c r="AB1620" s="367"/>
      <c r="AC1620" s="367">
        <v>-0.06</v>
      </c>
    </row>
    <row r="1621" spans="1:29" ht="15" x14ac:dyDescent="0.25">
      <c r="A1621" s="365" t="s">
        <v>646</v>
      </c>
      <c r="H1621" s="366">
        <v>23</v>
      </c>
      <c r="J1621" s="367"/>
      <c r="K1621" s="367"/>
      <c r="L1621" s="367">
        <v>6470</v>
      </c>
      <c r="M1621" s="367">
        <v>466</v>
      </c>
      <c r="N1621" s="367">
        <v>79</v>
      </c>
      <c r="O1621" s="367"/>
      <c r="P1621" s="367">
        <v>59</v>
      </c>
      <c r="Q1621" s="367"/>
      <c r="R1621" s="367">
        <v>8480</v>
      </c>
      <c r="S1621" s="367"/>
      <c r="T1621" s="367">
        <v>900</v>
      </c>
      <c r="U1621" s="367"/>
      <c r="V1621" s="367"/>
      <c r="W1621" s="367"/>
      <c r="X1621" s="367"/>
      <c r="Y1621" s="367"/>
      <c r="Z1621" s="367"/>
      <c r="AA1621" s="367"/>
      <c r="AB1621" s="367"/>
      <c r="AC1621" s="367"/>
    </row>
    <row r="1622" spans="1:29" ht="15" x14ac:dyDescent="0.25">
      <c r="A1622" s="365" t="s">
        <v>646</v>
      </c>
      <c r="H1622" s="366">
        <v>24</v>
      </c>
      <c r="J1622" s="367"/>
      <c r="K1622" s="367"/>
      <c r="L1622" s="367">
        <v>5490</v>
      </c>
      <c r="M1622" s="367">
        <v>397</v>
      </c>
      <c r="N1622" s="367">
        <v>172</v>
      </c>
      <c r="O1622" s="367"/>
      <c r="P1622" s="367"/>
      <c r="Q1622" s="367"/>
      <c r="R1622" s="367">
        <v>7990</v>
      </c>
      <c r="S1622" s="367"/>
      <c r="T1622" s="367"/>
      <c r="U1622" s="367"/>
      <c r="V1622" s="367"/>
      <c r="W1622" s="367"/>
      <c r="X1622" s="367"/>
      <c r="Y1622" s="367"/>
      <c r="Z1622" s="367"/>
      <c r="AA1622" s="367"/>
      <c r="AB1622" s="367"/>
      <c r="AC1622" s="367"/>
    </row>
    <row r="1623" spans="1:29" ht="15" x14ac:dyDescent="0.25">
      <c r="A1623" s="365" t="s">
        <v>646</v>
      </c>
      <c r="H1623" s="366">
        <v>23</v>
      </c>
      <c r="J1623" s="367"/>
      <c r="K1623" s="367"/>
      <c r="L1623" s="367">
        <v>6470</v>
      </c>
      <c r="M1623" s="367">
        <v>466</v>
      </c>
      <c r="N1623" s="367">
        <v>79</v>
      </c>
      <c r="O1623" s="367"/>
      <c r="P1623" s="367">
        <v>59</v>
      </c>
      <c r="Q1623" s="367"/>
      <c r="R1623" s="367">
        <v>8480</v>
      </c>
      <c r="S1623" s="367"/>
      <c r="T1623" s="367">
        <v>900</v>
      </c>
      <c r="U1623" s="367"/>
      <c r="V1623" s="367"/>
      <c r="W1623" s="367"/>
      <c r="X1623" s="367"/>
      <c r="Y1623" s="367"/>
      <c r="Z1623" s="367"/>
      <c r="AA1623" s="367"/>
      <c r="AB1623" s="367"/>
      <c r="AC1623" s="367"/>
    </row>
    <row r="1624" spans="1:29" ht="15" x14ac:dyDescent="0.25">
      <c r="A1624" s="365" t="s">
        <v>646</v>
      </c>
      <c r="H1624" s="366">
        <v>24</v>
      </c>
      <c r="J1624" s="367"/>
      <c r="K1624" s="367"/>
      <c r="L1624" s="367">
        <v>5490</v>
      </c>
      <c r="M1624" s="367">
        <v>397</v>
      </c>
      <c r="N1624" s="367">
        <v>172</v>
      </c>
      <c r="O1624" s="367"/>
      <c r="P1624" s="367"/>
      <c r="Q1624" s="367"/>
      <c r="R1624" s="367">
        <v>7990</v>
      </c>
      <c r="S1624" s="367"/>
      <c r="T1624" s="367"/>
      <c r="U1624" s="367"/>
      <c r="V1624" s="367"/>
      <c r="W1624" s="367"/>
      <c r="X1624" s="367"/>
      <c r="Y1624" s="367"/>
      <c r="Z1624" s="367"/>
      <c r="AA1624" s="367"/>
      <c r="AB1624" s="367"/>
      <c r="AC1624" s="367"/>
    </row>
    <row r="1625" spans="1:29" ht="15" x14ac:dyDescent="0.25">
      <c r="A1625" s="365" t="s">
        <v>647</v>
      </c>
      <c r="H1625" s="366">
        <v>41</v>
      </c>
      <c r="J1625" s="367"/>
      <c r="K1625" s="367"/>
      <c r="L1625" s="367">
        <v>66</v>
      </c>
      <c r="M1625" s="367">
        <v>0.6</v>
      </c>
      <c r="N1625" s="367">
        <v>2.2000000000000002</v>
      </c>
      <c r="O1625" s="367"/>
      <c r="P1625" s="367">
        <v>36</v>
      </c>
      <c r="Q1625" s="367"/>
      <c r="R1625" s="367">
        <v>14</v>
      </c>
      <c r="S1625" s="367">
        <v>2</v>
      </c>
      <c r="T1625" s="367">
        <v>57</v>
      </c>
      <c r="U1625" s="367"/>
      <c r="V1625" s="367"/>
      <c r="W1625" s="367"/>
      <c r="X1625" s="367"/>
      <c r="Y1625" s="367"/>
      <c r="Z1625" s="367"/>
      <c r="AA1625" s="367"/>
      <c r="AB1625" s="367"/>
      <c r="AC1625" s="367">
        <v>-0.02</v>
      </c>
    </row>
    <row r="1626" spans="1:29" ht="15" x14ac:dyDescent="0.25">
      <c r="A1626" s="365" t="s">
        <v>344</v>
      </c>
      <c r="H1626" s="366">
        <v>40</v>
      </c>
      <c r="J1626" s="367"/>
      <c r="K1626" s="367"/>
      <c r="L1626" s="367">
        <v>60</v>
      </c>
      <c r="M1626" s="367"/>
      <c r="N1626" s="367">
        <v>3</v>
      </c>
      <c r="O1626" s="367"/>
      <c r="P1626" s="367">
        <v>35</v>
      </c>
      <c r="Q1626" s="367"/>
      <c r="R1626" s="367">
        <v>24</v>
      </c>
      <c r="S1626" s="367">
        <v>2</v>
      </c>
      <c r="T1626" s="367">
        <v>38</v>
      </c>
      <c r="U1626" s="367"/>
      <c r="V1626" s="367"/>
      <c r="W1626" s="367"/>
      <c r="X1626" s="367"/>
      <c r="Y1626" s="367"/>
      <c r="Z1626" s="367"/>
      <c r="AA1626" s="367">
        <v>0.05</v>
      </c>
      <c r="AB1626" s="367"/>
      <c r="AC1626" s="367">
        <v>0.27</v>
      </c>
    </row>
    <row r="1627" spans="1:29" ht="15" x14ac:dyDescent="0.25">
      <c r="A1627" s="365" t="s">
        <v>650</v>
      </c>
      <c r="H1627" s="366">
        <v>52</v>
      </c>
      <c r="J1627" s="367"/>
      <c r="K1627" s="367"/>
      <c r="L1627" s="367">
        <v>1100</v>
      </c>
      <c r="M1627" s="367">
        <v>9.1</v>
      </c>
      <c r="N1627" s="367">
        <v>26</v>
      </c>
      <c r="O1627" s="367"/>
      <c r="P1627" s="367">
        <v>30</v>
      </c>
      <c r="Q1627" s="367"/>
      <c r="R1627" s="367">
        <v>1320</v>
      </c>
      <c r="S1627" s="367">
        <v>1.1000000000000001</v>
      </c>
      <c r="T1627" s="367">
        <v>260</v>
      </c>
      <c r="U1627" s="367"/>
      <c r="V1627" s="367"/>
      <c r="W1627" s="367"/>
      <c r="X1627" s="367"/>
      <c r="Y1627" s="367"/>
      <c r="Z1627" s="367"/>
      <c r="AA1627" s="367"/>
      <c r="AB1627" s="367"/>
      <c r="AC1627" s="367">
        <v>0.08</v>
      </c>
    </row>
    <row r="1628" spans="1:29" ht="15" x14ac:dyDescent="0.25">
      <c r="A1628" s="365" t="s">
        <v>651</v>
      </c>
      <c r="H1628" s="366">
        <v>85</v>
      </c>
      <c r="J1628" s="367"/>
      <c r="K1628" s="367"/>
      <c r="L1628" s="367">
        <v>1310</v>
      </c>
      <c r="M1628" s="367">
        <v>41</v>
      </c>
      <c r="N1628" s="367">
        <v>19</v>
      </c>
      <c r="O1628" s="367"/>
      <c r="P1628" s="367">
        <v>140</v>
      </c>
      <c r="Q1628" s="367"/>
      <c r="R1628" s="367">
        <v>782</v>
      </c>
      <c r="S1628" s="367">
        <v>0.8</v>
      </c>
      <c r="T1628" s="367">
        <v>1630</v>
      </c>
      <c r="U1628" s="367"/>
      <c r="V1628" s="367"/>
      <c r="W1628" s="367"/>
      <c r="X1628" s="367"/>
      <c r="Y1628" s="367"/>
      <c r="Z1628" s="367"/>
      <c r="AA1628" s="367"/>
      <c r="AB1628" s="367"/>
      <c r="AC1628" s="367">
        <v>0.38</v>
      </c>
    </row>
    <row r="1629" spans="1:29" ht="15" x14ac:dyDescent="0.25">
      <c r="A1629" s="365" t="s">
        <v>652</v>
      </c>
      <c r="H1629" s="366">
        <v>45</v>
      </c>
      <c r="J1629" s="367"/>
      <c r="K1629" s="367"/>
      <c r="L1629" s="367">
        <v>600</v>
      </c>
      <c r="M1629" s="367">
        <v>17</v>
      </c>
      <c r="N1629" s="367">
        <v>44</v>
      </c>
      <c r="O1629" s="367"/>
      <c r="P1629" s="367">
        <v>29</v>
      </c>
      <c r="Q1629" s="367"/>
      <c r="R1629" s="367">
        <v>540</v>
      </c>
      <c r="S1629" s="367">
        <v>1.7</v>
      </c>
      <c r="T1629" s="367">
        <v>250</v>
      </c>
      <c r="U1629" s="367"/>
      <c r="V1629" s="367"/>
      <c r="W1629" s="367"/>
      <c r="X1629" s="367"/>
      <c r="Y1629" s="367"/>
      <c r="Z1629" s="367"/>
      <c r="AA1629" s="367"/>
      <c r="AB1629" s="367"/>
      <c r="AC1629" s="367">
        <v>0.77</v>
      </c>
    </row>
    <row r="1630" spans="1:29" ht="15" x14ac:dyDescent="0.25">
      <c r="A1630" s="365" t="s">
        <v>653</v>
      </c>
      <c r="H1630" s="366">
        <v>28</v>
      </c>
      <c r="J1630" s="367"/>
      <c r="K1630" s="367"/>
      <c r="L1630" s="367">
        <v>58</v>
      </c>
      <c r="M1630" s="367">
        <v>8</v>
      </c>
      <c r="N1630" s="367">
        <v>6</v>
      </c>
      <c r="O1630" s="367"/>
      <c r="P1630" s="367">
        <v>42</v>
      </c>
      <c r="Q1630" s="367"/>
      <c r="R1630" s="367">
        <v>17</v>
      </c>
      <c r="S1630" s="367">
        <v>0.2</v>
      </c>
      <c r="T1630" s="367">
        <v>32</v>
      </c>
      <c r="U1630" s="367"/>
      <c r="V1630" s="367"/>
      <c r="W1630" s="367"/>
      <c r="X1630" s="367"/>
      <c r="Y1630" s="367"/>
      <c r="Z1630" s="367"/>
      <c r="AA1630" s="367"/>
      <c r="AB1630" s="367"/>
      <c r="AC1630" s="367">
        <v>-0.06</v>
      </c>
    </row>
    <row r="1631" spans="1:29" ht="15" x14ac:dyDescent="0.25">
      <c r="A1631" s="365" t="s">
        <v>653</v>
      </c>
      <c r="H1631" s="366">
        <v>28</v>
      </c>
      <c r="J1631" s="367"/>
      <c r="K1631" s="367"/>
      <c r="L1631" s="367">
        <v>56</v>
      </c>
      <c r="M1631" s="367">
        <v>8.5</v>
      </c>
      <c r="N1631" s="367">
        <v>6.2</v>
      </c>
      <c r="O1631" s="367"/>
      <c r="P1631" s="367">
        <v>43</v>
      </c>
      <c r="Q1631" s="367"/>
      <c r="R1631" s="367">
        <v>18</v>
      </c>
      <c r="S1631" s="367">
        <v>0.15</v>
      </c>
      <c r="T1631" s="367">
        <v>28</v>
      </c>
      <c r="U1631" s="367"/>
      <c r="V1631" s="367"/>
      <c r="W1631" s="367"/>
      <c r="X1631" s="367"/>
      <c r="Y1631" s="367"/>
      <c r="Z1631" s="367"/>
      <c r="AA1631" s="367"/>
      <c r="AB1631" s="367"/>
      <c r="AC1631" s="367"/>
    </row>
    <row r="1632" spans="1:29" ht="15" x14ac:dyDescent="0.25">
      <c r="A1632" s="365" t="s">
        <v>653</v>
      </c>
      <c r="H1632" s="366">
        <v>28</v>
      </c>
      <c r="J1632" s="367"/>
      <c r="K1632" s="367"/>
      <c r="L1632" s="367">
        <v>58</v>
      </c>
      <c r="M1632" s="367">
        <v>8</v>
      </c>
      <c r="N1632" s="367">
        <v>6</v>
      </c>
      <c r="O1632" s="367"/>
      <c r="P1632" s="367">
        <v>42</v>
      </c>
      <c r="Q1632" s="367"/>
      <c r="R1632" s="367">
        <v>17</v>
      </c>
      <c r="S1632" s="367">
        <v>0.2</v>
      </c>
      <c r="T1632" s="367">
        <v>32</v>
      </c>
      <c r="U1632" s="367"/>
      <c r="V1632" s="367"/>
      <c r="W1632" s="367"/>
      <c r="X1632" s="367"/>
      <c r="Y1632" s="367"/>
      <c r="Z1632" s="367"/>
      <c r="AA1632" s="367"/>
      <c r="AB1632" s="367"/>
      <c r="AC1632" s="367">
        <v>-0.06</v>
      </c>
    </row>
    <row r="1633" spans="1:29" ht="15" x14ac:dyDescent="0.25">
      <c r="A1633" s="365" t="s">
        <v>653</v>
      </c>
      <c r="H1633" s="366">
        <v>28</v>
      </c>
      <c r="J1633" s="367"/>
      <c r="K1633" s="367"/>
      <c r="L1633" s="367">
        <v>56</v>
      </c>
      <c r="M1633" s="367">
        <v>8.5</v>
      </c>
      <c r="N1633" s="367">
        <v>6.2</v>
      </c>
      <c r="O1633" s="367"/>
      <c r="P1633" s="367">
        <v>43</v>
      </c>
      <c r="Q1633" s="367"/>
      <c r="R1633" s="367">
        <v>18</v>
      </c>
      <c r="S1633" s="367">
        <v>0.15</v>
      </c>
      <c r="T1633" s="367">
        <v>28</v>
      </c>
      <c r="U1633" s="367"/>
      <c r="V1633" s="367"/>
      <c r="W1633" s="367"/>
      <c r="X1633" s="367"/>
      <c r="Y1633" s="367"/>
      <c r="Z1633" s="367"/>
      <c r="AA1633" s="367"/>
      <c r="AB1633" s="367"/>
      <c r="AC1633" s="367"/>
    </row>
    <row r="1634" spans="1:29" ht="15" x14ac:dyDescent="0.25">
      <c r="A1634" s="365" t="s">
        <v>654</v>
      </c>
      <c r="H1634" s="366"/>
      <c r="J1634" s="367"/>
      <c r="K1634" s="367"/>
      <c r="L1634" s="367">
        <v>69</v>
      </c>
      <c r="M1634" s="367">
        <v>13</v>
      </c>
      <c r="N1634" s="367">
        <v>25</v>
      </c>
      <c r="O1634" s="367"/>
      <c r="P1634" s="367">
        <v>46</v>
      </c>
      <c r="Q1634" s="367"/>
      <c r="R1634" s="367">
        <v>6</v>
      </c>
      <c r="S1634" s="367">
        <v>0.2</v>
      </c>
      <c r="T1634" s="367"/>
      <c r="U1634" s="367"/>
      <c r="V1634" s="367"/>
      <c r="W1634" s="367"/>
      <c r="X1634" s="367"/>
      <c r="Y1634" s="367"/>
      <c r="Z1634" s="367"/>
      <c r="AA1634" s="367">
        <v>0.12</v>
      </c>
      <c r="AB1634" s="367"/>
      <c r="AC1634" s="367"/>
    </row>
    <row r="1635" spans="1:29" ht="15" x14ac:dyDescent="0.25">
      <c r="A1635" s="365" t="s">
        <v>655</v>
      </c>
      <c r="H1635" s="366"/>
      <c r="J1635" s="367"/>
      <c r="K1635" s="367"/>
      <c r="L1635" s="367">
        <v>13</v>
      </c>
      <c r="M1635" s="367"/>
      <c r="N1635" s="367">
        <v>15</v>
      </c>
      <c r="O1635" s="367"/>
      <c r="P1635" s="367">
        <v>9</v>
      </c>
      <c r="Q1635" s="367"/>
      <c r="R1635" s="367">
        <v>7</v>
      </c>
      <c r="S1635" s="367">
        <v>0.2</v>
      </c>
      <c r="T1635" s="367">
        <v>20</v>
      </c>
      <c r="U1635" s="367"/>
      <c r="V1635" s="367"/>
      <c r="W1635" s="367"/>
      <c r="X1635" s="367"/>
      <c r="Y1635" s="367"/>
      <c r="Z1635" s="367"/>
      <c r="AA1635" s="367">
        <v>0.06</v>
      </c>
      <c r="AB1635" s="367"/>
      <c r="AC1635" s="367"/>
    </row>
    <row r="1636" spans="1:29" ht="15" x14ac:dyDescent="0.25">
      <c r="A1636" s="365" t="s">
        <v>656</v>
      </c>
      <c r="H1636" s="366"/>
      <c r="J1636" s="367"/>
      <c r="K1636" s="367"/>
      <c r="L1636" s="367">
        <v>117</v>
      </c>
      <c r="M1636" s="367">
        <v>4</v>
      </c>
      <c r="N1636" s="367">
        <v>14</v>
      </c>
      <c r="O1636" s="367"/>
      <c r="P1636" s="367">
        <v>28</v>
      </c>
      <c r="Q1636" s="367"/>
      <c r="R1636" s="367">
        <v>55</v>
      </c>
      <c r="S1636" s="367">
        <v>1.9</v>
      </c>
      <c r="T1636" s="367">
        <v>47</v>
      </c>
      <c r="U1636" s="367"/>
      <c r="V1636" s="367"/>
      <c r="W1636" s="367"/>
      <c r="X1636" s="367"/>
      <c r="Y1636" s="367"/>
      <c r="Z1636" s="367"/>
      <c r="AA1636" s="367">
        <v>0.05</v>
      </c>
      <c r="AB1636" s="367"/>
      <c r="AC1636" s="367"/>
    </row>
    <row r="1637" spans="1:29" ht="15" x14ac:dyDescent="0.25">
      <c r="A1637" s="365" t="s">
        <v>657</v>
      </c>
      <c r="H1637" s="366"/>
      <c r="J1637" s="367"/>
      <c r="K1637" s="367"/>
      <c r="L1637" s="367">
        <v>107</v>
      </c>
      <c r="M1637" s="367">
        <v>11</v>
      </c>
      <c r="N1637" s="367">
        <v>15</v>
      </c>
      <c r="O1637" s="367"/>
      <c r="P1637" s="367">
        <v>25</v>
      </c>
      <c r="Q1637" s="367"/>
      <c r="R1637" s="367">
        <v>108</v>
      </c>
      <c r="S1637" s="367">
        <v>0.3</v>
      </c>
      <c r="T1637" s="367"/>
      <c r="U1637" s="367"/>
      <c r="V1637" s="367"/>
      <c r="W1637" s="367"/>
      <c r="X1637" s="367"/>
      <c r="Y1637" s="367"/>
      <c r="Z1637" s="367"/>
      <c r="AA1637" s="367">
        <v>0.09</v>
      </c>
      <c r="AB1637" s="367"/>
      <c r="AC1637" s="367"/>
    </row>
    <row r="1638" spans="1:29" ht="15" x14ac:dyDescent="0.25">
      <c r="A1638" s="365" t="s">
        <v>658</v>
      </c>
      <c r="H1638" s="366"/>
      <c r="J1638" s="367"/>
      <c r="K1638" s="367"/>
      <c r="L1638" s="367">
        <v>163</v>
      </c>
      <c r="M1638" s="367">
        <v>3</v>
      </c>
      <c r="N1638" s="367">
        <v>7</v>
      </c>
      <c r="O1638" s="367"/>
      <c r="P1638" s="367">
        <v>15</v>
      </c>
      <c r="Q1638" s="367"/>
      <c r="R1638" s="367">
        <v>66</v>
      </c>
      <c r="S1638" s="367">
        <v>6.5</v>
      </c>
      <c r="T1638" s="367">
        <v>20</v>
      </c>
      <c r="U1638" s="367"/>
      <c r="V1638" s="367"/>
      <c r="W1638" s="367"/>
      <c r="X1638" s="367"/>
      <c r="Y1638" s="367"/>
      <c r="Z1638" s="367"/>
      <c r="AA1638" s="367">
        <v>0.1</v>
      </c>
      <c r="AB1638" s="367"/>
      <c r="AC1638" s="367"/>
    </row>
    <row r="1639" spans="1:29" ht="15" x14ac:dyDescent="0.25">
      <c r="A1639" s="365" t="s">
        <v>659</v>
      </c>
      <c r="H1639" s="366"/>
      <c r="J1639" s="367"/>
      <c r="K1639" s="367"/>
      <c r="L1639" s="367">
        <v>184</v>
      </c>
      <c r="M1639" s="367">
        <v>4</v>
      </c>
      <c r="N1639" s="367">
        <v>28</v>
      </c>
      <c r="O1639" s="367"/>
      <c r="P1639" s="367">
        <v>20</v>
      </c>
      <c r="Q1639" s="367"/>
      <c r="R1639" s="367">
        <v>190</v>
      </c>
      <c r="S1639" s="367">
        <v>8.5</v>
      </c>
      <c r="T1639" s="367"/>
      <c r="U1639" s="367"/>
      <c r="V1639" s="367"/>
      <c r="W1639" s="367"/>
      <c r="X1639" s="367"/>
      <c r="Y1639" s="367"/>
      <c r="Z1639" s="367"/>
      <c r="AA1639" s="367">
        <v>0.1</v>
      </c>
    </row>
    <row r="1640" spans="1:29" ht="15" x14ac:dyDescent="0.25">
      <c r="A1640" s="365" t="s">
        <v>660</v>
      </c>
      <c r="H1640" s="366"/>
      <c r="J1640" s="367"/>
      <c r="K1640" s="367"/>
      <c r="L1640" s="367">
        <v>84</v>
      </c>
      <c r="M1640" s="367"/>
      <c r="N1640" s="367">
        <v>24</v>
      </c>
      <c r="O1640" s="367"/>
      <c r="P1640" s="367">
        <v>14</v>
      </c>
      <c r="Q1640" s="367"/>
      <c r="R1640" s="367">
        <v>87</v>
      </c>
      <c r="S1640" s="367">
        <v>0.3</v>
      </c>
      <c r="T1640" s="367"/>
      <c r="U1640" s="367"/>
      <c r="V1640" s="367"/>
      <c r="W1640" s="367"/>
      <c r="X1640" s="367"/>
      <c r="Y1640" s="367"/>
      <c r="Z1640" s="367"/>
      <c r="AA1640" s="367">
        <v>0.09</v>
      </c>
    </row>
    <row r="1641" spans="1:29" ht="15" x14ac:dyDescent="0.25">
      <c r="A1641" s="365" t="s">
        <v>661</v>
      </c>
      <c r="H1641" s="366"/>
      <c r="J1641" s="367"/>
      <c r="K1641" s="367"/>
      <c r="L1641" s="367">
        <v>210</v>
      </c>
      <c r="M1641" s="367">
        <v>4</v>
      </c>
      <c r="N1641" s="367">
        <v>4</v>
      </c>
      <c r="O1641" s="367"/>
      <c r="P1641" s="367">
        <v>39</v>
      </c>
      <c r="Q1641" s="367"/>
      <c r="R1641" s="367">
        <v>192</v>
      </c>
      <c r="S1641" s="367">
        <v>10</v>
      </c>
      <c r="T1641" s="367">
        <v>30</v>
      </c>
      <c r="U1641" s="367"/>
      <c r="V1641" s="367"/>
      <c r="W1641" s="367"/>
      <c r="X1641" s="367"/>
      <c r="Y1641" s="367"/>
      <c r="Z1641" s="367"/>
      <c r="AA1641" s="367">
        <v>0.02</v>
      </c>
    </row>
    <row r="1642" spans="1:29" ht="15" x14ac:dyDescent="0.25">
      <c r="A1642" s="365" t="s">
        <v>690</v>
      </c>
      <c r="H1642" s="366"/>
      <c r="J1642" s="367"/>
      <c r="K1642" s="367"/>
      <c r="L1642" s="367">
        <v>57</v>
      </c>
      <c r="M1642" s="367">
        <v>3</v>
      </c>
      <c r="N1642" s="367">
        <v>19</v>
      </c>
      <c r="O1642" s="367"/>
      <c r="P1642" s="367">
        <v>23</v>
      </c>
      <c r="Q1642" s="367"/>
      <c r="R1642" s="367">
        <v>43</v>
      </c>
      <c r="S1642" s="367">
        <v>0.4</v>
      </c>
      <c r="T1642" s="367"/>
      <c r="U1642" s="367"/>
      <c r="V1642" s="367"/>
      <c r="W1642" s="367"/>
      <c r="X1642" s="367"/>
      <c r="Y1642" s="367"/>
      <c r="Z1642" s="367"/>
      <c r="AA1642" s="367">
        <v>0.06</v>
      </c>
    </row>
    <row r="1643" spans="1:29" ht="15" x14ac:dyDescent="0.25">
      <c r="A1643" s="365" t="s">
        <v>712</v>
      </c>
      <c r="H1643" s="366"/>
      <c r="J1643" s="367"/>
      <c r="K1643" s="367"/>
      <c r="L1643" s="367">
        <v>203</v>
      </c>
      <c r="M1643" s="367">
        <v>5</v>
      </c>
      <c r="N1643" s="367">
        <v>25</v>
      </c>
      <c r="O1643" s="367"/>
      <c r="P1643" s="367">
        <v>29</v>
      </c>
      <c r="Q1643" s="367"/>
      <c r="R1643" s="367">
        <v>181</v>
      </c>
      <c r="S1643" s="367">
        <v>2.2000000000000002</v>
      </c>
      <c r="T1643" s="367"/>
      <c r="U1643" s="367"/>
      <c r="V1643" s="367"/>
      <c r="W1643" s="367"/>
      <c r="X1643" s="367"/>
      <c r="Y1643" s="367"/>
      <c r="Z1643" s="367"/>
      <c r="AA1643" s="367">
        <v>0.12</v>
      </c>
    </row>
    <row r="1644" spans="1:29" ht="15" x14ac:dyDescent="0.25">
      <c r="A1644" s="365" t="s">
        <v>713</v>
      </c>
      <c r="H1644" s="366"/>
      <c r="J1644" s="367"/>
      <c r="K1644" s="367"/>
      <c r="L1644" s="367">
        <v>222</v>
      </c>
      <c r="M1644" s="367">
        <v>10</v>
      </c>
      <c r="N1644" s="367">
        <v>4</v>
      </c>
      <c r="O1644" s="367"/>
      <c r="P1644" s="367">
        <v>56</v>
      </c>
      <c r="Q1644" s="367"/>
      <c r="R1644" s="367">
        <v>219</v>
      </c>
      <c r="S1644" s="367">
        <v>12.3</v>
      </c>
      <c r="T1644" s="367">
        <v>12</v>
      </c>
      <c r="U1644" s="367"/>
      <c r="V1644" s="367"/>
      <c r="W1644" s="367"/>
      <c r="X1644" s="367"/>
      <c r="Y1644" s="367"/>
      <c r="Z1644" s="367"/>
      <c r="AA1644" s="367">
        <v>0.11</v>
      </c>
    </row>
    <row r="1645" spans="1:29" ht="15" x14ac:dyDescent="0.25">
      <c r="A1645" s="365" t="s">
        <v>714</v>
      </c>
      <c r="H1645" s="366"/>
      <c r="J1645" s="367"/>
      <c r="K1645" s="367"/>
      <c r="L1645" s="367">
        <v>239</v>
      </c>
      <c r="M1645" s="367">
        <v>7</v>
      </c>
      <c r="N1645" s="367">
        <v>10</v>
      </c>
      <c r="O1645" s="367"/>
      <c r="P1645" s="367">
        <v>38</v>
      </c>
      <c r="Q1645" s="367"/>
      <c r="R1645" s="367">
        <v>198</v>
      </c>
      <c r="S1645" s="367">
        <v>8.8000000000000007</v>
      </c>
      <c r="T1645" s="367">
        <v>37</v>
      </c>
      <c r="U1645" s="367"/>
      <c r="V1645" s="367"/>
      <c r="W1645" s="367"/>
      <c r="X1645" s="367"/>
      <c r="Y1645" s="367"/>
      <c r="Z1645" s="367"/>
      <c r="AA1645" s="367">
        <v>0.04</v>
      </c>
    </row>
    <row r="1646" spans="1:29" ht="15" x14ac:dyDescent="0.25">
      <c r="A1646" s="365" t="s">
        <v>715</v>
      </c>
      <c r="H1646" s="366"/>
      <c r="J1646" s="367"/>
      <c r="K1646" s="367"/>
      <c r="L1646" s="367">
        <v>84</v>
      </c>
      <c r="M1646" s="367">
        <v>4</v>
      </c>
      <c r="N1646" s="367">
        <v>47</v>
      </c>
      <c r="O1646" s="367"/>
      <c r="P1646" s="367">
        <v>22</v>
      </c>
      <c r="Q1646" s="367"/>
      <c r="R1646" s="367">
        <v>53</v>
      </c>
      <c r="S1646" s="367">
        <v>0.2</v>
      </c>
      <c r="T1646" s="367">
        <v>28</v>
      </c>
      <c r="U1646" s="367"/>
      <c r="V1646" s="367"/>
      <c r="W1646" s="367"/>
      <c r="X1646" s="367"/>
      <c r="Y1646" s="367"/>
      <c r="Z1646" s="367"/>
      <c r="AA1646" s="367">
        <v>0.16</v>
      </c>
    </row>
    <row r="1647" spans="1:29" ht="15" x14ac:dyDescent="0.25">
      <c r="A1647" s="365" t="s">
        <v>716</v>
      </c>
      <c r="H1647" s="366"/>
      <c r="J1647" s="367"/>
      <c r="K1647" s="367"/>
      <c r="L1647" s="367">
        <v>62</v>
      </c>
      <c r="M1647" s="367">
        <v>4</v>
      </c>
      <c r="N1647" s="367">
        <v>27</v>
      </c>
      <c r="O1647" s="367"/>
      <c r="P1647" s="367">
        <v>19</v>
      </c>
      <c r="Q1647" s="367"/>
      <c r="R1647" s="367">
        <v>39</v>
      </c>
      <c r="S1647" s="367">
        <v>0.5</v>
      </c>
      <c r="T1647" s="367">
        <v>13</v>
      </c>
      <c r="U1647" s="367"/>
      <c r="V1647" s="367"/>
      <c r="W1647" s="367"/>
      <c r="X1647" s="367"/>
      <c r="Y1647" s="367"/>
      <c r="Z1647" s="367"/>
      <c r="AA1647" s="367">
        <v>0.09</v>
      </c>
    </row>
    <row r="1648" spans="1:29" ht="15" x14ac:dyDescent="0.25">
      <c r="A1648" s="365" t="s">
        <v>662</v>
      </c>
      <c r="H1648" s="366"/>
      <c r="J1648" s="367"/>
      <c r="K1648" s="367"/>
      <c r="L1648" s="367">
        <v>55</v>
      </c>
      <c r="M1648" s="367"/>
      <c r="N1648" s="367">
        <v>16</v>
      </c>
      <c r="O1648" s="367"/>
      <c r="P1648" s="367">
        <v>16</v>
      </c>
      <c r="Q1648" s="367"/>
      <c r="R1648" s="367">
        <v>37</v>
      </c>
      <c r="S1648" s="367">
        <v>0.2</v>
      </c>
      <c r="T1648" s="367">
        <v>21</v>
      </c>
      <c r="U1648" s="367"/>
      <c r="V1648" s="367"/>
      <c r="W1648" s="367"/>
      <c r="X1648" s="367"/>
      <c r="Y1648" s="367"/>
      <c r="Z1648" s="367"/>
      <c r="AA1648" s="367">
        <v>0.1</v>
      </c>
    </row>
    <row r="1649" spans="1:27" ht="15" x14ac:dyDescent="0.25">
      <c r="A1649" s="365" t="s">
        <v>663</v>
      </c>
      <c r="H1649" s="366"/>
      <c r="J1649" s="367"/>
      <c r="K1649" s="367"/>
      <c r="L1649" s="367">
        <v>59</v>
      </c>
      <c r="M1649" s="367">
        <v>4</v>
      </c>
      <c r="N1649" s="367">
        <v>65</v>
      </c>
      <c r="O1649" s="367"/>
      <c r="P1649" s="367">
        <v>20</v>
      </c>
      <c r="Q1649" s="367"/>
      <c r="R1649" s="367">
        <v>43</v>
      </c>
      <c r="S1649" s="367">
        <v>0.2</v>
      </c>
      <c r="T1649" s="367">
        <v>50</v>
      </c>
      <c r="U1649" s="367"/>
      <c r="V1649" s="367"/>
      <c r="W1649" s="367"/>
      <c r="X1649" s="367"/>
      <c r="Y1649" s="367"/>
      <c r="Z1649" s="367"/>
      <c r="AA1649" s="367">
        <v>0.23</v>
      </c>
    </row>
    <row r="1650" spans="1:27" ht="15" x14ac:dyDescent="0.25">
      <c r="A1650" s="365" t="s">
        <v>664</v>
      </c>
      <c r="H1650" s="366"/>
      <c r="J1650" s="367"/>
      <c r="K1650" s="367"/>
      <c r="L1650" s="367">
        <v>152</v>
      </c>
      <c r="M1650" s="367">
        <v>4</v>
      </c>
      <c r="N1650" s="367">
        <v>12</v>
      </c>
      <c r="O1650" s="367"/>
      <c r="P1650" s="367">
        <v>24</v>
      </c>
      <c r="Q1650" s="367"/>
      <c r="R1650" s="367">
        <v>140</v>
      </c>
      <c r="S1650" s="367">
        <v>4.8</v>
      </c>
      <c r="T1650" s="367">
        <v>41</v>
      </c>
      <c r="U1650" s="367"/>
      <c r="V1650" s="367"/>
      <c r="W1650" s="367"/>
      <c r="X1650" s="367"/>
      <c r="Y1650" s="367"/>
      <c r="Z1650" s="367"/>
      <c r="AA1650" s="367">
        <v>0.04</v>
      </c>
    </row>
    <row r="1651" spans="1:27" ht="15" x14ac:dyDescent="0.25">
      <c r="A1651" s="365" t="s">
        <v>665</v>
      </c>
      <c r="H1651" s="366"/>
      <c r="J1651" s="367"/>
      <c r="K1651" s="367"/>
      <c r="L1651" s="367">
        <v>167</v>
      </c>
      <c r="M1651" s="367">
        <v>11</v>
      </c>
      <c r="N1651" s="367">
        <v>13</v>
      </c>
      <c r="O1651" s="367"/>
      <c r="P1651" s="367">
        <v>27</v>
      </c>
      <c r="Q1651" s="367"/>
      <c r="R1651" s="367">
        <v>173</v>
      </c>
      <c r="S1651" s="367">
        <v>6.5</v>
      </c>
      <c r="T1651" s="367"/>
      <c r="U1651" s="367"/>
      <c r="V1651" s="367"/>
      <c r="W1651" s="367"/>
      <c r="X1651" s="367"/>
      <c r="Y1651" s="367"/>
      <c r="Z1651" s="367"/>
      <c r="AA1651" s="367">
        <v>0.06</v>
      </c>
    </row>
    <row r="1652" spans="1:27" ht="15" x14ac:dyDescent="0.25">
      <c r="A1652" s="365" t="s">
        <v>666</v>
      </c>
      <c r="H1652" s="366"/>
      <c r="J1652" s="367"/>
      <c r="K1652" s="367"/>
      <c r="L1652" s="367">
        <v>202</v>
      </c>
      <c r="M1652" s="367">
        <v>7</v>
      </c>
      <c r="N1652" s="367">
        <v>2</v>
      </c>
      <c r="O1652" s="367"/>
      <c r="P1652" s="367">
        <v>61</v>
      </c>
      <c r="Q1652" s="367"/>
      <c r="R1652" s="367">
        <v>190</v>
      </c>
      <c r="S1652" s="367">
        <v>11</v>
      </c>
      <c r="T1652" s="367"/>
      <c r="U1652" s="367"/>
      <c r="V1652" s="367"/>
      <c r="W1652" s="367"/>
      <c r="X1652" s="367"/>
      <c r="Y1652" s="367"/>
      <c r="Z1652" s="367"/>
      <c r="AA1652" s="367">
        <v>0.02</v>
      </c>
    </row>
    <row r="1653" spans="1:27" ht="15" x14ac:dyDescent="0.25">
      <c r="A1653" s="365" t="s">
        <v>667</v>
      </c>
      <c r="H1653" s="366"/>
      <c r="J1653" s="367"/>
      <c r="K1653" s="367"/>
      <c r="L1653" s="367">
        <v>180</v>
      </c>
      <c r="M1653" s="367">
        <v>12</v>
      </c>
      <c r="N1653" s="367">
        <v>11</v>
      </c>
      <c r="O1653" s="367"/>
      <c r="P1653" s="367">
        <v>35</v>
      </c>
      <c r="Q1653" s="367"/>
      <c r="R1653" s="367">
        <v>194</v>
      </c>
      <c r="S1653" s="367">
        <v>7</v>
      </c>
      <c r="T1653" s="367"/>
      <c r="U1653" s="367"/>
      <c r="V1653" s="367"/>
      <c r="W1653" s="367"/>
      <c r="X1653" s="367"/>
      <c r="Y1653" s="367"/>
      <c r="Z1653" s="367"/>
      <c r="AA1653" s="367">
        <v>0.06</v>
      </c>
    </row>
    <row r="1654" spans="1:27" ht="15" x14ac:dyDescent="0.25">
      <c r="A1654" s="365" t="s">
        <v>668</v>
      </c>
      <c r="H1654" s="366"/>
      <c r="J1654" s="367"/>
      <c r="K1654" s="367"/>
      <c r="L1654" s="367">
        <v>185</v>
      </c>
      <c r="M1654" s="367">
        <v>9</v>
      </c>
      <c r="N1654" s="367">
        <v>14</v>
      </c>
      <c r="O1654" s="367"/>
      <c r="P1654" s="367">
        <v>75</v>
      </c>
      <c r="Q1654" s="367"/>
      <c r="R1654" s="367">
        <v>187</v>
      </c>
      <c r="S1654" s="367">
        <v>11</v>
      </c>
      <c r="T1654" s="367"/>
      <c r="U1654" s="367"/>
      <c r="V1654" s="367"/>
      <c r="W1654" s="367"/>
      <c r="X1654" s="367"/>
      <c r="Y1654" s="367"/>
      <c r="Z1654" s="367"/>
      <c r="AA1654" s="367">
        <v>0.03</v>
      </c>
    </row>
    <row r="1655" spans="1:27" ht="15" x14ac:dyDescent="0.25">
      <c r="A1655" s="365" t="s">
        <v>669</v>
      </c>
      <c r="H1655" s="366"/>
      <c r="J1655" s="367"/>
      <c r="K1655" s="367"/>
      <c r="L1655" s="367">
        <v>141</v>
      </c>
      <c r="M1655" s="367">
        <v>6</v>
      </c>
      <c r="N1655" s="367">
        <v>54</v>
      </c>
      <c r="O1655" s="367"/>
      <c r="P1655" s="367">
        <v>17</v>
      </c>
      <c r="Q1655" s="367"/>
      <c r="R1655" s="367">
        <v>190</v>
      </c>
      <c r="S1655" s="367">
        <v>0.4</v>
      </c>
      <c r="T1655" s="367">
        <v>37</v>
      </c>
      <c r="U1655" s="367"/>
      <c r="V1655" s="367"/>
      <c r="W1655" s="367"/>
      <c r="X1655" s="367"/>
      <c r="Y1655" s="367"/>
      <c r="Z1655" s="367"/>
      <c r="AA1655" s="367">
        <v>0.19</v>
      </c>
    </row>
    <row r="1656" spans="1:27" ht="15" x14ac:dyDescent="0.25">
      <c r="A1656" s="365" t="s">
        <v>670</v>
      </c>
      <c r="H1656" s="366"/>
      <c r="J1656" s="367"/>
      <c r="K1656" s="367"/>
      <c r="L1656" s="367">
        <v>31</v>
      </c>
      <c r="M1656" s="367"/>
      <c r="N1656" s="367">
        <v>22</v>
      </c>
      <c r="O1656" s="367"/>
      <c r="P1656" s="367">
        <v>5</v>
      </c>
      <c r="Q1656" s="367"/>
      <c r="R1656" s="367">
        <v>15</v>
      </c>
      <c r="S1656" s="367">
        <v>0.1</v>
      </c>
      <c r="T1656" s="367">
        <v>15</v>
      </c>
      <c r="U1656" s="367"/>
      <c r="V1656" s="367"/>
      <c r="W1656" s="367"/>
      <c r="X1656" s="367"/>
      <c r="Y1656" s="367"/>
      <c r="Z1656" s="367"/>
      <c r="AA1656" s="367">
        <v>0.09</v>
      </c>
    </row>
    <row r="1657" spans="1:27" ht="15" x14ac:dyDescent="0.25">
      <c r="A1657" s="365" t="s">
        <v>671</v>
      </c>
      <c r="H1657" s="366"/>
      <c r="J1657" s="367"/>
      <c r="K1657" s="367"/>
      <c r="L1657" s="367">
        <v>238</v>
      </c>
      <c r="M1657" s="367">
        <v>7</v>
      </c>
      <c r="N1657" s="367">
        <v>8</v>
      </c>
      <c r="O1657" s="367"/>
      <c r="P1657" s="367">
        <v>37</v>
      </c>
      <c r="Q1657" s="367"/>
      <c r="R1657" s="367">
        <v>191</v>
      </c>
      <c r="S1657" s="367">
        <v>3.1</v>
      </c>
      <c r="T1657" s="367">
        <v>10</v>
      </c>
      <c r="U1657" s="367"/>
      <c r="V1657" s="367"/>
      <c r="W1657" s="367"/>
      <c r="X1657" s="367"/>
      <c r="Y1657" s="367"/>
      <c r="Z1657" s="367"/>
      <c r="AA1657" s="367">
        <v>0.04</v>
      </c>
    </row>
    <row r="1658" spans="1:27" ht="15" x14ac:dyDescent="0.25">
      <c r="A1658" s="365" t="s">
        <v>629</v>
      </c>
      <c r="H1658" s="366"/>
      <c r="J1658" s="367"/>
      <c r="K1658" s="367"/>
      <c r="L1658" s="367">
        <v>63</v>
      </c>
      <c r="M1658" s="367">
        <v>17</v>
      </c>
      <c r="N1658" s="367">
        <v>14</v>
      </c>
      <c r="O1658" s="367"/>
      <c r="P1658" s="367">
        <v>43</v>
      </c>
      <c r="Q1658" s="367"/>
      <c r="R1658" s="367">
        <v>6</v>
      </c>
      <c r="S1658" s="367">
        <v>0.2</v>
      </c>
      <c r="T1658" s="367"/>
      <c r="U1658" s="367"/>
      <c r="V1658" s="367"/>
      <c r="W1658" s="367"/>
      <c r="X1658" s="367"/>
      <c r="Y1658" s="367"/>
      <c r="Z1658" s="367"/>
      <c r="AA1658" s="367">
        <v>7.0000000000000007E-2</v>
      </c>
    </row>
    <row r="1659" spans="1:27" ht="15" x14ac:dyDescent="0.25">
      <c r="A1659" s="365" t="s">
        <v>630</v>
      </c>
      <c r="H1659" s="366"/>
      <c r="J1659" s="367"/>
      <c r="K1659" s="367"/>
      <c r="L1659" s="367">
        <v>96</v>
      </c>
      <c r="M1659" s="367">
        <v>10</v>
      </c>
      <c r="N1659" s="367">
        <v>21</v>
      </c>
      <c r="O1659" s="367"/>
      <c r="P1659" s="367">
        <v>30</v>
      </c>
      <c r="Q1659" s="367"/>
      <c r="R1659" s="367">
        <v>103</v>
      </c>
      <c r="S1659" s="367">
        <v>0.3</v>
      </c>
      <c r="T1659" s="367"/>
      <c r="U1659" s="367"/>
      <c r="V1659" s="367"/>
      <c r="W1659" s="367"/>
      <c r="X1659" s="367"/>
      <c r="Y1659" s="367"/>
      <c r="Z1659" s="367"/>
      <c r="AA1659" s="367">
        <v>0.11</v>
      </c>
    </row>
    <row r="1660" spans="1:27" ht="15" x14ac:dyDescent="0.25">
      <c r="A1660" s="365" t="s">
        <v>631</v>
      </c>
      <c r="H1660" s="366"/>
      <c r="J1660" s="367"/>
      <c r="K1660" s="367"/>
      <c r="L1660" s="367">
        <v>74</v>
      </c>
      <c r="M1660" s="367">
        <v>8</v>
      </c>
      <c r="N1660" s="367">
        <v>18</v>
      </c>
      <c r="O1660" s="367"/>
      <c r="P1660" s="367">
        <v>25</v>
      </c>
      <c r="Q1660" s="367"/>
      <c r="R1660" s="367">
        <v>68</v>
      </c>
      <c r="S1660" s="367">
        <v>0.3</v>
      </c>
      <c r="T1660" s="367"/>
      <c r="U1660" s="367"/>
      <c r="V1660" s="367"/>
      <c r="W1660" s="367"/>
      <c r="X1660" s="367"/>
      <c r="Y1660" s="367"/>
      <c r="Z1660" s="367"/>
      <c r="AA1660" s="367">
        <v>0.1</v>
      </c>
    </row>
    <row r="1661" spans="1:27" ht="15" x14ac:dyDescent="0.25">
      <c r="A1661" s="365" t="s">
        <v>632</v>
      </c>
      <c r="H1661" s="366"/>
      <c r="J1661" s="367"/>
      <c r="K1661" s="367"/>
      <c r="L1661" s="367">
        <v>179</v>
      </c>
      <c r="M1661" s="367">
        <v>10</v>
      </c>
      <c r="N1661" s="367">
        <v>22</v>
      </c>
      <c r="O1661" s="367"/>
      <c r="P1661" s="367">
        <v>39</v>
      </c>
      <c r="Q1661" s="367"/>
      <c r="R1661" s="367">
        <v>188</v>
      </c>
      <c r="S1661" s="367">
        <v>9.1</v>
      </c>
      <c r="T1661" s="367">
        <v>13</v>
      </c>
      <c r="U1661" s="367"/>
      <c r="V1661" s="367"/>
      <c r="W1661" s="367"/>
      <c r="X1661" s="367"/>
      <c r="Y1661" s="367"/>
      <c r="Z1661" s="367"/>
      <c r="AA1661" s="367">
        <v>0.06</v>
      </c>
    </row>
    <row r="1662" spans="1:27" ht="15" x14ac:dyDescent="0.25">
      <c r="A1662" s="365" t="s">
        <v>672</v>
      </c>
      <c r="H1662" s="366"/>
      <c r="J1662" s="367"/>
      <c r="K1662" s="367"/>
      <c r="L1662" s="367">
        <v>100</v>
      </c>
      <c r="M1662" s="367">
        <v>11</v>
      </c>
      <c r="N1662" s="367">
        <v>19</v>
      </c>
      <c r="O1662" s="367"/>
      <c r="P1662" s="367">
        <v>27</v>
      </c>
      <c r="Q1662" s="367"/>
      <c r="R1662" s="367">
        <v>18</v>
      </c>
      <c r="S1662" s="367">
        <v>0.4</v>
      </c>
      <c r="T1662" s="367">
        <v>15</v>
      </c>
      <c r="U1662" s="367"/>
      <c r="V1662" s="367"/>
      <c r="W1662" s="367"/>
      <c r="X1662" s="367"/>
      <c r="Y1662" s="367"/>
      <c r="Z1662" s="367"/>
      <c r="AA1662" s="367">
        <v>0.13</v>
      </c>
    </row>
    <row r="1663" spans="1:27" ht="15" x14ac:dyDescent="0.25">
      <c r="A1663" s="365" t="s">
        <v>673</v>
      </c>
      <c r="H1663" s="366"/>
      <c r="J1663" s="367"/>
      <c r="K1663" s="367"/>
      <c r="L1663" s="367">
        <v>121</v>
      </c>
      <c r="M1663" s="367">
        <v>4</v>
      </c>
      <c r="N1663" s="367">
        <v>19</v>
      </c>
      <c r="O1663" s="367"/>
      <c r="P1663" s="367">
        <v>16</v>
      </c>
      <c r="Q1663" s="367"/>
      <c r="R1663" s="367">
        <v>107</v>
      </c>
      <c r="S1663" s="367">
        <v>1.7</v>
      </c>
      <c r="T1663" s="367"/>
      <c r="U1663" s="367"/>
      <c r="V1663" s="367"/>
      <c r="W1663" s="367"/>
      <c r="X1663" s="367"/>
      <c r="Y1663" s="367"/>
      <c r="Z1663" s="367"/>
      <c r="AA1663" s="367">
        <v>0.11</v>
      </c>
    </row>
    <row r="1664" spans="1:27" ht="15" x14ac:dyDescent="0.25">
      <c r="A1664" s="365" t="s">
        <v>674</v>
      </c>
      <c r="H1664" s="366"/>
      <c r="J1664" s="367"/>
      <c r="K1664" s="367"/>
      <c r="L1664" s="367">
        <v>162</v>
      </c>
      <c r="M1664" s="367">
        <v>7</v>
      </c>
      <c r="N1664" s="367">
        <v>13</v>
      </c>
      <c r="O1664" s="367"/>
      <c r="P1664" s="367">
        <v>29</v>
      </c>
      <c r="Q1664" s="367"/>
      <c r="R1664" s="367">
        <v>105</v>
      </c>
      <c r="S1664" s="367">
        <v>4.7</v>
      </c>
      <c r="T1664" s="367"/>
      <c r="U1664" s="367"/>
      <c r="V1664" s="367"/>
      <c r="W1664" s="367"/>
      <c r="X1664" s="367"/>
      <c r="Y1664" s="367"/>
      <c r="Z1664" s="367"/>
      <c r="AA1664" s="367">
        <v>0.08</v>
      </c>
    </row>
    <row r="1665" spans="1:27" ht="15" x14ac:dyDescent="0.25">
      <c r="A1665" s="365" t="s">
        <v>675</v>
      </c>
      <c r="H1665" s="366"/>
      <c r="J1665" s="367"/>
      <c r="K1665" s="367"/>
      <c r="L1665" s="367">
        <v>206</v>
      </c>
      <c r="M1665" s="367">
        <v>9</v>
      </c>
      <c r="N1665" s="367">
        <v>2</v>
      </c>
      <c r="O1665" s="367"/>
      <c r="P1665" s="367">
        <v>56</v>
      </c>
      <c r="Q1665" s="367"/>
      <c r="R1665" s="367">
        <v>201</v>
      </c>
      <c r="S1665" s="367">
        <v>11.5</v>
      </c>
      <c r="T1665" s="367"/>
      <c r="U1665" s="367"/>
      <c r="V1665" s="367"/>
      <c r="W1665" s="367"/>
      <c r="X1665" s="367"/>
      <c r="Y1665" s="367"/>
      <c r="Z1665" s="367"/>
      <c r="AA1665" s="367">
        <v>0.06</v>
      </c>
    </row>
    <row r="1666" spans="1:27" ht="15" x14ac:dyDescent="0.25">
      <c r="A1666" s="365" t="s">
        <v>676</v>
      </c>
      <c r="H1666" s="366"/>
      <c r="J1666" s="367"/>
      <c r="K1666" s="367"/>
      <c r="L1666" s="367">
        <v>190</v>
      </c>
      <c r="M1666" s="367">
        <v>6</v>
      </c>
      <c r="N1666" s="367">
        <v>5</v>
      </c>
      <c r="O1666" s="367"/>
      <c r="P1666" s="367">
        <v>54</v>
      </c>
      <c r="Q1666" s="367"/>
      <c r="R1666" s="367">
        <v>156</v>
      </c>
      <c r="S1666" s="367">
        <v>9.5</v>
      </c>
      <c r="T1666" s="367">
        <v>16</v>
      </c>
      <c r="U1666" s="367"/>
      <c r="V1666" s="367"/>
      <c r="W1666" s="367"/>
      <c r="X1666" s="367"/>
      <c r="Y1666" s="367"/>
      <c r="Z1666" s="367"/>
      <c r="AA1666" s="367">
        <v>0.03</v>
      </c>
    </row>
    <row r="1667" spans="1:27" ht="15" x14ac:dyDescent="0.25">
      <c r="A1667" s="365" t="s">
        <v>677</v>
      </c>
      <c r="H1667" s="366"/>
      <c r="J1667" s="367"/>
      <c r="K1667" s="367"/>
      <c r="L1667" s="367">
        <v>157</v>
      </c>
      <c r="M1667" s="367">
        <v>5</v>
      </c>
      <c r="N1667" s="367">
        <v>2</v>
      </c>
      <c r="O1667" s="367"/>
      <c r="P1667" s="367">
        <v>43</v>
      </c>
      <c r="Q1667" s="367"/>
      <c r="R1667" s="367">
        <v>76</v>
      </c>
      <c r="S1667" s="367">
        <v>8</v>
      </c>
      <c r="T1667" s="367">
        <v>25</v>
      </c>
      <c r="U1667" s="367"/>
      <c r="V1667" s="367"/>
      <c r="W1667" s="367"/>
      <c r="X1667" s="367"/>
      <c r="Y1667" s="367"/>
      <c r="Z1667" s="367"/>
      <c r="AA1667" s="367">
        <v>0.02</v>
      </c>
    </row>
    <row r="1668" spans="1:27" ht="15" x14ac:dyDescent="0.25">
      <c r="A1668" s="365" t="s">
        <v>678</v>
      </c>
      <c r="H1668" s="366"/>
      <c r="J1668" s="367"/>
      <c r="K1668" s="367"/>
      <c r="L1668" s="367">
        <v>190</v>
      </c>
      <c r="M1668" s="367">
        <v>7</v>
      </c>
      <c r="N1668" s="367">
        <v>30</v>
      </c>
      <c r="O1668" s="367"/>
      <c r="P1668" s="367">
        <v>60</v>
      </c>
      <c r="Q1668" s="367"/>
      <c r="R1668" s="367">
        <v>201</v>
      </c>
      <c r="S1668" s="367">
        <v>11</v>
      </c>
      <c r="T1668" s="367"/>
      <c r="U1668" s="367"/>
      <c r="V1668" s="367"/>
      <c r="W1668" s="367"/>
      <c r="X1668" s="367"/>
      <c r="Y1668" s="367"/>
      <c r="Z1668" s="367"/>
      <c r="AA1668" s="367">
        <v>0.06</v>
      </c>
    </row>
    <row r="1669" spans="1:27" ht="15" x14ac:dyDescent="0.25">
      <c r="A1669" s="365" t="s">
        <v>679</v>
      </c>
      <c r="H1669" s="366"/>
      <c r="J1669" s="367"/>
      <c r="K1669" s="367"/>
      <c r="L1669" s="367">
        <v>201</v>
      </c>
      <c r="M1669" s="367">
        <v>6</v>
      </c>
      <c r="N1669" s="367">
        <v>6</v>
      </c>
      <c r="O1669" s="367"/>
      <c r="P1669" s="367">
        <v>62</v>
      </c>
      <c r="Q1669" s="367"/>
      <c r="R1669" s="367">
        <v>193</v>
      </c>
      <c r="S1669" s="367">
        <v>10.5</v>
      </c>
      <c r="T1669" s="367"/>
      <c r="U1669" s="367"/>
      <c r="V1669" s="367"/>
      <c r="W1669" s="367"/>
      <c r="X1669" s="367"/>
      <c r="Y1669" s="367"/>
      <c r="Z1669" s="367"/>
      <c r="AA1669" s="367">
        <v>0.04</v>
      </c>
    </row>
    <row r="1670" spans="1:27" ht="15" x14ac:dyDescent="0.25">
      <c r="A1670" s="365" t="s">
        <v>680</v>
      </c>
      <c r="H1670" s="366"/>
      <c r="J1670" s="367"/>
      <c r="K1670" s="367"/>
      <c r="L1670" s="367">
        <v>128</v>
      </c>
      <c r="M1670" s="367">
        <v>15</v>
      </c>
      <c r="N1670" s="367">
        <v>11</v>
      </c>
      <c r="O1670" s="367"/>
      <c r="P1670" s="367">
        <v>38</v>
      </c>
      <c r="Q1670" s="367"/>
      <c r="R1670" s="367">
        <v>25</v>
      </c>
      <c r="S1670" s="367">
        <v>0.3</v>
      </c>
      <c r="T1670" s="367">
        <v>10</v>
      </c>
      <c r="U1670" s="367"/>
      <c r="V1670" s="367"/>
      <c r="W1670" s="367"/>
      <c r="X1670" s="367"/>
      <c r="Y1670" s="367"/>
      <c r="Z1670" s="367"/>
      <c r="AA1670" s="367">
        <v>7.0000000000000007E-2</v>
      </c>
    </row>
    <row r="1671" spans="1:27" ht="15" x14ac:dyDescent="0.25">
      <c r="A1671" s="365" t="s">
        <v>681</v>
      </c>
      <c r="H1671" s="366"/>
      <c r="J1671" s="367"/>
      <c r="K1671" s="367"/>
      <c r="L1671" s="367">
        <v>111</v>
      </c>
      <c r="M1671" s="367">
        <v>7</v>
      </c>
      <c r="N1671" s="367">
        <v>22</v>
      </c>
      <c r="O1671" s="367"/>
      <c r="P1671" s="367">
        <v>12</v>
      </c>
      <c r="Q1671" s="367"/>
      <c r="R1671" s="367">
        <v>111</v>
      </c>
      <c r="S1671" s="367">
        <v>1.4</v>
      </c>
      <c r="T1671" s="367">
        <v>10</v>
      </c>
      <c r="U1671" s="367"/>
      <c r="V1671" s="367"/>
      <c r="W1671" s="367"/>
      <c r="X1671" s="367"/>
      <c r="Y1671" s="367"/>
      <c r="Z1671" s="367"/>
      <c r="AA1671" s="367">
        <v>0.17</v>
      </c>
    </row>
    <row r="1672" spans="1:27" ht="15" x14ac:dyDescent="0.25">
      <c r="A1672" s="365" t="s">
        <v>682</v>
      </c>
      <c r="H1672" s="366"/>
      <c r="J1672" s="367"/>
      <c r="K1672" s="367"/>
      <c r="L1672" s="367">
        <v>218</v>
      </c>
      <c r="M1672" s="367">
        <v>6</v>
      </c>
      <c r="N1672" s="367">
        <v>9</v>
      </c>
      <c r="O1672" s="367"/>
      <c r="P1672" s="367">
        <v>36</v>
      </c>
      <c r="Q1672" s="367"/>
      <c r="R1672" s="367">
        <v>162</v>
      </c>
      <c r="S1672" s="367">
        <v>8.3000000000000007</v>
      </c>
      <c r="T1672" s="367">
        <v>35</v>
      </c>
      <c r="U1672" s="367"/>
      <c r="V1672" s="367"/>
      <c r="W1672" s="367"/>
      <c r="X1672" s="367"/>
      <c r="Y1672" s="367"/>
      <c r="Z1672" s="367"/>
      <c r="AA1672" s="367">
        <v>7.0000000000000007E-2</v>
      </c>
    </row>
    <row r="1673" spans="1:27" ht="15" x14ac:dyDescent="0.25">
      <c r="A1673" s="365" t="s">
        <v>683</v>
      </c>
      <c r="H1673" s="366"/>
      <c r="J1673" s="367"/>
      <c r="K1673" s="367"/>
      <c r="L1673" s="367">
        <v>171</v>
      </c>
      <c r="M1673" s="367">
        <v>13</v>
      </c>
      <c r="N1673" s="367">
        <v>11</v>
      </c>
      <c r="O1673" s="367"/>
      <c r="P1673" s="367">
        <v>30</v>
      </c>
      <c r="Q1673" s="367"/>
      <c r="R1673" s="367">
        <v>186</v>
      </c>
      <c r="S1673" s="367">
        <v>7.1</v>
      </c>
      <c r="T1673" s="367"/>
      <c r="U1673" s="367"/>
      <c r="V1673" s="367"/>
      <c r="W1673" s="367"/>
      <c r="X1673" s="367"/>
      <c r="Y1673" s="367"/>
      <c r="Z1673" s="367"/>
      <c r="AA1673" s="367">
        <v>0.06</v>
      </c>
    </row>
    <row r="1674" spans="1:27" ht="15" x14ac:dyDescent="0.25">
      <c r="A1674" s="365" t="s">
        <v>684</v>
      </c>
      <c r="H1674" s="366"/>
      <c r="J1674" s="367"/>
      <c r="K1674" s="367"/>
      <c r="L1674" s="367">
        <v>200</v>
      </c>
      <c r="M1674" s="367">
        <v>8</v>
      </c>
      <c r="N1674" s="367">
        <v>6</v>
      </c>
      <c r="O1674" s="367"/>
      <c r="P1674" s="367">
        <v>51</v>
      </c>
      <c r="Q1674" s="367"/>
      <c r="R1674" s="367">
        <v>209</v>
      </c>
      <c r="S1674" s="367">
        <v>12</v>
      </c>
      <c r="T1674" s="367">
        <v>11</v>
      </c>
      <c r="U1674" s="367"/>
      <c r="V1674" s="367"/>
      <c r="W1674" s="367"/>
      <c r="X1674" s="367"/>
      <c r="Y1674" s="367"/>
      <c r="Z1674" s="367"/>
      <c r="AA1674" s="367">
        <v>0.09</v>
      </c>
    </row>
    <row r="1675" spans="1:27" ht="15" x14ac:dyDescent="0.25">
      <c r="A1675" s="365" t="s">
        <v>685</v>
      </c>
      <c r="H1675" s="366"/>
      <c r="J1675" s="367"/>
      <c r="K1675" s="367"/>
      <c r="L1675" s="367">
        <v>173</v>
      </c>
      <c r="M1675" s="367">
        <v>11</v>
      </c>
      <c r="N1675" s="367">
        <v>13</v>
      </c>
      <c r="O1675" s="367"/>
      <c r="P1675" s="367">
        <v>32</v>
      </c>
      <c r="Q1675" s="367"/>
      <c r="R1675" s="367">
        <v>191</v>
      </c>
      <c r="S1675" s="367">
        <v>7.5</v>
      </c>
      <c r="T1675" s="367"/>
      <c r="U1675" s="367"/>
      <c r="V1675" s="367"/>
      <c r="W1675" s="367"/>
      <c r="X1675" s="367"/>
      <c r="Y1675" s="367"/>
      <c r="Z1675" s="367"/>
      <c r="AA1675" s="367">
        <v>0.05</v>
      </c>
    </row>
    <row r="1676" spans="1:27" ht="15" x14ac:dyDescent="0.25">
      <c r="A1676" s="365" t="s">
        <v>686</v>
      </c>
      <c r="H1676" s="366"/>
      <c r="J1676" s="367"/>
      <c r="K1676" s="367"/>
      <c r="L1676" s="367">
        <v>29</v>
      </c>
      <c r="M1676" s="367"/>
      <c r="N1676" s="367">
        <v>29</v>
      </c>
      <c r="O1676" s="367"/>
      <c r="P1676" s="367">
        <v>18</v>
      </c>
      <c r="Q1676" s="367"/>
      <c r="R1676" s="367">
        <v>64</v>
      </c>
      <c r="S1676" s="367">
        <v>0.2</v>
      </c>
      <c r="T1676" s="367"/>
      <c r="U1676" s="367"/>
      <c r="V1676" s="367"/>
      <c r="W1676" s="367"/>
      <c r="X1676" s="367"/>
      <c r="Y1676" s="367"/>
      <c r="Z1676" s="367"/>
      <c r="AA1676" s="367">
        <v>0.15</v>
      </c>
    </row>
    <row r="1677" spans="1:27" ht="15" x14ac:dyDescent="0.25">
      <c r="A1677" s="365" t="s">
        <v>687</v>
      </c>
      <c r="H1677" s="366"/>
      <c r="J1677" s="367"/>
      <c r="K1677" s="367"/>
      <c r="L1677" s="367">
        <v>3600</v>
      </c>
      <c r="M1677" s="367">
        <v>360</v>
      </c>
      <c r="N1677" s="367">
        <v>880</v>
      </c>
      <c r="O1677" s="367"/>
      <c r="P1677" s="367">
        <v>120</v>
      </c>
      <c r="Q1677" s="367"/>
      <c r="R1677" s="367">
        <v>9000</v>
      </c>
      <c r="S1677" s="367">
        <v>1.6</v>
      </c>
      <c r="T1677" s="367">
        <v>100</v>
      </c>
      <c r="U1677" s="367"/>
      <c r="V1677" s="367"/>
      <c r="W1677" s="367"/>
      <c r="X1677" s="367"/>
      <c r="Y1677" s="367"/>
      <c r="Z1677" s="367"/>
      <c r="AA1677" s="367"/>
    </row>
    <row r="1678" spans="1:27" ht="15" x14ac:dyDescent="0.25">
      <c r="A1678" s="365" t="s">
        <v>688</v>
      </c>
      <c r="H1678" s="366"/>
      <c r="J1678" s="367"/>
      <c r="K1678" s="367"/>
      <c r="L1678" s="367">
        <v>69</v>
      </c>
      <c r="M1678" s="367">
        <v>14</v>
      </c>
      <c r="N1678" s="367">
        <v>18</v>
      </c>
      <c r="O1678" s="367"/>
      <c r="P1678" s="367">
        <v>32</v>
      </c>
      <c r="Q1678" s="367"/>
      <c r="R1678" s="367">
        <v>33</v>
      </c>
      <c r="S1678" s="367">
        <v>0.3</v>
      </c>
      <c r="T1678" s="367"/>
      <c r="U1678" s="367"/>
      <c r="V1678" s="367"/>
      <c r="W1678" s="367"/>
      <c r="X1678" s="367"/>
      <c r="Y1678" s="367"/>
      <c r="Z1678" s="367"/>
      <c r="AA1678" s="367">
        <v>0.09</v>
      </c>
    </row>
    <row r="1679" spans="1:27" ht="15" x14ac:dyDescent="0.25">
      <c r="A1679" s="365" t="s">
        <v>689</v>
      </c>
      <c r="H1679" s="366"/>
      <c r="J1679" s="367"/>
      <c r="K1679" s="367"/>
      <c r="L1679" s="367">
        <v>192</v>
      </c>
      <c r="M1679" s="367">
        <v>6</v>
      </c>
      <c r="N1679" s="367">
        <v>10</v>
      </c>
      <c r="O1679" s="367"/>
      <c r="P1679" s="367">
        <v>41</v>
      </c>
      <c r="Q1679" s="367"/>
      <c r="R1679" s="367">
        <v>187</v>
      </c>
      <c r="S1679" s="367">
        <v>10.7</v>
      </c>
      <c r="T1679" s="367">
        <v>19</v>
      </c>
      <c r="U1679" s="367"/>
      <c r="V1679" s="367"/>
      <c r="W1679" s="367"/>
      <c r="X1679" s="367"/>
      <c r="Y1679" s="367"/>
      <c r="Z1679" s="367"/>
      <c r="AA1679" s="367">
        <v>0.09</v>
      </c>
    </row>
    <row r="1680" spans="1:27" ht="15" x14ac:dyDescent="0.25">
      <c r="A1680" s="365" t="s">
        <v>690</v>
      </c>
      <c r="H1680" s="366"/>
      <c r="J1680" s="367"/>
      <c r="K1680" s="367"/>
      <c r="L1680" s="367">
        <v>198</v>
      </c>
      <c r="M1680" s="367">
        <v>8</v>
      </c>
      <c r="N1680" s="367">
        <v>5</v>
      </c>
      <c r="O1680" s="367"/>
      <c r="P1680" s="367">
        <v>55</v>
      </c>
      <c r="Q1680" s="367"/>
      <c r="R1680" s="367">
        <v>202</v>
      </c>
      <c r="S1680" s="367">
        <v>10.5</v>
      </c>
      <c r="T1680" s="367"/>
      <c r="U1680" s="367"/>
      <c r="V1680" s="367"/>
      <c r="W1680" s="367"/>
      <c r="X1680" s="367"/>
      <c r="Y1680" s="367"/>
      <c r="Z1680" s="367"/>
      <c r="AA1680" s="367">
        <v>0.04</v>
      </c>
    </row>
    <row r="1681" spans="1:27" ht="15" x14ac:dyDescent="0.25">
      <c r="A1681" s="365" t="s">
        <v>690</v>
      </c>
      <c r="H1681" s="366"/>
      <c r="J1681" s="367"/>
      <c r="K1681" s="367"/>
      <c r="L1681" s="367">
        <v>57</v>
      </c>
      <c r="M1681" s="367">
        <v>3</v>
      </c>
      <c r="N1681" s="367">
        <v>19</v>
      </c>
      <c r="O1681" s="367"/>
      <c r="P1681" s="367">
        <v>23</v>
      </c>
      <c r="Q1681" s="367"/>
      <c r="R1681" s="367">
        <v>43</v>
      </c>
      <c r="S1681" s="367">
        <v>0.4</v>
      </c>
      <c r="T1681" s="367"/>
      <c r="U1681" s="367"/>
      <c r="V1681" s="367"/>
      <c r="W1681" s="367"/>
      <c r="X1681" s="367"/>
      <c r="Y1681" s="367"/>
      <c r="Z1681" s="367"/>
      <c r="AA1681" s="367">
        <v>0.06</v>
      </c>
    </row>
    <row r="1682" spans="1:27" ht="15" x14ac:dyDescent="0.25">
      <c r="A1682" s="365" t="s">
        <v>691</v>
      </c>
      <c r="H1682" s="366"/>
      <c r="J1682" s="367"/>
      <c r="K1682" s="367"/>
      <c r="L1682" s="367">
        <v>184</v>
      </c>
      <c r="M1682" s="367">
        <v>5</v>
      </c>
      <c r="N1682" s="367">
        <v>17</v>
      </c>
      <c r="O1682" s="367"/>
      <c r="P1682" s="367">
        <v>38</v>
      </c>
      <c r="Q1682" s="367"/>
      <c r="R1682" s="367">
        <v>81</v>
      </c>
      <c r="S1682" s="367">
        <v>6.8</v>
      </c>
      <c r="T1682" s="367">
        <v>20</v>
      </c>
      <c r="U1682" s="367"/>
      <c r="V1682" s="367"/>
      <c r="W1682" s="367"/>
      <c r="X1682" s="367"/>
      <c r="Y1682" s="367"/>
      <c r="Z1682" s="367"/>
      <c r="AA1682" s="367">
        <v>0.05</v>
      </c>
    </row>
    <row r="1683" spans="1:27" ht="15" x14ac:dyDescent="0.25">
      <c r="A1683" s="365" t="s">
        <v>692</v>
      </c>
      <c r="H1683" s="366"/>
      <c r="J1683" s="367"/>
      <c r="K1683" s="367"/>
      <c r="L1683" s="367">
        <v>2200</v>
      </c>
      <c r="M1683" s="367">
        <v>57</v>
      </c>
      <c r="N1683" s="367"/>
      <c r="O1683" s="367"/>
      <c r="P1683" s="367">
        <v>60</v>
      </c>
      <c r="Q1683" s="367"/>
      <c r="R1683" s="367">
        <v>1230</v>
      </c>
      <c r="S1683" s="367"/>
      <c r="T1683" s="367"/>
      <c r="U1683" s="367"/>
      <c r="V1683" s="367"/>
      <c r="W1683" s="367"/>
      <c r="X1683" s="367"/>
      <c r="Y1683" s="367"/>
      <c r="Z1683" s="367"/>
      <c r="AA1683" s="367"/>
    </row>
    <row r="1684" spans="1:27" ht="15" x14ac:dyDescent="0.25">
      <c r="A1684" s="365" t="s">
        <v>693</v>
      </c>
      <c r="H1684" s="366"/>
      <c r="J1684" s="367"/>
      <c r="K1684" s="367"/>
      <c r="L1684" s="367">
        <v>110</v>
      </c>
      <c r="M1684" s="367">
        <v>12</v>
      </c>
      <c r="N1684" s="367">
        <v>17</v>
      </c>
      <c r="O1684" s="367"/>
      <c r="P1684" s="367">
        <v>35</v>
      </c>
      <c r="Q1684" s="367"/>
      <c r="R1684" s="367">
        <v>11</v>
      </c>
      <c r="S1684" s="367">
        <v>0.4</v>
      </c>
      <c r="T1684" s="367">
        <v>12</v>
      </c>
      <c r="U1684" s="367"/>
      <c r="V1684" s="367"/>
      <c r="W1684" s="367"/>
      <c r="X1684" s="367"/>
      <c r="Y1684" s="367"/>
      <c r="Z1684" s="367"/>
      <c r="AA1684" s="367">
        <v>0.09</v>
      </c>
    </row>
    <row r="1685" spans="1:27" ht="15" x14ac:dyDescent="0.25">
      <c r="A1685" s="365" t="s">
        <v>694</v>
      </c>
      <c r="H1685" s="366"/>
      <c r="J1685" s="367"/>
      <c r="K1685" s="367"/>
      <c r="L1685" s="367">
        <v>94</v>
      </c>
      <c r="M1685" s="367">
        <v>3</v>
      </c>
      <c r="N1685" s="367">
        <v>30</v>
      </c>
      <c r="O1685" s="367"/>
      <c r="P1685" s="367">
        <v>9</v>
      </c>
      <c r="Q1685" s="367"/>
      <c r="R1685" s="367">
        <v>88</v>
      </c>
      <c r="S1685" s="367">
        <v>2.6</v>
      </c>
      <c r="T1685" s="367"/>
      <c r="U1685" s="367"/>
      <c r="V1685" s="367"/>
      <c r="W1685" s="367"/>
      <c r="X1685" s="367"/>
      <c r="Y1685" s="367"/>
      <c r="Z1685" s="367"/>
      <c r="AA1685" s="367">
        <v>0.15</v>
      </c>
    </row>
    <row r="1686" spans="1:27" ht="15" x14ac:dyDescent="0.25">
      <c r="A1686" s="365" t="s">
        <v>695</v>
      </c>
      <c r="H1686" s="366"/>
      <c r="J1686" s="367"/>
      <c r="K1686" s="367"/>
      <c r="L1686" s="367">
        <v>185</v>
      </c>
      <c r="M1686" s="367">
        <v>9</v>
      </c>
      <c r="N1686" s="367">
        <v>7</v>
      </c>
      <c r="O1686" s="367"/>
      <c r="P1686" s="367">
        <v>50</v>
      </c>
      <c r="Q1686" s="367"/>
      <c r="R1686" s="367">
        <v>189</v>
      </c>
      <c r="S1686" s="367">
        <v>10.5</v>
      </c>
      <c r="T1686" s="367"/>
      <c r="U1686" s="367"/>
      <c r="V1686" s="367"/>
      <c r="W1686" s="367"/>
      <c r="X1686" s="367"/>
      <c r="Y1686" s="367"/>
      <c r="Z1686" s="367"/>
      <c r="AA1686" s="367">
        <v>0.04</v>
      </c>
    </row>
    <row r="1687" spans="1:27" ht="15" x14ac:dyDescent="0.25">
      <c r="A1687" s="365" t="s">
        <v>696</v>
      </c>
      <c r="H1687" s="366"/>
      <c r="J1687" s="367"/>
      <c r="K1687" s="367"/>
      <c r="L1687" s="367">
        <v>66</v>
      </c>
      <c r="M1687" s="367"/>
      <c r="N1687" s="367">
        <v>19</v>
      </c>
      <c r="O1687" s="367"/>
      <c r="P1687" s="367">
        <v>25</v>
      </c>
      <c r="Q1687" s="367"/>
      <c r="R1687" s="367">
        <v>63</v>
      </c>
      <c r="S1687" s="367">
        <v>1.3</v>
      </c>
      <c r="T1687" s="367">
        <v>26</v>
      </c>
      <c r="U1687" s="367"/>
      <c r="V1687" s="367"/>
      <c r="W1687" s="367"/>
      <c r="X1687" s="367"/>
      <c r="Y1687" s="367"/>
      <c r="Z1687" s="367"/>
      <c r="AA1687" s="367">
        <v>7.0000000000000007E-2</v>
      </c>
    </row>
    <row r="1688" spans="1:27" ht="15" x14ac:dyDescent="0.25">
      <c r="A1688" s="365" t="s">
        <v>697</v>
      </c>
      <c r="H1688" s="366"/>
      <c r="J1688" s="367"/>
      <c r="K1688" s="367"/>
      <c r="L1688" s="367">
        <v>188</v>
      </c>
      <c r="M1688" s="367">
        <v>7</v>
      </c>
      <c r="N1688" s="367">
        <v>8</v>
      </c>
      <c r="O1688" s="367"/>
      <c r="P1688" s="367">
        <v>31</v>
      </c>
      <c r="Q1688" s="367"/>
      <c r="R1688" s="367">
        <v>195</v>
      </c>
      <c r="S1688" s="367">
        <v>10</v>
      </c>
      <c r="T1688" s="367"/>
      <c r="U1688" s="367"/>
      <c r="V1688" s="367"/>
      <c r="W1688" s="367"/>
      <c r="X1688" s="367"/>
      <c r="Y1688" s="367"/>
      <c r="Z1688" s="367"/>
      <c r="AA1688" s="367">
        <v>0.04</v>
      </c>
    </row>
    <row r="1689" spans="1:27" ht="15" x14ac:dyDescent="0.25">
      <c r="A1689" s="365" t="s">
        <v>698</v>
      </c>
      <c r="H1689" s="366"/>
      <c r="J1689" s="367"/>
      <c r="K1689" s="367"/>
      <c r="L1689" s="367">
        <v>206</v>
      </c>
      <c r="M1689" s="367">
        <v>9</v>
      </c>
      <c r="N1689" s="367">
        <v>8</v>
      </c>
      <c r="O1689" s="367"/>
      <c r="P1689" s="367">
        <v>51</v>
      </c>
      <c r="Q1689" s="367"/>
      <c r="R1689" s="367">
        <v>212</v>
      </c>
      <c r="S1689" s="367">
        <v>11.8</v>
      </c>
      <c r="T1689" s="367">
        <v>10</v>
      </c>
      <c r="U1689" s="367"/>
      <c r="V1689" s="367"/>
      <c r="W1689" s="367"/>
      <c r="X1689" s="367"/>
      <c r="Y1689" s="367"/>
      <c r="Z1689" s="367"/>
      <c r="AA1689" s="367">
        <v>0.1</v>
      </c>
    </row>
    <row r="1690" spans="1:27" ht="15" x14ac:dyDescent="0.25">
      <c r="A1690" s="365" t="s">
        <v>699</v>
      </c>
      <c r="H1690" s="366"/>
      <c r="J1690" s="367"/>
      <c r="K1690" s="367"/>
      <c r="L1690" s="367">
        <v>177</v>
      </c>
      <c r="M1690" s="367">
        <v>12</v>
      </c>
      <c r="N1690" s="367">
        <v>15</v>
      </c>
      <c r="O1690" s="367"/>
      <c r="P1690" s="367">
        <v>35</v>
      </c>
      <c r="Q1690" s="367"/>
      <c r="R1690" s="367">
        <v>194</v>
      </c>
      <c r="S1690" s="367">
        <v>7.8</v>
      </c>
      <c r="T1690" s="367"/>
      <c r="U1690" s="367"/>
      <c r="V1690" s="367"/>
      <c r="W1690" s="367"/>
      <c r="X1690" s="367"/>
      <c r="Y1690" s="367"/>
      <c r="Z1690" s="367"/>
      <c r="AA1690" s="367">
        <v>0.06</v>
      </c>
    </row>
    <row r="1691" spans="1:27" ht="15" x14ac:dyDescent="0.25">
      <c r="A1691" s="365" t="s">
        <v>700</v>
      </c>
      <c r="H1691" s="366"/>
      <c r="J1691" s="367"/>
      <c r="K1691" s="367"/>
      <c r="L1691" s="367">
        <v>79</v>
      </c>
      <c r="M1691" s="367"/>
      <c r="N1691" s="367">
        <v>21</v>
      </c>
      <c r="O1691" s="367"/>
      <c r="P1691" s="367">
        <v>21</v>
      </c>
      <c r="Q1691" s="367"/>
      <c r="R1691" s="367">
        <v>67</v>
      </c>
      <c r="S1691" s="367">
        <v>3</v>
      </c>
      <c r="T1691" s="367"/>
      <c r="U1691" s="367"/>
      <c r="V1691" s="367"/>
      <c r="W1691" s="367"/>
      <c r="X1691" s="367"/>
      <c r="Y1691" s="367"/>
      <c r="Z1691" s="367"/>
      <c r="AA1691" s="367">
        <v>7.0000000000000007E-2</v>
      </c>
    </row>
    <row r="1692" spans="1:27" ht="15" x14ac:dyDescent="0.25">
      <c r="A1692" s="365" t="s">
        <v>701</v>
      </c>
      <c r="H1692" s="366"/>
      <c r="J1692" s="367"/>
      <c r="K1692" s="367"/>
      <c r="L1692" s="367">
        <v>189</v>
      </c>
      <c r="M1692" s="367">
        <v>6</v>
      </c>
      <c r="N1692" s="367">
        <v>12</v>
      </c>
      <c r="O1692" s="367"/>
      <c r="P1692" s="367">
        <v>28</v>
      </c>
      <c r="Q1692" s="367"/>
      <c r="R1692" s="367">
        <v>155</v>
      </c>
      <c r="S1692" s="367">
        <v>10</v>
      </c>
      <c r="T1692" s="367">
        <v>16</v>
      </c>
      <c r="U1692" s="367"/>
      <c r="V1692" s="367"/>
      <c r="W1692" s="367"/>
      <c r="X1692" s="367"/>
      <c r="Y1692" s="367"/>
      <c r="Z1692" s="367"/>
      <c r="AA1692" s="367">
        <v>7.0000000000000007E-2</v>
      </c>
    </row>
    <row r="1693" spans="1:27" ht="15" x14ac:dyDescent="0.25">
      <c r="A1693" s="365" t="s">
        <v>702</v>
      </c>
      <c r="H1693" s="366"/>
      <c r="J1693" s="367"/>
      <c r="K1693" s="367"/>
      <c r="L1693" s="367">
        <v>211</v>
      </c>
      <c r="M1693" s="367">
        <v>9</v>
      </c>
      <c r="N1693" s="367">
        <v>3</v>
      </c>
      <c r="O1693" s="367"/>
      <c r="P1693" s="367">
        <v>54</v>
      </c>
      <c r="Q1693" s="367"/>
      <c r="R1693" s="367">
        <v>216</v>
      </c>
      <c r="S1693" s="367">
        <v>12</v>
      </c>
      <c r="T1693" s="367">
        <v>10</v>
      </c>
      <c r="U1693" s="367"/>
      <c r="V1693" s="367"/>
      <c r="W1693" s="367"/>
      <c r="X1693" s="367"/>
      <c r="Y1693" s="367"/>
      <c r="Z1693" s="367"/>
      <c r="AA1693" s="367">
        <v>0.1</v>
      </c>
    </row>
    <row r="1694" spans="1:27" ht="15" x14ac:dyDescent="0.25">
      <c r="A1694" s="365" t="s">
        <v>703</v>
      </c>
      <c r="H1694" s="366"/>
      <c r="J1694" s="367"/>
      <c r="K1694" s="367"/>
      <c r="L1694" s="367">
        <v>203</v>
      </c>
      <c r="M1694" s="367">
        <v>7</v>
      </c>
      <c r="N1694" s="367">
        <v>18</v>
      </c>
      <c r="O1694" s="367"/>
      <c r="P1694" s="367">
        <v>20</v>
      </c>
      <c r="Q1694" s="367"/>
      <c r="R1694" s="367">
        <v>189</v>
      </c>
      <c r="S1694" s="367">
        <v>0.7</v>
      </c>
      <c r="T1694" s="367">
        <v>11</v>
      </c>
      <c r="U1694" s="367"/>
      <c r="V1694" s="367"/>
      <c r="W1694" s="367"/>
      <c r="X1694" s="367"/>
      <c r="Y1694" s="367"/>
      <c r="Z1694" s="367"/>
      <c r="AA1694" s="367">
        <v>0.09</v>
      </c>
    </row>
    <row r="1695" spans="1:27" ht="15" x14ac:dyDescent="0.25">
      <c r="A1695" s="365" t="s">
        <v>704</v>
      </c>
      <c r="H1695" s="366"/>
      <c r="J1695" s="367"/>
      <c r="K1695" s="367"/>
      <c r="L1695" s="367">
        <v>205</v>
      </c>
      <c r="M1695" s="367">
        <v>9</v>
      </c>
      <c r="N1695" s="367">
        <v>6</v>
      </c>
      <c r="O1695" s="367"/>
      <c r="P1695" s="367">
        <v>54</v>
      </c>
      <c r="Q1695" s="367"/>
      <c r="R1695" s="367">
        <v>212</v>
      </c>
      <c r="S1695" s="367">
        <v>11.5</v>
      </c>
      <c r="T1695" s="367">
        <v>14</v>
      </c>
      <c r="U1695" s="367"/>
      <c r="V1695" s="367"/>
      <c r="W1695" s="367"/>
      <c r="X1695" s="367"/>
      <c r="Y1695" s="367"/>
      <c r="Z1695" s="367"/>
      <c r="AA1695" s="367">
        <v>0.1</v>
      </c>
    </row>
    <row r="1696" spans="1:27" ht="15" x14ac:dyDescent="0.25">
      <c r="A1696" s="365" t="s">
        <v>705</v>
      </c>
      <c r="H1696" s="366"/>
      <c r="J1696" s="367"/>
      <c r="K1696" s="367"/>
      <c r="L1696" s="367">
        <v>236</v>
      </c>
      <c r="M1696" s="367">
        <v>8</v>
      </c>
      <c r="N1696" s="367">
        <v>15</v>
      </c>
      <c r="O1696" s="367"/>
      <c r="P1696" s="367">
        <v>37</v>
      </c>
      <c r="Q1696" s="367"/>
      <c r="R1696" s="367">
        <v>194</v>
      </c>
      <c r="S1696" s="367">
        <v>11</v>
      </c>
      <c r="T1696" s="367"/>
      <c r="U1696" s="367"/>
      <c r="V1696" s="367"/>
      <c r="W1696" s="367"/>
      <c r="X1696" s="367"/>
      <c r="Y1696" s="367"/>
      <c r="Z1696" s="367"/>
      <c r="AA1696" s="367">
        <v>0.03</v>
      </c>
    </row>
    <row r="1697" spans="1:27" ht="15" x14ac:dyDescent="0.25">
      <c r="A1697" s="365" t="s">
        <v>706</v>
      </c>
      <c r="H1697" s="366"/>
      <c r="J1697" s="367"/>
      <c r="K1697" s="367"/>
      <c r="L1697" s="367">
        <v>213</v>
      </c>
      <c r="M1697" s="367">
        <v>9</v>
      </c>
      <c r="N1697" s="367">
        <v>13</v>
      </c>
      <c r="O1697" s="367"/>
      <c r="P1697" s="367">
        <v>53</v>
      </c>
      <c r="Q1697" s="367"/>
      <c r="R1697" s="367">
        <v>217</v>
      </c>
      <c r="S1697" s="367">
        <v>12.2</v>
      </c>
      <c r="T1697" s="367">
        <v>10</v>
      </c>
      <c r="U1697" s="367"/>
      <c r="V1697" s="367"/>
      <c r="W1697" s="367"/>
      <c r="X1697" s="367"/>
      <c r="Y1697" s="367"/>
      <c r="Z1697" s="367"/>
      <c r="AA1697" s="367">
        <v>0.11</v>
      </c>
    </row>
    <row r="1698" spans="1:27" ht="15" x14ac:dyDescent="0.25">
      <c r="A1698" s="365" t="s">
        <v>707</v>
      </c>
      <c r="H1698" s="366"/>
      <c r="J1698" s="367"/>
      <c r="K1698" s="367"/>
      <c r="L1698" s="367">
        <v>173</v>
      </c>
      <c r="M1698" s="367">
        <v>5</v>
      </c>
      <c r="N1698" s="367">
        <v>1</v>
      </c>
      <c r="O1698" s="367"/>
      <c r="P1698" s="367">
        <v>51</v>
      </c>
      <c r="Q1698" s="367"/>
      <c r="R1698" s="367">
        <v>130</v>
      </c>
      <c r="S1698" s="367">
        <v>11</v>
      </c>
      <c r="T1698" s="367"/>
      <c r="U1698" s="367"/>
      <c r="V1698" s="367"/>
      <c r="W1698" s="367"/>
      <c r="X1698" s="367"/>
      <c r="Y1698" s="367"/>
      <c r="Z1698" s="367"/>
      <c r="AA1698" s="367"/>
    </row>
    <row r="1699" spans="1:27" ht="15" x14ac:dyDescent="0.25">
      <c r="A1699" s="365" t="s">
        <v>708</v>
      </c>
      <c r="H1699" s="366"/>
      <c r="J1699" s="367"/>
      <c r="K1699" s="367"/>
      <c r="L1699" s="367">
        <v>200</v>
      </c>
      <c r="M1699" s="367">
        <v>7</v>
      </c>
      <c r="N1699" s="367">
        <v>6</v>
      </c>
      <c r="O1699" s="367"/>
      <c r="P1699" s="367">
        <v>59</v>
      </c>
      <c r="Q1699" s="367"/>
      <c r="R1699" s="367">
        <v>191</v>
      </c>
      <c r="S1699" s="367">
        <v>9.1</v>
      </c>
      <c r="T1699" s="367">
        <v>10</v>
      </c>
      <c r="U1699" s="367"/>
      <c r="V1699" s="367"/>
      <c r="W1699" s="367"/>
      <c r="X1699" s="367"/>
      <c r="Y1699" s="367"/>
      <c r="Z1699" s="367"/>
      <c r="AA1699" s="367">
        <v>0.04</v>
      </c>
    </row>
    <row r="1700" spans="1:27" ht="15" x14ac:dyDescent="0.25">
      <c r="A1700" s="365" t="s">
        <v>709</v>
      </c>
      <c r="H1700" s="366"/>
      <c r="J1700" s="367"/>
      <c r="K1700" s="367"/>
      <c r="L1700" s="367">
        <v>202</v>
      </c>
      <c r="M1700" s="367">
        <v>7</v>
      </c>
      <c r="N1700" s="367">
        <v>5</v>
      </c>
      <c r="O1700" s="367"/>
      <c r="P1700" s="367">
        <v>61</v>
      </c>
      <c r="Q1700" s="367"/>
      <c r="R1700" s="367">
        <v>191</v>
      </c>
      <c r="S1700" s="367">
        <v>9.1</v>
      </c>
      <c r="T1700" s="367">
        <v>10</v>
      </c>
      <c r="U1700" s="367"/>
      <c r="V1700" s="367"/>
      <c r="W1700" s="367"/>
      <c r="X1700" s="367"/>
      <c r="Y1700" s="367"/>
      <c r="Z1700" s="367"/>
      <c r="AA1700" s="367">
        <v>0.04</v>
      </c>
    </row>
    <row r="1701" spans="1:27" ht="15" x14ac:dyDescent="0.25">
      <c r="A1701" s="365" t="s">
        <v>710</v>
      </c>
      <c r="H1701" s="366"/>
      <c r="J1701" s="367"/>
      <c r="K1701" s="367"/>
      <c r="L1701" s="367">
        <v>112</v>
      </c>
      <c r="M1701" s="367">
        <v>4</v>
      </c>
      <c r="N1701" s="367">
        <v>85</v>
      </c>
      <c r="O1701" s="367"/>
      <c r="P1701" s="367">
        <v>20</v>
      </c>
      <c r="Q1701" s="367"/>
      <c r="R1701" s="367">
        <v>174</v>
      </c>
      <c r="S1701" s="367">
        <v>0.2</v>
      </c>
      <c r="T1701" s="367">
        <v>28</v>
      </c>
      <c r="U1701" s="367"/>
      <c r="V1701" s="367"/>
      <c r="W1701" s="367"/>
      <c r="X1701" s="367"/>
      <c r="Y1701" s="367"/>
      <c r="Z1701" s="367"/>
      <c r="AA1701" s="367">
        <v>0.36</v>
      </c>
    </row>
    <row r="1702" spans="1:27" ht="15" x14ac:dyDescent="0.25">
      <c r="A1702" s="365" t="s">
        <v>711</v>
      </c>
      <c r="H1702" s="366"/>
      <c r="J1702" s="367"/>
      <c r="K1702" s="367"/>
      <c r="L1702" s="367">
        <v>112</v>
      </c>
      <c r="M1702" s="367"/>
      <c r="N1702" s="367">
        <v>7</v>
      </c>
      <c r="O1702" s="367"/>
      <c r="P1702" s="367">
        <v>25</v>
      </c>
      <c r="Q1702" s="367"/>
      <c r="R1702" s="367">
        <v>49</v>
      </c>
      <c r="S1702" s="367">
        <v>3.6</v>
      </c>
      <c r="T1702" s="367">
        <v>10</v>
      </c>
      <c r="U1702" s="367"/>
      <c r="V1702" s="367"/>
      <c r="W1702" s="367"/>
      <c r="X1702" s="367"/>
      <c r="Y1702" s="367"/>
      <c r="Z1702" s="367"/>
      <c r="AA1702" s="367">
        <v>0.03</v>
      </c>
    </row>
    <row r="1703" spans="1:27" ht="15" x14ac:dyDescent="0.25">
      <c r="A1703" s="365" t="s">
        <v>690</v>
      </c>
      <c r="H1703" s="366"/>
      <c r="J1703" s="367"/>
      <c r="K1703" s="367"/>
      <c r="L1703" s="367">
        <v>198</v>
      </c>
      <c r="M1703" s="367">
        <v>8</v>
      </c>
      <c r="N1703" s="367">
        <v>5</v>
      </c>
      <c r="O1703" s="367"/>
      <c r="P1703" s="367">
        <v>55</v>
      </c>
      <c r="Q1703" s="367"/>
      <c r="R1703" s="367">
        <v>202</v>
      </c>
      <c r="S1703" s="367">
        <v>10.5</v>
      </c>
      <c r="T1703" s="367"/>
      <c r="U1703" s="367"/>
      <c r="V1703" s="367"/>
      <c r="W1703" s="367"/>
      <c r="X1703" s="367"/>
      <c r="Y1703" s="367"/>
      <c r="Z1703" s="367"/>
      <c r="AA1703" s="367">
        <v>0.04</v>
      </c>
    </row>
    <row r="1704" spans="1:27" ht="15" x14ac:dyDescent="0.25">
      <c r="A1704" s="365" t="s">
        <v>717</v>
      </c>
      <c r="H1704" s="366"/>
      <c r="J1704" s="367"/>
      <c r="K1704" s="367"/>
      <c r="L1704" s="367">
        <v>191</v>
      </c>
      <c r="M1704" s="367">
        <v>4</v>
      </c>
      <c r="N1704" s="367">
        <v>10</v>
      </c>
      <c r="O1704" s="367"/>
      <c r="P1704" s="367">
        <v>42</v>
      </c>
      <c r="Q1704" s="367"/>
      <c r="R1704" s="367">
        <v>191</v>
      </c>
      <c r="S1704" s="367">
        <v>8.5</v>
      </c>
      <c r="T1704" s="367"/>
      <c r="U1704" s="367"/>
      <c r="V1704" s="367"/>
      <c r="W1704" s="367"/>
      <c r="X1704" s="367"/>
      <c r="Y1704" s="367"/>
      <c r="Z1704" s="367"/>
      <c r="AA1704" s="367">
        <v>0.05</v>
      </c>
    </row>
    <row r="1705" spans="1:27" ht="15" x14ac:dyDescent="0.25">
      <c r="A1705" s="365" t="s">
        <v>718</v>
      </c>
      <c r="H1705" s="366"/>
      <c r="J1705" s="367"/>
      <c r="K1705" s="367"/>
      <c r="L1705" s="367">
        <v>51</v>
      </c>
      <c r="M1705" s="367">
        <v>8</v>
      </c>
      <c r="N1705" s="367">
        <v>15</v>
      </c>
      <c r="O1705" s="367"/>
      <c r="P1705" s="367">
        <v>30</v>
      </c>
      <c r="Q1705" s="367"/>
      <c r="R1705" s="367">
        <v>29</v>
      </c>
      <c r="S1705" s="367">
        <v>0.7</v>
      </c>
      <c r="T1705" s="367">
        <v>12</v>
      </c>
      <c r="U1705" s="367"/>
      <c r="V1705" s="367"/>
      <c r="W1705" s="367"/>
      <c r="X1705" s="367"/>
      <c r="Y1705" s="367"/>
      <c r="Z1705" s="367"/>
      <c r="AA1705" s="367">
        <v>0.13</v>
      </c>
    </row>
    <row r="1706" spans="1:27" ht="15" x14ac:dyDescent="0.25">
      <c r="A1706" s="365" t="s">
        <v>719</v>
      </c>
      <c r="H1706" s="366"/>
      <c r="J1706" s="367"/>
      <c r="K1706" s="367"/>
      <c r="L1706" s="367">
        <v>61</v>
      </c>
      <c r="M1706" s="367">
        <v>3</v>
      </c>
      <c r="N1706" s="367">
        <v>144</v>
      </c>
      <c r="O1706" s="367"/>
      <c r="P1706" s="367">
        <v>18</v>
      </c>
      <c r="Q1706" s="367"/>
      <c r="R1706" s="367">
        <v>12</v>
      </c>
      <c r="S1706" s="367">
        <v>0.2</v>
      </c>
      <c r="T1706" s="367">
        <v>125</v>
      </c>
      <c r="U1706" s="367"/>
      <c r="V1706" s="367"/>
      <c r="W1706" s="367"/>
      <c r="X1706" s="367"/>
      <c r="Y1706" s="367"/>
      <c r="Z1706" s="367"/>
      <c r="AA1706" s="367">
        <v>0.22</v>
      </c>
    </row>
    <row r="1707" spans="1:27" ht="15" x14ac:dyDescent="0.25">
      <c r="A1707" s="365" t="s">
        <v>720</v>
      </c>
      <c r="H1707" s="366"/>
      <c r="J1707" s="367"/>
      <c r="K1707" s="367"/>
      <c r="L1707" s="367">
        <v>138</v>
      </c>
      <c r="M1707" s="367">
        <v>5</v>
      </c>
      <c r="N1707" s="367">
        <v>14</v>
      </c>
      <c r="O1707" s="367"/>
      <c r="P1707" s="367">
        <v>24</v>
      </c>
      <c r="Q1707" s="367"/>
      <c r="R1707" s="367">
        <v>130</v>
      </c>
      <c r="S1707" s="367">
        <v>1.2</v>
      </c>
      <c r="T1707" s="367">
        <v>15</v>
      </c>
      <c r="U1707" s="367"/>
      <c r="V1707" s="367"/>
      <c r="W1707" s="367"/>
      <c r="X1707" s="367"/>
      <c r="Y1707" s="367"/>
      <c r="Z1707" s="367"/>
      <c r="AA1707" s="367">
        <v>0.08</v>
      </c>
    </row>
    <row r="1708" spans="1:27" ht="15" x14ac:dyDescent="0.25">
      <c r="A1708" s="365" t="s">
        <v>721</v>
      </c>
      <c r="H1708" s="366"/>
      <c r="J1708" s="367"/>
      <c r="K1708" s="367"/>
      <c r="L1708" s="367">
        <v>121</v>
      </c>
      <c r="M1708" s="367">
        <v>3</v>
      </c>
      <c r="N1708" s="367">
        <v>23</v>
      </c>
      <c r="O1708" s="367"/>
      <c r="P1708" s="367">
        <v>18</v>
      </c>
      <c r="Q1708" s="367"/>
      <c r="R1708" s="367">
        <v>117</v>
      </c>
      <c r="S1708" s="367">
        <v>3.6</v>
      </c>
      <c r="T1708" s="367">
        <v>11</v>
      </c>
      <c r="U1708" s="367"/>
      <c r="V1708" s="367"/>
      <c r="W1708" s="367"/>
      <c r="X1708" s="367"/>
      <c r="Y1708" s="367"/>
      <c r="Z1708" s="367"/>
      <c r="AA1708" s="367">
        <v>0.1</v>
      </c>
    </row>
    <row r="1709" spans="1:27" ht="15" x14ac:dyDescent="0.25">
      <c r="A1709" s="365" t="s">
        <v>722</v>
      </c>
      <c r="H1709" s="366"/>
      <c r="J1709" s="367"/>
      <c r="K1709" s="367"/>
      <c r="L1709" s="367">
        <v>143</v>
      </c>
      <c r="M1709" s="367">
        <v>10</v>
      </c>
      <c r="N1709" s="367">
        <v>6</v>
      </c>
      <c r="O1709" s="367"/>
      <c r="P1709" s="367">
        <v>34</v>
      </c>
      <c r="Q1709" s="367"/>
      <c r="R1709" s="367">
        <v>76</v>
      </c>
      <c r="S1709" s="367">
        <v>4.2</v>
      </c>
      <c r="T1709" s="367">
        <v>11</v>
      </c>
      <c r="U1709" s="367"/>
      <c r="V1709" s="367"/>
      <c r="W1709" s="367"/>
      <c r="X1709" s="367"/>
      <c r="Y1709" s="367"/>
      <c r="Z1709" s="367"/>
      <c r="AA1709" s="367">
        <v>0.03</v>
      </c>
    </row>
    <row r="1710" spans="1:27" ht="15" x14ac:dyDescent="0.25">
      <c r="A1710" s="365" t="s">
        <v>723</v>
      </c>
      <c r="H1710" s="366"/>
      <c r="J1710" s="367"/>
      <c r="K1710" s="367"/>
      <c r="L1710" s="367">
        <v>183</v>
      </c>
      <c r="M1710" s="367">
        <v>7</v>
      </c>
      <c r="N1710" s="367">
        <v>16</v>
      </c>
      <c r="O1710" s="367"/>
      <c r="P1710" s="367">
        <v>32</v>
      </c>
      <c r="Q1710" s="367"/>
      <c r="R1710" s="367">
        <v>229</v>
      </c>
      <c r="S1710" s="367">
        <v>10</v>
      </c>
      <c r="T1710" s="367"/>
      <c r="U1710" s="367"/>
      <c r="V1710" s="367"/>
      <c r="W1710" s="367"/>
      <c r="X1710" s="367"/>
      <c r="Y1710" s="367"/>
      <c r="Z1710" s="367"/>
      <c r="AA1710" s="367">
        <v>0.23</v>
      </c>
    </row>
    <row r="1711" spans="1:27" ht="15" x14ac:dyDescent="0.25">
      <c r="A1711" s="365" t="s">
        <v>724</v>
      </c>
      <c r="H1711" s="366"/>
      <c r="J1711" s="367"/>
      <c r="K1711" s="367"/>
      <c r="L1711" s="367">
        <v>56</v>
      </c>
      <c r="M1711" s="367"/>
      <c r="N1711" s="367">
        <v>34</v>
      </c>
      <c r="O1711" s="367"/>
      <c r="P1711" s="367">
        <v>23</v>
      </c>
      <c r="Q1711" s="367"/>
      <c r="R1711" s="367">
        <v>38</v>
      </c>
      <c r="S1711" s="367">
        <v>0.3</v>
      </c>
      <c r="T1711" s="367">
        <v>29</v>
      </c>
      <c r="U1711" s="367"/>
      <c r="V1711" s="367"/>
      <c r="W1711" s="367"/>
      <c r="X1711" s="367"/>
      <c r="Y1711" s="367"/>
      <c r="Z1711" s="367"/>
      <c r="AA1711" s="367">
        <v>0.1</v>
      </c>
    </row>
    <row r="1712" spans="1:27" ht="15" x14ac:dyDescent="0.25">
      <c r="A1712" s="365" t="s">
        <v>768</v>
      </c>
      <c r="H1712" s="366">
        <v>28.1</v>
      </c>
      <c r="J1712" s="367"/>
      <c r="K1712" s="367"/>
      <c r="L1712" s="367">
        <v>137</v>
      </c>
      <c r="M1712" s="367">
        <v>9.8000000000000007</v>
      </c>
      <c r="N1712" s="367">
        <v>4.0999999999999996</v>
      </c>
      <c r="O1712" s="367"/>
      <c r="P1712" s="367"/>
      <c r="Q1712" s="367"/>
      <c r="R1712" s="367">
        <v>131</v>
      </c>
      <c r="S1712" s="367">
        <v>2.6</v>
      </c>
      <c r="T1712" s="367">
        <v>1.5</v>
      </c>
      <c r="U1712" s="367"/>
      <c r="V1712" s="367"/>
      <c r="W1712" s="367"/>
      <c r="X1712" s="367"/>
      <c r="Y1712" s="367"/>
      <c r="Z1712" s="367"/>
      <c r="AA1712" s="367"/>
    </row>
    <row r="1713" spans="1:27" ht="15" x14ac:dyDescent="0.25">
      <c r="A1713" s="365" t="s">
        <v>769</v>
      </c>
      <c r="H1713" s="366">
        <v>29</v>
      </c>
      <c r="J1713" s="367"/>
      <c r="K1713" s="367"/>
      <c r="L1713" s="367">
        <v>71</v>
      </c>
      <c r="M1713" s="367">
        <v>2</v>
      </c>
      <c r="N1713" s="367">
        <v>4</v>
      </c>
      <c r="O1713" s="367"/>
      <c r="P1713" s="367"/>
      <c r="Q1713" s="367"/>
      <c r="R1713" s="367">
        <v>22</v>
      </c>
      <c r="S1713" s="367"/>
      <c r="T1713" s="367">
        <v>1</v>
      </c>
      <c r="U1713" s="367"/>
      <c r="V1713" s="367"/>
      <c r="W1713" s="367"/>
      <c r="X1713" s="367"/>
      <c r="Y1713" s="367"/>
      <c r="Z1713" s="367"/>
      <c r="AA1713" s="367"/>
    </row>
    <row r="1714" spans="1:27" ht="15" x14ac:dyDescent="0.25">
      <c r="A1714" s="365" t="s">
        <v>866</v>
      </c>
      <c r="H1714" s="366">
        <v>35</v>
      </c>
      <c r="J1714" s="367"/>
      <c r="K1714" s="367"/>
      <c r="L1714" s="367">
        <v>95</v>
      </c>
      <c r="M1714" s="367">
        <v>9</v>
      </c>
      <c r="N1714" s="367">
        <v>12</v>
      </c>
      <c r="O1714" s="367"/>
      <c r="P1714" s="367">
        <v>68</v>
      </c>
      <c r="Q1714" s="367"/>
      <c r="R1714" s="367">
        <v>142</v>
      </c>
      <c r="S1714" s="367">
        <v>2.8</v>
      </c>
      <c r="T1714" s="367"/>
      <c r="U1714" s="367"/>
      <c r="V1714" s="367"/>
      <c r="W1714" s="367"/>
      <c r="X1714" s="367"/>
      <c r="Y1714" s="367"/>
      <c r="Z1714" s="367"/>
      <c r="AA1714" s="367">
        <v>0.04</v>
      </c>
    </row>
    <row r="1715" spans="1:27" ht="15" x14ac:dyDescent="0.25">
      <c r="A1715" s="365" t="s">
        <v>771</v>
      </c>
      <c r="H1715" s="366">
        <v>29</v>
      </c>
      <c r="J1715" s="367"/>
      <c r="K1715" s="367"/>
      <c r="L1715" s="367">
        <v>53</v>
      </c>
      <c r="M1715" s="367">
        <v>5</v>
      </c>
      <c r="N1715" s="367">
        <v>4</v>
      </c>
      <c r="O1715" s="367"/>
      <c r="P1715" s="367">
        <v>67</v>
      </c>
      <c r="Q1715" s="367"/>
      <c r="R1715" s="367">
        <v>46</v>
      </c>
      <c r="S1715" s="367">
        <v>2.5</v>
      </c>
      <c r="T1715" s="367">
        <v>44</v>
      </c>
      <c r="U1715" s="367"/>
      <c r="V1715" s="367"/>
      <c r="W1715" s="367"/>
      <c r="X1715" s="367"/>
      <c r="Y1715" s="367"/>
      <c r="Z1715" s="367"/>
      <c r="AA1715" s="367">
        <v>0.01</v>
      </c>
    </row>
    <row r="1716" spans="1:27" ht="15" x14ac:dyDescent="0.25">
      <c r="A1716" s="365" t="s">
        <v>773</v>
      </c>
      <c r="H1716" s="366">
        <v>29</v>
      </c>
      <c r="J1716" s="367"/>
      <c r="K1716" s="367"/>
      <c r="L1716" s="367">
        <v>82</v>
      </c>
      <c r="M1716" s="367">
        <v>4</v>
      </c>
      <c r="N1716" s="367">
        <v>74</v>
      </c>
      <c r="O1716" s="367"/>
      <c r="P1716" s="367"/>
      <c r="Q1716" s="367"/>
      <c r="R1716" s="367">
        <v>142</v>
      </c>
      <c r="S1716" s="367">
        <v>0.4</v>
      </c>
      <c r="T1716" s="367">
        <v>226</v>
      </c>
      <c r="U1716" s="367"/>
      <c r="V1716" s="367"/>
      <c r="W1716" s="367"/>
      <c r="X1716" s="367"/>
      <c r="Y1716" s="367"/>
      <c r="Z1716" s="367"/>
      <c r="AA1716" s="367"/>
    </row>
    <row r="1717" spans="1:27" ht="15" x14ac:dyDescent="0.25">
      <c r="A1717" s="365" t="s">
        <v>774</v>
      </c>
      <c r="H1717" s="366">
        <v>29</v>
      </c>
      <c r="J1717" s="367"/>
      <c r="K1717" s="367"/>
      <c r="L1717" s="367">
        <v>56</v>
      </c>
      <c r="M1717" s="367"/>
      <c r="N1717" s="367"/>
      <c r="O1717" s="367"/>
      <c r="P1717" s="367"/>
      <c r="Q1717" s="367"/>
      <c r="R1717" s="367"/>
      <c r="S1717" s="367">
        <v>0.5</v>
      </c>
      <c r="T1717" s="367"/>
      <c r="U1717" s="367"/>
      <c r="V1717" s="367"/>
      <c r="W1717" s="367"/>
      <c r="X1717" s="367"/>
      <c r="Y1717" s="367"/>
      <c r="Z1717" s="367"/>
      <c r="AA1717" s="367"/>
    </row>
    <row r="1718" spans="1:27" ht="15" x14ac:dyDescent="0.25">
      <c r="A1718" s="365" t="s">
        <v>778</v>
      </c>
      <c r="H1718" s="366">
        <v>33</v>
      </c>
      <c r="J1718" s="367"/>
      <c r="K1718" s="367"/>
      <c r="L1718" s="367">
        <v>112</v>
      </c>
      <c r="M1718" s="367">
        <v>3.2</v>
      </c>
      <c r="N1718" s="367">
        <v>5</v>
      </c>
      <c r="O1718" s="367"/>
      <c r="P1718" s="367"/>
      <c r="Q1718" s="367"/>
      <c r="R1718" s="367">
        <v>66</v>
      </c>
      <c r="S1718" s="367">
        <v>8</v>
      </c>
      <c r="T1718" s="367">
        <v>72</v>
      </c>
      <c r="U1718" s="367"/>
      <c r="V1718" s="367"/>
      <c r="W1718" s="367"/>
      <c r="X1718" s="367"/>
      <c r="Y1718" s="367"/>
      <c r="Z1718" s="367"/>
      <c r="AA1718" s="367"/>
    </row>
    <row r="1719" spans="1:27" ht="15" x14ac:dyDescent="0.25">
      <c r="A1719" s="365" t="s">
        <v>780</v>
      </c>
      <c r="H1719" s="366">
        <v>33</v>
      </c>
      <c r="J1719" s="367"/>
      <c r="K1719" s="367"/>
      <c r="L1719" s="367">
        <v>77</v>
      </c>
      <c r="M1719" s="367">
        <v>1</v>
      </c>
      <c r="N1719" s="367">
        <v>2</v>
      </c>
      <c r="O1719" s="367"/>
      <c r="P1719" s="367"/>
      <c r="Q1719" s="367"/>
      <c r="R1719" s="367">
        <v>21</v>
      </c>
      <c r="S1719" s="367">
        <v>2.8</v>
      </c>
      <c r="T1719" s="367">
        <v>44</v>
      </c>
      <c r="U1719" s="367"/>
      <c r="V1719" s="367"/>
      <c r="W1719" s="367"/>
      <c r="X1719" s="367"/>
      <c r="Y1719" s="367"/>
      <c r="Z1719" s="367"/>
      <c r="AA1719" s="367"/>
    </row>
    <row r="1720" spans="1:27" ht="15" x14ac:dyDescent="0.25">
      <c r="A1720" s="365" t="s">
        <v>782</v>
      </c>
      <c r="H1720" s="366">
        <v>34</v>
      </c>
      <c r="J1720" s="367"/>
      <c r="K1720" s="367"/>
      <c r="L1720" s="367">
        <v>2000</v>
      </c>
      <c r="M1720" s="367">
        <v>95</v>
      </c>
      <c r="N1720" s="367">
        <v>48</v>
      </c>
      <c r="O1720" s="367"/>
      <c r="P1720" s="367">
        <v>94</v>
      </c>
      <c r="Q1720" s="367"/>
      <c r="R1720" s="367">
        <v>1600</v>
      </c>
      <c r="S1720" s="367"/>
      <c r="T1720" s="367">
        <v>52</v>
      </c>
      <c r="U1720" s="367"/>
      <c r="V1720" s="367"/>
      <c r="W1720" s="367"/>
      <c r="X1720" s="367"/>
      <c r="Y1720" s="367"/>
      <c r="Z1720" s="367"/>
      <c r="AA1720" s="367"/>
    </row>
    <row r="1721" spans="1:27" ht="15" x14ac:dyDescent="0.25">
      <c r="A1721" s="365" t="s">
        <v>725</v>
      </c>
      <c r="H1721" s="366"/>
      <c r="J1721" s="367"/>
      <c r="K1721" s="367"/>
      <c r="L1721" s="367">
        <v>38</v>
      </c>
      <c r="M1721" s="367"/>
      <c r="N1721" s="367">
        <v>50</v>
      </c>
      <c r="O1721" s="367"/>
      <c r="P1721" s="367">
        <v>23</v>
      </c>
      <c r="Q1721" s="367"/>
      <c r="R1721" s="367">
        <v>15</v>
      </c>
      <c r="S1721" s="367">
        <v>0.3</v>
      </c>
      <c r="T1721" s="367">
        <v>39</v>
      </c>
      <c r="U1721" s="367"/>
      <c r="V1721" s="367"/>
      <c r="W1721" s="367"/>
      <c r="X1721" s="367"/>
      <c r="Y1721" s="367"/>
      <c r="Z1721" s="367"/>
      <c r="AA1721" s="367">
        <v>0.14000000000000001</v>
      </c>
    </row>
    <row r="1722" spans="1:27" ht="15" x14ac:dyDescent="0.25">
      <c r="A1722" s="365" t="s">
        <v>726</v>
      </c>
      <c r="H1722" s="366"/>
      <c r="J1722" s="367"/>
      <c r="K1722" s="367"/>
      <c r="L1722" s="367">
        <v>249</v>
      </c>
      <c r="M1722" s="367">
        <v>6</v>
      </c>
      <c r="N1722" s="367">
        <v>10</v>
      </c>
      <c r="O1722" s="367"/>
      <c r="P1722" s="367">
        <v>32</v>
      </c>
      <c r="Q1722" s="367"/>
      <c r="R1722" s="367">
        <v>205</v>
      </c>
      <c r="S1722" s="367">
        <v>9</v>
      </c>
      <c r="T1722" s="367">
        <v>54</v>
      </c>
      <c r="U1722" s="367"/>
      <c r="V1722" s="367"/>
      <c r="W1722" s="367"/>
      <c r="X1722" s="367"/>
      <c r="Y1722" s="367"/>
      <c r="Z1722" s="367"/>
      <c r="AA1722" s="367">
        <v>0.04</v>
      </c>
    </row>
    <row r="1723" spans="1:27" ht="15" x14ac:dyDescent="0.25">
      <c r="A1723" s="365" t="s">
        <v>727</v>
      </c>
      <c r="H1723" s="366"/>
      <c r="J1723" s="367"/>
      <c r="K1723" s="367"/>
      <c r="L1723" s="367">
        <v>212</v>
      </c>
      <c r="M1723" s="367">
        <v>6</v>
      </c>
      <c r="N1723" s="367">
        <v>5</v>
      </c>
      <c r="O1723" s="367"/>
      <c r="P1723" s="367">
        <v>48</v>
      </c>
      <c r="Q1723" s="367"/>
      <c r="R1723" s="367">
        <v>204</v>
      </c>
      <c r="S1723" s="367">
        <v>8.6999999999999993</v>
      </c>
      <c r="T1723" s="367">
        <v>10</v>
      </c>
      <c r="U1723" s="367"/>
      <c r="V1723" s="367"/>
      <c r="W1723" s="367"/>
      <c r="X1723" s="367"/>
      <c r="Y1723" s="367"/>
      <c r="Z1723" s="367"/>
      <c r="AA1723" s="367">
        <v>0.03</v>
      </c>
    </row>
    <row r="1724" spans="1:27" ht="15" x14ac:dyDescent="0.25">
      <c r="A1724" s="365" t="s">
        <v>728</v>
      </c>
      <c r="H1724" s="366"/>
      <c r="J1724" s="367"/>
      <c r="K1724" s="367"/>
      <c r="L1724" s="367">
        <v>282</v>
      </c>
      <c r="M1724" s="367">
        <v>7</v>
      </c>
      <c r="N1724" s="367">
        <v>31</v>
      </c>
      <c r="O1724" s="367"/>
      <c r="P1724" s="367">
        <v>28</v>
      </c>
      <c r="Q1724" s="367"/>
      <c r="R1724" s="367">
        <v>206</v>
      </c>
      <c r="S1724" s="367">
        <v>7.9</v>
      </c>
      <c r="T1724" s="367">
        <v>19</v>
      </c>
      <c r="U1724" s="367"/>
      <c r="V1724" s="367"/>
      <c r="W1724" s="367"/>
      <c r="X1724" s="367"/>
      <c r="Y1724" s="367"/>
      <c r="Z1724" s="367"/>
      <c r="AA1724" s="367">
        <v>0.13</v>
      </c>
    </row>
    <row r="1725" spans="1:27" ht="15" x14ac:dyDescent="0.25">
      <c r="A1725" s="365" t="s">
        <v>729</v>
      </c>
      <c r="H1725" s="366">
        <v>20</v>
      </c>
      <c r="J1725" s="367"/>
      <c r="K1725" s="367"/>
      <c r="L1725" s="367">
        <v>87</v>
      </c>
      <c r="M1725" s="367">
        <v>2</v>
      </c>
      <c r="N1725" s="367">
        <v>25</v>
      </c>
      <c r="O1725" s="367"/>
      <c r="P1725" s="367">
        <v>49</v>
      </c>
      <c r="Q1725" s="367"/>
      <c r="R1725" s="367">
        <v>122</v>
      </c>
      <c r="S1725" s="367">
        <v>0.3</v>
      </c>
      <c r="T1725" s="367"/>
      <c r="U1725" s="367"/>
      <c r="V1725" s="367"/>
      <c r="W1725" s="367"/>
      <c r="X1725" s="367"/>
      <c r="Y1725" s="367"/>
      <c r="Z1725" s="367"/>
      <c r="AA1725" s="367">
        <v>0.16</v>
      </c>
    </row>
    <row r="1726" spans="1:27" ht="15" x14ac:dyDescent="0.25">
      <c r="A1726" s="365" t="s">
        <v>730</v>
      </c>
      <c r="H1726" s="366">
        <v>20</v>
      </c>
      <c r="J1726" s="367"/>
      <c r="K1726" s="367"/>
      <c r="L1726" s="367">
        <v>218</v>
      </c>
      <c r="M1726" s="367">
        <v>1.3</v>
      </c>
      <c r="N1726" s="367">
        <v>14</v>
      </c>
      <c r="O1726" s="367"/>
      <c r="P1726" s="367"/>
      <c r="Q1726" s="367"/>
      <c r="R1726" s="367">
        <v>89</v>
      </c>
      <c r="S1726" s="367"/>
      <c r="T1726" s="367">
        <v>36</v>
      </c>
      <c r="U1726" s="367"/>
      <c r="V1726" s="367"/>
      <c r="W1726" s="367"/>
      <c r="X1726" s="367"/>
      <c r="Y1726" s="367"/>
      <c r="Z1726" s="367"/>
      <c r="AA1726" s="367"/>
    </row>
    <row r="1727" spans="1:27" ht="15" x14ac:dyDescent="0.25">
      <c r="A1727" s="365" t="s">
        <v>731</v>
      </c>
      <c r="H1727" s="366">
        <v>20</v>
      </c>
      <c r="J1727" s="367"/>
      <c r="K1727" s="367"/>
      <c r="L1727" s="367">
        <v>44</v>
      </c>
      <c r="M1727" s="367">
        <v>3</v>
      </c>
      <c r="N1727" s="367">
        <v>29</v>
      </c>
      <c r="O1727" s="367"/>
      <c r="P1727" s="367">
        <v>30</v>
      </c>
      <c r="Q1727" s="367"/>
      <c r="R1727" s="367">
        <v>17</v>
      </c>
      <c r="S1727" s="367">
        <v>0.3</v>
      </c>
      <c r="T1727" s="367"/>
      <c r="U1727" s="367"/>
      <c r="V1727" s="367"/>
      <c r="W1727" s="367"/>
      <c r="X1727" s="367"/>
      <c r="Y1727" s="367"/>
      <c r="Z1727" s="367"/>
      <c r="AA1727" s="367">
        <v>0.1</v>
      </c>
    </row>
    <row r="1728" spans="1:27" ht="15" x14ac:dyDescent="0.25">
      <c r="A1728" s="365" t="s">
        <v>732</v>
      </c>
      <c r="H1728" s="366">
        <v>20</v>
      </c>
      <c r="J1728" s="367"/>
      <c r="K1728" s="367"/>
      <c r="L1728" s="367">
        <v>93</v>
      </c>
      <c r="M1728" s="367">
        <v>3</v>
      </c>
      <c r="N1728" s="367">
        <v>7</v>
      </c>
      <c r="O1728" s="367"/>
      <c r="P1728" s="367">
        <v>38</v>
      </c>
      <c r="Q1728" s="367"/>
      <c r="R1728" s="367">
        <v>15</v>
      </c>
      <c r="S1728" s="367">
        <v>0.6</v>
      </c>
      <c r="T1728" s="367"/>
      <c r="U1728" s="367"/>
      <c r="V1728" s="367"/>
      <c r="W1728" s="367"/>
      <c r="X1728" s="367"/>
      <c r="Y1728" s="367"/>
      <c r="Z1728" s="367"/>
      <c r="AA1728" s="367">
        <v>7.0000000000000007E-2</v>
      </c>
    </row>
    <row r="1729" spans="1:27" ht="15" x14ac:dyDescent="0.25">
      <c r="A1729" s="365" t="s">
        <v>633</v>
      </c>
      <c r="H1729" s="366">
        <v>20</v>
      </c>
      <c r="J1729" s="367"/>
      <c r="K1729" s="367"/>
      <c r="L1729" s="367">
        <v>205</v>
      </c>
      <c r="M1729" s="367">
        <v>1.5</v>
      </c>
      <c r="N1729" s="367">
        <v>6.8</v>
      </c>
      <c r="O1729" s="367"/>
      <c r="P1729" s="367">
        <v>29</v>
      </c>
      <c r="Q1729" s="367"/>
      <c r="R1729" s="367">
        <v>66</v>
      </c>
      <c r="S1729" s="367"/>
      <c r="T1729" s="367">
        <v>0.7</v>
      </c>
      <c r="U1729" s="367"/>
      <c r="V1729" s="367"/>
      <c r="W1729" s="367"/>
      <c r="X1729" s="367"/>
      <c r="Y1729" s="367"/>
      <c r="Z1729" s="367"/>
      <c r="AA1729" s="367"/>
    </row>
    <row r="1730" spans="1:27" ht="15" x14ac:dyDescent="0.25">
      <c r="A1730" s="365" t="s">
        <v>634</v>
      </c>
      <c r="H1730" s="366">
        <v>20.100000000000001</v>
      </c>
      <c r="J1730" s="367"/>
      <c r="K1730" s="367"/>
      <c r="L1730" s="367">
        <v>4.7</v>
      </c>
      <c r="M1730" s="367"/>
      <c r="N1730" s="367">
        <v>19</v>
      </c>
      <c r="O1730" s="367"/>
      <c r="P1730" s="367"/>
      <c r="Q1730" s="367"/>
      <c r="R1730" s="367">
        <v>4.2</v>
      </c>
      <c r="S1730" s="367"/>
      <c r="T1730" s="367">
        <v>12</v>
      </c>
      <c r="U1730" s="367"/>
      <c r="V1730" s="367"/>
      <c r="W1730" s="367"/>
      <c r="X1730" s="367"/>
      <c r="Y1730" s="367"/>
      <c r="Z1730" s="367"/>
      <c r="AA1730" s="367"/>
    </row>
    <row r="1731" spans="1:27" ht="15" x14ac:dyDescent="0.25">
      <c r="A1731" s="365" t="s">
        <v>635</v>
      </c>
      <c r="H1731" s="366">
        <v>21</v>
      </c>
      <c r="J1731" s="367"/>
      <c r="K1731" s="367"/>
      <c r="L1731" s="367">
        <v>113</v>
      </c>
      <c r="M1731" s="367">
        <v>10</v>
      </c>
      <c r="N1731" s="367">
        <v>3</v>
      </c>
      <c r="O1731" s="367"/>
      <c r="P1731" s="367">
        <v>71</v>
      </c>
      <c r="Q1731" s="367"/>
      <c r="R1731" s="367">
        <v>101</v>
      </c>
      <c r="S1731" s="367">
        <v>0.7</v>
      </c>
      <c r="T1731" s="367"/>
      <c r="U1731" s="367"/>
      <c r="V1731" s="367"/>
      <c r="W1731" s="367"/>
      <c r="X1731" s="367"/>
      <c r="Y1731" s="367"/>
      <c r="Z1731" s="367"/>
      <c r="AA1731" s="367">
        <v>0.01</v>
      </c>
    </row>
    <row r="1732" spans="1:27" ht="15" x14ac:dyDescent="0.25">
      <c r="A1732" s="365" t="s">
        <v>636</v>
      </c>
      <c r="H1732" s="366">
        <v>22</v>
      </c>
      <c r="J1732" s="367"/>
      <c r="K1732" s="367"/>
      <c r="L1732" s="367">
        <v>56</v>
      </c>
      <c r="M1732" s="367">
        <v>11</v>
      </c>
      <c r="N1732" s="367">
        <v>9</v>
      </c>
      <c r="O1732" s="367"/>
      <c r="P1732" s="367">
        <v>76</v>
      </c>
      <c r="Q1732" s="367"/>
      <c r="R1732" s="367">
        <v>50</v>
      </c>
      <c r="S1732" s="367">
        <v>0.9</v>
      </c>
      <c r="T1732" s="367"/>
      <c r="U1732" s="367"/>
      <c r="V1732" s="367"/>
      <c r="W1732" s="367"/>
      <c r="X1732" s="367"/>
      <c r="Y1732" s="367"/>
      <c r="Z1732" s="367"/>
      <c r="AA1732" s="367">
        <v>0.03</v>
      </c>
    </row>
    <row r="1733" spans="1:27" ht="15" x14ac:dyDescent="0.25">
      <c r="A1733" s="365" t="s">
        <v>637</v>
      </c>
      <c r="H1733" s="366">
        <v>22</v>
      </c>
      <c r="J1733" s="367"/>
      <c r="K1733" s="367"/>
      <c r="L1733" s="367">
        <v>95</v>
      </c>
      <c r="M1733" s="367">
        <v>5</v>
      </c>
      <c r="N1733" s="367">
        <v>20</v>
      </c>
      <c r="O1733" s="367"/>
      <c r="P1733" s="367">
        <v>126</v>
      </c>
      <c r="Q1733" s="367"/>
      <c r="R1733" s="367">
        <v>9</v>
      </c>
      <c r="S1733" s="367">
        <v>0.3</v>
      </c>
      <c r="T1733" s="367">
        <v>15</v>
      </c>
      <c r="U1733" s="367"/>
      <c r="V1733" s="367"/>
      <c r="W1733" s="367"/>
      <c r="X1733" s="367"/>
      <c r="Y1733" s="367"/>
      <c r="Z1733" s="367"/>
      <c r="AA1733" s="367">
        <v>0.11</v>
      </c>
    </row>
    <row r="1734" spans="1:27" ht="15" x14ac:dyDescent="0.25">
      <c r="A1734" s="365" t="s">
        <v>638</v>
      </c>
      <c r="H1734" s="366">
        <v>22</v>
      </c>
      <c r="J1734" s="367"/>
      <c r="K1734" s="367"/>
      <c r="L1734" s="367">
        <v>15</v>
      </c>
      <c r="M1734" s="367">
        <v>4</v>
      </c>
      <c r="N1734" s="367">
        <v>15</v>
      </c>
      <c r="O1734" s="367"/>
      <c r="P1734" s="367">
        <v>99</v>
      </c>
      <c r="Q1734" s="367"/>
      <c r="R1734" s="367">
        <v>8</v>
      </c>
      <c r="S1734" s="367">
        <v>0.3</v>
      </c>
      <c r="T1734" s="367"/>
      <c r="U1734" s="367"/>
      <c r="V1734" s="367"/>
      <c r="W1734" s="367"/>
      <c r="X1734" s="367"/>
      <c r="Y1734" s="367"/>
      <c r="Z1734" s="367"/>
      <c r="AA1734" s="367">
        <v>0.04</v>
      </c>
    </row>
    <row r="1735" spans="1:27" ht="15" x14ac:dyDescent="0.25">
      <c r="A1735" s="365" t="s">
        <v>639</v>
      </c>
      <c r="H1735" s="366">
        <v>22.8</v>
      </c>
      <c r="J1735" s="367"/>
      <c r="K1735" s="367"/>
      <c r="L1735" s="367">
        <v>12</v>
      </c>
      <c r="M1735" s="367"/>
      <c r="N1735" s="367">
        <v>22</v>
      </c>
      <c r="O1735" s="367"/>
      <c r="P1735" s="367"/>
      <c r="Q1735" s="367"/>
      <c r="R1735" s="367"/>
      <c r="S1735" s="367"/>
      <c r="T1735" s="367"/>
      <c r="U1735" s="367"/>
      <c r="V1735" s="367"/>
      <c r="W1735" s="367"/>
      <c r="X1735" s="367"/>
      <c r="Y1735" s="367"/>
      <c r="Z1735" s="367"/>
      <c r="AA1735" s="367"/>
    </row>
    <row r="1736" spans="1:27" ht="15" x14ac:dyDescent="0.25">
      <c r="A1736" s="365" t="s">
        <v>640</v>
      </c>
      <c r="H1736" s="366">
        <v>23</v>
      </c>
      <c r="J1736" s="367"/>
      <c r="K1736" s="367"/>
      <c r="L1736" s="367">
        <v>2410</v>
      </c>
      <c r="M1736" s="367">
        <v>12</v>
      </c>
      <c r="N1736" s="367">
        <v>679</v>
      </c>
      <c r="O1736" s="367"/>
      <c r="P1736" s="367">
        <v>17</v>
      </c>
      <c r="Q1736" s="367"/>
      <c r="R1736" s="367">
        <v>4870</v>
      </c>
      <c r="S1736" s="367"/>
      <c r="T1736" s="367">
        <v>7</v>
      </c>
      <c r="U1736" s="367"/>
      <c r="V1736" s="367"/>
      <c r="W1736" s="367"/>
      <c r="X1736" s="367"/>
      <c r="Y1736" s="367"/>
      <c r="Z1736" s="367"/>
      <c r="AA1736" s="367"/>
    </row>
    <row r="1737" spans="1:27" ht="15" x14ac:dyDescent="0.25">
      <c r="A1737" s="365" t="s">
        <v>641</v>
      </c>
      <c r="H1737" s="366">
        <v>23</v>
      </c>
      <c r="J1737" s="367"/>
      <c r="K1737" s="367"/>
      <c r="L1737" s="367">
        <v>66</v>
      </c>
      <c r="M1737" s="367">
        <v>8.4</v>
      </c>
      <c r="N1737" s="367">
        <v>83</v>
      </c>
      <c r="O1737" s="367"/>
      <c r="P1737" s="367">
        <v>65</v>
      </c>
      <c r="Q1737" s="367"/>
      <c r="R1737" s="367">
        <v>67</v>
      </c>
      <c r="S1737" s="367"/>
      <c r="T1737" s="367">
        <v>113</v>
      </c>
      <c r="U1737" s="367"/>
      <c r="V1737" s="367"/>
      <c r="W1737" s="367"/>
      <c r="X1737" s="367"/>
      <c r="Y1737" s="367"/>
      <c r="Z1737" s="367"/>
      <c r="AA1737" s="367"/>
    </row>
    <row r="1738" spans="1:27" ht="15" x14ac:dyDescent="0.25">
      <c r="A1738" s="365" t="s">
        <v>733</v>
      </c>
      <c r="H1738" s="366">
        <v>24</v>
      </c>
      <c r="J1738" s="367"/>
      <c r="K1738" s="367"/>
      <c r="L1738" s="367">
        <v>70</v>
      </c>
      <c r="M1738" s="367">
        <v>14</v>
      </c>
      <c r="N1738" s="367">
        <v>50</v>
      </c>
      <c r="O1738" s="367"/>
      <c r="P1738" s="367">
        <v>38</v>
      </c>
      <c r="Q1738" s="367"/>
      <c r="R1738" s="367">
        <v>79</v>
      </c>
      <c r="S1738" s="367">
        <v>4</v>
      </c>
      <c r="T1738" s="367">
        <v>18</v>
      </c>
      <c r="U1738" s="367"/>
      <c r="V1738" s="367"/>
      <c r="W1738" s="367"/>
      <c r="X1738" s="367"/>
      <c r="Y1738" s="367"/>
      <c r="Z1738" s="367"/>
      <c r="AA1738" s="367">
        <v>0.26</v>
      </c>
    </row>
    <row r="1739" spans="1:27" ht="15" x14ac:dyDescent="0.25">
      <c r="A1739" s="365" t="s">
        <v>734</v>
      </c>
      <c r="H1739" s="366">
        <v>24</v>
      </c>
      <c r="J1739" s="367"/>
      <c r="K1739" s="367"/>
      <c r="L1739" s="367">
        <v>875</v>
      </c>
      <c r="M1739" s="367">
        <v>3.6</v>
      </c>
      <c r="N1739" s="367">
        <v>26</v>
      </c>
      <c r="O1739" s="367"/>
      <c r="P1739" s="367">
        <v>37</v>
      </c>
      <c r="Q1739" s="367"/>
      <c r="R1739" s="367">
        <v>790</v>
      </c>
      <c r="S1739" s="367">
        <v>0.6</v>
      </c>
      <c r="T1739" s="367">
        <v>426</v>
      </c>
      <c r="U1739" s="367"/>
      <c r="V1739" s="367"/>
      <c r="W1739" s="367"/>
      <c r="X1739" s="367"/>
      <c r="Y1739" s="367"/>
      <c r="Z1739" s="367"/>
      <c r="AA1739" s="367"/>
    </row>
    <row r="1740" spans="1:27" ht="15" x14ac:dyDescent="0.25">
      <c r="A1740" s="365" t="s">
        <v>735</v>
      </c>
      <c r="H1740" s="366">
        <v>24</v>
      </c>
      <c r="J1740" s="367"/>
      <c r="K1740" s="367"/>
      <c r="L1740" s="367">
        <v>19</v>
      </c>
      <c r="M1740" s="367">
        <v>2</v>
      </c>
      <c r="N1740" s="367">
        <v>34</v>
      </c>
      <c r="O1740" s="367"/>
      <c r="P1740" s="367">
        <v>100</v>
      </c>
      <c r="Q1740" s="367"/>
      <c r="R1740" s="367">
        <v>9</v>
      </c>
      <c r="S1740" s="367">
        <v>0.2</v>
      </c>
      <c r="T1740" s="367">
        <v>2</v>
      </c>
      <c r="U1740" s="367"/>
      <c r="V1740" s="367"/>
      <c r="W1740" s="367"/>
      <c r="X1740" s="367"/>
      <c r="Y1740" s="367"/>
      <c r="Z1740" s="367"/>
      <c r="AA1740" s="367">
        <v>0.08</v>
      </c>
    </row>
    <row r="1741" spans="1:27" ht="15" x14ac:dyDescent="0.25">
      <c r="A1741" s="365" t="s">
        <v>736</v>
      </c>
      <c r="H1741" s="366">
        <v>24</v>
      </c>
      <c r="J1741" s="367"/>
      <c r="K1741" s="367"/>
      <c r="L1741" s="367">
        <v>484</v>
      </c>
      <c r="M1741" s="367">
        <v>36</v>
      </c>
      <c r="N1741" s="367">
        <v>93</v>
      </c>
      <c r="O1741" s="367"/>
      <c r="P1741" s="367">
        <v>110</v>
      </c>
      <c r="Q1741" s="367"/>
      <c r="R1741" s="367">
        <v>164</v>
      </c>
      <c r="S1741" s="367"/>
      <c r="T1741" s="367">
        <v>639</v>
      </c>
      <c r="U1741" s="367"/>
      <c r="V1741" s="367"/>
      <c r="W1741" s="367"/>
      <c r="X1741" s="367"/>
      <c r="Y1741" s="367"/>
      <c r="Z1741" s="367"/>
      <c r="AA1741" s="367"/>
    </row>
    <row r="1742" spans="1:27" ht="15" x14ac:dyDescent="0.25">
      <c r="A1742" s="365" t="s">
        <v>737</v>
      </c>
      <c r="H1742" s="366">
        <v>24</v>
      </c>
      <c r="J1742" s="367"/>
      <c r="K1742" s="367"/>
      <c r="L1742" s="367">
        <v>8</v>
      </c>
      <c r="M1742" s="367">
        <v>1.4</v>
      </c>
      <c r="N1742" s="367">
        <v>20</v>
      </c>
      <c r="O1742" s="367"/>
      <c r="P1742" s="367">
        <v>20</v>
      </c>
      <c r="Q1742" s="367"/>
      <c r="R1742" s="367">
        <v>9</v>
      </c>
      <c r="S1742" s="367">
        <v>0.2</v>
      </c>
      <c r="T1742" s="367"/>
      <c r="U1742" s="367"/>
      <c r="V1742" s="367"/>
      <c r="W1742" s="367"/>
      <c r="X1742" s="367"/>
      <c r="Y1742" s="367"/>
      <c r="Z1742" s="367"/>
      <c r="AA1742" s="367">
        <v>0.16</v>
      </c>
    </row>
    <row r="1743" spans="1:27" ht="15" x14ac:dyDescent="0.25">
      <c r="A1743" s="365" t="s">
        <v>738</v>
      </c>
      <c r="H1743" s="366">
        <v>25</v>
      </c>
      <c r="J1743" s="367"/>
      <c r="K1743" s="367"/>
      <c r="L1743" s="367">
        <v>48</v>
      </c>
      <c r="M1743" s="367"/>
      <c r="N1743" s="367">
        <v>37</v>
      </c>
      <c r="O1743" s="367"/>
      <c r="P1743" s="367">
        <v>27</v>
      </c>
      <c r="Q1743" s="367"/>
      <c r="R1743" s="367">
        <v>21</v>
      </c>
      <c r="S1743" s="367">
        <v>1</v>
      </c>
      <c r="T1743" s="367">
        <v>79</v>
      </c>
      <c r="U1743" s="367"/>
      <c r="V1743" s="367"/>
      <c r="W1743" s="367"/>
      <c r="X1743" s="367"/>
      <c r="Y1743" s="367"/>
      <c r="Z1743" s="367"/>
      <c r="AA1743" s="367">
        <v>0.33</v>
      </c>
    </row>
    <row r="1744" spans="1:27" ht="15" x14ac:dyDescent="0.25">
      <c r="A1744" s="365" t="s">
        <v>739</v>
      </c>
      <c r="H1744" s="366">
        <v>25</v>
      </c>
      <c r="J1744" s="367"/>
      <c r="K1744" s="367"/>
      <c r="L1744" s="367">
        <v>138</v>
      </c>
      <c r="M1744" s="367">
        <v>4</v>
      </c>
      <c r="N1744" s="367">
        <v>3.2</v>
      </c>
      <c r="O1744" s="367"/>
      <c r="P1744" s="367">
        <v>68</v>
      </c>
      <c r="Q1744" s="367"/>
      <c r="R1744" s="367">
        <v>70</v>
      </c>
      <c r="S1744" s="367">
        <v>0.7</v>
      </c>
      <c r="T1744" s="367">
        <v>2</v>
      </c>
      <c r="U1744" s="367"/>
      <c r="V1744" s="367"/>
      <c r="W1744" s="367"/>
      <c r="X1744" s="367"/>
      <c r="Y1744" s="367"/>
      <c r="Z1744" s="367"/>
      <c r="AA1744" s="367"/>
    </row>
    <row r="1745" spans="1:29" ht="15" x14ac:dyDescent="0.25">
      <c r="A1745" s="365" t="s">
        <v>740</v>
      </c>
      <c r="H1745" s="366">
        <v>25</v>
      </c>
      <c r="J1745" s="367"/>
      <c r="K1745" s="367"/>
      <c r="L1745" s="367">
        <v>76</v>
      </c>
      <c r="M1745" s="367">
        <v>2</v>
      </c>
      <c r="N1745" s="367">
        <v>49</v>
      </c>
      <c r="O1745" s="367"/>
      <c r="P1745" s="367">
        <v>37</v>
      </c>
      <c r="Q1745" s="367"/>
      <c r="R1745" s="367">
        <v>64</v>
      </c>
      <c r="S1745" s="367">
        <v>0.1</v>
      </c>
      <c r="T1745" s="367">
        <v>33</v>
      </c>
      <c r="U1745" s="367"/>
      <c r="V1745" s="367"/>
      <c r="W1745" s="367"/>
      <c r="X1745" s="367"/>
      <c r="Y1745" s="367"/>
      <c r="Z1745" s="367"/>
      <c r="AA1745" s="367"/>
    </row>
    <row r="1746" spans="1:29" ht="15" x14ac:dyDescent="0.25">
      <c r="A1746" s="365" t="s">
        <v>741</v>
      </c>
      <c r="H1746" s="366">
        <v>26</v>
      </c>
      <c r="J1746" s="367"/>
      <c r="K1746" s="367"/>
      <c r="L1746" s="367">
        <v>25</v>
      </c>
      <c r="M1746" s="367">
        <v>5.0999999999999996</v>
      </c>
      <c r="N1746" s="367">
        <v>8</v>
      </c>
      <c r="O1746" s="367"/>
      <c r="P1746" s="367">
        <v>95</v>
      </c>
      <c r="Q1746" s="367"/>
      <c r="R1746" s="367">
        <v>6</v>
      </c>
      <c r="S1746" s="367">
        <v>0.7</v>
      </c>
      <c r="T1746" s="367">
        <v>22</v>
      </c>
      <c r="U1746" s="367"/>
      <c r="V1746" s="367"/>
      <c r="W1746" s="367"/>
      <c r="X1746" s="367"/>
      <c r="Y1746" s="367"/>
      <c r="Z1746" s="367"/>
      <c r="AA1746" s="367"/>
    </row>
    <row r="1747" spans="1:29" ht="15" x14ac:dyDescent="0.25">
      <c r="A1747" s="365" t="s">
        <v>742</v>
      </c>
      <c r="H1747" s="366">
        <v>27</v>
      </c>
      <c r="J1747" s="367"/>
      <c r="K1747" s="367"/>
      <c r="L1747" s="367">
        <v>56</v>
      </c>
      <c r="M1747" s="367">
        <v>3</v>
      </c>
      <c r="N1747" s="367">
        <v>26</v>
      </c>
      <c r="O1747" s="367"/>
      <c r="P1747" s="367">
        <v>20</v>
      </c>
      <c r="Q1747" s="367"/>
      <c r="R1747" s="367">
        <v>46</v>
      </c>
      <c r="S1747" s="367">
        <v>0.4</v>
      </c>
      <c r="T1747" s="367">
        <v>20</v>
      </c>
      <c r="U1747" s="367"/>
      <c r="V1747" s="367"/>
      <c r="W1747" s="367"/>
      <c r="X1747" s="367"/>
      <c r="Y1747" s="367"/>
      <c r="Z1747" s="367"/>
      <c r="AA1747" s="367"/>
    </row>
    <row r="1748" spans="1:29" ht="15" x14ac:dyDescent="0.25">
      <c r="A1748" s="365" t="s">
        <v>743</v>
      </c>
      <c r="H1748" s="366">
        <v>27</v>
      </c>
      <c r="J1748" s="367"/>
      <c r="K1748" s="367"/>
      <c r="L1748" s="367">
        <v>465</v>
      </c>
      <c r="M1748" s="367">
        <v>13</v>
      </c>
      <c r="N1748" s="367">
        <v>430</v>
      </c>
      <c r="O1748" s="367"/>
      <c r="P1748" s="367">
        <v>23</v>
      </c>
      <c r="Q1748" s="367"/>
      <c r="R1748" s="367">
        <v>1076</v>
      </c>
      <c r="S1748" s="367">
        <v>0.4</v>
      </c>
      <c r="T1748" s="367">
        <v>657</v>
      </c>
      <c r="U1748" s="367"/>
      <c r="V1748" s="367"/>
      <c r="W1748" s="367"/>
      <c r="X1748" s="367"/>
      <c r="Y1748" s="367"/>
      <c r="Z1748" s="367"/>
      <c r="AA1748" s="367">
        <v>9.1199999999999992</v>
      </c>
    </row>
    <row r="1749" spans="1:29" ht="15" x14ac:dyDescent="0.25">
      <c r="A1749" s="365" t="s">
        <v>744</v>
      </c>
      <c r="H1749" s="366">
        <v>27</v>
      </c>
      <c r="J1749" s="367"/>
      <c r="K1749" s="367"/>
      <c r="L1749" s="367">
        <v>48</v>
      </c>
      <c r="M1749" s="367">
        <v>4</v>
      </c>
      <c r="N1749" s="367">
        <v>72</v>
      </c>
      <c r="O1749" s="367"/>
      <c r="P1749" s="367">
        <v>17</v>
      </c>
      <c r="Q1749" s="367"/>
      <c r="R1749" s="367">
        <v>39</v>
      </c>
      <c r="S1749" s="367">
        <v>0.2</v>
      </c>
      <c r="T1749" s="367">
        <v>97</v>
      </c>
      <c r="U1749" s="367"/>
      <c r="V1749" s="367"/>
      <c r="W1749" s="367"/>
      <c r="X1749" s="367"/>
      <c r="Y1749" s="367"/>
      <c r="Z1749" s="367"/>
      <c r="AA1749" s="367"/>
    </row>
    <row r="1750" spans="1:29" ht="15" x14ac:dyDescent="0.25">
      <c r="A1750" s="365" t="s">
        <v>745</v>
      </c>
      <c r="H1750" s="366">
        <v>27</v>
      </c>
      <c r="J1750" s="367"/>
      <c r="K1750" s="367"/>
      <c r="L1750" s="367">
        <v>46</v>
      </c>
      <c r="M1750" s="367">
        <v>3</v>
      </c>
      <c r="N1750" s="367">
        <v>12</v>
      </c>
      <c r="O1750" s="367"/>
      <c r="P1750" s="367">
        <v>18</v>
      </c>
      <c r="Q1750" s="367"/>
      <c r="R1750" s="367">
        <v>24</v>
      </c>
      <c r="S1750" s="367">
        <v>0.7</v>
      </c>
      <c r="T1750" s="367">
        <v>36</v>
      </c>
      <c r="U1750" s="367"/>
      <c r="V1750" s="367"/>
      <c r="W1750" s="367"/>
      <c r="X1750" s="367"/>
      <c r="Y1750" s="367"/>
      <c r="Z1750" s="367"/>
      <c r="AA1750" s="367"/>
    </row>
    <row r="1751" spans="1:29" ht="15" x14ac:dyDescent="0.25">
      <c r="A1751" s="365" t="s">
        <v>746</v>
      </c>
      <c r="H1751" s="366">
        <v>27</v>
      </c>
      <c r="J1751" s="367"/>
      <c r="K1751" s="367"/>
      <c r="L1751" s="367">
        <v>199</v>
      </c>
      <c r="M1751" s="367">
        <v>2</v>
      </c>
      <c r="N1751" s="367">
        <v>95</v>
      </c>
      <c r="O1751" s="367"/>
      <c r="P1751" s="367">
        <v>44</v>
      </c>
      <c r="Q1751" s="367"/>
      <c r="R1751" s="367">
        <v>297</v>
      </c>
      <c r="S1751" s="367">
        <v>0.6</v>
      </c>
      <c r="T1751" s="367">
        <v>142</v>
      </c>
      <c r="U1751" s="367"/>
      <c r="V1751" s="367"/>
      <c r="W1751" s="367"/>
      <c r="X1751" s="367"/>
      <c r="Y1751" s="367"/>
      <c r="Z1751" s="367"/>
      <c r="AA1751" s="367"/>
      <c r="AB1751" s="367"/>
      <c r="AC1751" s="367"/>
    </row>
    <row r="1752" spans="1:29" ht="15" x14ac:dyDescent="0.25">
      <c r="A1752" s="365" t="s">
        <v>747</v>
      </c>
      <c r="H1752" s="366">
        <v>27</v>
      </c>
      <c r="J1752" s="367"/>
      <c r="K1752" s="367"/>
      <c r="L1752" s="367">
        <v>78</v>
      </c>
      <c r="M1752" s="367">
        <v>2.4</v>
      </c>
      <c r="N1752" s="367">
        <v>1</v>
      </c>
      <c r="O1752" s="367"/>
      <c r="P1752" s="367">
        <v>77</v>
      </c>
      <c r="Q1752" s="367"/>
      <c r="R1752" s="367">
        <v>11</v>
      </c>
      <c r="S1752" s="367">
        <v>0.5</v>
      </c>
      <c r="T1752" s="367">
        <v>6</v>
      </c>
      <c r="U1752" s="367"/>
      <c r="V1752" s="367"/>
      <c r="W1752" s="367"/>
      <c r="X1752" s="367"/>
      <c r="Y1752" s="367"/>
      <c r="Z1752" s="367"/>
      <c r="AA1752" s="367"/>
      <c r="AB1752" s="367"/>
      <c r="AC1752" s="367"/>
    </row>
    <row r="1753" spans="1:29" ht="15" x14ac:dyDescent="0.25">
      <c r="A1753" s="365" t="s">
        <v>749</v>
      </c>
      <c r="H1753" s="366">
        <v>27</v>
      </c>
      <c r="J1753" s="367"/>
      <c r="K1753" s="367"/>
      <c r="L1753" s="367">
        <v>547</v>
      </c>
      <c r="M1753" s="367">
        <v>6</v>
      </c>
      <c r="N1753" s="367">
        <v>226</v>
      </c>
      <c r="O1753" s="367"/>
      <c r="P1753" s="367">
        <v>33</v>
      </c>
      <c r="Q1753" s="367"/>
      <c r="R1753" s="367">
        <v>1230</v>
      </c>
      <c r="S1753" s="367">
        <v>0.6</v>
      </c>
      <c r="T1753" s="367">
        <v>213</v>
      </c>
      <c r="U1753" s="367"/>
      <c r="V1753" s="367"/>
      <c r="W1753" s="367"/>
      <c r="X1753" s="367"/>
      <c r="Y1753" s="367"/>
      <c r="Z1753" s="367"/>
      <c r="AA1753" s="367"/>
      <c r="AB1753" s="367"/>
      <c r="AC1753" s="367"/>
    </row>
    <row r="1754" spans="1:29" ht="15" x14ac:dyDescent="0.25">
      <c r="A1754" s="365" t="s">
        <v>750</v>
      </c>
      <c r="H1754" s="366">
        <v>27</v>
      </c>
      <c r="J1754" s="367"/>
      <c r="K1754" s="367"/>
      <c r="L1754" s="367">
        <v>165</v>
      </c>
      <c r="M1754" s="367">
        <v>6</v>
      </c>
      <c r="N1754" s="367">
        <v>87</v>
      </c>
      <c r="O1754" s="367"/>
      <c r="P1754" s="367"/>
      <c r="Q1754" s="367"/>
      <c r="R1754" s="367">
        <v>2</v>
      </c>
      <c r="S1754" s="367">
        <v>0.2</v>
      </c>
      <c r="T1754" s="367">
        <v>317</v>
      </c>
      <c r="U1754" s="367"/>
      <c r="V1754" s="367"/>
      <c r="W1754" s="367"/>
      <c r="X1754" s="367"/>
      <c r="Y1754" s="367"/>
      <c r="Z1754" s="367"/>
      <c r="AA1754" s="367"/>
      <c r="AB1754" s="367"/>
      <c r="AC1754" s="367"/>
    </row>
    <row r="1755" spans="1:29" ht="15" x14ac:dyDescent="0.25">
      <c r="A1755" s="365" t="s">
        <v>752</v>
      </c>
      <c r="H1755" s="366">
        <v>27</v>
      </c>
      <c r="J1755" s="367"/>
      <c r="K1755" s="367"/>
      <c r="L1755" s="367">
        <v>29</v>
      </c>
      <c r="M1755" s="367">
        <v>5</v>
      </c>
      <c r="N1755" s="367">
        <v>42</v>
      </c>
      <c r="O1755" s="367"/>
      <c r="P1755" s="367">
        <v>45</v>
      </c>
      <c r="Q1755" s="367"/>
      <c r="R1755" s="367">
        <v>18</v>
      </c>
      <c r="S1755" s="367">
        <v>0.4</v>
      </c>
      <c r="T1755" s="367">
        <v>72</v>
      </c>
      <c r="U1755" s="367"/>
      <c r="V1755" s="367"/>
      <c r="W1755" s="367"/>
      <c r="X1755" s="367"/>
      <c r="Y1755" s="367"/>
      <c r="Z1755" s="367"/>
      <c r="AA1755" s="367"/>
      <c r="AB1755" s="367"/>
      <c r="AC1755" s="367"/>
    </row>
    <row r="1756" spans="1:29" ht="15" x14ac:dyDescent="0.25">
      <c r="A1756" s="365" t="s">
        <v>753</v>
      </c>
      <c r="H1756" s="366">
        <v>27</v>
      </c>
      <c r="J1756" s="367"/>
      <c r="K1756" s="367"/>
      <c r="L1756" s="367">
        <v>280</v>
      </c>
      <c r="M1756" s="367">
        <v>5</v>
      </c>
      <c r="N1756" s="367">
        <v>359</v>
      </c>
      <c r="O1756" s="367"/>
      <c r="P1756" s="367">
        <v>40</v>
      </c>
      <c r="Q1756" s="367"/>
      <c r="R1756" s="367">
        <v>1200</v>
      </c>
      <c r="S1756" s="367">
        <v>0.4</v>
      </c>
      <c r="T1756" s="367">
        <v>112</v>
      </c>
      <c r="U1756" s="367"/>
      <c r="V1756" s="367"/>
      <c r="W1756" s="367"/>
      <c r="X1756" s="367"/>
      <c r="Y1756" s="367"/>
      <c r="Z1756" s="367"/>
      <c r="AA1756" s="367"/>
      <c r="AB1756" s="367"/>
      <c r="AC1756" s="367"/>
    </row>
    <row r="1757" spans="1:29" ht="15" x14ac:dyDescent="0.25">
      <c r="A1757" s="365" t="s">
        <v>754</v>
      </c>
      <c r="H1757" s="366">
        <v>28</v>
      </c>
      <c r="J1757" s="367"/>
      <c r="K1757" s="367"/>
      <c r="L1757" s="367">
        <v>33.1</v>
      </c>
      <c r="M1757" s="367">
        <v>4.2</v>
      </c>
      <c r="N1757" s="367">
        <v>3.3</v>
      </c>
      <c r="O1757" s="367"/>
      <c r="P1757" s="367"/>
      <c r="Q1757" s="367"/>
      <c r="R1757" s="367">
        <v>10</v>
      </c>
      <c r="S1757" s="367">
        <v>0.48</v>
      </c>
      <c r="T1757" s="367"/>
      <c r="U1757" s="367"/>
      <c r="V1757" s="367"/>
      <c r="W1757" s="367"/>
      <c r="X1757" s="367"/>
      <c r="Y1757" s="367"/>
      <c r="Z1757" s="367"/>
      <c r="AA1757" s="367"/>
      <c r="AB1757" s="367"/>
      <c r="AC1757" s="367"/>
    </row>
    <row r="1758" spans="1:29" ht="15" x14ac:dyDescent="0.25">
      <c r="A1758" s="365" t="s">
        <v>755</v>
      </c>
      <c r="H1758" s="366">
        <v>28</v>
      </c>
      <c r="J1758" s="367"/>
      <c r="K1758" s="367"/>
      <c r="L1758" s="367">
        <v>104</v>
      </c>
      <c r="M1758" s="367"/>
      <c r="N1758" s="367">
        <v>5</v>
      </c>
      <c r="O1758" s="367"/>
      <c r="P1758" s="367">
        <v>31</v>
      </c>
      <c r="Q1758" s="367"/>
      <c r="R1758" s="367">
        <v>78</v>
      </c>
      <c r="S1758" s="367">
        <v>2.7</v>
      </c>
      <c r="T1758" s="367">
        <v>120</v>
      </c>
      <c r="U1758" s="367"/>
      <c r="V1758" s="367"/>
      <c r="W1758" s="367"/>
      <c r="X1758" s="367"/>
      <c r="Y1758" s="367"/>
      <c r="Z1758" s="367"/>
      <c r="AA1758" s="367">
        <v>0.03</v>
      </c>
      <c r="AB1758" s="367"/>
      <c r="AC1758" s="367"/>
    </row>
    <row r="1759" spans="1:29" ht="15" x14ac:dyDescent="0.25">
      <c r="A1759" s="365" t="s">
        <v>756</v>
      </c>
      <c r="H1759" s="366">
        <v>28</v>
      </c>
      <c r="J1759" s="367"/>
      <c r="K1759" s="367"/>
      <c r="L1759" s="367">
        <v>330</v>
      </c>
      <c r="M1759" s="367">
        <v>3</v>
      </c>
      <c r="N1759" s="367">
        <v>317</v>
      </c>
      <c r="O1759" s="367"/>
      <c r="P1759" s="367">
        <v>47</v>
      </c>
      <c r="Q1759" s="367"/>
      <c r="R1759" s="367">
        <v>303</v>
      </c>
      <c r="S1759" s="367">
        <v>0.2</v>
      </c>
      <c r="T1759" s="367">
        <v>884</v>
      </c>
      <c r="U1759" s="367"/>
      <c r="V1759" s="367"/>
      <c r="W1759" s="367"/>
      <c r="X1759" s="367"/>
      <c r="Y1759" s="367"/>
      <c r="Z1759" s="367"/>
      <c r="AA1759" s="367"/>
      <c r="AB1759" s="367"/>
      <c r="AC1759" s="367"/>
    </row>
    <row r="1760" spans="1:29" ht="15" x14ac:dyDescent="0.25">
      <c r="A1760" s="365" t="s">
        <v>653</v>
      </c>
      <c r="H1760" s="366">
        <v>28</v>
      </c>
      <c r="J1760" s="367"/>
      <c r="K1760" s="367"/>
      <c r="L1760" s="367">
        <v>58</v>
      </c>
      <c r="M1760" s="367">
        <v>8</v>
      </c>
      <c r="N1760" s="367">
        <v>6</v>
      </c>
      <c r="O1760" s="367"/>
      <c r="P1760" s="367">
        <v>42</v>
      </c>
      <c r="Q1760" s="367"/>
      <c r="R1760" s="367">
        <v>17</v>
      </c>
      <c r="S1760" s="367">
        <v>0.2</v>
      </c>
      <c r="T1760" s="367">
        <v>32</v>
      </c>
      <c r="U1760" s="367"/>
      <c r="V1760" s="367"/>
      <c r="W1760" s="367"/>
      <c r="X1760" s="367"/>
      <c r="Y1760" s="367"/>
      <c r="Z1760" s="367"/>
      <c r="AA1760" s="367"/>
      <c r="AB1760" s="367"/>
      <c r="AC1760" s="367">
        <v>-0.06</v>
      </c>
    </row>
    <row r="1761" spans="1:29" ht="15" x14ac:dyDescent="0.25">
      <c r="A1761" s="365" t="s">
        <v>653</v>
      </c>
      <c r="H1761" s="366">
        <v>28</v>
      </c>
      <c r="J1761" s="367"/>
      <c r="K1761" s="367"/>
      <c r="L1761" s="367">
        <v>56</v>
      </c>
      <c r="M1761" s="367">
        <v>8.5</v>
      </c>
      <c r="N1761" s="367">
        <v>6.2</v>
      </c>
      <c r="O1761" s="367"/>
      <c r="P1761" s="367">
        <v>43</v>
      </c>
      <c r="Q1761" s="367"/>
      <c r="R1761" s="367">
        <v>18</v>
      </c>
      <c r="S1761" s="367">
        <v>0.15</v>
      </c>
      <c r="T1761" s="367">
        <v>28</v>
      </c>
      <c r="U1761" s="367"/>
      <c r="V1761" s="367"/>
      <c r="W1761" s="367"/>
      <c r="X1761" s="367"/>
      <c r="Y1761" s="367"/>
      <c r="Z1761" s="367"/>
      <c r="AA1761" s="367"/>
      <c r="AB1761" s="367"/>
      <c r="AC1761" s="367"/>
    </row>
    <row r="1762" spans="1:29" ht="15" x14ac:dyDescent="0.25">
      <c r="A1762" s="365" t="s">
        <v>758</v>
      </c>
      <c r="H1762" s="366">
        <v>28</v>
      </c>
      <c r="J1762" s="367"/>
      <c r="K1762" s="367"/>
      <c r="L1762" s="367">
        <v>442</v>
      </c>
      <c r="M1762" s="367">
        <v>10</v>
      </c>
      <c r="N1762" s="367">
        <v>6</v>
      </c>
      <c r="O1762" s="367"/>
      <c r="P1762" s="367">
        <v>23</v>
      </c>
      <c r="Q1762" s="367"/>
      <c r="R1762" s="367">
        <v>284</v>
      </c>
      <c r="S1762" s="367">
        <v>0.9</v>
      </c>
      <c r="T1762" s="367">
        <v>81</v>
      </c>
      <c r="U1762" s="367"/>
      <c r="V1762" s="367"/>
      <c r="W1762" s="367"/>
      <c r="X1762" s="367"/>
      <c r="Y1762" s="367"/>
      <c r="Z1762" s="367"/>
      <c r="AA1762" s="367"/>
      <c r="AB1762" s="367"/>
      <c r="AC1762" s="367"/>
    </row>
    <row r="1763" spans="1:29" ht="15" x14ac:dyDescent="0.25">
      <c r="A1763" s="365" t="s">
        <v>759</v>
      </c>
      <c r="H1763" s="366">
        <v>28</v>
      </c>
      <c r="J1763" s="367"/>
      <c r="K1763" s="367"/>
      <c r="L1763" s="367">
        <v>62</v>
      </c>
      <c r="M1763" s="367">
        <v>7.5</v>
      </c>
      <c r="N1763" s="367">
        <v>4</v>
      </c>
      <c r="O1763" s="367"/>
      <c r="P1763" s="367">
        <v>72</v>
      </c>
      <c r="Q1763" s="367"/>
      <c r="R1763" s="367">
        <v>18</v>
      </c>
      <c r="S1763" s="367">
        <v>0.9</v>
      </c>
      <c r="T1763" s="367">
        <v>32</v>
      </c>
      <c r="U1763" s="367"/>
      <c r="V1763" s="367"/>
      <c r="W1763" s="367"/>
      <c r="X1763" s="367"/>
      <c r="Y1763" s="367"/>
      <c r="Z1763" s="367"/>
      <c r="AA1763" s="367"/>
      <c r="AB1763" s="367"/>
      <c r="AC1763" s="367"/>
    </row>
    <row r="1764" spans="1:29" ht="15" x14ac:dyDescent="0.25">
      <c r="A1764" s="365" t="s">
        <v>760</v>
      </c>
      <c r="H1764" s="366">
        <v>28</v>
      </c>
      <c r="J1764" s="367"/>
      <c r="K1764" s="367"/>
      <c r="L1764" s="367">
        <v>35</v>
      </c>
      <c r="M1764" s="367">
        <v>6.3</v>
      </c>
      <c r="N1764" s="367">
        <v>1</v>
      </c>
      <c r="O1764" s="367"/>
      <c r="P1764" s="367">
        <v>82</v>
      </c>
      <c r="Q1764" s="367"/>
      <c r="R1764" s="367">
        <v>6</v>
      </c>
      <c r="S1764" s="367"/>
      <c r="T1764" s="367">
        <v>1</v>
      </c>
      <c r="U1764" s="367"/>
      <c r="V1764" s="367"/>
      <c r="W1764" s="367"/>
      <c r="X1764" s="367"/>
      <c r="Y1764" s="367"/>
      <c r="Z1764" s="367"/>
      <c r="AA1764" s="367"/>
      <c r="AB1764" s="367"/>
      <c r="AC1764" s="367"/>
    </row>
    <row r="1765" spans="1:29" ht="15" x14ac:dyDescent="0.25">
      <c r="A1765" s="365" t="s">
        <v>761</v>
      </c>
      <c r="H1765" s="366">
        <v>28</v>
      </c>
      <c r="J1765" s="367"/>
      <c r="K1765" s="367"/>
      <c r="L1765" s="367">
        <v>63</v>
      </c>
      <c r="M1765" s="367">
        <v>4</v>
      </c>
      <c r="N1765" s="367">
        <v>69</v>
      </c>
      <c r="O1765" s="367"/>
      <c r="P1765" s="367">
        <v>18</v>
      </c>
      <c r="Q1765" s="367"/>
      <c r="R1765" s="367">
        <v>613</v>
      </c>
      <c r="S1765" s="367">
        <v>4.9000000000000004</v>
      </c>
      <c r="T1765" s="367">
        <v>79</v>
      </c>
      <c r="U1765" s="367"/>
      <c r="V1765" s="367"/>
      <c r="W1765" s="367"/>
      <c r="X1765" s="367"/>
      <c r="Y1765" s="367"/>
      <c r="Z1765" s="367"/>
      <c r="AA1765" s="367"/>
      <c r="AB1765" s="367"/>
      <c r="AC1765" s="367"/>
    </row>
    <row r="1766" spans="1:29" ht="15" x14ac:dyDescent="0.25">
      <c r="A1766" s="365" t="s">
        <v>764</v>
      </c>
      <c r="H1766" s="366">
        <v>28</v>
      </c>
      <c r="J1766" s="367"/>
      <c r="K1766" s="367"/>
      <c r="L1766" s="367">
        <v>391</v>
      </c>
      <c r="M1766" s="367">
        <v>2</v>
      </c>
      <c r="N1766" s="367">
        <v>54</v>
      </c>
      <c r="O1766" s="367"/>
      <c r="P1766" s="367">
        <v>200</v>
      </c>
      <c r="Q1766" s="367"/>
      <c r="R1766" s="367">
        <v>651</v>
      </c>
      <c r="S1766" s="367">
        <v>2.6</v>
      </c>
      <c r="T1766" s="367">
        <v>43</v>
      </c>
      <c r="U1766" s="367"/>
      <c r="V1766" s="367"/>
      <c r="W1766" s="367"/>
      <c r="X1766" s="367"/>
      <c r="Y1766" s="367"/>
      <c r="Z1766" s="367"/>
      <c r="AA1766" s="367"/>
      <c r="AB1766" s="367"/>
      <c r="AC1766" s="367"/>
    </row>
    <row r="1767" spans="1:29" ht="15" x14ac:dyDescent="0.25">
      <c r="A1767" s="365" t="s">
        <v>765</v>
      </c>
      <c r="H1767" s="366">
        <v>28</v>
      </c>
      <c r="J1767" s="367"/>
      <c r="K1767" s="367"/>
      <c r="L1767" s="367">
        <v>230</v>
      </c>
      <c r="M1767" s="367">
        <v>4</v>
      </c>
      <c r="N1767" s="367">
        <v>148</v>
      </c>
      <c r="O1767" s="367"/>
      <c r="P1767" s="367">
        <v>13</v>
      </c>
      <c r="Q1767" s="367"/>
      <c r="R1767" s="367">
        <v>644</v>
      </c>
      <c r="S1767" s="367">
        <v>0.2</v>
      </c>
      <c r="T1767" s="367">
        <v>99</v>
      </c>
      <c r="U1767" s="367"/>
      <c r="V1767" s="367"/>
      <c r="W1767" s="367"/>
      <c r="X1767" s="367"/>
      <c r="Y1767" s="367"/>
      <c r="Z1767" s="367"/>
      <c r="AA1767" s="367"/>
    </row>
    <row r="1768" spans="1:29" ht="15" x14ac:dyDescent="0.25">
      <c r="A1768" s="365" t="s">
        <v>766</v>
      </c>
      <c r="H1768" s="366">
        <v>28</v>
      </c>
      <c r="J1768" s="367"/>
      <c r="K1768" s="367"/>
      <c r="L1768" s="367">
        <v>86</v>
      </c>
      <c r="M1768" s="367">
        <v>3</v>
      </c>
      <c r="N1768" s="367">
        <v>20</v>
      </c>
      <c r="O1768" s="367"/>
      <c r="P1768" s="367">
        <v>19</v>
      </c>
      <c r="Q1768" s="367"/>
      <c r="R1768" s="367">
        <v>48</v>
      </c>
      <c r="S1768" s="367">
        <v>0.4</v>
      </c>
      <c r="T1768" s="367">
        <v>2</v>
      </c>
      <c r="U1768" s="367"/>
      <c r="V1768" s="367"/>
      <c r="W1768" s="367"/>
      <c r="X1768" s="367"/>
      <c r="Y1768" s="367"/>
      <c r="Z1768" s="367"/>
      <c r="AA1768" s="367"/>
    </row>
    <row r="1769" spans="1:29" ht="15" x14ac:dyDescent="0.25">
      <c r="A1769" s="365" t="s">
        <v>767</v>
      </c>
      <c r="H1769" s="366">
        <v>28</v>
      </c>
      <c r="J1769" s="367"/>
      <c r="K1769" s="367"/>
      <c r="L1769" s="367">
        <v>47</v>
      </c>
      <c r="M1769" s="367">
        <v>17</v>
      </c>
      <c r="N1769" s="367">
        <v>12</v>
      </c>
      <c r="O1769" s="367"/>
      <c r="P1769" s="367">
        <v>102</v>
      </c>
      <c r="Q1769" s="367"/>
      <c r="R1769" s="367">
        <v>12</v>
      </c>
      <c r="S1769" s="367">
        <v>0.2</v>
      </c>
      <c r="T1769" s="367"/>
      <c r="U1769" s="367"/>
      <c r="V1769" s="367"/>
      <c r="W1769" s="367"/>
      <c r="X1769" s="367"/>
      <c r="Y1769" s="367"/>
      <c r="Z1769" s="367"/>
      <c r="AA1769" s="367">
        <v>0.05</v>
      </c>
    </row>
    <row r="1770" spans="1:29" ht="15" x14ac:dyDescent="0.25">
      <c r="A1770" s="365" t="s">
        <v>783</v>
      </c>
      <c r="H1770" s="366">
        <v>29</v>
      </c>
      <c r="J1770" s="367"/>
      <c r="K1770" s="367"/>
      <c r="L1770" s="367">
        <v>445</v>
      </c>
      <c r="M1770" s="367">
        <v>10</v>
      </c>
      <c r="N1770" s="367">
        <v>193</v>
      </c>
      <c r="O1770" s="367"/>
      <c r="P1770" s="367">
        <v>19</v>
      </c>
      <c r="Q1770" s="367"/>
      <c r="R1770" s="367">
        <v>575</v>
      </c>
      <c r="S1770" s="367">
        <v>2.4</v>
      </c>
      <c r="T1770" s="367">
        <v>244</v>
      </c>
      <c r="U1770" s="367"/>
      <c r="V1770" s="367"/>
      <c r="W1770" s="367"/>
      <c r="X1770" s="367"/>
      <c r="Y1770" s="367"/>
      <c r="Z1770" s="367"/>
      <c r="AA1770" s="367">
        <v>4.87</v>
      </c>
    </row>
    <row r="1771" spans="1:29" ht="15" x14ac:dyDescent="0.25">
      <c r="A1771" s="365" t="s">
        <v>784</v>
      </c>
      <c r="H1771" s="366">
        <v>29</v>
      </c>
      <c r="J1771" s="367"/>
      <c r="K1771" s="367"/>
      <c r="L1771" s="367">
        <v>96</v>
      </c>
      <c r="M1771" s="367">
        <v>1.4</v>
      </c>
      <c r="N1771" s="367">
        <v>12</v>
      </c>
      <c r="O1771" s="367"/>
      <c r="P1771" s="367">
        <v>41</v>
      </c>
      <c r="Q1771" s="367"/>
      <c r="R1771" s="367">
        <v>57</v>
      </c>
      <c r="S1771" s="367">
        <v>1.3</v>
      </c>
      <c r="T1771" s="367">
        <v>2</v>
      </c>
      <c r="U1771" s="367"/>
      <c r="V1771" s="367"/>
      <c r="W1771" s="367"/>
      <c r="X1771" s="367"/>
      <c r="Y1771" s="367"/>
      <c r="Z1771" s="367"/>
      <c r="AA1771" s="367"/>
    </row>
    <row r="1772" spans="1:29" ht="15" x14ac:dyDescent="0.25">
      <c r="A1772" s="365" t="s">
        <v>786</v>
      </c>
      <c r="H1772" s="366">
        <v>29.5</v>
      </c>
      <c r="J1772" s="367"/>
      <c r="K1772" s="367"/>
      <c r="L1772" s="367">
        <v>69.2</v>
      </c>
      <c r="M1772" s="367">
        <v>3.3</v>
      </c>
      <c r="N1772" s="367">
        <v>107</v>
      </c>
      <c r="O1772" s="367"/>
      <c r="P1772" s="367">
        <v>12.6</v>
      </c>
      <c r="Q1772" s="367"/>
      <c r="R1772" s="367"/>
      <c r="S1772" s="367">
        <v>0.4</v>
      </c>
      <c r="T1772" s="367"/>
      <c r="U1772" s="367"/>
      <c r="V1772" s="367"/>
      <c r="W1772" s="367"/>
      <c r="X1772" s="367"/>
      <c r="Y1772" s="367"/>
      <c r="Z1772" s="367"/>
      <c r="AA1772" s="367"/>
    </row>
    <row r="1773" spans="1:29" ht="15" x14ac:dyDescent="0.25">
      <c r="A1773" s="365" t="s">
        <v>787</v>
      </c>
      <c r="H1773" s="366">
        <v>30</v>
      </c>
      <c r="J1773" s="367"/>
      <c r="K1773" s="367"/>
      <c r="L1773" s="367">
        <v>51</v>
      </c>
      <c r="M1773" s="367">
        <v>5</v>
      </c>
      <c r="N1773" s="367">
        <v>2</v>
      </c>
      <c r="O1773" s="367"/>
      <c r="P1773" s="367">
        <v>52</v>
      </c>
      <c r="Q1773" s="367"/>
      <c r="R1773" s="367">
        <v>12</v>
      </c>
      <c r="S1773" s="367">
        <v>0.6</v>
      </c>
      <c r="T1773" s="367"/>
      <c r="U1773" s="367"/>
      <c r="V1773" s="367"/>
      <c r="W1773" s="367"/>
      <c r="X1773" s="367"/>
      <c r="Y1773" s="367"/>
      <c r="Z1773" s="367"/>
      <c r="AA1773" s="367"/>
    </row>
    <row r="1774" spans="1:29" ht="15" x14ac:dyDescent="0.25">
      <c r="A1774" s="365" t="s">
        <v>788</v>
      </c>
      <c r="H1774" s="366">
        <v>30</v>
      </c>
      <c r="J1774" s="367"/>
      <c r="K1774" s="367"/>
      <c r="L1774" s="367">
        <v>414</v>
      </c>
      <c r="M1774" s="367">
        <v>11</v>
      </c>
      <c r="N1774" s="367">
        <v>176</v>
      </c>
      <c r="O1774" s="367"/>
      <c r="P1774" s="367">
        <v>63</v>
      </c>
      <c r="Q1774" s="367"/>
      <c r="R1774" s="367">
        <v>895</v>
      </c>
      <c r="S1774" s="367">
        <v>0.2</v>
      </c>
      <c r="T1774" s="367">
        <v>73</v>
      </c>
      <c r="U1774" s="367"/>
      <c r="V1774" s="367"/>
      <c r="W1774" s="367"/>
      <c r="X1774" s="367"/>
      <c r="Y1774" s="367"/>
      <c r="Z1774" s="367"/>
      <c r="AA1774" s="367"/>
    </row>
    <row r="1775" spans="1:29" ht="15" x14ac:dyDescent="0.25">
      <c r="A1775" s="365" t="s">
        <v>789</v>
      </c>
      <c r="H1775" s="366">
        <v>30</v>
      </c>
      <c r="J1775" s="367"/>
      <c r="K1775" s="367"/>
      <c r="L1775" s="367">
        <v>233</v>
      </c>
      <c r="M1775" s="367">
        <v>4</v>
      </c>
      <c r="N1775" s="367">
        <v>31</v>
      </c>
      <c r="O1775" s="367"/>
      <c r="P1775" s="367">
        <v>17</v>
      </c>
      <c r="Q1775" s="367"/>
      <c r="R1775" s="367">
        <v>238</v>
      </c>
      <c r="S1775" s="367">
        <v>2.5</v>
      </c>
      <c r="T1775" s="367">
        <v>157</v>
      </c>
      <c r="U1775" s="367"/>
      <c r="V1775" s="367"/>
      <c r="W1775" s="367"/>
      <c r="X1775" s="367"/>
      <c r="Y1775" s="367"/>
      <c r="Z1775" s="367"/>
      <c r="AA1775" s="367">
        <v>0.47</v>
      </c>
    </row>
    <row r="1776" spans="1:29" ht="15" x14ac:dyDescent="0.25">
      <c r="A1776" s="365" t="s">
        <v>790</v>
      </c>
      <c r="H1776" s="366">
        <v>30</v>
      </c>
      <c r="J1776" s="367"/>
      <c r="K1776" s="367"/>
      <c r="L1776" s="367">
        <v>48</v>
      </c>
      <c r="M1776" s="367">
        <v>3</v>
      </c>
      <c r="N1776" s="367">
        <v>52</v>
      </c>
      <c r="O1776" s="367"/>
      <c r="P1776" s="367"/>
      <c r="Q1776" s="367"/>
      <c r="R1776" s="367">
        <v>40</v>
      </c>
      <c r="S1776" s="367">
        <v>0.8</v>
      </c>
      <c r="T1776" s="367">
        <v>40</v>
      </c>
      <c r="U1776" s="367"/>
      <c r="V1776" s="367"/>
      <c r="W1776" s="367"/>
      <c r="X1776" s="367"/>
      <c r="Y1776" s="367"/>
      <c r="Z1776" s="367"/>
      <c r="AA1776" s="367"/>
    </row>
    <row r="1777" spans="1:27" ht="15" x14ac:dyDescent="0.25">
      <c r="A1777" s="365" t="s">
        <v>791</v>
      </c>
      <c r="H1777" s="366">
        <v>30</v>
      </c>
      <c r="J1777" s="367"/>
      <c r="K1777" s="367"/>
      <c r="L1777" s="367">
        <v>37</v>
      </c>
      <c r="M1777" s="367">
        <v>8.1999999999999993</v>
      </c>
      <c r="N1777" s="367">
        <v>27</v>
      </c>
      <c r="O1777" s="367"/>
      <c r="P1777" s="367">
        <v>131</v>
      </c>
      <c r="Q1777" s="367"/>
      <c r="R1777" s="367">
        <v>19</v>
      </c>
      <c r="S1777" s="367">
        <v>0.3</v>
      </c>
      <c r="T1777" s="367">
        <v>13</v>
      </c>
      <c r="U1777" s="367"/>
      <c r="V1777" s="367"/>
      <c r="W1777" s="367"/>
      <c r="X1777" s="367"/>
      <c r="Y1777" s="367"/>
      <c r="Z1777" s="367"/>
      <c r="AA1777" s="367"/>
    </row>
    <row r="1778" spans="1:27" ht="15" x14ac:dyDescent="0.25">
      <c r="A1778" s="365" t="s">
        <v>792</v>
      </c>
      <c r="H1778" s="366">
        <v>30</v>
      </c>
      <c r="J1778" s="367"/>
      <c r="K1778" s="367"/>
      <c r="L1778" s="367">
        <v>56</v>
      </c>
      <c r="M1778" s="367">
        <v>1</v>
      </c>
      <c r="N1778" s="367">
        <v>14</v>
      </c>
      <c r="O1778" s="367"/>
      <c r="P1778" s="367">
        <v>29</v>
      </c>
      <c r="Q1778" s="367"/>
      <c r="R1778" s="367">
        <v>37</v>
      </c>
      <c r="S1778" s="367">
        <v>1.1000000000000001</v>
      </c>
      <c r="T1778" s="367">
        <v>69</v>
      </c>
      <c r="U1778" s="367"/>
      <c r="V1778" s="367"/>
      <c r="W1778" s="367"/>
      <c r="X1778" s="367"/>
      <c r="Y1778" s="367"/>
      <c r="Z1778" s="367"/>
      <c r="AA1778" s="367">
        <v>0.35</v>
      </c>
    </row>
    <row r="1779" spans="1:27" ht="15" x14ac:dyDescent="0.25">
      <c r="A1779" s="365" t="s">
        <v>793</v>
      </c>
      <c r="H1779" s="366">
        <v>30</v>
      </c>
      <c r="J1779" s="367"/>
      <c r="K1779" s="367"/>
      <c r="L1779" s="367">
        <v>423</v>
      </c>
      <c r="M1779" s="367">
        <v>7</v>
      </c>
      <c r="N1779" s="367">
        <v>39</v>
      </c>
      <c r="O1779" s="367"/>
      <c r="P1779" s="367">
        <v>24</v>
      </c>
      <c r="Q1779" s="367"/>
      <c r="R1779" s="367">
        <v>421</v>
      </c>
      <c r="S1779" s="367">
        <v>2.6</v>
      </c>
      <c r="T1779" s="367">
        <v>632</v>
      </c>
      <c r="U1779" s="367"/>
      <c r="V1779" s="367"/>
      <c r="W1779" s="367"/>
      <c r="X1779" s="367"/>
      <c r="Y1779" s="367"/>
      <c r="Z1779" s="367"/>
      <c r="AA1779" s="367">
        <v>1.36</v>
      </c>
    </row>
    <row r="1780" spans="1:27" ht="15" x14ac:dyDescent="0.25">
      <c r="A1780" s="365" t="s">
        <v>794</v>
      </c>
      <c r="H1780" s="366">
        <v>30</v>
      </c>
      <c r="J1780" s="367"/>
      <c r="K1780" s="367"/>
      <c r="L1780" s="367">
        <v>73</v>
      </c>
      <c r="M1780" s="367">
        <v>7</v>
      </c>
      <c r="N1780" s="367">
        <v>2</v>
      </c>
      <c r="O1780" s="367"/>
      <c r="P1780" s="367">
        <v>90</v>
      </c>
      <c r="Q1780" s="367"/>
      <c r="R1780" s="367">
        <v>24</v>
      </c>
      <c r="S1780" s="367">
        <v>3.3</v>
      </c>
      <c r="T1780" s="367">
        <v>47</v>
      </c>
      <c r="U1780" s="367"/>
      <c r="V1780" s="367"/>
      <c r="W1780" s="367"/>
      <c r="X1780" s="367"/>
      <c r="Y1780" s="367"/>
      <c r="Z1780" s="367"/>
      <c r="AA1780" s="367"/>
    </row>
    <row r="1781" spans="1:27" ht="15" x14ac:dyDescent="0.25">
      <c r="A1781" s="365" t="s">
        <v>795</v>
      </c>
      <c r="H1781" s="366">
        <v>30</v>
      </c>
      <c r="J1781" s="367"/>
      <c r="K1781" s="367"/>
      <c r="L1781" s="367">
        <v>49</v>
      </c>
      <c r="M1781" s="367">
        <v>7</v>
      </c>
      <c r="N1781" s="367">
        <v>16</v>
      </c>
      <c r="O1781" s="367"/>
      <c r="P1781" s="367">
        <v>99</v>
      </c>
      <c r="Q1781" s="367"/>
      <c r="R1781" s="367">
        <v>20</v>
      </c>
      <c r="S1781" s="367">
        <v>0.42</v>
      </c>
      <c r="T1781" s="367">
        <v>1.2</v>
      </c>
      <c r="U1781" s="367"/>
      <c r="V1781" s="367"/>
      <c r="W1781" s="367"/>
      <c r="X1781" s="367"/>
      <c r="Y1781" s="367"/>
      <c r="Z1781" s="367"/>
      <c r="AA1781" s="367">
        <v>0.06</v>
      </c>
    </row>
    <row r="1782" spans="1:27" ht="15" x14ac:dyDescent="0.25">
      <c r="A1782" s="365" t="s">
        <v>796</v>
      </c>
      <c r="H1782" s="366">
        <v>30</v>
      </c>
      <c r="J1782" s="367"/>
      <c r="K1782" s="367"/>
      <c r="L1782" s="367">
        <v>3312</v>
      </c>
      <c r="M1782" s="367">
        <v>59</v>
      </c>
      <c r="N1782" s="367">
        <v>417</v>
      </c>
      <c r="O1782" s="367"/>
      <c r="P1782" s="367">
        <v>22</v>
      </c>
      <c r="Q1782" s="367"/>
      <c r="R1782" s="367">
        <v>6000</v>
      </c>
      <c r="S1782" s="367">
        <v>3</v>
      </c>
      <c r="T1782" s="367">
        <v>452</v>
      </c>
      <c r="U1782" s="367"/>
      <c r="V1782" s="367"/>
      <c r="W1782" s="367"/>
      <c r="X1782" s="367"/>
      <c r="Y1782" s="367"/>
      <c r="Z1782" s="367"/>
      <c r="AA1782" s="367"/>
    </row>
    <row r="1783" spans="1:27" ht="15" x14ac:dyDescent="0.25">
      <c r="A1783" s="365" t="s">
        <v>797</v>
      </c>
      <c r="H1783" s="366">
        <v>30</v>
      </c>
      <c r="J1783" s="367"/>
      <c r="K1783" s="367"/>
      <c r="L1783" s="367">
        <v>36600</v>
      </c>
      <c r="M1783" s="367">
        <v>1050</v>
      </c>
      <c r="N1783" s="367"/>
      <c r="O1783" s="367"/>
      <c r="P1783" s="367"/>
      <c r="Q1783" s="367"/>
      <c r="R1783" s="367">
        <v>23400</v>
      </c>
      <c r="S1783" s="367">
        <v>90</v>
      </c>
      <c r="T1783" s="367">
        <v>4210</v>
      </c>
      <c r="U1783" s="367"/>
      <c r="V1783" s="367"/>
      <c r="W1783" s="367"/>
      <c r="X1783" s="367"/>
      <c r="Y1783" s="367"/>
      <c r="Z1783" s="367"/>
      <c r="AA1783" s="367"/>
    </row>
    <row r="1784" spans="1:27" ht="15" x14ac:dyDescent="0.25">
      <c r="A1784" s="365" t="s">
        <v>798</v>
      </c>
      <c r="H1784" s="366">
        <v>30</v>
      </c>
      <c r="J1784" s="367"/>
      <c r="K1784" s="367"/>
      <c r="L1784" s="367">
        <v>96</v>
      </c>
      <c r="M1784" s="367">
        <v>4.4000000000000004</v>
      </c>
      <c r="N1784" s="367">
        <v>2</v>
      </c>
      <c r="O1784" s="367"/>
      <c r="P1784" s="367">
        <v>67</v>
      </c>
      <c r="Q1784" s="367"/>
      <c r="R1784" s="367">
        <v>76</v>
      </c>
      <c r="S1784" s="367"/>
      <c r="T1784" s="367">
        <v>25</v>
      </c>
      <c r="U1784" s="367"/>
      <c r="V1784" s="367"/>
      <c r="W1784" s="367"/>
      <c r="X1784" s="367"/>
      <c r="Y1784" s="367"/>
      <c r="Z1784" s="367"/>
      <c r="AA1784" s="367"/>
    </row>
    <row r="1785" spans="1:27" ht="15" x14ac:dyDescent="0.25">
      <c r="A1785" s="365" t="s">
        <v>799</v>
      </c>
      <c r="H1785" s="366">
        <v>30</v>
      </c>
      <c r="J1785" s="367"/>
      <c r="K1785" s="367"/>
      <c r="L1785" s="367">
        <v>72</v>
      </c>
      <c r="M1785" s="367">
        <v>10</v>
      </c>
      <c r="N1785" s="367">
        <v>26</v>
      </c>
      <c r="O1785" s="367"/>
      <c r="P1785" s="367">
        <v>108</v>
      </c>
      <c r="Q1785" s="367"/>
      <c r="R1785" s="367">
        <v>18</v>
      </c>
      <c r="S1785" s="367">
        <v>0.3</v>
      </c>
      <c r="T1785" s="367">
        <v>23</v>
      </c>
      <c r="U1785" s="367"/>
      <c r="V1785" s="367"/>
      <c r="W1785" s="367"/>
      <c r="X1785" s="367"/>
      <c r="Y1785" s="367"/>
      <c r="Z1785" s="367"/>
      <c r="AA1785" s="367">
        <v>0.09</v>
      </c>
    </row>
    <row r="1786" spans="1:27" ht="15" x14ac:dyDescent="0.25">
      <c r="A1786" s="365" t="s">
        <v>801</v>
      </c>
      <c r="H1786" s="366">
        <v>30.6</v>
      </c>
      <c r="J1786" s="367"/>
      <c r="K1786" s="367"/>
      <c r="L1786" s="367">
        <v>82</v>
      </c>
      <c r="M1786" s="367">
        <v>12</v>
      </c>
      <c r="N1786" s="367"/>
      <c r="O1786" s="367"/>
      <c r="P1786" s="367"/>
      <c r="Q1786" s="367"/>
      <c r="R1786" s="367">
        <v>10</v>
      </c>
      <c r="S1786" s="367"/>
      <c r="T1786" s="367"/>
      <c r="U1786" s="367"/>
      <c r="V1786" s="367"/>
      <c r="W1786" s="367"/>
      <c r="X1786" s="367"/>
      <c r="Y1786" s="367"/>
      <c r="Z1786" s="367"/>
      <c r="AA1786" s="367"/>
    </row>
    <row r="1787" spans="1:27" ht="15" x14ac:dyDescent="0.25">
      <c r="A1787" s="365" t="s">
        <v>803</v>
      </c>
      <c r="H1787" s="366">
        <v>31</v>
      </c>
      <c r="J1787" s="367"/>
      <c r="K1787" s="367"/>
      <c r="L1787" s="367">
        <v>268</v>
      </c>
      <c r="M1787" s="367">
        <v>217</v>
      </c>
      <c r="N1787" s="367">
        <v>38</v>
      </c>
      <c r="O1787" s="367"/>
      <c r="P1787" s="367">
        <v>18</v>
      </c>
      <c r="Q1787" s="367"/>
      <c r="R1787" s="367">
        <v>245</v>
      </c>
      <c r="S1787" s="367">
        <v>2.9</v>
      </c>
      <c r="T1787" s="367">
        <v>220</v>
      </c>
      <c r="U1787" s="367"/>
      <c r="V1787" s="367"/>
      <c r="W1787" s="367"/>
      <c r="X1787" s="367"/>
      <c r="Y1787" s="367"/>
      <c r="Z1787" s="367"/>
      <c r="AA1787" s="367"/>
    </row>
    <row r="1788" spans="1:27" ht="15" x14ac:dyDescent="0.25">
      <c r="A1788" s="365" t="s">
        <v>806</v>
      </c>
      <c r="H1788" s="366">
        <v>31</v>
      </c>
      <c r="J1788" s="367"/>
      <c r="K1788" s="367"/>
      <c r="L1788" s="367">
        <v>215</v>
      </c>
      <c r="M1788" s="367">
        <v>2</v>
      </c>
      <c r="N1788" s="367">
        <v>114</v>
      </c>
      <c r="O1788" s="367"/>
      <c r="P1788" s="367">
        <v>30</v>
      </c>
      <c r="Q1788" s="367"/>
      <c r="R1788" s="367">
        <v>515</v>
      </c>
      <c r="S1788" s="367">
        <v>0.6</v>
      </c>
      <c r="T1788" s="367">
        <v>58</v>
      </c>
      <c r="U1788" s="367"/>
      <c r="V1788" s="367"/>
      <c r="W1788" s="367"/>
      <c r="X1788" s="367"/>
      <c r="Y1788" s="367"/>
      <c r="Z1788" s="367"/>
      <c r="AA1788" s="367"/>
    </row>
    <row r="1789" spans="1:27" ht="15" x14ac:dyDescent="0.25">
      <c r="A1789" s="365" t="s">
        <v>807</v>
      </c>
      <c r="H1789" s="366">
        <v>31</v>
      </c>
      <c r="J1789" s="367"/>
      <c r="K1789" s="367"/>
      <c r="L1789" s="367">
        <v>195</v>
      </c>
      <c r="M1789" s="367">
        <v>5</v>
      </c>
      <c r="N1789" s="367">
        <v>15</v>
      </c>
      <c r="O1789" s="367"/>
      <c r="P1789" s="367"/>
      <c r="Q1789" s="367"/>
      <c r="R1789" s="367">
        <v>33</v>
      </c>
      <c r="S1789" s="367">
        <v>0.8</v>
      </c>
      <c r="T1789" s="367">
        <v>164</v>
      </c>
      <c r="U1789" s="367"/>
      <c r="V1789" s="367"/>
      <c r="W1789" s="367"/>
      <c r="X1789" s="367"/>
      <c r="Y1789" s="367"/>
      <c r="Z1789" s="367"/>
      <c r="AA1789" s="367"/>
    </row>
    <row r="1790" spans="1:27" ht="15" x14ac:dyDescent="0.25">
      <c r="A1790" s="365" t="s">
        <v>808</v>
      </c>
      <c r="H1790" s="366">
        <v>31</v>
      </c>
      <c r="J1790" s="367"/>
      <c r="K1790" s="367"/>
      <c r="L1790" s="367">
        <v>376</v>
      </c>
      <c r="M1790" s="367"/>
      <c r="N1790" s="367">
        <v>110</v>
      </c>
      <c r="O1790" s="367"/>
      <c r="P1790" s="367">
        <v>20</v>
      </c>
      <c r="Q1790" s="367"/>
      <c r="R1790" s="367">
        <v>415</v>
      </c>
      <c r="S1790" s="367">
        <v>1.7</v>
      </c>
      <c r="T1790" s="367">
        <v>365</v>
      </c>
      <c r="U1790" s="367"/>
      <c r="V1790" s="367"/>
      <c r="W1790" s="367"/>
      <c r="X1790" s="367"/>
      <c r="Y1790" s="367"/>
      <c r="Z1790" s="367"/>
      <c r="AA1790" s="367"/>
    </row>
    <row r="1791" spans="1:27" ht="15" x14ac:dyDescent="0.25">
      <c r="A1791" s="365" t="s">
        <v>809</v>
      </c>
      <c r="H1791" s="366">
        <v>31</v>
      </c>
      <c r="J1791" s="367"/>
      <c r="K1791" s="367"/>
      <c r="L1791" s="367">
        <v>215</v>
      </c>
      <c r="M1791" s="367">
        <v>2</v>
      </c>
      <c r="N1791" s="367">
        <v>37</v>
      </c>
      <c r="O1791" s="367"/>
      <c r="P1791" s="367">
        <v>18</v>
      </c>
      <c r="Q1791" s="367"/>
      <c r="R1791" s="367">
        <v>138</v>
      </c>
      <c r="S1791" s="367">
        <v>0.6</v>
      </c>
      <c r="T1791" s="367">
        <v>182</v>
      </c>
      <c r="U1791" s="367"/>
      <c r="V1791" s="367"/>
      <c r="W1791" s="367"/>
      <c r="X1791" s="367"/>
      <c r="Y1791" s="367"/>
      <c r="Z1791" s="367"/>
      <c r="AA1791" s="367"/>
    </row>
    <row r="1792" spans="1:27" ht="15" x14ac:dyDescent="0.25">
      <c r="A1792" s="365" t="s">
        <v>810</v>
      </c>
      <c r="H1792" s="366">
        <v>31</v>
      </c>
      <c r="J1792" s="367"/>
      <c r="K1792" s="367"/>
      <c r="L1792" s="367">
        <v>104</v>
      </c>
      <c r="M1792" s="367">
        <v>12</v>
      </c>
      <c r="N1792" s="367">
        <v>18</v>
      </c>
      <c r="O1792" s="367"/>
      <c r="P1792" s="367">
        <v>92</v>
      </c>
      <c r="Q1792" s="367"/>
      <c r="R1792" s="367">
        <v>69</v>
      </c>
      <c r="S1792" s="367">
        <v>0.9</v>
      </c>
      <c r="T1792" s="367">
        <v>36</v>
      </c>
      <c r="U1792" s="367"/>
      <c r="V1792" s="367"/>
      <c r="W1792" s="367"/>
      <c r="X1792" s="367"/>
      <c r="Y1792" s="367"/>
      <c r="Z1792" s="367"/>
      <c r="AA1792" s="367">
        <v>0.05</v>
      </c>
    </row>
    <row r="1793" spans="1:29" ht="15" x14ac:dyDescent="0.25">
      <c r="A1793" s="365" t="s">
        <v>811</v>
      </c>
      <c r="H1793" s="366">
        <v>31.7</v>
      </c>
      <c r="J1793" s="367"/>
      <c r="K1793" s="367"/>
      <c r="L1793" s="367">
        <v>38</v>
      </c>
      <c r="M1793" s="367">
        <v>5</v>
      </c>
      <c r="N1793" s="367">
        <v>15</v>
      </c>
      <c r="O1793" s="367"/>
      <c r="P1793" s="367">
        <v>118</v>
      </c>
      <c r="Q1793" s="367"/>
      <c r="R1793" s="367">
        <v>11</v>
      </c>
      <c r="S1793" s="367">
        <v>0.56999999999999995</v>
      </c>
      <c r="T1793" s="367">
        <v>1.4</v>
      </c>
      <c r="U1793" s="367"/>
      <c r="V1793" s="367"/>
      <c r="W1793" s="367"/>
      <c r="X1793" s="367"/>
      <c r="Y1793" s="367"/>
      <c r="Z1793" s="367"/>
      <c r="AA1793" s="367">
        <v>0.05</v>
      </c>
    </row>
    <row r="1794" spans="1:29" ht="15" x14ac:dyDescent="0.25">
      <c r="A1794" s="365" t="s">
        <v>813</v>
      </c>
      <c r="H1794" s="366">
        <v>32</v>
      </c>
      <c r="J1794" s="367"/>
      <c r="K1794" s="367"/>
      <c r="L1794" s="367">
        <v>407</v>
      </c>
      <c r="M1794" s="367">
        <v>7.1</v>
      </c>
      <c r="N1794" s="367">
        <v>3.4</v>
      </c>
      <c r="O1794" s="367"/>
      <c r="P1794" s="367"/>
      <c r="Q1794" s="367"/>
      <c r="R1794" s="367">
        <v>152</v>
      </c>
      <c r="S1794" s="367">
        <v>4</v>
      </c>
      <c r="T1794" s="367">
        <v>23</v>
      </c>
      <c r="U1794" s="367"/>
      <c r="V1794" s="367"/>
      <c r="W1794" s="367"/>
      <c r="X1794" s="367"/>
      <c r="Y1794" s="367"/>
      <c r="Z1794" s="367"/>
      <c r="AA1794" s="367"/>
    </row>
    <row r="1795" spans="1:29" ht="15" x14ac:dyDescent="0.25">
      <c r="A1795" s="365" t="s">
        <v>814</v>
      </c>
      <c r="H1795" s="366">
        <v>32</v>
      </c>
      <c r="J1795" s="367"/>
      <c r="K1795" s="367"/>
      <c r="L1795" s="367">
        <v>204</v>
      </c>
      <c r="M1795" s="367">
        <v>9</v>
      </c>
      <c r="N1795" s="367">
        <v>216</v>
      </c>
      <c r="O1795" s="367"/>
      <c r="P1795" s="367">
        <v>20</v>
      </c>
      <c r="Q1795" s="367"/>
      <c r="R1795" s="367">
        <v>515</v>
      </c>
      <c r="S1795" s="367">
        <v>10</v>
      </c>
      <c r="T1795" s="367">
        <v>145</v>
      </c>
      <c r="U1795" s="367"/>
      <c r="V1795" s="367"/>
      <c r="W1795" s="367"/>
      <c r="X1795" s="367"/>
      <c r="Y1795" s="367"/>
      <c r="Z1795" s="367"/>
      <c r="AA1795" s="367">
        <v>5.07</v>
      </c>
    </row>
    <row r="1796" spans="1:29" ht="15" x14ac:dyDescent="0.25">
      <c r="A1796" s="365" t="s">
        <v>815</v>
      </c>
      <c r="H1796" s="366">
        <v>32</v>
      </c>
      <c r="J1796" s="367"/>
      <c r="K1796" s="367"/>
      <c r="L1796" s="367">
        <v>66</v>
      </c>
      <c r="M1796" s="367">
        <v>1</v>
      </c>
      <c r="N1796" s="367"/>
      <c r="O1796" s="367"/>
      <c r="P1796" s="367"/>
      <c r="Q1796" s="367"/>
      <c r="R1796" s="367">
        <v>11</v>
      </c>
      <c r="S1796" s="367">
        <v>2.4</v>
      </c>
      <c r="T1796" s="367">
        <v>37</v>
      </c>
      <c r="U1796" s="367"/>
      <c r="V1796" s="367"/>
      <c r="W1796" s="367"/>
      <c r="X1796" s="367"/>
      <c r="Y1796" s="367"/>
      <c r="Z1796" s="367"/>
      <c r="AA1796" s="367"/>
    </row>
    <row r="1797" spans="1:29" ht="15" x14ac:dyDescent="0.25">
      <c r="A1797" s="365" t="s">
        <v>816</v>
      </c>
      <c r="H1797" s="366">
        <v>32</v>
      </c>
      <c r="J1797" s="367"/>
      <c r="K1797" s="367"/>
      <c r="L1797" s="367">
        <v>365</v>
      </c>
      <c r="M1797" s="367">
        <v>5</v>
      </c>
      <c r="N1797" s="367">
        <v>23</v>
      </c>
      <c r="O1797" s="367"/>
      <c r="P1797" s="367">
        <v>26</v>
      </c>
      <c r="Q1797" s="367"/>
      <c r="R1797" s="367">
        <v>221</v>
      </c>
      <c r="S1797" s="367">
        <v>10.8</v>
      </c>
      <c r="T1797" s="367"/>
      <c r="U1797" s="367"/>
      <c r="V1797" s="367"/>
      <c r="W1797" s="367"/>
      <c r="X1797" s="367"/>
      <c r="Y1797" s="367"/>
      <c r="Z1797" s="367"/>
      <c r="AA1797" s="367">
        <v>0.56999999999999995</v>
      </c>
    </row>
    <row r="1798" spans="1:29" ht="15" x14ac:dyDescent="0.25">
      <c r="A1798" s="365" t="s">
        <v>819</v>
      </c>
      <c r="H1798" s="366">
        <v>32</v>
      </c>
      <c r="J1798" s="367"/>
      <c r="K1798" s="367"/>
      <c r="L1798" s="367">
        <v>700</v>
      </c>
      <c r="M1798" s="367">
        <v>4</v>
      </c>
      <c r="N1798" s="367">
        <v>38</v>
      </c>
      <c r="O1798" s="367"/>
      <c r="P1798" s="367"/>
      <c r="Q1798" s="367"/>
      <c r="R1798" s="367">
        <v>968</v>
      </c>
      <c r="S1798" s="367">
        <v>3</v>
      </c>
      <c r="T1798" s="367">
        <v>144</v>
      </c>
      <c r="U1798" s="367"/>
      <c r="V1798" s="367"/>
      <c r="W1798" s="367"/>
      <c r="X1798" s="367"/>
      <c r="Y1798" s="367"/>
      <c r="Z1798" s="367"/>
      <c r="AA1798" s="367"/>
    </row>
    <row r="1799" spans="1:29" ht="15" x14ac:dyDescent="0.25">
      <c r="A1799" s="365" t="s">
        <v>820</v>
      </c>
      <c r="H1799" s="366">
        <v>32</v>
      </c>
      <c r="J1799" s="367"/>
      <c r="K1799" s="367"/>
      <c r="L1799" s="367">
        <v>128</v>
      </c>
      <c r="M1799" s="367">
        <v>3.9</v>
      </c>
      <c r="N1799" s="367">
        <v>28</v>
      </c>
      <c r="O1799" s="367"/>
      <c r="P1799" s="367"/>
      <c r="Q1799" s="367"/>
      <c r="R1799" s="367">
        <v>123</v>
      </c>
      <c r="S1799" s="367">
        <v>0.6</v>
      </c>
      <c r="T1799" s="367">
        <v>85</v>
      </c>
      <c r="U1799" s="367"/>
      <c r="V1799" s="367"/>
      <c r="W1799" s="367"/>
      <c r="X1799" s="367"/>
      <c r="Y1799" s="367"/>
      <c r="Z1799" s="367"/>
      <c r="AA1799" s="367"/>
      <c r="AB1799" s="367"/>
      <c r="AC1799" s="367"/>
    </row>
    <row r="1800" spans="1:29" ht="15" x14ac:dyDescent="0.25">
      <c r="A1800" s="365" t="s">
        <v>821</v>
      </c>
      <c r="H1800" s="366">
        <v>32</v>
      </c>
      <c r="J1800" s="367"/>
      <c r="K1800" s="367"/>
      <c r="L1800" s="367">
        <v>55</v>
      </c>
      <c r="M1800" s="367">
        <v>1</v>
      </c>
      <c r="N1800" s="367">
        <v>5</v>
      </c>
      <c r="O1800" s="367"/>
      <c r="P1800" s="367">
        <v>13</v>
      </c>
      <c r="Q1800" s="367"/>
      <c r="R1800" s="367">
        <v>17</v>
      </c>
      <c r="S1800" s="367">
        <v>0.8</v>
      </c>
      <c r="T1800" s="367">
        <v>31</v>
      </c>
      <c r="U1800" s="367"/>
      <c r="V1800" s="367"/>
      <c r="W1800" s="367"/>
      <c r="X1800" s="367"/>
      <c r="Y1800" s="367"/>
      <c r="Z1800" s="367"/>
      <c r="AA1800" s="367"/>
      <c r="AB1800" s="367"/>
      <c r="AC1800" s="367"/>
    </row>
    <row r="1801" spans="1:29" ht="15" x14ac:dyDescent="0.25">
      <c r="A1801" s="365" t="s">
        <v>822</v>
      </c>
      <c r="H1801" s="366">
        <v>32</v>
      </c>
      <c r="J1801" s="367"/>
      <c r="K1801" s="367"/>
      <c r="L1801" s="367">
        <v>4230</v>
      </c>
      <c r="M1801" s="367">
        <v>47</v>
      </c>
      <c r="N1801" s="367">
        <v>22</v>
      </c>
      <c r="O1801" s="367"/>
      <c r="P1801" s="367">
        <v>15</v>
      </c>
      <c r="Q1801" s="367"/>
      <c r="R1801" s="367">
        <v>5000</v>
      </c>
      <c r="S1801" s="367">
        <v>1.3</v>
      </c>
      <c r="T1801" s="367">
        <v>1350</v>
      </c>
      <c r="U1801" s="367"/>
      <c r="V1801" s="367"/>
      <c r="W1801" s="367"/>
      <c r="X1801" s="367"/>
      <c r="Y1801" s="367"/>
      <c r="Z1801" s="367"/>
      <c r="AA1801" s="367"/>
      <c r="AB1801" s="367"/>
      <c r="AC1801" s="367"/>
    </row>
    <row r="1802" spans="1:29" ht="15" x14ac:dyDescent="0.25">
      <c r="A1802" s="365" t="s">
        <v>823</v>
      </c>
      <c r="H1802" s="366">
        <v>32.700000000000003</v>
      </c>
      <c r="J1802" s="367"/>
      <c r="K1802" s="367"/>
      <c r="L1802" s="367">
        <v>490</v>
      </c>
      <c r="M1802" s="367">
        <v>9.3000000000000007</v>
      </c>
      <c r="N1802" s="367">
        <v>5</v>
      </c>
      <c r="O1802" s="367"/>
      <c r="P1802" s="367"/>
      <c r="Q1802" s="367"/>
      <c r="R1802" s="367">
        <v>675</v>
      </c>
      <c r="S1802" s="367">
        <v>3.4</v>
      </c>
      <c r="T1802" s="367"/>
      <c r="U1802" s="367"/>
      <c r="V1802" s="367"/>
      <c r="W1802" s="367"/>
      <c r="X1802" s="367"/>
      <c r="Y1802" s="367"/>
      <c r="Z1802" s="367"/>
      <c r="AA1802" s="367"/>
      <c r="AB1802" s="367"/>
      <c r="AC1802" s="367"/>
    </row>
    <row r="1803" spans="1:29" ht="15" x14ac:dyDescent="0.25">
      <c r="A1803" s="365" t="s">
        <v>842</v>
      </c>
      <c r="H1803" s="366">
        <v>33</v>
      </c>
      <c r="J1803" s="367"/>
      <c r="K1803" s="367"/>
      <c r="L1803" s="367">
        <v>437</v>
      </c>
      <c r="M1803" s="367">
        <v>16</v>
      </c>
      <c r="N1803" s="367">
        <v>42</v>
      </c>
      <c r="O1803" s="367"/>
      <c r="P1803" s="367">
        <v>18</v>
      </c>
      <c r="Q1803" s="367"/>
      <c r="R1803" s="367">
        <v>700</v>
      </c>
      <c r="S1803" s="367">
        <v>2.1</v>
      </c>
      <c r="T1803" s="367">
        <v>104</v>
      </c>
      <c r="U1803" s="367"/>
      <c r="V1803" s="367"/>
      <c r="W1803" s="367"/>
      <c r="X1803" s="367"/>
      <c r="Y1803" s="367"/>
      <c r="Z1803" s="367"/>
      <c r="AA1803" s="367"/>
      <c r="AB1803" s="367"/>
      <c r="AC1803" s="367"/>
    </row>
    <row r="1804" spans="1:29" ht="15" x14ac:dyDescent="0.25">
      <c r="A1804" s="365" t="s">
        <v>843</v>
      </c>
      <c r="H1804" s="366">
        <v>34</v>
      </c>
      <c r="J1804" s="367"/>
      <c r="K1804" s="367"/>
      <c r="L1804" s="367">
        <v>308</v>
      </c>
      <c r="M1804" s="367">
        <v>4</v>
      </c>
      <c r="N1804" s="367">
        <v>101</v>
      </c>
      <c r="O1804" s="367"/>
      <c r="P1804" s="367"/>
      <c r="Q1804" s="367"/>
      <c r="R1804" s="367">
        <v>172</v>
      </c>
      <c r="S1804" s="367">
        <v>1.4</v>
      </c>
      <c r="T1804" s="367">
        <v>656</v>
      </c>
      <c r="U1804" s="367"/>
      <c r="V1804" s="367"/>
      <c r="W1804" s="367"/>
      <c r="X1804" s="367"/>
      <c r="Y1804" s="367"/>
      <c r="Z1804" s="367"/>
      <c r="AA1804" s="367"/>
      <c r="AB1804" s="367"/>
      <c r="AC1804" s="367"/>
    </row>
    <row r="1805" spans="1:29" ht="15" x14ac:dyDescent="0.25">
      <c r="A1805" s="365" t="s">
        <v>652</v>
      </c>
      <c r="H1805" s="366">
        <v>45</v>
      </c>
      <c r="J1805" s="367"/>
      <c r="K1805" s="367"/>
      <c r="L1805" s="367">
        <v>600</v>
      </c>
      <c r="M1805" s="367">
        <v>17</v>
      </c>
      <c r="N1805" s="367">
        <v>44</v>
      </c>
      <c r="O1805" s="367"/>
      <c r="P1805" s="367">
        <v>29</v>
      </c>
      <c r="Q1805" s="367"/>
      <c r="R1805" s="367">
        <v>540</v>
      </c>
      <c r="S1805" s="367">
        <v>1.7</v>
      </c>
      <c r="T1805" s="367">
        <v>250</v>
      </c>
      <c r="U1805" s="367"/>
      <c r="V1805" s="367"/>
      <c r="W1805" s="367"/>
      <c r="X1805" s="367"/>
      <c r="Y1805" s="367"/>
      <c r="Z1805" s="367"/>
      <c r="AA1805" s="367"/>
      <c r="AB1805" s="367"/>
      <c r="AC1805" s="367">
        <v>0.77</v>
      </c>
    </row>
    <row r="1806" spans="1:29" ht="15" x14ac:dyDescent="0.25">
      <c r="A1806" s="365" t="s">
        <v>848</v>
      </c>
      <c r="H1806" s="366">
        <v>41</v>
      </c>
      <c r="J1806" s="367"/>
      <c r="K1806" s="367"/>
      <c r="L1806" s="367">
        <v>33</v>
      </c>
      <c r="M1806" s="367">
        <v>3</v>
      </c>
      <c r="N1806" s="367">
        <v>10</v>
      </c>
      <c r="O1806" s="367"/>
      <c r="P1806" s="367">
        <v>28</v>
      </c>
      <c r="Q1806" s="367"/>
      <c r="R1806" s="367">
        <v>57</v>
      </c>
      <c r="S1806" s="367">
        <v>0.8</v>
      </c>
      <c r="T1806" s="367">
        <v>15</v>
      </c>
      <c r="U1806" s="367"/>
      <c r="V1806" s="367"/>
      <c r="W1806" s="367"/>
      <c r="X1806" s="367"/>
      <c r="Y1806" s="367"/>
      <c r="Z1806" s="367"/>
      <c r="AA1806" s="367">
        <v>0.26</v>
      </c>
      <c r="AB1806" s="367"/>
      <c r="AC1806" s="367"/>
    </row>
    <row r="1807" spans="1:29" ht="15" x14ac:dyDescent="0.25">
      <c r="A1807" s="365" t="s">
        <v>849</v>
      </c>
      <c r="H1807" s="366">
        <v>41</v>
      </c>
      <c r="J1807" s="367"/>
      <c r="K1807" s="367"/>
      <c r="L1807" s="367">
        <v>84</v>
      </c>
      <c r="M1807" s="367">
        <v>1</v>
      </c>
      <c r="N1807" s="367">
        <v>11</v>
      </c>
      <c r="O1807" s="367"/>
      <c r="P1807" s="367"/>
      <c r="Q1807" s="367"/>
      <c r="R1807" s="367">
        <v>50</v>
      </c>
      <c r="S1807" s="367">
        <v>3</v>
      </c>
      <c r="T1807" s="367">
        <v>23</v>
      </c>
      <c r="U1807" s="367"/>
      <c r="V1807" s="367"/>
      <c r="W1807" s="367"/>
      <c r="X1807" s="367"/>
      <c r="Y1807" s="367"/>
      <c r="Z1807" s="367"/>
      <c r="AA1807" s="367"/>
      <c r="AB1807" s="367"/>
      <c r="AC1807" s="367"/>
    </row>
    <row r="1808" spans="1:29" ht="15" x14ac:dyDescent="0.25">
      <c r="A1808" s="365" t="s">
        <v>850</v>
      </c>
      <c r="H1808" s="366">
        <v>42</v>
      </c>
      <c r="J1808" s="367"/>
      <c r="K1808" s="367"/>
      <c r="L1808" s="367">
        <v>74</v>
      </c>
      <c r="M1808" s="367">
        <v>0.8</v>
      </c>
      <c r="N1808" s="367">
        <v>2</v>
      </c>
      <c r="O1808" s="367"/>
      <c r="P1808" s="367"/>
      <c r="Q1808" s="367"/>
      <c r="R1808" s="367">
        <v>17</v>
      </c>
      <c r="S1808" s="367">
        <v>5</v>
      </c>
      <c r="T1808" s="367">
        <v>19</v>
      </c>
      <c r="U1808" s="367"/>
      <c r="V1808" s="367"/>
      <c r="W1808" s="367"/>
      <c r="X1808" s="367"/>
      <c r="Y1808" s="367"/>
      <c r="Z1808" s="367"/>
      <c r="AA1808" s="367"/>
      <c r="AB1808" s="367"/>
      <c r="AC1808" s="367"/>
    </row>
    <row r="1809" spans="1:29" ht="15" x14ac:dyDescent="0.25">
      <c r="A1809" s="365" t="s">
        <v>853</v>
      </c>
      <c r="H1809" s="366">
        <v>42</v>
      </c>
      <c r="J1809" s="367"/>
      <c r="K1809" s="367"/>
      <c r="L1809" s="367">
        <v>2100</v>
      </c>
      <c r="M1809" s="367">
        <v>46</v>
      </c>
      <c r="N1809" s="367">
        <v>34</v>
      </c>
      <c r="O1809" s="367"/>
      <c r="P1809" s="367"/>
      <c r="Q1809" s="367"/>
      <c r="R1809" s="367">
        <v>2550</v>
      </c>
      <c r="S1809" s="367">
        <v>1.9</v>
      </c>
      <c r="T1809" s="367">
        <v>33</v>
      </c>
      <c r="U1809" s="367"/>
      <c r="V1809" s="367"/>
      <c r="W1809" s="367"/>
      <c r="X1809" s="367"/>
      <c r="Y1809" s="367"/>
      <c r="Z1809" s="367"/>
      <c r="AA1809" s="367"/>
      <c r="AB1809" s="367"/>
      <c r="AC1809" s="367"/>
    </row>
    <row r="1810" spans="1:29" ht="15" x14ac:dyDescent="0.25">
      <c r="A1810" s="365" t="s">
        <v>854</v>
      </c>
      <c r="H1810" s="366">
        <v>42</v>
      </c>
      <c r="J1810" s="367"/>
      <c r="K1810" s="367"/>
      <c r="L1810" s="367">
        <v>297</v>
      </c>
      <c r="M1810" s="367"/>
      <c r="N1810" s="367">
        <v>73</v>
      </c>
      <c r="O1810" s="367"/>
      <c r="P1810" s="367">
        <v>26</v>
      </c>
      <c r="Q1810" s="367"/>
      <c r="R1810" s="367">
        <v>356</v>
      </c>
      <c r="S1810" s="367"/>
      <c r="T1810" s="367">
        <v>248</v>
      </c>
      <c r="U1810" s="367"/>
      <c r="V1810" s="367"/>
      <c r="W1810" s="367"/>
      <c r="X1810" s="367"/>
      <c r="Y1810" s="367"/>
      <c r="Z1810" s="367"/>
      <c r="AA1810" s="367"/>
      <c r="AB1810" s="367"/>
      <c r="AC1810" s="367"/>
    </row>
    <row r="1811" spans="1:29" ht="15" x14ac:dyDescent="0.25">
      <c r="A1811" s="365" t="s">
        <v>855</v>
      </c>
      <c r="H1811" s="366">
        <v>43</v>
      </c>
      <c r="J1811" s="367"/>
      <c r="K1811" s="367"/>
      <c r="L1811" s="367">
        <v>256</v>
      </c>
      <c r="M1811" s="367">
        <v>12</v>
      </c>
      <c r="N1811" s="367">
        <v>9.1</v>
      </c>
      <c r="O1811" s="367"/>
      <c r="P1811" s="367">
        <v>90</v>
      </c>
      <c r="Q1811" s="367"/>
      <c r="R1811" s="367">
        <v>324</v>
      </c>
      <c r="S1811" s="367">
        <v>7.3</v>
      </c>
      <c r="T1811" s="367">
        <v>5.4</v>
      </c>
      <c r="U1811" s="367"/>
      <c r="V1811" s="367"/>
      <c r="W1811" s="367"/>
      <c r="X1811" s="367"/>
      <c r="Y1811" s="367"/>
      <c r="Z1811" s="367"/>
      <c r="AA1811" s="367"/>
      <c r="AB1811" s="367"/>
      <c r="AC1811" s="367"/>
    </row>
    <row r="1812" spans="1:29" ht="15" x14ac:dyDescent="0.25">
      <c r="A1812" s="365" t="s">
        <v>856</v>
      </c>
      <c r="H1812" s="366">
        <v>43</v>
      </c>
      <c r="J1812" s="367"/>
      <c r="K1812" s="367"/>
      <c r="L1812" s="367">
        <v>45</v>
      </c>
      <c r="M1812" s="367">
        <v>0.9</v>
      </c>
      <c r="N1812" s="367">
        <v>49</v>
      </c>
      <c r="O1812" s="367"/>
      <c r="P1812" s="367">
        <v>33</v>
      </c>
      <c r="Q1812" s="367"/>
      <c r="R1812" s="367">
        <v>89</v>
      </c>
      <c r="S1812" s="367">
        <v>0.1</v>
      </c>
      <c r="T1812" s="367">
        <v>31</v>
      </c>
      <c r="U1812" s="367"/>
      <c r="V1812" s="367"/>
      <c r="W1812" s="367"/>
      <c r="X1812" s="367"/>
      <c r="Y1812" s="367"/>
      <c r="Z1812" s="367"/>
      <c r="AA1812" s="367"/>
      <c r="AB1812" s="367"/>
      <c r="AC1812" s="367"/>
    </row>
    <row r="1813" spans="1:29" ht="15" x14ac:dyDescent="0.25">
      <c r="A1813" s="365" t="s">
        <v>857</v>
      </c>
      <c r="H1813" s="366">
        <v>43</v>
      </c>
      <c r="J1813" s="367"/>
      <c r="K1813" s="367"/>
      <c r="L1813" s="367">
        <v>75</v>
      </c>
      <c r="M1813" s="367"/>
      <c r="N1813" s="367">
        <v>8</v>
      </c>
      <c r="O1813" s="367"/>
      <c r="P1813" s="367">
        <v>21</v>
      </c>
      <c r="Q1813" s="367"/>
      <c r="R1813" s="367">
        <v>58</v>
      </c>
      <c r="S1813" s="367">
        <v>3.6</v>
      </c>
      <c r="T1813" s="367">
        <v>20.399999999999999</v>
      </c>
      <c r="U1813" s="367"/>
      <c r="V1813" s="367"/>
      <c r="W1813" s="367"/>
      <c r="X1813" s="367"/>
      <c r="Y1813" s="367"/>
      <c r="Z1813" s="367"/>
      <c r="AA1813" s="367">
        <v>0.1</v>
      </c>
      <c r="AB1813" s="367"/>
      <c r="AC1813" s="367"/>
    </row>
    <row r="1814" spans="1:29" ht="15" x14ac:dyDescent="0.25">
      <c r="A1814" s="365" t="s">
        <v>862</v>
      </c>
      <c r="H1814" s="366">
        <v>34.4</v>
      </c>
      <c r="J1814" s="367"/>
      <c r="K1814" s="367"/>
      <c r="L1814" s="367">
        <v>199</v>
      </c>
      <c r="M1814" s="367">
        <v>3</v>
      </c>
      <c r="N1814" s="367">
        <v>6</v>
      </c>
      <c r="O1814" s="367"/>
      <c r="P1814" s="367">
        <v>41</v>
      </c>
      <c r="Q1814" s="367"/>
      <c r="R1814" s="367">
        <v>244</v>
      </c>
      <c r="S1814" s="367">
        <v>4.4000000000000004</v>
      </c>
      <c r="T1814" s="367">
        <v>38</v>
      </c>
      <c r="U1814" s="367"/>
      <c r="V1814" s="367"/>
      <c r="W1814" s="367"/>
      <c r="X1814" s="367"/>
      <c r="Y1814" s="367"/>
      <c r="Z1814" s="367"/>
      <c r="AA1814" s="367"/>
      <c r="AB1814" s="367"/>
      <c r="AC1814" s="367"/>
    </row>
    <row r="1815" spans="1:29" ht="15" x14ac:dyDescent="0.25">
      <c r="A1815" s="365" t="s">
        <v>835</v>
      </c>
      <c r="H1815" s="366">
        <v>38</v>
      </c>
      <c r="J1815" s="367"/>
      <c r="K1815" s="367"/>
      <c r="L1815" s="367">
        <v>133</v>
      </c>
      <c r="M1815" s="367">
        <v>3.2</v>
      </c>
      <c r="N1815" s="367">
        <v>3.6</v>
      </c>
      <c r="O1815" s="367"/>
      <c r="P1815" s="367"/>
      <c r="Q1815" s="367"/>
      <c r="R1815" s="367">
        <v>22</v>
      </c>
      <c r="S1815" s="367"/>
      <c r="T1815" s="367">
        <v>10</v>
      </c>
      <c r="U1815" s="367"/>
      <c r="V1815" s="367"/>
      <c r="W1815" s="367"/>
      <c r="X1815" s="367"/>
      <c r="Y1815" s="367"/>
      <c r="Z1815" s="367"/>
      <c r="AA1815" s="367"/>
    </row>
    <row r="1816" spans="1:29" ht="15" x14ac:dyDescent="0.25">
      <c r="A1816" s="365" t="s">
        <v>836</v>
      </c>
      <c r="H1816" s="366">
        <v>38</v>
      </c>
      <c r="J1816" s="367"/>
      <c r="K1816" s="367"/>
      <c r="L1816" s="367">
        <v>520</v>
      </c>
      <c r="M1816" s="367">
        <v>11</v>
      </c>
      <c r="N1816" s="367">
        <v>11</v>
      </c>
      <c r="O1816" s="367"/>
      <c r="P1816" s="367">
        <v>63</v>
      </c>
      <c r="Q1816" s="367"/>
      <c r="R1816" s="367">
        <v>315</v>
      </c>
      <c r="S1816" s="367">
        <v>1.9</v>
      </c>
      <c r="T1816" s="367">
        <v>239</v>
      </c>
      <c r="U1816" s="367"/>
      <c r="V1816" s="367"/>
      <c r="W1816" s="367"/>
      <c r="X1816" s="367"/>
      <c r="Y1816" s="367"/>
      <c r="Z1816" s="367"/>
      <c r="AA1816" s="367"/>
    </row>
    <row r="1817" spans="1:29" ht="15" x14ac:dyDescent="0.25">
      <c r="A1817" s="365" t="s">
        <v>837</v>
      </c>
      <c r="H1817" s="366">
        <v>38</v>
      </c>
      <c r="J1817" s="367"/>
      <c r="K1817" s="367"/>
      <c r="L1817" s="367">
        <v>20</v>
      </c>
      <c r="M1817" s="367">
        <v>3.8</v>
      </c>
      <c r="N1817" s="367">
        <v>19</v>
      </c>
      <c r="O1817" s="367"/>
      <c r="P1817" s="367">
        <v>53</v>
      </c>
      <c r="Q1817" s="367"/>
      <c r="R1817" s="367">
        <v>2</v>
      </c>
      <c r="S1817" s="367">
        <v>0.1</v>
      </c>
      <c r="T1817" s="367">
        <v>11</v>
      </c>
      <c r="U1817" s="367"/>
      <c r="V1817" s="367"/>
      <c r="W1817" s="367"/>
      <c r="X1817" s="367"/>
      <c r="Y1817" s="367"/>
      <c r="Z1817" s="367"/>
      <c r="AA1817" s="367"/>
    </row>
    <row r="1818" spans="1:29" ht="15" x14ac:dyDescent="0.25">
      <c r="A1818" s="365" t="s">
        <v>839</v>
      </c>
      <c r="H1818" s="366">
        <v>39</v>
      </c>
      <c r="J1818" s="367"/>
      <c r="K1818" s="367"/>
      <c r="L1818" s="367">
        <v>141</v>
      </c>
      <c r="M1818" s="367">
        <v>1.3</v>
      </c>
      <c r="N1818" s="367">
        <v>3.4</v>
      </c>
      <c r="O1818" s="367"/>
      <c r="P1818" s="367">
        <v>72.400000000000006</v>
      </c>
      <c r="Q1818" s="367"/>
      <c r="R1818" s="367">
        <v>54</v>
      </c>
      <c r="S1818" s="367">
        <v>13.8</v>
      </c>
      <c r="T1818" s="367">
        <v>3.8</v>
      </c>
      <c r="U1818" s="367"/>
      <c r="V1818" s="367"/>
      <c r="W1818" s="367"/>
      <c r="X1818" s="367"/>
      <c r="Y1818" s="367"/>
      <c r="Z1818" s="367"/>
      <c r="AA1818" s="367">
        <v>0.17</v>
      </c>
    </row>
    <row r="1819" spans="1:29" ht="15" x14ac:dyDescent="0.25">
      <c r="A1819" s="365" t="s">
        <v>840</v>
      </c>
      <c r="H1819" s="366">
        <v>39</v>
      </c>
      <c r="J1819" s="367"/>
      <c r="K1819" s="367"/>
      <c r="L1819" s="367">
        <v>381</v>
      </c>
      <c r="M1819" s="367">
        <v>10</v>
      </c>
      <c r="N1819" s="367">
        <v>246</v>
      </c>
      <c r="O1819" s="367"/>
      <c r="P1819" s="367"/>
      <c r="Q1819" s="367"/>
      <c r="R1819" s="367">
        <v>507</v>
      </c>
      <c r="S1819" s="367"/>
      <c r="T1819" s="367">
        <v>133</v>
      </c>
      <c r="U1819" s="367"/>
      <c r="V1819" s="367"/>
      <c r="W1819" s="367"/>
      <c r="X1819" s="367"/>
      <c r="Y1819" s="367"/>
      <c r="Z1819" s="367"/>
      <c r="AA1819" s="367"/>
    </row>
    <row r="1820" spans="1:29" ht="15" x14ac:dyDescent="0.25">
      <c r="A1820" s="365" t="s">
        <v>841</v>
      </c>
      <c r="H1820" s="366">
        <v>39</v>
      </c>
      <c r="J1820" s="367"/>
      <c r="K1820" s="367"/>
      <c r="L1820" s="367">
        <v>1010</v>
      </c>
      <c r="M1820" s="367">
        <v>5</v>
      </c>
      <c r="N1820" s="367">
        <v>16</v>
      </c>
      <c r="O1820" s="367"/>
      <c r="P1820" s="367">
        <v>24</v>
      </c>
      <c r="Q1820" s="367"/>
      <c r="R1820" s="367">
        <v>915</v>
      </c>
      <c r="S1820" s="367">
        <v>5</v>
      </c>
      <c r="T1820" s="367">
        <v>1</v>
      </c>
      <c r="U1820" s="367"/>
      <c r="V1820" s="367"/>
      <c r="W1820" s="367"/>
      <c r="X1820" s="367"/>
      <c r="Y1820" s="367"/>
      <c r="Z1820" s="367"/>
      <c r="AA1820" s="367"/>
    </row>
    <row r="1821" spans="1:29" ht="15" x14ac:dyDescent="0.25">
      <c r="A1821" s="365" t="s">
        <v>833</v>
      </c>
      <c r="H1821" s="366">
        <v>39</v>
      </c>
      <c r="J1821" s="367"/>
      <c r="K1821" s="367"/>
      <c r="L1821" s="367">
        <v>390</v>
      </c>
      <c r="M1821" s="367">
        <v>2.1</v>
      </c>
      <c r="N1821" s="367">
        <v>4.8</v>
      </c>
      <c r="O1821" s="367"/>
      <c r="P1821" s="367">
        <v>23</v>
      </c>
      <c r="Q1821" s="367"/>
      <c r="R1821" s="367">
        <v>170</v>
      </c>
      <c r="S1821" s="367">
        <v>3.3</v>
      </c>
      <c r="T1821" s="367">
        <v>130</v>
      </c>
      <c r="U1821" s="367"/>
      <c r="V1821" s="367"/>
      <c r="W1821" s="367"/>
      <c r="X1821" s="367"/>
      <c r="Y1821" s="367"/>
      <c r="Z1821" s="367"/>
      <c r="AA1821" s="367"/>
    </row>
    <row r="1822" spans="1:29" ht="15" x14ac:dyDescent="0.25">
      <c r="A1822" s="365" t="s">
        <v>874</v>
      </c>
      <c r="H1822" s="366">
        <v>39</v>
      </c>
      <c r="J1822" s="367"/>
      <c r="K1822" s="367"/>
      <c r="L1822" s="367">
        <v>196</v>
      </c>
      <c r="M1822" s="367">
        <v>3</v>
      </c>
      <c r="N1822" s="367">
        <v>17</v>
      </c>
      <c r="O1822" s="367"/>
      <c r="P1822" s="367">
        <v>14</v>
      </c>
      <c r="Q1822" s="367"/>
      <c r="R1822" s="367">
        <v>59</v>
      </c>
      <c r="S1822" s="367">
        <v>9.5</v>
      </c>
      <c r="T1822" s="367"/>
      <c r="U1822" s="367"/>
      <c r="V1822" s="367"/>
      <c r="W1822" s="367"/>
      <c r="X1822" s="367"/>
      <c r="Y1822" s="367"/>
      <c r="Z1822" s="367"/>
      <c r="AA1822" s="367">
        <v>0.4</v>
      </c>
    </row>
    <row r="1823" spans="1:29" ht="15" x14ac:dyDescent="0.25">
      <c r="A1823" s="365" t="s">
        <v>878</v>
      </c>
      <c r="H1823" s="366">
        <v>39</v>
      </c>
      <c r="J1823" s="367"/>
      <c r="K1823" s="367"/>
      <c r="L1823" s="367">
        <v>162</v>
      </c>
      <c r="M1823" s="367">
        <v>1.5</v>
      </c>
      <c r="N1823" s="367">
        <v>8</v>
      </c>
      <c r="O1823" s="367"/>
      <c r="P1823" s="367">
        <v>14</v>
      </c>
      <c r="Q1823" s="367"/>
      <c r="R1823" s="367">
        <v>133</v>
      </c>
      <c r="S1823" s="367">
        <v>3.5</v>
      </c>
      <c r="T1823" s="367">
        <v>111</v>
      </c>
      <c r="U1823" s="367"/>
      <c r="V1823" s="367"/>
      <c r="W1823" s="367"/>
      <c r="X1823" s="367"/>
      <c r="Y1823" s="367"/>
      <c r="Z1823" s="367"/>
      <c r="AA1823" s="367"/>
    </row>
    <row r="1824" spans="1:29" ht="15" x14ac:dyDescent="0.25">
      <c r="A1824" s="365" t="s">
        <v>866</v>
      </c>
      <c r="H1824" s="366">
        <v>35</v>
      </c>
      <c r="J1824" s="367"/>
      <c r="K1824" s="367"/>
      <c r="L1824" s="367">
        <v>95</v>
      </c>
      <c r="M1824" s="367">
        <v>9</v>
      </c>
      <c r="N1824" s="367">
        <v>12</v>
      </c>
      <c r="O1824" s="367"/>
      <c r="P1824" s="367">
        <v>68</v>
      </c>
      <c r="Q1824" s="367"/>
      <c r="R1824" s="367">
        <v>142</v>
      </c>
      <c r="S1824" s="367">
        <v>2.8</v>
      </c>
      <c r="T1824" s="367"/>
      <c r="U1824" s="367"/>
      <c r="V1824" s="367"/>
      <c r="W1824" s="367"/>
      <c r="X1824" s="367"/>
      <c r="Y1824" s="367"/>
      <c r="Z1824" s="367"/>
      <c r="AA1824" s="367">
        <v>0.04</v>
      </c>
    </row>
    <row r="1825" spans="1:27" ht="15" x14ac:dyDescent="0.25">
      <c r="A1825" s="365" t="s">
        <v>771</v>
      </c>
      <c r="H1825" s="366">
        <v>29</v>
      </c>
      <c r="J1825" s="367"/>
      <c r="K1825" s="367"/>
      <c r="L1825" s="367">
        <v>53</v>
      </c>
      <c r="M1825" s="367">
        <v>5</v>
      </c>
      <c r="N1825" s="367">
        <v>4</v>
      </c>
      <c r="O1825" s="367"/>
      <c r="P1825" s="367">
        <v>67</v>
      </c>
      <c r="Q1825" s="367"/>
      <c r="R1825" s="367">
        <v>46</v>
      </c>
      <c r="S1825" s="367">
        <v>2.5</v>
      </c>
      <c r="T1825" s="367">
        <v>44</v>
      </c>
      <c r="U1825" s="367"/>
      <c r="V1825" s="367"/>
      <c r="W1825" s="367"/>
      <c r="X1825" s="367"/>
      <c r="Y1825" s="367"/>
      <c r="Z1825" s="367"/>
      <c r="AA1825" s="367">
        <v>0.01</v>
      </c>
    </row>
    <row r="1826" spans="1:27" ht="15" x14ac:dyDescent="0.25">
      <c r="A1826" s="365" t="s">
        <v>868</v>
      </c>
      <c r="H1826" s="366">
        <v>36</v>
      </c>
      <c r="J1826" s="367"/>
      <c r="K1826" s="367"/>
      <c r="L1826" s="367">
        <v>113</v>
      </c>
      <c r="M1826" s="367">
        <v>3</v>
      </c>
      <c r="N1826" s="367">
        <v>10</v>
      </c>
      <c r="O1826" s="367"/>
      <c r="P1826" s="367">
        <v>20</v>
      </c>
      <c r="Q1826" s="367"/>
      <c r="R1826" s="367">
        <v>82</v>
      </c>
      <c r="S1826" s="367">
        <v>8</v>
      </c>
      <c r="T1826" s="367">
        <v>83</v>
      </c>
      <c r="U1826" s="367"/>
      <c r="V1826" s="367"/>
      <c r="W1826" s="367"/>
      <c r="X1826" s="367"/>
      <c r="Y1826" s="367"/>
      <c r="Z1826" s="367"/>
      <c r="AA1826" s="367">
        <v>0.25</v>
      </c>
    </row>
    <row r="1827" spans="1:27" ht="15" x14ac:dyDescent="0.25">
      <c r="A1827" s="365" t="s">
        <v>869</v>
      </c>
      <c r="H1827" s="366">
        <v>36</v>
      </c>
      <c r="J1827" s="367"/>
      <c r="K1827" s="367"/>
      <c r="L1827" s="367">
        <v>342</v>
      </c>
      <c r="M1827" s="367">
        <v>10</v>
      </c>
      <c r="N1827" s="367">
        <v>42</v>
      </c>
      <c r="O1827" s="367"/>
      <c r="P1827" s="367">
        <v>62</v>
      </c>
      <c r="Q1827" s="367"/>
      <c r="R1827" s="367">
        <v>349</v>
      </c>
      <c r="S1827" s="367">
        <v>0.6</v>
      </c>
      <c r="T1827" s="367">
        <v>232</v>
      </c>
      <c r="U1827" s="367"/>
      <c r="V1827" s="367"/>
      <c r="W1827" s="367"/>
      <c r="X1827" s="367"/>
      <c r="Y1827" s="367"/>
      <c r="Z1827" s="367"/>
      <c r="AA1827" s="367"/>
    </row>
    <row r="1828" spans="1:27" ht="15" x14ac:dyDescent="0.25">
      <c r="A1828" s="365" t="s">
        <v>870</v>
      </c>
      <c r="H1828" s="366">
        <v>36</v>
      </c>
      <c r="J1828" s="367"/>
      <c r="K1828" s="367"/>
      <c r="L1828" s="367">
        <v>105</v>
      </c>
      <c r="M1828" s="367"/>
      <c r="N1828" s="367">
        <v>8</v>
      </c>
      <c r="O1828" s="367"/>
      <c r="P1828" s="367">
        <v>24</v>
      </c>
      <c r="Q1828" s="367"/>
      <c r="R1828" s="367">
        <v>84</v>
      </c>
      <c r="S1828" s="367">
        <v>0.2</v>
      </c>
      <c r="T1828" s="367">
        <v>72</v>
      </c>
      <c r="U1828" s="367"/>
      <c r="V1828" s="367"/>
      <c r="W1828" s="367"/>
      <c r="X1828" s="367"/>
      <c r="Y1828" s="367"/>
      <c r="Z1828" s="367"/>
      <c r="AA1828" s="367"/>
    </row>
    <row r="1829" spans="1:27" ht="15" x14ac:dyDescent="0.25">
      <c r="A1829" s="365" t="s">
        <v>871</v>
      </c>
      <c r="H1829" s="366">
        <v>36</v>
      </c>
      <c r="J1829" s="367"/>
      <c r="K1829" s="367"/>
      <c r="L1829" s="367">
        <v>113</v>
      </c>
      <c r="M1829" s="367">
        <v>2</v>
      </c>
      <c r="N1829" s="367">
        <v>35</v>
      </c>
      <c r="O1829" s="367"/>
      <c r="P1829" s="367"/>
      <c r="Q1829" s="367"/>
      <c r="R1829" s="367">
        <v>146</v>
      </c>
      <c r="S1829" s="367">
        <v>2.2999999999999998</v>
      </c>
      <c r="T1829" s="367">
        <v>129</v>
      </c>
      <c r="U1829" s="367"/>
      <c r="V1829" s="367"/>
      <c r="W1829" s="367"/>
      <c r="X1829" s="367"/>
      <c r="Y1829" s="367"/>
      <c r="Z1829" s="367"/>
      <c r="AA1829" s="367"/>
    </row>
    <row r="1830" spans="1:27" ht="15" x14ac:dyDescent="0.25">
      <c r="A1830" s="365" t="s">
        <v>872</v>
      </c>
      <c r="H1830" s="366">
        <v>36</v>
      </c>
      <c r="J1830" s="367"/>
      <c r="K1830" s="367"/>
      <c r="L1830" s="367">
        <v>316</v>
      </c>
      <c r="M1830" s="367"/>
      <c r="N1830" s="367">
        <v>32</v>
      </c>
      <c r="O1830" s="367"/>
      <c r="P1830" s="367"/>
      <c r="Q1830" s="367"/>
      <c r="R1830" s="367">
        <v>298</v>
      </c>
      <c r="S1830" s="367">
        <v>0.8</v>
      </c>
      <c r="T1830" s="367">
        <v>169</v>
      </c>
      <c r="U1830" s="367"/>
      <c r="V1830" s="367"/>
      <c r="W1830" s="367"/>
      <c r="X1830" s="367"/>
      <c r="Y1830" s="367"/>
      <c r="Z1830" s="367"/>
      <c r="AA1830" s="367"/>
    </row>
    <row r="1831" spans="1:27" ht="15" x14ac:dyDescent="0.25">
      <c r="A1831" s="365" t="s">
        <v>824</v>
      </c>
      <c r="H1831" s="366">
        <v>36</v>
      </c>
      <c r="J1831" s="367"/>
      <c r="K1831" s="367"/>
      <c r="L1831" s="367">
        <v>205</v>
      </c>
      <c r="M1831" s="367">
        <v>4</v>
      </c>
      <c r="N1831" s="367">
        <v>24</v>
      </c>
      <c r="O1831" s="367"/>
      <c r="P1831" s="367">
        <v>26</v>
      </c>
      <c r="Q1831" s="367"/>
      <c r="R1831" s="367">
        <v>202</v>
      </c>
      <c r="S1831" s="367">
        <v>0.7</v>
      </c>
      <c r="T1831" s="367">
        <v>122</v>
      </c>
      <c r="U1831" s="367"/>
      <c r="V1831" s="367"/>
      <c r="W1831" s="367"/>
      <c r="X1831" s="367"/>
      <c r="Y1831" s="367"/>
      <c r="Z1831" s="367"/>
      <c r="AA1831" s="367">
        <v>0.17</v>
      </c>
    </row>
    <row r="1832" spans="1:27" ht="15" x14ac:dyDescent="0.25">
      <c r="A1832" s="365" t="s">
        <v>826</v>
      </c>
      <c r="H1832" s="366">
        <v>37</v>
      </c>
      <c r="J1832" s="367"/>
      <c r="K1832" s="367"/>
      <c r="L1832" s="367">
        <v>143</v>
      </c>
      <c r="M1832" s="367">
        <v>1.4</v>
      </c>
      <c r="N1832" s="367">
        <v>98</v>
      </c>
      <c r="O1832" s="367"/>
      <c r="P1832" s="367"/>
      <c r="Q1832" s="367"/>
      <c r="R1832" s="367">
        <v>209</v>
      </c>
      <c r="S1832" s="367">
        <v>0.4</v>
      </c>
      <c r="T1832" s="367">
        <v>131</v>
      </c>
      <c r="U1832" s="367"/>
      <c r="V1832" s="367"/>
      <c r="W1832" s="367"/>
      <c r="X1832" s="367"/>
      <c r="Y1832" s="367"/>
      <c r="Z1832" s="367"/>
      <c r="AA1832" s="367"/>
    </row>
    <row r="1833" spans="1:27" ht="15" x14ac:dyDescent="0.25">
      <c r="A1833" s="365" t="s">
        <v>829</v>
      </c>
      <c r="H1833" s="366">
        <v>37</v>
      </c>
      <c r="J1833" s="367"/>
      <c r="K1833" s="367"/>
      <c r="L1833" s="367">
        <v>117</v>
      </c>
      <c r="M1833" s="367">
        <v>5</v>
      </c>
      <c r="N1833" s="367">
        <v>98</v>
      </c>
      <c r="O1833" s="367"/>
      <c r="P1833" s="367">
        <v>40</v>
      </c>
      <c r="Q1833" s="367"/>
      <c r="R1833" s="367">
        <v>129</v>
      </c>
      <c r="S1833" s="367">
        <v>0.4</v>
      </c>
      <c r="T1833" s="367">
        <v>184</v>
      </c>
      <c r="U1833" s="367"/>
      <c r="V1833" s="367"/>
      <c r="W1833" s="367"/>
      <c r="X1833" s="367"/>
      <c r="Y1833" s="367"/>
      <c r="Z1833" s="367"/>
      <c r="AA1833" s="367"/>
    </row>
    <row r="1834" spans="1:27" ht="15" x14ac:dyDescent="0.25">
      <c r="A1834" s="365" t="s">
        <v>830</v>
      </c>
      <c r="H1834" s="366">
        <v>37</v>
      </c>
      <c r="J1834" s="367"/>
      <c r="K1834" s="367"/>
      <c r="L1834" s="367">
        <v>74</v>
      </c>
      <c r="M1834" s="367">
        <v>4.5</v>
      </c>
      <c r="N1834" s="367">
        <v>85</v>
      </c>
      <c r="O1834" s="367"/>
      <c r="P1834" s="367">
        <v>48</v>
      </c>
      <c r="Q1834" s="367"/>
      <c r="R1834" s="367">
        <v>98</v>
      </c>
      <c r="S1834" s="367"/>
      <c r="T1834" s="367">
        <v>141</v>
      </c>
      <c r="U1834" s="367"/>
      <c r="V1834" s="367"/>
      <c r="W1834" s="367"/>
      <c r="X1834" s="367"/>
      <c r="Y1834" s="367"/>
      <c r="Z1834" s="367"/>
      <c r="AA1834" s="367"/>
    </row>
    <row r="1835" spans="1:27" ht="15" x14ac:dyDescent="0.25">
      <c r="A1835" s="365" t="s">
        <v>833</v>
      </c>
      <c r="H1835" s="366">
        <v>38</v>
      </c>
      <c r="J1835" s="367"/>
      <c r="K1835" s="367"/>
      <c r="L1835" s="367">
        <v>390</v>
      </c>
      <c r="M1835" s="367">
        <v>2</v>
      </c>
      <c r="N1835" s="367">
        <v>6.2</v>
      </c>
      <c r="O1835" s="367"/>
      <c r="P1835" s="367">
        <v>23</v>
      </c>
      <c r="Q1835" s="367"/>
      <c r="R1835" s="367">
        <v>200</v>
      </c>
      <c r="S1835" s="367">
        <v>2.9</v>
      </c>
      <c r="T1835" s="367">
        <v>120</v>
      </c>
      <c r="U1835" s="367"/>
      <c r="V1835" s="367"/>
      <c r="W1835" s="367"/>
      <c r="X1835" s="367"/>
      <c r="Y1835" s="367"/>
      <c r="Z1835" s="367"/>
      <c r="AA1835" s="367"/>
    </row>
    <row r="1836" spans="1:27" ht="15" x14ac:dyDescent="0.25">
      <c r="A1836" s="365" t="s">
        <v>834</v>
      </c>
      <c r="H1836" s="366">
        <v>38</v>
      </c>
      <c r="J1836" s="367"/>
      <c r="K1836" s="367"/>
      <c r="L1836" s="367">
        <v>405</v>
      </c>
      <c r="M1836" s="367">
        <v>3</v>
      </c>
      <c r="N1836" s="367">
        <v>7.6</v>
      </c>
      <c r="O1836" s="367"/>
      <c r="P1836" s="367"/>
      <c r="Q1836" s="367"/>
      <c r="R1836" s="367">
        <v>206</v>
      </c>
      <c r="S1836" s="367">
        <v>3.1</v>
      </c>
      <c r="T1836" s="367">
        <v>96</v>
      </c>
      <c r="U1836" s="367"/>
      <c r="V1836" s="367"/>
      <c r="W1836" s="367"/>
      <c r="X1836" s="367"/>
      <c r="Y1836" s="367"/>
      <c r="Z1836" s="367"/>
      <c r="AA1836" s="367"/>
    </row>
    <row r="1837" spans="1:27" ht="15" x14ac:dyDescent="0.25">
      <c r="A1837" s="365" t="s">
        <v>879</v>
      </c>
      <c r="H1837" s="366">
        <v>39</v>
      </c>
      <c r="J1837" s="367"/>
      <c r="K1837" s="367"/>
      <c r="L1837" s="367">
        <v>386</v>
      </c>
      <c r="M1837" s="367">
        <v>5.5</v>
      </c>
      <c r="N1837" s="367">
        <v>14</v>
      </c>
      <c r="O1837" s="367"/>
      <c r="P1837" s="367">
        <v>65</v>
      </c>
      <c r="Q1837" s="367"/>
      <c r="R1837" s="367">
        <v>435</v>
      </c>
      <c r="S1837" s="367">
        <v>0.4</v>
      </c>
      <c r="T1837" s="367">
        <v>222</v>
      </c>
      <c r="U1837" s="367"/>
      <c r="V1837" s="367"/>
      <c r="W1837" s="367"/>
      <c r="X1837" s="367"/>
      <c r="Y1837" s="367"/>
      <c r="Z1837" s="367"/>
      <c r="AA1837" s="367"/>
    </row>
    <row r="1838" spans="1:27" ht="15" x14ac:dyDescent="0.25">
      <c r="A1838" s="365" t="s">
        <v>880</v>
      </c>
      <c r="H1838" s="366">
        <v>40</v>
      </c>
      <c r="J1838" s="367"/>
      <c r="K1838" s="367"/>
      <c r="L1838" s="367">
        <v>115</v>
      </c>
      <c r="M1838" s="367">
        <v>3.2</v>
      </c>
      <c r="N1838" s="367">
        <v>3</v>
      </c>
      <c r="O1838" s="367"/>
      <c r="P1838" s="367">
        <v>27</v>
      </c>
      <c r="Q1838" s="367"/>
      <c r="R1838" s="367">
        <v>66</v>
      </c>
      <c r="S1838" s="367">
        <v>3.4</v>
      </c>
      <c r="T1838" s="367">
        <v>80</v>
      </c>
      <c r="U1838" s="367"/>
      <c r="V1838" s="367"/>
      <c r="W1838" s="367"/>
      <c r="X1838" s="367"/>
      <c r="Y1838" s="367"/>
      <c r="Z1838" s="367"/>
      <c r="AA1838" s="367"/>
    </row>
    <row r="1839" spans="1:27" ht="15" x14ac:dyDescent="0.25">
      <c r="A1839" s="365" t="s">
        <v>881</v>
      </c>
      <c r="H1839" s="366">
        <v>40</v>
      </c>
      <c r="J1839" s="367"/>
      <c r="K1839" s="367"/>
      <c r="L1839" s="367">
        <v>105</v>
      </c>
      <c r="M1839" s="367"/>
      <c r="N1839" s="367">
        <v>17</v>
      </c>
      <c r="O1839" s="367"/>
      <c r="P1839" s="367">
        <v>24</v>
      </c>
      <c r="Q1839" s="367"/>
      <c r="R1839" s="367">
        <v>36</v>
      </c>
      <c r="S1839" s="367">
        <v>4</v>
      </c>
      <c r="T1839" s="367">
        <v>150</v>
      </c>
      <c r="U1839" s="367"/>
      <c r="V1839" s="367"/>
      <c r="W1839" s="367"/>
      <c r="X1839" s="367"/>
      <c r="Y1839" s="367"/>
      <c r="Z1839" s="367"/>
      <c r="AA1839" s="367">
        <v>0.21</v>
      </c>
    </row>
    <row r="1840" spans="1:27" ht="15" x14ac:dyDescent="0.25">
      <c r="A1840" s="365" t="s">
        <v>882</v>
      </c>
      <c r="H1840" s="366">
        <v>40</v>
      </c>
      <c r="J1840" s="367"/>
      <c r="K1840" s="367"/>
      <c r="L1840" s="367">
        <v>196</v>
      </c>
      <c r="M1840" s="367">
        <v>2.2000000000000002</v>
      </c>
      <c r="N1840" s="367">
        <v>89</v>
      </c>
      <c r="O1840" s="367"/>
      <c r="P1840" s="367">
        <v>38</v>
      </c>
      <c r="Q1840" s="367"/>
      <c r="R1840" s="367">
        <v>234</v>
      </c>
      <c r="S1840" s="367">
        <v>0.7</v>
      </c>
      <c r="T1840" s="367">
        <v>184</v>
      </c>
      <c r="U1840" s="367"/>
      <c r="V1840" s="367"/>
      <c r="W1840" s="367"/>
      <c r="X1840" s="367"/>
      <c r="Y1840" s="367"/>
      <c r="Z1840" s="367"/>
      <c r="AA1840" s="367"/>
    </row>
    <row r="1841" spans="1:27" ht="15" x14ac:dyDescent="0.25">
      <c r="A1841" s="365" t="s">
        <v>884</v>
      </c>
      <c r="H1841" s="366">
        <v>40</v>
      </c>
      <c r="J1841" s="367"/>
      <c r="K1841" s="367"/>
      <c r="L1841" s="367">
        <v>49</v>
      </c>
      <c r="M1841" s="367">
        <v>0.7</v>
      </c>
      <c r="N1841" s="367">
        <v>30</v>
      </c>
      <c r="O1841" s="367"/>
      <c r="P1841" s="367">
        <v>38</v>
      </c>
      <c r="Q1841" s="367"/>
      <c r="R1841" s="367">
        <v>43</v>
      </c>
      <c r="S1841" s="367">
        <v>0.5</v>
      </c>
      <c r="T1841" s="367"/>
      <c r="U1841" s="367"/>
      <c r="V1841" s="367"/>
      <c r="W1841" s="367"/>
      <c r="X1841" s="367"/>
      <c r="Y1841" s="367"/>
      <c r="Z1841" s="367"/>
      <c r="AA1841" s="367"/>
    </row>
    <row r="1842" spans="1:27" ht="15" x14ac:dyDescent="0.25">
      <c r="A1842" s="365" t="s">
        <v>887</v>
      </c>
      <c r="H1842" s="366">
        <v>43</v>
      </c>
      <c r="J1842" s="367"/>
      <c r="K1842" s="367"/>
      <c r="L1842" s="367">
        <v>139</v>
      </c>
      <c r="M1842" s="367">
        <v>1</v>
      </c>
      <c r="N1842" s="367">
        <v>14</v>
      </c>
      <c r="O1842" s="367"/>
      <c r="P1842" s="367"/>
      <c r="Q1842" s="367"/>
      <c r="R1842" s="367">
        <v>145</v>
      </c>
      <c r="S1842" s="367">
        <v>4.8</v>
      </c>
      <c r="T1842" s="367">
        <v>99</v>
      </c>
      <c r="U1842" s="367"/>
      <c r="V1842" s="367"/>
      <c r="W1842" s="367"/>
      <c r="X1842" s="367"/>
      <c r="Y1842" s="367"/>
      <c r="Z1842" s="367"/>
      <c r="AA1842" s="367"/>
    </row>
    <row r="1843" spans="1:27" ht="15" x14ac:dyDescent="0.25">
      <c r="A1843" s="365" t="s">
        <v>888</v>
      </c>
      <c r="H1843" s="366">
        <v>43</v>
      </c>
      <c r="J1843" s="367"/>
      <c r="K1843" s="367"/>
      <c r="L1843" s="367">
        <v>1780</v>
      </c>
      <c r="M1843" s="367">
        <v>8.4</v>
      </c>
      <c r="N1843" s="367">
        <v>8.8000000000000007</v>
      </c>
      <c r="O1843" s="367"/>
      <c r="P1843" s="367">
        <v>25</v>
      </c>
      <c r="Q1843" s="367"/>
      <c r="R1843" s="367">
        <v>935</v>
      </c>
      <c r="S1843" s="367">
        <v>2.2999999999999998</v>
      </c>
      <c r="T1843" s="367">
        <v>3</v>
      </c>
      <c r="U1843" s="367"/>
      <c r="V1843" s="367"/>
      <c r="W1843" s="367"/>
      <c r="X1843" s="367"/>
      <c r="Y1843" s="367"/>
      <c r="Z1843" s="367"/>
      <c r="AA1843" s="367"/>
    </row>
    <row r="1844" spans="1:27" ht="15" x14ac:dyDescent="0.25">
      <c r="A1844" s="365" t="s">
        <v>889</v>
      </c>
      <c r="H1844" s="366">
        <v>44</v>
      </c>
      <c r="J1844" s="367"/>
      <c r="K1844" s="367"/>
      <c r="L1844" s="367">
        <v>90</v>
      </c>
      <c r="M1844" s="367">
        <v>0.8</v>
      </c>
      <c r="N1844" s="367">
        <v>7</v>
      </c>
      <c r="O1844" s="367"/>
      <c r="P1844" s="367">
        <v>39</v>
      </c>
      <c r="Q1844" s="367"/>
      <c r="R1844" s="367">
        <v>19</v>
      </c>
      <c r="S1844" s="367">
        <v>1.8</v>
      </c>
      <c r="T1844" s="367">
        <v>39</v>
      </c>
      <c r="U1844" s="367"/>
      <c r="V1844" s="367"/>
      <c r="W1844" s="367"/>
      <c r="X1844" s="367"/>
      <c r="Y1844" s="367"/>
      <c r="Z1844" s="367"/>
      <c r="AA1844" s="367">
        <v>0.12</v>
      </c>
    </row>
    <row r="1845" spans="1:27" ht="15" x14ac:dyDescent="0.25">
      <c r="A1845" s="365" t="s">
        <v>890</v>
      </c>
      <c r="H1845" s="366">
        <v>44</v>
      </c>
      <c r="J1845" s="367"/>
      <c r="K1845" s="367"/>
      <c r="L1845" s="367">
        <v>2140</v>
      </c>
      <c r="M1845" s="367">
        <v>16</v>
      </c>
      <c r="N1845" s="367">
        <v>724</v>
      </c>
      <c r="O1845" s="367"/>
      <c r="P1845" s="367">
        <v>31</v>
      </c>
      <c r="Q1845" s="367"/>
      <c r="R1845" s="367">
        <v>4740</v>
      </c>
      <c r="S1845" s="367">
        <v>0.9</v>
      </c>
      <c r="T1845" s="367">
        <v>37</v>
      </c>
      <c r="U1845" s="367"/>
      <c r="V1845" s="367"/>
      <c r="W1845" s="367"/>
      <c r="X1845" s="367"/>
      <c r="Y1845" s="367"/>
      <c r="Z1845" s="367"/>
      <c r="AA1845" s="367"/>
    </row>
    <row r="1846" spans="1:27" ht="15" x14ac:dyDescent="0.25">
      <c r="A1846" s="365" t="s">
        <v>891</v>
      </c>
      <c r="H1846" s="366">
        <v>44</v>
      </c>
      <c r="J1846" s="367"/>
      <c r="K1846" s="367"/>
      <c r="L1846" s="367">
        <v>223</v>
      </c>
      <c r="M1846" s="367">
        <v>4</v>
      </c>
      <c r="N1846" s="367">
        <v>42</v>
      </c>
      <c r="O1846" s="367"/>
      <c r="P1846" s="367">
        <v>18</v>
      </c>
      <c r="Q1846" s="367"/>
      <c r="R1846" s="367">
        <v>136</v>
      </c>
      <c r="S1846" s="367">
        <v>0.6</v>
      </c>
      <c r="T1846" s="367">
        <v>350</v>
      </c>
      <c r="U1846" s="367"/>
      <c r="V1846" s="367"/>
      <c r="W1846" s="367"/>
      <c r="X1846" s="367"/>
      <c r="Y1846" s="367"/>
      <c r="Z1846" s="367"/>
      <c r="AA1846" s="367"/>
    </row>
    <row r="1847" spans="1:27" ht="15" x14ac:dyDescent="0.25">
      <c r="A1847" s="365" t="s">
        <v>893</v>
      </c>
      <c r="H1847" s="366">
        <v>44</v>
      </c>
      <c r="J1847" s="367"/>
      <c r="K1847" s="367"/>
      <c r="L1847" s="367">
        <v>294</v>
      </c>
      <c r="M1847" s="367">
        <v>8.5</v>
      </c>
      <c r="N1847" s="367">
        <v>13</v>
      </c>
      <c r="O1847" s="367"/>
      <c r="P1847" s="367">
        <v>101</v>
      </c>
      <c r="Q1847" s="367"/>
      <c r="R1847" s="367">
        <v>270</v>
      </c>
      <c r="S1847" s="367">
        <v>1.6</v>
      </c>
      <c r="T1847" s="367">
        <v>153</v>
      </c>
      <c r="U1847" s="367"/>
      <c r="V1847" s="367"/>
      <c r="W1847" s="367"/>
      <c r="X1847" s="367"/>
      <c r="Y1847" s="367"/>
      <c r="Z1847" s="367"/>
      <c r="AA1847" s="367"/>
    </row>
    <row r="1848" spans="1:27" ht="15" x14ac:dyDescent="0.25">
      <c r="A1848" s="365" t="s">
        <v>894</v>
      </c>
      <c r="H1848" s="366">
        <v>44</v>
      </c>
      <c r="J1848" s="367"/>
      <c r="K1848" s="367"/>
      <c r="L1848" s="367">
        <v>41</v>
      </c>
      <c r="M1848" s="367">
        <v>3</v>
      </c>
      <c r="N1848" s="367">
        <v>4</v>
      </c>
      <c r="O1848" s="367"/>
      <c r="P1848" s="367">
        <v>43</v>
      </c>
      <c r="Q1848" s="367"/>
      <c r="R1848" s="367">
        <v>13</v>
      </c>
      <c r="S1848" s="367">
        <v>0.4</v>
      </c>
      <c r="T1848" s="367">
        <v>44</v>
      </c>
      <c r="U1848" s="367"/>
      <c r="V1848" s="367"/>
      <c r="W1848" s="367"/>
      <c r="X1848" s="367"/>
      <c r="Y1848" s="367"/>
      <c r="Z1848" s="367"/>
      <c r="AA1848" s="367"/>
    </row>
    <row r="1849" spans="1:27" ht="15" x14ac:dyDescent="0.25">
      <c r="A1849" s="365" t="s">
        <v>895</v>
      </c>
      <c r="H1849" s="366">
        <v>44</v>
      </c>
      <c r="J1849" s="367"/>
      <c r="K1849" s="367"/>
      <c r="L1849" s="367">
        <v>60</v>
      </c>
      <c r="M1849" s="367"/>
      <c r="N1849" s="367">
        <v>4</v>
      </c>
      <c r="O1849" s="367"/>
      <c r="P1849" s="367">
        <v>15</v>
      </c>
      <c r="Q1849" s="367"/>
      <c r="R1849" s="367">
        <v>20</v>
      </c>
      <c r="S1849" s="367">
        <v>2.6</v>
      </c>
      <c r="T1849" s="367">
        <v>16.899999999999999</v>
      </c>
      <c r="U1849" s="367"/>
      <c r="V1849" s="367"/>
      <c r="W1849" s="367"/>
      <c r="X1849" s="367"/>
      <c r="Y1849" s="367"/>
      <c r="Z1849" s="367"/>
      <c r="AA1849" s="367">
        <v>0.05</v>
      </c>
    </row>
    <row r="1850" spans="1:27" ht="15" x14ac:dyDescent="0.25">
      <c r="A1850" s="365" t="s">
        <v>896</v>
      </c>
      <c r="H1850" s="366">
        <v>44</v>
      </c>
      <c r="J1850" s="367"/>
      <c r="K1850" s="367"/>
      <c r="L1850" s="367">
        <v>400</v>
      </c>
      <c r="M1850" s="367">
        <v>6.3</v>
      </c>
      <c r="N1850" s="367">
        <v>26</v>
      </c>
      <c r="O1850" s="367"/>
      <c r="P1850" s="367">
        <v>80</v>
      </c>
      <c r="Q1850" s="367"/>
      <c r="R1850" s="367">
        <v>440</v>
      </c>
      <c r="S1850" s="367">
        <v>1.5</v>
      </c>
      <c r="T1850" s="367">
        <v>270</v>
      </c>
      <c r="U1850" s="367"/>
      <c r="V1850" s="367"/>
      <c r="W1850" s="367"/>
      <c r="X1850" s="367"/>
      <c r="Y1850" s="367"/>
      <c r="Z1850" s="367"/>
      <c r="AA1850" s="367"/>
    </row>
    <row r="1851" spans="1:27" ht="15" x14ac:dyDescent="0.25">
      <c r="A1851" s="365" t="s">
        <v>900</v>
      </c>
      <c r="H1851" s="366">
        <v>45</v>
      </c>
      <c r="J1851" s="367"/>
      <c r="K1851" s="367"/>
      <c r="L1851" s="367">
        <v>110</v>
      </c>
      <c r="M1851" s="367">
        <v>9.5</v>
      </c>
      <c r="N1851" s="367">
        <v>4.2</v>
      </c>
      <c r="O1851" s="367"/>
      <c r="P1851" s="367">
        <v>82</v>
      </c>
      <c r="Q1851" s="367"/>
      <c r="R1851" s="367">
        <v>31</v>
      </c>
      <c r="S1851" s="367">
        <v>2.2000000000000002</v>
      </c>
      <c r="T1851" s="367">
        <v>86</v>
      </c>
      <c r="U1851" s="367"/>
      <c r="V1851" s="367"/>
      <c r="W1851" s="367"/>
      <c r="X1851" s="367"/>
      <c r="Y1851" s="367"/>
      <c r="Z1851" s="367"/>
      <c r="AA1851" s="367"/>
    </row>
    <row r="1852" spans="1:27" ht="15" x14ac:dyDescent="0.25">
      <c r="A1852" s="365" t="s">
        <v>901</v>
      </c>
      <c r="H1852" s="366">
        <v>45</v>
      </c>
      <c r="J1852" s="367"/>
      <c r="K1852" s="367"/>
      <c r="L1852" s="367">
        <v>75</v>
      </c>
      <c r="M1852" s="367">
        <v>4</v>
      </c>
      <c r="N1852" s="367">
        <v>3</v>
      </c>
      <c r="O1852" s="367"/>
      <c r="P1852" s="367">
        <v>54</v>
      </c>
      <c r="Q1852" s="367"/>
      <c r="R1852" s="367">
        <v>21</v>
      </c>
      <c r="S1852" s="367">
        <v>4.9000000000000004</v>
      </c>
      <c r="T1852" s="367">
        <v>17</v>
      </c>
      <c r="U1852" s="367"/>
      <c r="V1852" s="367"/>
      <c r="W1852" s="367"/>
      <c r="X1852" s="367"/>
      <c r="Y1852" s="367"/>
      <c r="Z1852" s="367"/>
      <c r="AA1852" s="367"/>
    </row>
    <row r="1853" spans="1:27" ht="15" x14ac:dyDescent="0.25">
      <c r="A1853" s="365" t="s">
        <v>903</v>
      </c>
      <c r="H1853" s="366">
        <v>46</v>
      </c>
      <c r="J1853" s="367"/>
      <c r="K1853" s="367"/>
      <c r="L1853" s="367">
        <v>220</v>
      </c>
      <c r="M1853" s="367">
        <v>1.3</v>
      </c>
      <c r="N1853" s="367">
        <v>1.6</v>
      </c>
      <c r="O1853" s="367"/>
      <c r="P1853" s="367">
        <v>21</v>
      </c>
      <c r="Q1853" s="367"/>
      <c r="R1853" s="367">
        <v>12</v>
      </c>
      <c r="S1853" s="367">
        <v>1.9</v>
      </c>
      <c r="T1853" s="367">
        <v>76</v>
      </c>
      <c r="U1853" s="367"/>
      <c r="V1853" s="367"/>
      <c r="W1853" s="367"/>
      <c r="X1853" s="367"/>
      <c r="Y1853" s="367"/>
      <c r="Z1853" s="367"/>
      <c r="AA1853" s="367"/>
    </row>
    <row r="1854" spans="1:27" ht="15" x14ac:dyDescent="0.25">
      <c r="A1854" s="365" t="s">
        <v>904</v>
      </c>
      <c r="H1854" s="366">
        <v>46</v>
      </c>
      <c r="J1854" s="367"/>
      <c r="K1854" s="367"/>
      <c r="L1854" s="367">
        <v>94</v>
      </c>
      <c r="M1854" s="367">
        <v>9</v>
      </c>
      <c r="N1854" s="367">
        <v>9</v>
      </c>
      <c r="O1854" s="367"/>
      <c r="P1854" s="367">
        <v>79</v>
      </c>
      <c r="Q1854" s="367"/>
      <c r="R1854" s="367">
        <v>35</v>
      </c>
      <c r="S1854" s="367">
        <v>2.4</v>
      </c>
      <c r="T1854" s="367">
        <v>253</v>
      </c>
      <c r="U1854" s="367"/>
      <c r="V1854" s="367"/>
      <c r="W1854" s="367"/>
      <c r="X1854" s="367"/>
      <c r="Y1854" s="367"/>
      <c r="Z1854" s="367"/>
      <c r="AA1854" s="367"/>
    </row>
    <row r="1855" spans="1:27" ht="15" x14ac:dyDescent="0.25">
      <c r="A1855" s="365" t="s">
        <v>906</v>
      </c>
      <c r="H1855" s="366">
        <v>47</v>
      </c>
      <c r="J1855" s="367"/>
      <c r="K1855" s="367"/>
      <c r="L1855" s="367">
        <v>131</v>
      </c>
      <c r="M1855" s="367">
        <v>2</v>
      </c>
      <c r="N1855" s="367">
        <v>50</v>
      </c>
      <c r="O1855" s="367"/>
      <c r="P1855" s="367"/>
      <c r="Q1855" s="367"/>
      <c r="R1855" s="367">
        <v>53</v>
      </c>
      <c r="S1855" s="367">
        <v>0.3</v>
      </c>
      <c r="T1855" s="367">
        <v>189</v>
      </c>
      <c r="U1855" s="367"/>
      <c r="V1855" s="367"/>
      <c r="W1855" s="367"/>
      <c r="X1855" s="367"/>
      <c r="Y1855" s="367"/>
      <c r="Z1855" s="367"/>
      <c r="AA1855" s="367"/>
    </row>
    <row r="1856" spans="1:27" ht="15" x14ac:dyDescent="0.25">
      <c r="A1856" s="365" t="s">
        <v>907</v>
      </c>
      <c r="H1856" s="366">
        <v>47</v>
      </c>
      <c r="J1856" s="367"/>
      <c r="K1856" s="367"/>
      <c r="L1856" s="367">
        <v>130</v>
      </c>
      <c r="M1856" s="367">
        <v>1</v>
      </c>
      <c r="N1856" s="367">
        <v>14</v>
      </c>
      <c r="O1856" s="367"/>
      <c r="P1856" s="367">
        <v>55</v>
      </c>
      <c r="Q1856" s="367"/>
      <c r="R1856" s="367">
        <v>74</v>
      </c>
      <c r="S1856" s="367">
        <v>4</v>
      </c>
      <c r="T1856" s="367">
        <v>58</v>
      </c>
      <c r="U1856" s="367"/>
      <c r="V1856" s="367"/>
      <c r="W1856" s="367"/>
      <c r="X1856" s="367"/>
      <c r="Y1856" s="367"/>
      <c r="Z1856" s="367"/>
      <c r="AA1856" s="367"/>
    </row>
    <row r="1857" spans="1:29" ht="15" x14ac:dyDescent="0.25">
      <c r="A1857" s="365" t="s">
        <v>907</v>
      </c>
      <c r="H1857" s="366">
        <v>47</v>
      </c>
      <c r="J1857" s="367"/>
      <c r="K1857" s="367"/>
      <c r="L1857" s="367">
        <v>130</v>
      </c>
      <c r="M1857" s="367"/>
      <c r="N1857" s="367">
        <v>14</v>
      </c>
      <c r="O1857" s="367"/>
      <c r="P1857" s="367">
        <v>55</v>
      </c>
      <c r="Q1857" s="367"/>
      <c r="R1857" s="367">
        <v>110</v>
      </c>
      <c r="S1857" s="367">
        <v>4</v>
      </c>
      <c r="T1857" s="367">
        <v>58</v>
      </c>
      <c r="U1857" s="367"/>
      <c r="V1857" s="367"/>
      <c r="W1857" s="367"/>
      <c r="X1857" s="367"/>
      <c r="Y1857" s="367"/>
      <c r="Z1857" s="367"/>
      <c r="AA1857" s="367"/>
    </row>
    <row r="1858" spans="1:29" ht="15" x14ac:dyDescent="0.25">
      <c r="A1858" s="365" t="s">
        <v>907</v>
      </c>
      <c r="H1858" s="366">
        <v>47</v>
      </c>
      <c r="J1858" s="367"/>
      <c r="K1858" s="367"/>
      <c r="L1858" s="367">
        <v>130</v>
      </c>
      <c r="M1858" s="367">
        <v>1</v>
      </c>
      <c r="N1858" s="367">
        <v>14</v>
      </c>
      <c r="O1858" s="367"/>
      <c r="P1858" s="367">
        <v>55</v>
      </c>
      <c r="Q1858" s="367"/>
      <c r="R1858" s="367">
        <v>74</v>
      </c>
      <c r="S1858" s="367">
        <v>4</v>
      </c>
      <c r="T1858" s="367">
        <v>58</v>
      </c>
      <c r="U1858" s="367"/>
      <c r="V1858" s="367"/>
      <c r="W1858" s="367"/>
      <c r="X1858" s="367"/>
      <c r="Y1858" s="367"/>
      <c r="Z1858" s="367"/>
      <c r="AA1858" s="367"/>
    </row>
    <row r="1859" spans="1:29" ht="15" x14ac:dyDescent="0.25">
      <c r="A1859" s="365" t="s">
        <v>907</v>
      </c>
      <c r="H1859" s="366">
        <v>47</v>
      </c>
      <c r="J1859" s="367"/>
      <c r="K1859" s="367"/>
      <c r="L1859" s="367">
        <v>130</v>
      </c>
      <c r="M1859" s="367"/>
      <c r="N1859" s="367">
        <v>14</v>
      </c>
      <c r="O1859" s="367"/>
      <c r="P1859" s="367">
        <v>55</v>
      </c>
      <c r="Q1859" s="367"/>
      <c r="R1859" s="367">
        <v>110</v>
      </c>
      <c r="S1859" s="367">
        <v>4</v>
      </c>
      <c r="T1859" s="367">
        <v>58</v>
      </c>
      <c r="U1859" s="367"/>
      <c r="V1859" s="367"/>
      <c r="W1859" s="367"/>
      <c r="X1859" s="367"/>
      <c r="Y1859" s="367"/>
      <c r="Z1859" s="367"/>
      <c r="AA1859" s="367"/>
    </row>
    <row r="1860" spans="1:29" ht="15" x14ac:dyDescent="0.25">
      <c r="A1860" s="365" t="s">
        <v>908</v>
      </c>
      <c r="H1860" s="366">
        <v>47</v>
      </c>
      <c r="J1860" s="367"/>
      <c r="K1860" s="367"/>
      <c r="L1860" s="367">
        <v>272</v>
      </c>
      <c r="M1860" s="367">
        <v>6.8</v>
      </c>
      <c r="N1860" s="367">
        <v>32</v>
      </c>
      <c r="O1860" s="367"/>
      <c r="P1860" s="367">
        <v>69</v>
      </c>
      <c r="Q1860" s="367"/>
      <c r="R1860" s="367">
        <v>100</v>
      </c>
      <c r="S1860" s="367">
        <v>10</v>
      </c>
      <c r="T1860" s="367">
        <v>490</v>
      </c>
      <c r="U1860" s="367"/>
      <c r="V1860" s="367"/>
      <c r="W1860" s="367"/>
      <c r="X1860" s="367"/>
      <c r="Y1860" s="367"/>
      <c r="Z1860" s="367"/>
      <c r="AA1860" s="367"/>
    </row>
    <row r="1861" spans="1:29" ht="15" x14ac:dyDescent="0.25">
      <c r="A1861" s="365" t="s">
        <v>909</v>
      </c>
      <c r="H1861" s="366">
        <v>47.2</v>
      </c>
      <c r="J1861" s="367"/>
      <c r="K1861" s="367"/>
      <c r="L1861" s="367">
        <v>202</v>
      </c>
      <c r="M1861" s="367">
        <v>4</v>
      </c>
      <c r="N1861" s="367">
        <v>11</v>
      </c>
      <c r="O1861" s="367"/>
      <c r="P1861" s="367">
        <v>64</v>
      </c>
      <c r="Q1861" s="367"/>
      <c r="R1861" s="367">
        <v>235</v>
      </c>
      <c r="S1861" s="367">
        <v>5.5</v>
      </c>
      <c r="T1861" s="367">
        <v>39</v>
      </c>
      <c r="U1861" s="367"/>
      <c r="V1861" s="367"/>
      <c r="W1861" s="367"/>
      <c r="X1861" s="367"/>
      <c r="Y1861" s="367"/>
      <c r="Z1861" s="367"/>
      <c r="AA1861" s="367"/>
    </row>
    <row r="1862" spans="1:29" ht="15" x14ac:dyDescent="0.25">
      <c r="A1862" s="365" t="s">
        <v>911</v>
      </c>
      <c r="H1862" s="366">
        <v>48</v>
      </c>
      <c r="J1862" s="367"/>
      <c r="K1862" s="367"/>
      <c r="L1862" s="367">
        <v>705</v>
      </c>
      <c r="M1862" s="367">
        <v>16</v>
      </c>
      <c r="N1862" s="367">
        <v>5</v>
      </c>
      <c r="O1862" s="367"/>
      <c r="P1862" s="367">
        <v>67</v>
      </c>
      <c r="Q1862" s="367"/>
      <c r="R1862" s="367">
        <v>543</v>
      </c>
      <c r="S1862" s="367">
        <v>3.2</v>
      </c>
      <c r="T1862" s="367">
        <v>464</v>
      </c>
      <c r="U1862" s="367"/>
      <c r="V1862" s="367"/>
      <c r="W1862" s="367"/>
      <c r="X1862" s="367"/>
      <c r="Y1862" s="367"/>
      <c r="Z1862" s="367"/>
      <c r="AA1862" s="367">
        <v>0.12</v>
      </c>
    </row>
    <row r="1863" spans="1:29" ht="15" x14ac:dyDescent="0.25">
      <c r="A1863" s="365" t="s">
        <v>912</v>
      </c>
      <c r="H1863" s="366">
        <v>49</v>
      </c>
      <c r="J1863" s="367"/>
      <c r="K1863" s="367"/>
      <c r="L1863" s="367">
        <v>34</v>
      </c>
      <c r="M1863" s="367">
        <v>3</v>
      </c>
      <c r="N1863" s="367">
        <v>6</v>
      </c>
      <c r="O1863" s="367"/>
      <c r="P1863" s="367"/>
      <c r="Q1863" s="367"/>
      <c r="R1863" s="367">
        <v>14</v>
      </c>
      <c r="S1863" s="367">
        <v>0.2</v>
      </c>
      <c r="T1863" s="367">
        <v>6</v>
      </c>
      <c r="U1863" s="367"/>
      <c r="V1863" s="367"/>
      <c r="W1863" s="367"/>
      <c r="X1863" s="367"/>
      <c r="Y1863" s="367"/>
      <c r="Z1863" s="367"/>
      <c r="AA1863" s="367"/>
      <c r="AB1863" s="367"/>
      <c r="AC1863" s="367"/>
    </row>
    <row r="1864" spans="1:29" ht="15" x14ac:dyDescent="0.25">
      <c r="A1864" s="365" t="s">
        <v>914</v>
      </c>
      <c r="H1864" s="366">
        <v>49</v>
      </c>
      <c r="J1864" s="367"/>
      <c r="K1864" s="367"/>
      <c r="L1864" s="367">
        <v>365</v>
      </c>
      <c r="M1864" s="367">
        <v>10</v>
      </c>
      <c r="N1864" s="367">
        <v>250</v>
      </c>
      <c r="O1864" s="367"/>
      <c r="P1864" s="367">
        <v>58</v>
      </c>
      <c r="Q1864" s="367"/>
      <c r="R1864" s="367">
        <v>433</v>
      </c>
      <c r="S1864" s="367">
        <v>0.8</v>
      </c>
      <c r="T1864" s="367">
        <v>844</v>
      </c>
      <c r="U1864" s="367"/>
      <c r="V1864" s="367"/>
      <c r="W1864" s="367"/>
      <c r="X1864" s="367"/>
      <c r="Y1864" s="367"/>
      <c r="Z1864" s="367"/>
      <c r="AA1864" s="367"/>
      <c r="AB1864" s="367"/>
      <c r="AC1864" s="367"/>
    </row>
    <row r="1865" spans="1:29" ht="15" x14ac:dyDescent="0.25">
      <c r="A1865" s="365" t="s">
        <v>915</v>
      </c>
      <c r="H1865" s="366">
        <v>50</v>
      </c>
      <c r="J1865" s="367"/>
      <c r="K1865" s="367"/>
      <c r="L1865" s="367">
        <v>84.8</v>
      </c>
      <c r="M1865" s="367"/>
      <c r="N1865" s="367">
        <v>2.1</v>
      </c>
      <c r="O1865" s="367"/>
      <c r="P1865" s="367">
        <v>37.25</v>
      </c>
      <c r="Q1865" s="367"/>
      <c r="R1865" s="367">
        <v>32</v>
      </c>
      <c r="S1865" s="367">
        <v>0.9</v>
      </c>
      <c r="T1865" s="367">
        <v>5</v>
      </c>
      <c r="U1865" s="367"/>
      <c r="V1865" s="367"/>
      <c r="W1865" s="367"/>
      <c r="X1865" s="367"/>
      <c r="Y1865" s="367"/>
      <c r="Z1865" s="367"/>
      <c r="AA1865" s="367">
        <v>0.01</v>
      </c>
      <c r="AB1865" s="367"/>
      <c r="AC1865" s="367"/>
    </row>
    <row r="1866" spans="1:29" ht="15" x14ac:dyDescent="0.25">
      <c r="A1866" s="365" t="s">
        <v>916</v>
      </c>
      <c r="H1866" s="366">
        <v>51</v>
      </c>
      <c r="J1866" s="367"/>
      <c r="K1866" s="367"/>
      <c r="L1866" s="367">
        <v>3606</v>
      </c>
      <c r="M1866" s="367">
        <v>47</v>
      </c>
      <c r="N1866" s="367">
        <v>415</v>
      </c>
      <c r="O1866" s="367"/>
      <c r="P1866" s="367">
        <v>13</v>
      </c>
      <c r="Q1866" s="367"/>
      <c r="R1866" s="367">
        <v>10400</v>
      </c>
      <c r="S1866" s="367">
        <v>0.6</v>
      </c>
      <c r="T1866" s="367"/>
      <c r="U1866" s="367"/>
      <c r="V1866" s="367"/>
      <c r="W1866" s="367"/>
      <c r="X1866" s="367"/>
      <c r="Y1866" s="367"/>
      <c r="Z1866" s="367"/>
      <c r="AA1866" s="367">
        <v>17.11</v>
      </c>
      <c r="AB1866" s="367"/>
      <c r="AC1866" s="367"/>
    </row>
    <row r="1867" spans="1:29" ht="15" x14ac:dyDescent="0.25">
      <c r="A1867" s="365" t="s">
        <v>917</v>
      </c>
      <c r="H1867" s="366">
        <v>51</v>
      </c>
      <c r="J1867" s="367"/>
      <c r="K1867" s="367"/>
      <c r="L1867" s="367">
        <v>380</v>
      </c>
      <c r="M1867" s="367">
        <v>5.6</v>
      </c>
      <c r="N1867" s="367">
        <v>20</v>
      </c>
      <c r="O1867" s="367"/>
      <c r="P1867" s="367">
        <v>85</v>
      </c>
      <c r="Q1867" s="367"/>
      <c r="R1867" s="367">
        <v>390</v>
      </c>
      <c r="S1867" s="367">
        <v>1.8</v>
      </c>
      <c r="T1867" s="367">
        <v>220</v>
      </c>
      <c r="U1867" s="367"/>
      <c r="V1867" s="367"/>
      <c r="W1867" s="367"/>
      <c r="X1867" s="367"/>
      <c r="Y1867" s="367"/>
      <c r="Z1867" s="367"/>
      <c r="AA1867" s="367"/>
      <c r="AB1867" s="367"/>
      <c r="AC1867" s="367"/>
    </row>
    <row r="1868" spans="1:29" ht="15" x14ac:dyDescent="0.25">
      <c r="A1868" s="365" t="s">
        <v>918</v>
      </c>
      <c r="H1868" s="366">
        <v>51</v>
      </c>
      <c r="J1868" s="367"/>
      <c r="K1868" s="367"/>
      <c r="L1868" s="367">
        <v>71.8</v>
      </c>
      <c r="M1868" s="367">
        <v>2.5</v>
      </c>
      <c r="N1868" s="367">
        <v>54.4</v>
      </c>
      <c r="O1868" s="367"/>
      <c r="P1868" s="367"/>
      <c r="Q1868" s="367"/>
      <c r="R1868" s="367">
        <v>29</v>
      </c>
      <c r="S1868" s="367">
        <v>1.74</v>
      </c>
      <c r="T1868" s="367"/>
      <c r="U1868" s="367"/>
      <c r="V1868" s="367"/>
      <c r="W1868" s="367"/>
      <c r="X1868" s="367"/>
      <c r="Y1868" s="367"/>
      <c r="Z1868" s="367"/>
      <c r="AA1868" s="367"/>
      <c r="AB1868" s="367"/>
      <c r="AC1868" s="367"/>
    </row>
    <row r="1869" spans="1:29" ht="15" x14ac:dyDescent="0.25">
      <c r="A1869" s="365" t="s">
        <v>920</v>
      </c>
      <c r="H1869" s="366">
        <v>53</v>
      </c>
      <c r="J1869" s="367"/>
      <c r="K1869" s="367"/>
      <c r="L1869" s="367">
        <v>320</v>
      </c>
      <c r="M1869" s="367">
        <v>12</v>
      </c>
      <c r="N1869" s="367">
        <v>23</v>
      </c>
      <c r="O1869" s="367"/>
      <c r="P1869" s="367">
        <v>134</v>
      </c>
      <c r="Q1869" s="367"/>
      <c r="R1869" s="367">
        <v>222</v>
      </c>
      <c r="S1869" s="367">
        <v>2</v>
      </c>
      <c r="T1869" s="367">
        <v>132</v>
      </c>
      <c r="U1869" s="367"/>
      <c r="V1869" s="367"/>
      <c r="W1869" s="367"/>
      <c r="X1869" s="367"/>
      <c r="Y1869" s="367"/>
      <c r="Z1869" s="367"/>
      <c r="AA1869" s="367"/>
      <c r="AB1869" s="367"/>
      <c r="AC1869" s="367"/>
    </row>
    <row r="1870" spans="1:29" ht="15" x14ac:dyDescent="0.25">
      <c r="A1870" s="365" t="s">
        <v>921</v>
      </c>
      <c r="H1870" s="366">
        <v>53</v>
      </c>
      <c r="J1870" s="367"/>
      <c r="K1870" s="367"/>
      <c r="L1870" s="367">
        <v>215</v>
      </c>
      <c r="M1870" s="367">
        <v>3</v>
      </c>
      <c r="N1870" s="367">
        <v>14</v>
      </c>
      <c r="O1870" s="367"/>
      <c r="P1870" s="367">
        <v>54</v>
      </c>
      <c r="Q1870" s="367"/>
      <c r="R1870" s="367">
        <v>60</v>
      </c>
      <c r="S1870" s="367">
        <v>17</v>
      </c>
      <c r="T1870" s="367">
        <v>341</v>
      </c>
      <c r="U1870" s="367"/>
      <c r="V1870" s="367"/>
      <c r="W1870" s="367"/>
      <c r="X1870" s="367"/>
      <c r="Y1870" s="367"/>
      <c r="Z1870" s="367"/>
      <c r="AA1870" s="367"/>
      <c r="AB1870" s="367"/>
      <c r="AC1870" s="367"/>
    </row>
    <row r="1871" spans="1:29" ht="15" x14ac:dyDescent="0.25">
      <c r="A1871" s="365" t="s">
        <v>650</v>
      </c>
      <c r="H1871" s="366">
        <v>52</v>
      </c>
      <c r="J1871" s="367"/>
      <c r="K1871" s="367"/>
      <c r="L1871" s="367">
        <v>1100</v>
      </c>
      <c r="M1871" s="367">
        <v>9.1</v>
      </c>
      <c r="N1871" s="367">
        <v>26</v>
      </c>
      <c r="O1871" s="367"/>
      <c r="P1871" s="367">
        <v>30</v>
      </c>
      <c r="Q1871" s="367"/>
      <c r="R1871" s="367">
        <v>1320</v>
      </c>
      <c r="S1871" s="367">
        <v>1.1000000000000001</v>
      </c>
      <c r="T1871" s="367">
        <v>260</v>
      </c>
      <c r="U1871" s="367"/>
      <c r="V1871" s="367"/>
      <c r="W1871" s="367"/>
      <c r="X1871" s="367"/>
      <c r="Y1871" s="367"/>
      <c r="Z1871" s="367"/>
      <c r="AA1871" s="367"/>
      <c r="AB1871" s="367"/>
      <c r="AC1871" s="367">
        <v>0.08</v>
      </c>
    </row>
    <row r="1872" spans="1:29" ht="15" x14ac:dyDescent="0.25">
      <c r="A1872" s="365" t="s">
        <v>925</v>
      </c>
      <c r="H1872" s="366">
        <v>55</v>
      </c>
      <c r="J1872" s="367"/>
      <c r="K1872" s="367"/>
      <c r="L1872" s="367">
        <v>83</v>
      </c>
      <c r="M1872" s="367">
        <v>0.7</v>
      </c>
      <c r="N1872" s="367">
        <v>4</v>
      </c>
      <c r="O1872" s="367"/>
      <c r="P1872" s="367">
        <v>54</v>
      </c>
      <c r="Q1872" s="367"/>
      <c r="R1872" s="367">
        <v>12</v>
      </c>
      <c r="S1872" s="367">
        <v>3.3</v>
      </c>
      <c r="T1872" s="367">
        <v>110</v>
      </c>
      <c r="U1872" s="367"/>
      <c r="V1872" s="367"/>
      <c r="W1872" s="367"/>
      <c r="X1872" s="367"/>
      <c r="Y1872" s="367"/>
      <c r="Z1872" s="367"/>
      <c r="AA1872" s="367"/>
      <c r="AB1872" s="367"/>
      <c r="AC1872" s="367"/>
    </row>
    <row r="1873" spans="1:29" ht="15" x14ac:dyDescent="0.25">
      <c r="A1873" s="365" t="s">
        <v>926</v>
      </c>
      <c r="H1873" s="366">
        <v>55</v>
      </c>
      <c r="J1873" s="367"/>
      <c r="K1873" s="367"/>
      <c r="L1873" s="367">
        <v>35</v>
      </c>
      <c r="M1873" s="367">
        <v>1.5</v>
      </c>
      <c r="N1873" s="367">
        <v>1</v>
      </c>
      <c r="O1873" s="367"/>
      <c r="P1873" s="367">
        <v>87</v>
      </c>
      <c r="Q1873" s="367"/>
      <c r="R1873" s="367">
        <v>3</v>
      </c>
      <c r="S1873" s="367">
        <v>0.5</v>
      </c>
      <c r="T1873" s="367">
        <v>2</v>
      </c>
      <c r="U1873" s="367"/>
      <c r="V1873" s="367"/>
      <c r="W1873" s="367"/>
      <c r="X1873" s="367"/>
      <c r="Y1873" s="367"/>
      <c r="Z1873" s="367"/>
      <c r="AA1873" s="367"/>
      <c r="AB1873" s="367"/>
      <c r="AC1873" s="367"/>
    </row>
    <row r="1874" spans="1:29" ht="15" x14ac:dyDescent="0.25">
      <c r="A1874" s="365" t="s">
        <v>927</v>
      </c>
      <c r="H1874" s="366">
        <v>56</v>
      </c>
      <c r="J1874" s="367"/>
      <c r="K1874" s="367"/>
      <c r="L1874" s="367">
        <v>96</v>
      </c>
      <c r="M1874" s="367"/>
      <c r="N1874" s="367">
        <v>3</v>
      </c>
      <c r="O1874" s="367"/>
      <c r="P1874" s="367">
        <v>27</v>
      </c>
      <c r="Q1874" s="367"/>
      <c r="R1874" s="367">
        <v>96</v>
      </c>
      <c r="S1874" s="367">
        <v>6.1</v>
      </c>
      <c r="T1874" s="367">
        <v>34</v>
      </c>
      <c r="U1874" s="367"/>
      <c r="V1874" s="367"/>
      <c r="W1874" s="367"/>
      <c r="X1874" s="367"/>
      <c r="Y1874" s="367"/>
      <c r="Z1874" s="367"/>
      <c r="AA1874" s="367">
        <v>7.0000000000000007E-2</v>
      </c>
      <c r="AB1874" s="367"/>
      <c r="AC1874" s="367"/>
    </row>
    <row r="1875" spans="1:29" ht="15" x14ac:dyDescent="0.25">
      <c r="A1875" s="365" t="s">
        <v>928</v>
      </c>
      <c r="H1875" s="366">
        <v>56</v>
      </c>
      <c r="J1875" s="367"/>
      <c r="K1875" s="367"/>
      <c r="L1875" s="367">
        <v>400</v>
      </c>
      <c r="M1875" s="367">
        <v>8</v>
      </c>
      <c r="N1875" s="367">
        <v>76</v>
      </c>
      <c r="O1875" s="367"/>
      <c r="P1875" s="367">
        <v>22</v>
      </c>
      <c r="Q1875" s="367"/>
      <c r="R1875" s="367">
        <v>160</v>
      </c>
      <c r="S1875" s="367">
        <v>0.1</v>
      </c>
      <c r="T1875" s="367">
        <v>766</v>
      </c>
      <c r="U1875" s="367"/>
      <c r="V1875" s="367"/>
      <c r="W1875" s="367"/>
      <c r="X1875" s="367"/>
      <c r="Y1875" s="367"/>
      <c r="Z1875" s="367"/>
      <c r="AA1875" s="367"/>
      <c r="AB1875" s="367"/>
      <c r="AC1875" s="367"/>
    </row>
    <row r="1876" spans="1:29" ht="15" x14ac:dyDescent="0.25">
      <c r="A1876" s="365" t="s">
        <v>930</v>
      </c>
      <c r="H1876" s="366">
        <v>57.2</v>
      </c>
      <c r="J1876" s="367"/>
      <c r="K1876" s="367"/>
      <c r="L1876" s="367">
        <v>400</v>
      </c>
      <c r="M1876" s="367">
        <v>21</v>
      </c>
      <c r="N1876" s="367">
        <v>11</v>
      </c>
      <c r="O1876" s="367"/>
      <c r="P1876" s="367">
        <v>98.7</v>
      </c>
      <c r="Q1876" s="367"/>
      <c r="R1876" s="367">
        <v>579</v>
      </c>
      <c r="S1876" s="367">
        <v>8.1999999999999993</v>
      </c>
      <c r="T1876" s="367"/>
      <c r="U1876" s="367"/>
      <c r="V1876" s="367"/>
      <c r="W1876" s="367"/>
      <c r="X1876" s="367"/>
      <c r="Y1876" s="367"/>
      <c r="Z1876" s="367"/>
      <c r="AA1876" s="367"/>
      <c r="AB1876" s="367"/>
      <c r="AC1876" s="367"/>
    </row>
    <row r="1877" spans="1:29" ht="15" x14ac:dyDescent="0.25">
      <c r="A1877" s="365" t="s">
        <v>932</v>
      </c>
      <c r="H1877" s="366">
        <v>58</v>
      </c>
      <c r="J1877" s="367"/>
      <c r="K1877" s="367"/>
      <c r="L1877" s="367">
        <v>20300</v>
      </c>
      <c r="M1877" s="367"/>
      <c r="N1877" s="367">
        <v>16</v>
      </c>
      <c r="O1877" s="367"/>
      <c r="P1877" s="367"/>
      <c r="Q1877" s="367"/>
      <c r="R1877" s="367">
        <v>23500</v>
      </c>
      <c r="S1877" s="367"/>
      <c r="T1877" s="367">
        <v>8520</v>
      </c>
      <c r="U1877" s="367"/>
      <c r="V1877" s="367"/>
      <c r="W1877" s="367"/>
      <c r="X1877" s="367"/>
      <c r="Y1877" s="367"/>
      <c r="Z1877" s="367"/>
      <c r="AA1877" s="367"/>
      <c r="AB1877" s="367"/>
      <c r="AC1877" s="367"/>
    </row>
    <row r="1878" spans="1:29" ht="15" x14ac:dyDescent="0.25">
      <c r="A1878" s="365" t="s">
        <v>933</v>
      </c>
      <c r="H1878" s="366">
        <v>59</v>
      </c>
      <c r="J1878" s="367"/>
      <c r="K1878" s="367"/>
      <c r="L1878" s="367">
        <v>62</v>
      </c>
      <c r="M1878" s="367">
        <v>3</v>
      </c>
      <c r="N1878" s="367">
        <v>44</v>
      </c>
      <c r="O1878" s="367"/>
      <c r="P1878" s="367"/>
      <c r="Q1878" s="367"/>
      <c r="R1878" s="367">
        <v>51</v>
      </c>
      <c r="S1878" s="367">
        <v>0.4</v>
      </c>
      <c r="T1878" s="367">
        <v>65</v>
      </c>
      <c r="U1878" s="367"/>
      <c r="V1878" s="367"/>
      <c r="W1878" s="367"/>
      <c r="X1878" s="367"/>
      <c r="Y1878" s="367"/>
      <c r="Z1878" s="367"/>
      <c r="AA1878" s="367"/>
      <c r="AB1878" s="367"/>
      <c r="AC1878" s="367"/>
    </row>
    <row r="1879" spans="1:29" ht="15" x14ac:dyDescent="0.25">
      <c r="A1879" s="365" t="s">
        <v>934</v>
      </c>
      <c r="H1879" s="366">
        <v>60</v>
      </c>
      <c r="J1879" s="367"/>
      <c r="K1879" s="367"/>
      <c r="L1879" s="367">
        <v>1380</v>
      </c>
      <c r="M1879" s="367">
        <v>77</v>
      </c>
      <c r="N1879" s="367">
        <v>245</v>
      </c>
      <c r="O1879" s="367"/>
      <c r="P1879" s="367">
        <v>66</v>
      </c>
      <c r="Q1879" s="367"/>
      <c r="R1879" s="367">
        <v>2240</v>
      </c>
      <c r="S1879" s="367">
        <v>3.5</v>
      </c>
      <c r="T1879" s="367">
        <v>171</v>
      </c>
      <c r="U1879" s="367"/>
      <c r="V1879" s="367"/>
      <c r="W1879" s="367"/>
      <c r="X1879" s="367"/>
      <c r="Y1879" s="367"/>
      <c r="Z1879" s="367"/>
      <c r="AA1879" s="367"/>
      <c r="AB1879" s="367"/>
      <c r="AC1879" s="367"/>
    </row>
    <row r="1880" spans="1:29" ht="15" x14ac:dyDescent="0.25">
      <c r="A1880" s="365" t="s">
        <v>936</v>
      </c>
      <c r="H1880" s="366">
        <v>61.9</v>
      </c>
      <c r="J1880" s="367"/>
      <c r="K1880" s="367"/>
      <c r="L1880" s="367">
        <v>9740</v>
      </c>
      <c r="M1880" s="367">
        <v>513</v>
      </c>
      <c r="N1880" s="367">
        <v>5.6</v>
      </c>
      <c r="O1880" s="367"/>
      <c r="P1880" s="367">
        <v>89</v>
      </c>
      <c r="Q1880" s="367"/>
      <c r="R1880" s="367">
        <v>11210</v>
      </c>
      <c r="S1880" s="367"/>
      <c r="T1880" s="367">
        <v>170</v>
      </c>
      <c r="U1880" s="367"/>
      <c r="V1880" s="367"/>
      <c r="W1880" s="367"/>
      <c r="X1880" s="367"/>
      <c r="Y1880" s="367"/>
      <c r="Z1880" s="367"/>
      <c r="AA1880" s="367">
        <v>1.1000000000000001</v>
      </c>
      <c r="AB1880" s="367"/>
      <c r="AC1880" s="367"/>
    </row>
    <row r="1881" spans="1:29" ht="15" x14ac:dyDescent="0.25">
      <c r="A1881" s="365" t="s">
        <v>937</v>
      </c>
      <c r="H1881" s="366">
        <v>63</v>
      </c>
      <c r="J1881" s="367"/>
      <c r="K1881" s="367"/>
      <c r="L1881" s="367">
        <v>347</v>
      </c>
      <c r="M1881" s="367">
        <v>11</v>
      </c>
      <c r="N1881" s="367">
        <v>24</v>
      </c>
      <c r="O1881" s="367"/>
      <c r="P1881" s="367">
        <v>43</v>
      </c>
      <c r="Q1881" s="367"/>
      <c r="R1881" s="367">
        <v>178</v>
      </c>
      <c r="S1881" s="367">
        <v>4.2</v>
      </c>
      <c r="T1881" s="367">
        <v>596</v>
      </c>
      <c r="U1881" s="367"/>
      <c r="V1881" s="367"/>
      <c r="W1881" s="367"/>
      <c r="X1881" s="367"/>
      <c r="Y1881" s="367"/>
      <c r="Z1881" s="367"/>
      <c r="AA1881" s="367"/>
      <c r="AB1881" s="367"/>
      <c r="AC1881" s="367"/>
    </row>
    <row r="1882" spans="1:29" ht="15" x14ac:dyDescent="0.25">
      <c r="A1882" s="365" t="s">
        <v>939</v>
      </c>
      <c r="H1882" s="366">
        <v>66</v>
      </c>
      <c r="J1882" s="367"/>
      <c r="K1882" s="367"/>
      <c r="L1882" s="367">
        <v>404</v>
      </c>
      <c r="M1882" s="367">
        <v>10</v>
      </c>
      <c r="N1882" s="367">
        <v>13</v>
      </c>
      <c r="O1882" s="367"/>
      <c r="P1882" s="367">
        <v>77</v>
      </c>
      <c r="Q1882" s="367"/>
      <c r="R1882" s="367">
        <v>125</v>
      </c>
      <c r="S1882" s="367">
        <v>5.2</v>
      </c>
      <c r="T1882" s="367">
        <v>97</v>
      </c>
      <c r="U1882" s="367"/>
      <c r="V1882" s="367"/>
      <c r="W1882" s="367"/>
      <c r="X1882" s="367"/>
      <c r="Y1882" s="367"/>
      <c r="Z1882" s="367"/>
      <c r="AA1882" s="367">
        <v>0.18</v>
      </c>
      <c r="AB1882" s="367"/>
      <c r="AC1882" s="367"/>
    </row>
    <row r="1883" spans="1:29" ht="15" x14ac:dyDescent="0.25">
      <c r="A1883" s="365" t="s">
        <v>940</v>
      </c>
      <c r="H1883" s="366">
        <v>73</v>
      </c>
      <c r="J1883" s="367"/>
      <c r="K1883" s="367"/>
      <c r="L1883" s="367">
        <v>405</v>
      </c>
      <c r="M1883" s="367">
        <v>8</v>
      </c>
      <c r="N1883" s="367">
        <v>37</v>
      </c>
      <c r="O1883" s="367"/>
      <c r="P1883" s="367">
        <v>57</v>
      </c>
      <c r="Q1883" s="367"/>
      <c r="R1883" s="367">
        <v>462</v>
      </c>
      <c r="S1883" s="367">
        <v>2.2000000000000002</v>
      </c>
      <c r="T1883" s="367">
        <v>178</v>
      </c>
      <c r="U1883" s="367"/>
      <c r="V1883" s="367"/>
      <c r="W1883" s="367"/>
      <c r="X1883" s="367"/>
      <c r="Y1883" s="367"/>
      <c r="Z1883" s="367"/>
      <c r="AA1883" s="367">
        <v>0.79</v>
      </c>
      <c r="AB1883" s="367"/>
      <c r="AC1883" s="367"/>
    </row>
    <row r="1884" spans="1:29" ht="15" x14ac:dyDescent="0.25">
      <c r="A1884" s="365" t="s">
        <v>511</v>
      </c>
      <c r="H1884" s="366">
        <v>73</v>
      </c>
      <c r="J1884" s="367"/>
      <c r="K1884" s="367"/>
      <c r="L1884" s="367">
        <v>410</v>
      </c>
      <c r="M1884" s="367">
        <v>7.6</v>
      </c>
      <c r="N1884" s="367">
        <v>37</v>
      </c>
      <c r="O1884" s="367"/>
      <c r="P1884" s="367">
        <v>60</v>
      </c>
      <c r="Q1884" s="367"/>
      <c r="R1884" s="367">
        <v>460</v>
      </c>
      <c r="S1884" s="367">
        <v>2.2000000000000002</v>
      </c>
      <c r="T1884" s="367">
        <v>340</v>
      </c>
      <c r="U1884" s="367"/>
      <c r="V1884" s="367"/>
      <c r="W1884" s="367"/>
      <c r="X1884" s="367"/>
      <c r="Y1884" s="367"/>
      <c r="Z1884" s="367"/>
      <c r="AA1884" s="367"/>
      <c r="AB1884" s="367"/>
      <c r="AC1884" s="367">
        <v>-0.06</v>
      </c>
    </row>
    <row r="1885" spans="1:29" ht="15" x14ac:dyDescent="0.25">
      <c r="A1885" s="365" t="s">
        <v>941</v>
      </c>
      <c r="H1885" s="366">
        <v>73</v>
      </c>
      <c r="J1885" s="367"/>
      <c r="K1885" s="367"/>
      <c r="L1885" s="367">
        <v>65</v>
      </c>
      <c r="M1885" s="367">
        <v>5</v>
      </c>
      <c r="N1885" s="367">
        <v>40</v>
      </c>
      <c r="O1885" s="367"/>
      <c r="P1885" s="367"/>
      <c r="Q1885" s="367"/>
      <c r="R1885" s="367">
        <v>46</v>
      </c>
      <c r="S1885" s="367">
        <v>0.2</v>
      </c>
      <c r="T1885" s="367">
        <v>19</v>
      </c>
      <c r="U1885" s="367"/>
      <c r="V1885" s="367"/>
      <c r="W1885" s="367"/>
      <c r="X1885" s="367"/>
      <c r="Y1885" s="367"/>
      <c r="Z1885" s="367"/>
      <c r="AA1885" s="367"/>
      <c r="AB1885" s="367"/>
      <c r="AC1885" s="367"/>
    </row>
    <row r="1886" spans="1:29" ht="15" x14ac:dyDescent="0.25">
      <c r="A1886" s="365" t="s">
        <v>942</v>
      </c>
      <c r="H1886" s="366">
        <v>77</v>
      </c>
      <c r="J1886" s="367"/>
      <c r="K1886" s="367"/>
      <c r="L1886" s="367">
        <v>978</v>
      </c>
      <c r="M1886" s="367">
        <v>53</v>
      </c>
      <c r="N1886" s="367">
        <v>138</v>
      </c>
      <c r="O1886" s="367"/>
      <c r="P1886" s="367">
        <v>25</v>
      </c>
      <c r="Q1886" s="367"/>
      <c r="R1886" s="367">
        <v>1530</v>
      </c>
      <c r="S1886" s="367">
        <v>2</v>
      </c>
      <c r="T1886" s="367">
        <v>208</v>
      </c>
      <c r="U1886" s="367"/>
      <c r="V1886" s="367"/>
      <c r="W1886" s="367"/>
      <c r="X1886" s="367"/>
      <c r="Y1886" s="367"/>
      <c r="Z1886" s="367"/>
      <c r="AA1886" s="367"/>
      <c r="AB1886" s="367"/>
      <c r="AC1886" s="367"/>
    </row>
    <row r="1887" spans="1:29" ht="15" x14ac:dyDescent="0.25">
      <c r="A1887" s="365" t="s">
        <v>943</v>
      </c>
      <c r="H1887" s="366">
        <v>81</v>
      </c>
      <c r="J1887" s="367"/>
      <c r="K1887" s="367"/>
      <c r="L1887" s="367">
        <v>208</v>
      </c>
      <c r="M1887" s="367">
        <v>7</v>
      </c>
      <c r="N1887" s="367">
        <v>11</v>
      </c>
      <c r="O1887" s="367"/>
      <c r="P1887" s="367">
        <v>50</v>
      </c>
      <c r="Q1887" s="367"/>
      <c r="R1887" s="367">
        <v>65</v>
      </c>
      <c r="S1887" s="367">
        <v>5</v>
      </c>
      <c r="T1887" s="367">
        <v>315</v>
      </c>
      <c r="U1887" s="367"/>
      <c r="V1887" s="367"/>
      <c r="W1887" s="367"/>
      <c r="X1887" s="367"/>
      <c r="Y1887" s="367"/>
      <c r="Z1887" s="367"/>
      <c r="AA1887" s="367">
        <v>0.38</v>
      </c>
      <c r="AB1887" s="367"/>
      <c r="AC1887" s="367"/>
    </row>
    <row r="1888" spans="1:29" ht="15" x14ac:dyDescent="0.25">
      <c r="A1888" s="365" t="s">
        <v>944</v>
      </c>
      <c r="H1888" s="366">
        <v>81</v>
      </c>
      <c r="J1888" s="367"/>
      <c r="K1888" s="367"/>
      <c r="L1888" s="367">
        <v>170</v>
      </c>
      <c r="M1888" s="367">
        <v>25</v>
      </c>
      <c r="N1888" s="367">
        <v>31</v>
      </c>
      <c r="O1888" s="367"/>
      <c r="P1888" s="367">
        <v>55</v>
      </c>
      <c r="Q1888" s="367"/>
      <c r="R1888" s="367">
        <v>34</v>
      </c>
      <c r="S1888" s="367">
        <v>0.7</v>
      </c>
      <c r="T1888" s="367"/>
      <c r="U1888" s="367"/>
      <c r="V1888" s="367"/>
      <c r="W1888" s="367"/>
      <c r="X1888" s="367"/>
      <c r="Y1888" s="367"/>
      <c r="Z1888" s="367"/>
      <c r="AA1888" s="367">
        <v>0.56999999999999995</v>
      </c>
      <c r="AB1888" s="367"/>
      <c r="AC1888" s="367"/>
    </row>
    <row r="1889" spans="1:29" ht="15" x14ac:dyDescent="0.25">
      <c r="A1889" s="365" t="s">
        <v>945</v>
      </c>
      <c r="H1889" s="366">
        <v>82</v>
      </c>
      <c r="J1889" s="367"/>
      <c r="K1889" s="367"/>
      <c r="L1889" s="367">
        <v>888</v>
      </c>
      <c r="M1889" s="367">
        <v>33</v>
      </c>
      <c r="N1889" s="367">
        <v>107</v>
      </c>
      <c r="O1889" s="367"/>
      <c r="P1889" s="367">
        <v>79</v>
      </c>
      <c r="Q1889" s="367"/>
      <c r="R1889" s="367">
        <v>1360</v>
      </c>
      <c r="S1889" s="367">
        <v>5</v>
      </c>
      <c r="T1889" s="367">
        <v>225</v>
      </c>
      <c r="U1889" s="367"/>
      <c r="V1889" s="367"/>
      <c r="W1889" s="367"/>
      <c r="X1889" s="367"/>
      <c r="Y1889" s="367"/>
      <c r="Z1889" s="367"/>
      <c r="AA1889" s="367"/>
      <c r="AB1889" s="367"/>
      <c r="AC1889" s="367"/>
    </row>
    <row r="1890" spans="1:29" ht="15" x14ac:dyDescent="0.25">
      <c r="A1890" s="365" t="s">
        <v>947</v>
      </c>
      <c r="H1890" s="366">
        <v>84</v>
      </c>
      <c r="J1890" s="367"/>
      <c r="K1890" s="367"/>
      <c r="L1890" s="367">
        <v>173</v>
      </c>
      <c r="M1890" s="367">
        <v>7</v>
      </c>
      <c r="N1890" s="367">
        <v>10</v>
      </c>
      <c r="O1890" s="367"/>
      <c r="P1890" s="367">
        <v>51</v>
      </c>
      <c r="Q1890" s="367"/>
      <c r="R1890" s="367">
        <v>56</v>
      </c>
      <c r="S1890" s="367">
        <v>5.5</v>
      </c>
      <c r="T1890" s="367">
        <v>281</v>
      </c>
      <c r="U1890" s="367"/>
      <c r="V1890" s="367"/>
      <c r="W1890" s="367"/>
      <c r="X1890" s="367"/>
      <c r="Y1890" s="367"/>
      <c r="Z1890" s="367"/>
      <c r="AA1890" s="367">
        <v>0.28999999999999998</v>
      </c>
      <c r="AB1890" s="367"/>
      <c r="AC1890" s="367"/>
    </row>
    <row r="1891" spans="1:29" ht="15" x14ac:dyDescent="0.25">
      <c r="A1891" s="365" t="s">
        <v>948</v>
      </c>
      <c r="H1891" s="366">
        <v>84</v>
      </c>
      <c r="J1891" s="367"/>
      <c r="K1891" s="367"/>
      <c r="L1891" s="367">
        <v>204</v>
      </c>
      <c r="M1891" s="367">
        <v>11</v>
      </c>
      <c r="N1891" s="367">
        <v>32</v>
      </c>
      <c r="O1891" s="367"/>
      <c r="P1891" s="367">
        <v>74</v>
      </c>
      <c r="Q1891" s="367"/>
      <c r="R1891" s="367">
        <v>67</v>
      </c>
      <c r="S1891" s="367">
        <v>4.4000000000000004</v>
      </c>
      <c r="T1891" s="367">
        <v>235</v>
      </c>
      <c r="U1891" s="367"/>
      <c r="V1891" s="367"/>
      <c r="W1891" s="367"/>
      <c r="X1891" s="367"/>
      <c r="Y1891" s="367"/>
      <c r="Z1891" s="367"/>
      <c r="AA1891" s="367">
        <v>0.74</v>
      </c>
      <c r="AB1891" s="367"/>
      <c r="AC1891" s="367"/>
    </row>
    <row r="1892" spans="1:29" ht="15" x14ac:dyDescent="0.25">
      <c r="A1892" s="365" t="s">
        <v>949</v>
      </c>
      <c r="H1892" s="366">
        <v>86</v>
      </c>
      <c r="J1892" s="367"/>
      <c r="K1892" s="367"/>
      <c r="L1892" s="367">
        <v>256</v>
      </c>
      <c r="M1892" s="367">
        <v>6</v>
      </c>
      <c r="N1892" s="367">
        <v>16</v>
      </c>
      <c r="O1892" s="367"/>
      <c r="P1892" s="367">
        <v>102</v>
      </c>
      <c r="Q1892" s="367"/>
      <c r="R1892" s="367">
        <v>194</v>
      </c>
      <c r="S1892" s="367">
        <v>6.6</v>
      </c>
      <c r="T1892" s="367">
        <v>145</v>
      </c>
      <c r="U1892" s="367"/>
      <c r="V1892" s="367"/>
      <c r="W1892" s="367"/>
      <c r="X1892" s="367"/>
      <c r="Y1892" s="367"/>
      <c r="Z1892" s="367"/>
      <c r="AA1892" s="367">
        <v>0.24</v>
      </c>
      <c r="AB1892" s="367"/>
      <c r="AC1892" s="367"/>
    </row>
    <row r="1893" spans="1:29" ht="15" x14ac:dyDescent="0.25">
      <c r="A1893" s="365" t="s">
        <v>952</v>
      </c>
      <c r="H1893" s="366">
        <v>94</v>
      </c>
      <c r="J1893" s="367"/>
      <c r="K1893" s="367"/>
      <c r="L1893" s="367">
        <v>450</v>
      </c>
      <c r="M1893" s="367">
        <v>13</v>
      </c>
      <c r="N1893" s="367">
        <v>39</v>
      </c>
      <c r="O1893" s="367"/>
      <c r="P1893" s="367">
        <v>98</v>
      </c>
      <c r="Q1893" s="367"/>
      <c r="R1893" s="367">
        <v>545</v>
      </c>
      <c r="S1893" s="367">
        <v>2.6</v>
      </c>
      <c r="T1893" s="367">
        <v>370</v>
      </c>
      <c r="U1893" s="367"/>
      <c r="V1893" s="367"/>
      <c r="W1893" s="367"/>
      <c r="X1893" s="367"/>
      <c r="Y1893" s="367"/>
      <c r="Z1893" s="367"/>
      <c r="AA1893" s="367"/>
      <c r="AB1893" s="367"/>
      <c r="AC1893" s="367"/>
    </row>
    <row r="1894" spans="1:29" ht="15" x14ac:dyDescent="0.25">
      <c r="A1894" s="365" t="s">
        <v>953</v>
      </c>
      <c r="H1894" s="366">
        <v>100</v>
      </c>
      <c r="J1894" s="367"/>
      <c r="K1894" s="367"/>
      <c r="L1894" s="367">
        <v>222</v>
      </c>
      <c r="M1894" s="367">
        <v>10</v>
      </c>
      <c r="N1894" s="367">
        <v>4</v>
      </c>
      <c r="O1894" s="367"/>
      <c r="P1894" s="367">
        <v>139</v>
      </c>
      <c r="Q1894" s="367"/>
      <c r="R1894" s="367">
        <v>219</v>
      </c>
      <c r="S1894" s="367">
        <v>12.3</v>
      </c>
      <c r="T1894" s="367">
        <v>12</v>
      </c>
      <c r="U1894" s="367"/>
      <c r="V1894" s="367"/>
      <c r="W1894" s="367"/>
      <c r="X1894" s="367"/>
      <c r="Y1894" s="367"/>
      <c r="Z1894" s="367"/>
      <c r="AA1894" s="367"/>
      <c r="AB1894" s="367"/>
      <c r="AC1894" s="367"/>
    </row>
    <row r="1895" spans="1:29" ht="15" x14ac:dyDescent="0.25">
      <c r="A1895" s="365" t="s">
        <v>954</v>
      </c>
      <c r="H1895" s="366">
        <v>105</v>
      </c>
      <c r="J1895" s="367"/>
      <c r="K1895" s="367"/>
      <c r="L1895" s="367">
        <v>10600</v>
      </c>
      <c r="M1895" s="367">
        <v>1250</v>
      </c>
      <c r="N1895" s="367">
        <v>1130</v>
      </c>
      <c r="O1895" s="367"/>
      <c r="P1895" s="367">
        <v>120</v>
      </c>
      <c r="Q1895" s="367"/>
      <c r="R1895" s="367">
        <v>19700</v>
      </c>
      <c r="S1895" s="367">
        <v>1</v>
      </c>
      <c r="T1895" s="367">
        <v>621</v>
      </c>
      <c r="U1895" s="367"/>
      <c r="V1895" s="367"/>
      <c r="W1895" s="367"/>
      <c r="X1895" s="367"/>
      <c r="Y1895" s="367"/>
      <c r="Z1895" s="367"/>
      <c r="AA1895" s="367"/>
      <c r="AB1895" s="367"/>
      <c r="AC1895" s="367"/>
    </row>
    <row r="1896" spans="1:29" ht="15" x14ac:dyDescent="0.25">
      <c r="A1896" s="365" t="s">
        <v>957</v>
      </c>
      <c r="H1896" s="366">
        <v>160</v>
      </c>
      <c r="J1896" s="367"/>
      <c r="K1896" s="367"/>
      <c r="L1896" s="367">
        <v>339</v>
      </c>
      <c r="M1896" s="367">
        <v>16.399999999999999</v>
      </c>
      <c r="N1896" s="367">
        <v>19</v>
      </c>
      <c r="O1896" s="367"/>
      <c r="P1896" s="367">
        <v>179</v>
      </c>
      <c r="Q1896" s="367"/>
      <c r="R1896" s="367">
        <v>222</v>
      </c>
      <c r="S1896" s="367">
        <v>6.7</v>
      </c>
      <c r="T1896" s="367">
        <v>330</v>
      </c>
      <c r="U1896" s="367"/>
      <c r="V1896" s="367"/>
      <c r="W1896" s="367"/>
      <c r="X1896" s="367"/>
      <c r="Y1896" s="367"/>
      <c r="Z1896" s="367"/>
      <c r="AA1896" s="367"/>
      <c r="AB1896" s="367"/>
      <c r="AC1896" s="367"/>
    </row>
    <row r="1897" spans="1:29" ht="15" x14ac:dyDescent="0.25">
      <c r="A1897" s="365" t="s">
        <v>651</v>
      </c>
      <c r="H1897" s="366">
        <v>85</v>
      </c>
      <c r="J1897" s="367"/>
      <c r="K1897" s="367"/>
      <c r="L1897" s="367">
        <v>1310</v>
      </c>
      <c r="M1897" s="367">
        <v>41</v>
      </c>
      <c r="N1897" s="367">
        <v>19</v>
      </c>
      <c r="O1897" s="367"/>
      <c r="P1897" s="367">
        <v>140</v>
      </c>
      <c r="Q1897" s="367"/>
      <c r="R1897" s="367">
        <v>782</v>
      </c>
      <c r="S1897" s="367">
        <v>0.8</v>
      </c>
      <c r="T1897" s="367">
        <v>1630</v>
      </c>
      <c r="U1897" s="367"/>
      <c r="V1897" s="367"/>
      <c r="W1897" s="367"/>
      <c r="X1897" s="367"/>
      <c r="Y1897" s="367"/>
      <c r="Z1897" s="367"/>
      <c r="AA1897" s="367"/>
      <c r="AB1897" s="367"/>
      <c r="AC1897" s="367">
        <v>0.38</v>
      </c>
    </row>
    <row r="1898" spans="1:29" ht="15" x14ac:dyDescent="0.25">
      <c r="A1898" s="365" t="s">
        <v>959</v>
      </c>
      <c r="H1898" s="366">
        <v>168</v>
      </c>
      <c r="J1898" s="367"/>
      <c r="K1898" s="367"/>
      <c r="L1898" s="367">
        <v>3600</v>
      </c>
      <c r="M1898" s="367">
        <v>240</v>
      </c>
      <c r="N1898" s="367">
        <v>860</v>
      </c>
      <c r="O1898" s="367"/>
      <c r="P1898" s="367">
        <v>85</v>
      </c>
      <c r="Q1898" s="367"/>
      <c r="R1898" s="367">
        <v>6300</v>
      </c>
      <c r="S1898" s="367"/>
      <c r="T1898" s="367"/>
      <c r="U1898" s="367"/>
      <c r="V1898" s="367"/>
      <c r="W1898" s="367"/>
      <c r="X1898" s="367"/>
      <c r="Y1898" s="367"/>
      <c r="Z1898" s="367"/>
      <c r="AA1898" s="367"/>
      <c r="AB1898" s="367"/>
      <c r="AC1898" s="367"/>
    </row>
    <row r="1899" spans="1:29" ht="15" x14ac:dyDescent="0.25">
      <c r="A1899" s="365" t="s">
        <v>548</v>
      </c>
      <c r="H1899" s="366"/>
      <c r="J1899" s="367"/>
      <c r="K1899" s="367"/>
      <c r="L1899" s="367">
        <v>60100</v>
      </c>
      <c r="M1899" s="367">
        <v>15000</v>
      </c>
      <c r="N1899" s="367">
        <v>29800</v>
      </c>
      <c r="O1899" s="367"/>
      <c r="P1899" s="367"/>
      <c r="Q1899" s="367"/>
      <c r="R1899" s="367">
        <v>167000</v>
      </c>
      <c r="S1899" s="367"/>
      <c r="T1899" s="367">
        <v>1.3</v>
      </c>
      <c r="U1899" s="367"/>
      <c r="V1899" s="367"/>
      <c r="W1899" s="367"/>
      <c r="X1899" s="367"/>
      <c r="Y1899" s="367"/>
      <c r="Z1899" s="367"/>
      <c r="AA1899" s="367"/>
      <c r="AB1899" s="367"/>
      <c r="AC1899" s="367"/>
    </row>
    <row r="1900" spans="1:29" ht="15" x14ac:dyDescent="0.25">
      <c r="A1900" s="365" t="s">
        <v>962</v>
      </c>
      <c r="H1900" s="366">
        <v>255</v>
      </c>
      <c r="J1900" s="367"/>
      <c r="K1900" s="367"/>
      <c r="L1900" s="367">
        <v>60100</v>
      </c>
      <c r="M1900" s="367">
        <v>15000</v>
      </c>
      <c r="N1900" s="367">
        <v>29800</v>
      </c>
      <c r="O1900" s="367"/>
      <c r="P1900" s="367"/>
      <c r="Q1900" s="367"/>
      <c r="R1900" s="367">
        <v>167000</v>
      </c>
      <c r="S1900" s="367"/>
      <c r="T1900" s="367">
        <v>1</v>
      </c>
      <c r="U1900" s="367"/>
      <c r="V1900" s="367"/>
      <c r="W1900" s="367"/>
      <c r="X1900" s="367"/>
      <c r="Y1900" s="367"/>
      <c r="Z1900" s="367"/>
      <c r="AA1900" s="367"/>
      <c r="AB1900" s="367"/>
      <c r="AC1900" s="367"/>
    </row>
    <row r="1901" spans="1:29" ht="15" x14ac:dyDescent="0.25">
      <c r="A1901" s="365" t="s">
        <v>492</v>
      </c>
      <c r="H1901" s="366"/>
      <c r="J1901" s="367"/>
      <c r="K1901" s="367"/>
      <c r="L1901" s="367">
        <v>49700</v>
      </c>
      <c r="M1901" s="367">
        <v>7400</v>
      </c>
      <c r="N1901" s="367">
        <v>23000</v>
      </c>
      <c r="O1901" s="367"/>
      <c r="P1901" s="367">
        <v>680</v>
      </c>
      <c r="Q1901" s="367"/>
      <c r="R1901" s="367">
        <v>132000</v>
      </c>
      <c r="S1901" s="367"/>
      <c r="T1901" s="367">
        <v>6400</v>
      </c>
      <c r="U1901" s="367"/>
      <c r="V1901" s="367"/>
      <c r="W1901" s="367"/>
      <c r="X1901" s="367"/>
      <c r="Y1901" s="367"/>
      <c r="Z1901" s="367"/>
      <c r="AA1901" s="367"/>
      <c r="AB1901" s="367"/>
      <c r="AC1901" s="367"/>
    </row>
    <row r="1902" spans="1:29" ht="15" x14ac:dyDescent="0.25">
      <c r="A1902" s="365" t="s">
        <v>496</v>
      </c>
      <c r="H1902" s="366"/>
      <c r="J1902" s="367"/>
      <c r="K1902" s="367"/>
      <c r="L1902" s="367">
        <v>762</v>
      </c>
      <c r="M1902" s="367">
        <v>114</v>
      </c>
      <c r="N1902" s="367">
        <v>87</v>
      </c>
      <c r="O1902" s="367"/>
      <c r="P1902" s="367">
        <v>5</v>
      </c>
      <c r="Q1902" s="367"/>
      <c r="R1902" s="367">
        <v>1950</v>
      </c>
      <c r="S1902" s="367"/>
      <c r="T1902" s="367">
        <v>15</v>
      </c>
      <c r="U1902" s="367"/>
      <c r="V1902" s="367"/>
      <c r="W1902" s="367"/>
      <c r="X1902" s="367"/>
      <c r="Y1902" s="367"/>
      <c r="Z1902" s="367"/>
      <c r="AA1902" s="367"/>
      <c r="AB1902" s="367"/>
      <c r="AC1902" s="367"/>
    </row>
    <row r="1903" spans="1:29" ht="15" x14ac:dyDescent="0.25">
      <c r="A1903" s="365" t="s">
        <v>495</v>
      </c>
      <c r="H1903" s="366"/>
      <c r="J1903" s="367"/>
      <c r="K1903" s="367"/>
      <c r="L1903" s="367">
        <v>290</v>
      </c>
      <c r="M1903" s="367">
        <v>34.700000000000003</v>
      </c>
      <c r="N1903" s="367">
        <v>36</v>
      </c>
      <c r="O1903" s="367"/>
      <c r="P1903" s="367">
        <v>-5</v>
      </c>
      <c r="Q1903" s="367"/>
      <c r="R1903" s="367">
        <v>788</v>
      </c>
      <c r="S1903" s="367"/>
      <c r="T1903" s="367">
        <v>4</v>
      </c>
      <c r="U1903" s="367"/>
      <c r="V1903" s="367"/>
      <c r="W1903" s="367"/>
      <c r="X1903" s="367"/>
      <c r="Y1903" s="367"/>
      <c r="Z1903" s="367"/>
      <c r="AA1903" s="367"/>
      <c r="AB1903" s="367"/>
      <c r="AC1903" s="367"/>
    </row>
    <row r="1904" spans="1:29" ht="15" x14ac:dyDescent="0.25">
      <c r="A1904" s="365" t="s">
        <v>494</v>
      </c>
      <c r="H1904" s="366"/>
      <c r="J1904" s="367"/>
      <c r="K1904" s="367"/>
      <c r="L1904" s="367">
        <v>54000</v>
      </c>
      <c r="M1904" s="367">
        <v>8800</v>
      </c>
      <c r="N1904" s="367">
        <v>24000</v>
      </c>
      <c r="O1904" s="367"/>
      <c r="P1904" s="367">
        <v>380</v>
      </c>
      <c r="Q1904" s="367"/>
      <c r="R1904" s="367">
        <v>142000</v>
      </c>
      <c r="S1904" s="367"/>
      <c r="T1904" s="367"/>
      <c r="U1904" s="367"/>
      <c r="V1904" s="367"/>
      <c r="W1904" s="367"/>
      <c r="X1904" s="367"/>
      <c r="Y1904" s="367"/>
      <c r="Z1904" s="367"/>
      <c r="AA1904" s="367"/>
      <c r="AB1904" s="367"/>
      <c r="AC1904" s="367"/>
    </row>
    <row r="1905" spans="1:29" ht="15" x14ac:dyDescent="0.25">
      <c r="A1905" s="365" t="s">
        <v>493</v>
      </c>
      <c r="H1905" s="366"/>
      <c r="J1905" s="367"/>
      <c r="K1905" s="367"/>
      <c r="L1905" s="367">
        <v>50600</v>
      </c>
      <c r="M1905" s="367">
        <v>7000</v>
      </c>
      <c r="N1905" s="367">
        <v>22000</v>
      </c>
      <c r="O1905" s="367"/>
      <c r="P1905" s="367"/>
      <c r="Q1905" s="367"/>
      <c r="R1905" s="367">
        <v>128000</v>
      </c>
      <c r="S1905" s="367"/>
      <c r="T1905" s="367">
        <v>6400</v>
      </c>
      <c r="U1905" s="367"/>
      <c r="V1905" s="367"/>
      <c r="W1905" s="367"/>
      <c r="X1905" s="367"/>
      <c r="Y1905" s="367"/>
      <c r="Z1905" s="367"/>
      <c r="AA1905" s="367"/>
      <c r="AB1905" s="367"/>
      <c r="AC1905" s="367"/>
    </row>
    <row r="1906" spans="1:29" ht="15" x14ac:dyDescent="0.25">
      <c r="A1906" s="365" t="s">
        <v>963</v>
      </c>
      <c r="H1906" s="366">
        <v>265</v>
      </c>
      <c r="J1906" s="367"/>
      <c r="K1906" s="367"/>
      <c r="L1906" s="367">
        <v>47300</v>
      </c>
      <c r="M1906" s="367">
        <v>7960</v>
      </c>
      <c r="N1906" s="367">
        <v>23600</v>
      </c>
      <c r="O1906" s="367"/>
      <c r="P1906" s="367">
        <v>435</v>
      </c>
      <c r="Q1906" s="367"/>
      <c r="R1906" s="367">
        <v>123389</v>
      </c>
      <c r="S1906" s="367">
        <v>12</v>
      </c>
      <c r="T1906" s="367">
        <v>10</v>
      </c>
      <c r="U1906" s="367"/>
      <c r="V1906" s="367"/>
      <c r="W1906" s="367"/>
      <c r="X1906" s="367"/>
      <c r="Y1906" s="367"/>
      <c r="Z1906" s="367"/>
      <c r="AA1906" s="367"/>
      <c r="AB1906" s="367"/>
      <c r="AC1906" s="367"/>
    </row>
    <row r="1907" spans="1:29" ht="15" x14ac:dyDescent="0.25">
      <c r="A1907" s="365" t="s">
        <v>964</v>
      </c>
      <c r="H1907" s="366">
        <v>280</v>
      </c>
      <c r="J1907" s="367"/>
      <c r="K1907" s="367"/>
      <c r="L1907" s="367">
        <v>36340</v>
      </c>
      <c r="M1907" s="367">
        <v>7820</v>
      </c>
      <c r="N1907" s="367">
        <v>14550</v>
      </c>
      <c r="O1907" s="367"/>
      <c r="P1907" s="367">
        <v>350</v>
      </c>
      <c r="Q1907" s="367"/>
      <c r="R1907" s="367">
        <v>93650</v>
      </c>
      <c r="S1907" s="367">
        <v>2.4</v>
      </c>
      <c r="T1907" s="367">
        <v>58</v>
      </c>
      <c r="U1907" s="367"/>
      <c r="V1907" s="367"/>
      <c r="W1907" s="367"/>
      <c r="X1907" s="367"/>
      <c r="Y1907" s="367"/>
      <c r="Z1907" s="367"/>
      <c r="AA1907" s="367"/>
      <c r="AB1907" s="367"/>
      <c r="AC1907" s="367"/>
    </row>
    <row r="1908" spans="1:29" ht="15" x14ac:dyDescent="0.25">
      <c r="A1908" s="365" t="s">
        <v>547</v>
      </c>
      <c r="H1908" s="366"/>
      <c r="J1908" s="367"/>
      <c r="K1908" s="367"/>
      <c r="L1908" s="367">
        <v>46800</v>
      </c>
      <c r="M1908" s="367">
        <v>12600</v>
      </c>
      <c r="N1908" s="367">
        <v>22800</v>
      </c>
      <c r="O1908" s="367"/>
      <c r="P1908" s="367">
        <v>300</v>
      </c>
      <c r="Q1908" s="367"/>
      <c r="R1908" s="367">
        <v>131000</v>
      </c>
      <c r="S1908" s="367">
        <v>5</v>
      </c>
      <c r="T1908" s="367">
        <v>-1</v>
      </c>
      <c r="U1908" s="367"/>
      <c r="V1908" s="367"/>
      <c r="W1908" s="367"/>
      <c r="X1908" s="367"/>
      <c r="Y1908" s="367"/>
      <c r="Z1908" s="367"/>
      <c r="AA1908" s="367">
        <v>590</v>
      </c>
      <c r="AB1908" s="367"/>
      <c r="AC1908" s="367">
        <v>1100</v>
      </c>
    </row>
    <row r="1909" spans="1:29" ht="15" x14ac:dyDescent="0.25">
      <c r="A1909" s="365" t="s">
        <v>966</v>
      </c>
      <c r="H1909" s="366">
        <v>316</v>
      </c>
      <c r="J1909" s="367"/>
      <c r="K1909" s="367"/>
      <c r="L1909" s="367">
        <v>50400</v>
      </c>
      <c r="M1909" s="367">
        <v>17500</v>
      </c>
      <c r="N1909" s="367">
        <v>28000</v>
      </c>
      <c r="O1909" s="367"/>
      <c r="P1909" s="367">
        <v>400</v>
      </c>
      <c r="Q1909" s="367"/>
      <c r="R1909" s="367">
        <v>155000</v>
      </c>
      <c r="S1909" s="367">
        <v>15</v>
      </c>
      <c r="T1909" s="367">
        <v>5</v>
      </c>
      <c r="U1909" s="367"/>
      <c r="V1909" s="367"/>
      <c r="W1909" s="367"/>
      <c r="X1909" s="367"/>
      <c r="Y1909" s="367"/>
      <c r="Z1909" s="367"/>
      <c r="AA1909" s="367"/>
      <c r="AB1909" s="367"/>
      <c r="AC1909" s="367"/>
    </row>
    <row r="1910" spans="1:29" ht="15" x14ac:dyDescent="0.25">
      <c r="A1910" s="365" t="s">
        <v>471</v>
      </c>
      <c r="H1910" s="366"/>
      <c r="J1910" s="367"/>
      <c r="K1910" s="367"/>
      <c r="L1910" s="367">
        <v>62800</v>
      </c>
      <c r="M1910" s="367">
        <v>20800</v>
      </c>
      <c r="N1910" s="367">
        <v>31500</v>
      </c>
      <c r="O1910" s="367"/>
      <c r="P1910" s="367"/>
      <c r="Q1910" s="367"/>
      <c r="R1910" s="367">
        <v>185000</v>
      </c>
      <c r="S1910" s="367"/>
      <c r="T1910" s="367">
        <v>49</v>
      </c>
      <c r="U1910" s="367"/>
      <c r="V1910" s="367"/>
      <c r="W1910" s="367"/>
      <c r="X1910" s="367"/>
      <c r="Y1910" s="367"/>
      <c r="Z1910" s="367"/>
      <c r="AA1910" s="367"/>
      <c r="AB1910" s="367"/>
      <c r="AC1910" s="367"/>
    </row>
    <row r="1911" spans="1:29" ht="15" x14ac:dyDescent="0.25">
      <c r="A1911" s="365" t="s">
        <v>967</v>
      </c>
      <c r="H1911" s="366">
        <v>360</v>
      </c>
      <c r="J1911" s="367"/>
      <c r="K1911" s="367"/>
      <c r="L1911" s="367">
        <v>62800</v>
      </c>
      <c r="M1911" s="367">
        <v>20800</v>
      </c>
      <c r="N1911" s="367">
        <v>31500</v>
      </c>
      <c r="O1911" s="367"/>
      <c r="P1911" s="367"/>
      <c r="Q1911" s="367"/>
      <c r="R1911" s="367">
        <v>185000</v>
      </c>
      <c r="S1911" s="367"/>
      <c r="T1911" s="367">
        <v>49</v>
      </c>
    </row>
    <row r="1912" spans="1:29" ht="15" x14ac:dyDescent="0.25">
      <c r="A1912" s="365" t="s">
        <v>968</v>
      </c>
      <c r="H1912" s="366">
        <v>360</v>
      </c>
      <c r="J1912" s="367"/>
      <c r="K1912" s="367"/>
      <c r="L1912" s="367">
        <v>53000</v>
      </c>
      <c r="M1912" s="367">
        <v>16500</v>
      </c>
      <c r="N1912" s="367">
        <v>27800</v>
      </c>
      <c r="O1912" s="367"/>
      <c r="P1912" s="367">
        <v>400</v>
      </c>
      <c r="Q1912" s="367"/>
      <c r="R1912" s="367">
        <v>155000</v>
      </c>
      <c r="S1912" s="367"/>
      <c r="T1912" s="367"/>
    </row>
  </sheetData>
  <sheetProtection formatCells="0" formatColumns="0" formatRows="0"/>
  <mergeCells count="18">
    <mergeCell ref="J6:AE6"/>
    <mergeCell ref="M3:N5"/>
    <mergeCell ref="CF1:CJ1"/>
    <mergeCell ref="O1:P1"/>
    <mergeCell ref="Q1:R1"/>
    <mergeCell ref="S1:T1"/>
    <mergeCell ref="U1:V1"/>
    <mergeCell ref="W1:X1"/>
    <mergeCell ref="Y1:AA1"/>
    <mergeCell ref="D3:L5"/>
    <mergeCell ref="DC6:DF6"/>
    <mergeCell ref="DG6:DT6"/>
    <mergeCell ref="CS1:CW1"/>
    <mergeCell ref="BQ1:BU1"/>
    <mergeCell ref="BV1:BZ1"/>
    <mergeCell ref="CA1:CE1"/>
    <mergeCell ref="CK5:CM5"/>
    <mergeCell ref="CK1:CR1"/>
  </mergeCells>
  <phoneticPr fontId="0" type="noConversion"/>
  <conditionalFormatting sqref="BO8:BO36">
    <cfRule type="cellIs" dxfId="1" priority="1" stopIfTrue="1" operator="between">
      <formula>-0.05</formula>
      <formula>0.05</formula>
    </cfRule>
    <cfRule type="cellIs" dxfId="0" priority="2" stopIfTrue="1" operator="notBetween">
      <formula>-0.05</formula>
      <formula>0.05</formula>
    </cfRule>
  </conditionalFormatting>
  <pageMargins left="0.75" right="0.75" top="1" bottom="1" header="0.5" footer="0.5"/>
  <pageSetup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zoomScale="75" workbookViewId="0">
      <selection activeCell="B32" sqref="B32:N32"/>
    </sheetView>
  </sheetViews>
  <sheetFormatPr defaultRowHeight="12.75" x14ac:dyDescent="0.2"/>
  <cols>
    <col min="1" max="1" width="4.5703125" customWidth="1"/>
  </cols>
  <sheetData>
    <row r="1" spans="1:14" s="84" customFormat="1" ht="18" x14ac:dyDescent="0.25">
      <c r="A1" s="84" t="s">
        <v>241</v>
      </c>
    </row>
    <row r="3" spans="1:14" s="85" customFormat="1" ht="47.25" customHeight="1" x14ac:dyDescent="0.2">
      <c r="A3" s="427" t="s">
        <v>180</v>
      </c>
      <c r="B3" s="427"/>
      <c r="C3" s="427"/>
      <c r="D3" s="427"/>
      <c r="E3" s="427"/>
      <c r="F3" s="427"/>
      <c r="G3" s="427"/>
      <c r="H3" s="427"/>
      <c r="I3" s="427"/>
      <c r="J3" s="427"/>
      <c r="K3" s="427"/>
      <c r="L3" s="427"/>
      <c r="M3" s="427"/>
      <c r="N3" s="427"/>
    </row>
    <row r="4" spans="1:14" s="85" customFormat="1" ht="62.25" customHeight="1" x14ac:dyDescent="0.2">
      <c r="A4" s="427" t="s">
        <v>168</v>
      </c>
      <c r="B4" s="427"/>
      <c r="C4" s="427"/>
      <c r="D4" s="427"/>
      <c r="E4" s="427"/>
      <c r="F4" s="427"/>
      <c r="G4" s="427"/>
      <c r="H4" s="427"/>
      <c r="I4" s="427"/>
      <c r="J4" s="427"/>
      <c r="K4" s="427"/>
      <c r="L4" s="427"/>
      <c r="M4" s="427"/>
      <c r="N4" s="427"/>
    </row>
    <row r="5" spans="1:14" s="85" customFormat="1" ht="52.5" customHeight="1" x14ac:dyDescent="0.2">
      <c r="A5" s="427" t="s">
        <v>136</v>
      </c>
      <c r="B5" s="427"/>
      <c r="C5" s="427"/>
      <c r="D5" s="427"/>
      <c r="E5" s="427"/>
      <c r="F5" s="427"/>
      <c r="G5" s="427"/>
      <c r="H5" s="427"/>
      <c r="I5" s="427"/>
      <c r="J5" s="427"/>
      <c r="K5" s="427"/>
      <c r="L5" s="427"/>
      <c r="M5" s="427"/>
      <c r="N5" s="427"/>
    </row>
    <row r="6" spans="1:14" s="85" customFormat="1" ht="21.75" customHeight="1" x14ac:dyDescent="0.2">
      <c r="A6" s="427" t="s">
        <v>126</v>
      </c>
      <c r="B6" s="427"/>
      <c r="C6" s="427"/>
      <c r="D6" s="427"/>
      <c r="E6" s="427"/>
      <c r="F6" s="427"/>
      <c r="G6" s="427"/>
      <c r="H6" s="427"/>
      <c r="I6" s="427"/>
      <c r="J6" s="427"/>
      <c r="K6" s="427"/>
      <c r="L6" s="427"/>
      <c r="M6" s="427"/>
      <c r="N6" s="427"/>
    </row>
    <row r="7" spans="1:14" s="85" customFormat="1" ht="36" customHeight="1" x14ac:dyDescent="0.2">
      <c r="A7" s="86" t="s">
        <v>127</v>
      </c>
      <c r="B7" s="427" t="s">
        <v>171</v>
      </c>
      <c r="C7" s="427"/>
      <c r="D7" s="427"/>
      <c r="E7" s="427"/>
      <c r="F7" s="427"/>
      <c r="G7" s="427"/>
      <c r="H7" s="427"/>
      <c r="I7" s="427"/>
      <c r="J7" s="427"/>
      <c r="K7" s="427"/>
      <c r="L7" s="427"/>
      <c r="M7" s="427"/>
      <c r="N7" s="427"/>
    </row>
    <row r="8" spans="1:14" s="85" customFormat="1" ht="39.75" customHeight="1" x14ac:dyDescent="0.2">
      <c r="A8" s="86" t="s">
        <v>128</v>
      </c>
      <c r="B8" s="430" t="s">
        <v>172</v>
      </c>
      <c r="C8" s="427"/>
      <c r="D8" s="427"/>
      <c r="E8" s="427"/>
      <c r="F8" s="427"/>
      <c r="G8" s="427"/>
      <c r="H8" s="427"/>
      <c r="I8" s="427"/>
      <c r="J8" s="427"/>
      <c r="K8" s="427"/>
      <c r="L8" s="427"/>
      <c r="M8" s="427"/>
      <c r="N8" s="427"/>
    </row>
    <row r="9" spans="1:14" s="85" customFormat="1" ht="60" customHeight="1" x14ac:dyDescent="0.2">
      <c r="A9" s="86" t="s">
        <v>129</v>
      </c>
      <c r="B9" s="427" t="s">
        <v>173</v>
      </c>
      <c r="C9" s="427"/>
      <c r="D9" s="427"/>
      <c r="E9" s="427"/>
      <c r="F9" s="427"/>
      <c r="G9" s="427"/>
      <c r="H9" s="427"/>
      <c r="I9" s="427"/>
      <c r="J9" s="427"/>
      <c r="K9" s="427"/>
      <c r="L9" s="427"/>
      <c r="M9" s="427"/>
      <c r="N9" s="427"/>
    </row>
    <row r="10" spans="1:14" s="85" customFormat="1" ht="126" customHeight="1" x14ac:dyDescent="0.2">
      <c r="A10" s="86" t="s">
        <v>130</v>
      </c>
      <c r="B10" s="427" t="s">
        <v>199</v>
      </c>
      <c r="C10" s="427"/>
      <c r="D10" s="427"/>
      <c r="E10" s="427"/>
      <c r="F10" s="427"/>
      <c r="G10" s="427"/>
      <c r="H10" s="427"/>
      <c r="I10" s="427"/>
      <c r="J10" s="427"/>
      <c r="K10" s="427"/>
      <c r="L10" s="427"/>
      <c r="M10" s="427"/>
      <c r="N10" s="427"/>
    </row>
    <row r="11" spans="1:14" s="85" customFormat="1" ht="73.5" customHeight="1" x14ac:dyDescent="0.2">
      <c r="A11" s="86" t="s">
        <v>131</v>
      </c>
      <c r="B11" s="427" t="s">
        <v>182</v>
      </c>
      <c r="C11" s="427"/>
      <c r="D11" s="427"/>
      <c r="E11" s="427"/>
      <c r="F11" s="427"/>
      <c r="G11" s="427"/>
      <c r="H11" s="427"/>
      <c r="I11" s="427"/>
      <c r="J11" s="427"/>
      <c r="K11" s="427"/>
      <c r="L11" s="427"/>
      <c r="M11" s="427"/>
      <c r="N11" s="427"/>
    </row>
    <row r="12" spans="1:14" s="85" customFormat="1" ht="94.5" customHeight="1" x14ac:dyDescent="0.2">
      <c r="A12" s="86" t="s">
        <v>132</v>
      </c>
      <c r="B12" s="427" t="s">
        <v>185</v>
      </c>
      <c r="C12" s="427"/>
      <c r="D12" s="427"/>
      <c r="E12" s="427"/>
      <c r="F12" s="427"/>
      <c r="G12" s="427"/>
      <c r="H12" s="427"/>
      <c r="I12" s="427"/>
      <c r="J12" s="427"/>
      <c r="K12" s="427"/>
      <c r="L12" s="427"/>
      <c r="M12" s="427"/>
      <c r="N12" s="427"/>
    </row>
    <row r="13" spans="1:14" s="85" customFormat="1" ht="89.25" customHeight="1" x14ac:dyDescent="0.2">
      <c r="A13" s="86" t="s">
        <v>133</v>
      </c>
      <c r="B13" s="427" t="s">
        <v>177</v>
      </c>
      <c r="C13" s="427"/>
      <c r="D13" s="427"/>
      <c r="E13" s="427"/>
      <c r="F13" s="427"/>
      <c r="G13" s="427"/>
      <c r="H13" s="427"/>
      <c r="I13" s="427"/>
      <c r="J13" s="427"/>
      <c r="K13" s="427"/>
      <c r="L13" s="427"/>
      <c r="M13" s="427"/>
      <c r="N13" s="427"/>
    </row>
    <row r="14" spans="1:14" s="85" customFormat="1" ht="65.25" customHeight="1" x14ac:dyDescent="0.2">
      <c r="A14" s="86" t="s">
        <v>134</v>
      </c>
      <c r="B14" s="427" t="s">
        <v>175</v>
      </c>
      <c r="C14" s="427"/>
      <c r="D14" s="427"/>
      <c r="E14" s="427"/>
      <c r="F14" s="427"/>
      <c r="G14" s="427"/>
      <c r="H14" s="427"/>
      <c r="I14" s="427"/>
      <c r="J14" s="427"/>
      <c r="K14" s="427"/>
      <c r="L14" s="427"/>
      <c r="M14" s="427"/>
      <c r="N14" s="427"/>
    </row>
    <row r="15" spans="1:14" s="85" customFormat="1" ht="33" customHeight="1" x14ac:dyDescent="0.2">
      <c r="A15" s="86" t="s">
        <v>181</v>
      </c>
      <c r="B15" s="427" t="s">
        <v>176</v>
      </c>
      <c r="C15" s="427"/>
      <c r="D15" s="427"/>
      <c r="E15" s="427"/>
      <c r="F15" s="427"/>
      <c r="G15" s="427"/>
      <c r="H15" s="427"/>
      <c r="I15" s="427"/>
      <c r="J15" s="427"/>
      <c r="K15" s="427"/>
      <c r="L15" s="427"/>
      <c r="M15" s="427"/>
      <c r="N15" s="427"/>
    </row>
    <row r="16" spans="1:14" s="85" customFormat="1" ht="15" x14ac:dyDescent="0.2">
      <c r="A16" s="85" t="s">
        <v>135</v>
      </c>
      <c r="B16" s="87"/>
      <c r="C16" s="88"/>
      <c r="D16" s="88"/>
      <c r="E16" s="88"/>
      <c r="F16" s="88"/>
      <c r="G16" s="88"/>
      <c r="H16" s="88"/>
      <c r="I16" s="88"/>
      <c r="J16" s="88"/>
      <c r="K16" s="88"/>
      <c r="L16" s="88"/>
      <c r="M16" s="88"/>
      <c r="N16" s="88"/>
    </row>
    <row r="17" spans="1:14" s="85" customFormat="1" ht="36" customHeight="1" x14ac:dyDescent="0.2">
      <c r="A17" s="86" t="s">
        <v>127</v>
      </c>
      <c r="B17" s="427" t="s">
        <v>137</v>
      </c>
      <c r="C17" s="427"/>
      <c r="D17" s="427"/>
      <c r="E17" s="427"/>
      <c r="F17" s="427"/>
      <c r="G17" s="427"/>
      <c r="H17" s="427"/>
      <c r="I17" s="427"/>
      <c r="J17" s="427"/>
      <c r="K17" s="427"/>
      <c r="L17" s="427"/>
      <c r="M17" s="427"/>
      <c r="N17" s="427"/>
    </row>
    <row r="18" spans="1:14" s="85" customFormat="1" ht="21.75" customHeight="1" x14ac:dyDescent="0.2">
      <c r="A18" s="86" t="s">
        <v>128</v>
      </c>
      <c r="B18" s="427" t="s">
        <v>138</v>
      </c>
      <c r="C18" s="427"/>
      <c r="D18" s="427"/>
      <c r="E18" s="427"/>
      <c r="F18" s="427"/>
      <c r="G18" s="427"/>
      <c r="H18" s="427"/>
      <c r="I18" s="427"/>
      <c r="J18" s="427"/>
      <c r="K18" s="427"/>
      <c r="L18" s="427"/>
      <c r="M18" s="427"/>
      <c r="N18" s="427"/>
    </row>
    <row r="19" spans="1:14" s="85" customFormat="1" ht="36.75" customHeight="1" x14ac:dyDescent="0.2">
      <c r="A19" s="86" t="s">
        <v>129</v>
      </c>
      <c r="B19" s="427" t="s">
        <v>139</v>
      </c>
      <c r="C19" s="427"/>
      <c r="D19" s="427"/>
      <c r="E19" s="427"/>
      <c r="F19" s="427"/>
      <c r="G19" s="427"/>
      <c r="H19" s="427"/>
      <c r="I19" s="427"/>
      <c r="J19" s="427"/>
      <c r="K19" s="427"/>
      <c r="L19" s="427"/>
      <c r="M19" s="427"/>
      <c r="N19" s="427"/>
    </row>
    <row r="20" spans="1:14" s="85" customFormat="1" ht="45.75" customHeight="1" x14ac:dyDescent="0.2">
      <c r="A20" s="86" t="s">
        <v>130</v>
      </c>
      <c r="B20" s="427" t="s">
        <v>178</v>
      </c>
      <c r="C20" s="427"/>
      <c r="D20" s="427"/>
      <c r="E20" s="427"/>
      <c r="F20" s="427"/>
      <c r="G20" s="427"/>
      <c r="H20" s="427"/>
      <c r="I20" s="427"/>
      <c r="J20" s="427"/>
      <c r="K20" s="427"/>
      <c r="L20" s="427"/>
      <c r="M20" s="427"/>
      <c r="N20" s="427"/>
    </row>
    <row r="21" spans="1:14" s="85" customFormat="1" ht="78.75" customHeight="1" x14ac:dyDescent="0.2">
      <c r="A21" s="86" t="s">
        <v>131</v>
      </c>
      <c r="B21" s="427" t="s">
        <v>179</v>
      </c>
      <c r="C21" s="427"/>
      <c r="D21" s="427"/>
      <c r="E21" s="427"/>
      <c r="F21" s="427"/>
      <c r="G21" s="427"/>
      <c r="H21" s="427"/>
      <c r="I21" s="427"/>
      <c r="J21" s="427"/>
      <c r="K21" s="427"/>
      <c r="L21" s="427"/>
      <c r="M21" s="427"/>
      <c r="N21" s="427"/>
    </row>
    <row r="22" spans="1:14" s="85" customFormat="1" ht="15" x14ac:dyDescent="0.2"/>
    <row r="23" spans="1:14" s="85" customFormat="1" ht="29.25" customHeight="1" x14ac:dyDescent="0.25">
      <c r="A23" s="84" t="s">
        <v>186</v>
      </c>
      <c r="B23" s="84"/>
    </row>
    <row r="24" spans="1:14" s="85" customFormat="1" ht="33.75" customHeight="1" x14ac:dyDescent="0.2">
      <c r="A24" s="425">
        <v>2</v>
      </c>
      <c r="B24" s="428" t="s">
        <v>194</v>
      </c>
      <c r="C24" s="429"/>
      <c r="D24" s="429"/>
      <c r="E24" s="429"/>
      <c r="F24" s="429"/>
      <c r="G24" s="429"/>
      <c r="H24" s="429"/>
      <c r="I24" s="429"/>
      <c r="J24" s="429"/>
      <c r="K24" s="429"/>
      <c r="L24" s="429"/>
      <c r="M24" s="429"/>
      <c r="N24" s="429"/>
    </row>
    <row r="25" spans="1:14" s="85" customFormat="1" ht="34.5" customHeight="1" x14ac:dyDescent="0.2">
      <c r="A25" s="425"/>
      <c r="B25" s="426" t="s">
        <v>193</v>
      </c>
      <c r="C25" s="427"/>
      <c r="D25" s="427"/>
      <c r="E25" s="427"/>
      <c r="F25" s="427"/>
      <c r="G25" s="427"/>
      <c r="H25" s="427"/>
      <c r="I25" s="427"/>
      <c r="J25" s="427"/>
      <c r="K25" s="427"/>
      <c r="L25" s="427"/>
      <c r="M25" s="427"/>
      <c r="N25" s="427"/>
    </row>
    <row r="26" spans="1:14" s="85" customFormat="1" ht="15" x14ac:dyDescent="0.2">
      <c r="A26" s="425"/>
      <c r="B26" s="424" t="s">
        <v>195</v>
      </c>
      <c r="C26" s="424"/>
      <c r="D26" s="424"/>
      <c r="E26" s="424"/>
      <c r="F26" s="424"/>
      <c r="G26" s="424"/>
      <c r="H26" s="424"/>
      <c r="I26" s="424"/>
      <c r="J26" s="424"/>
      <c r="K26" s="424"/>
      <c r="L26" s="424"/>
      <c r="M26" s="424"/>
      <c r="N26" s="424"/>
    </row>
    <row r="27" spans="1:14" s="85" customFormat="1" ht="15" x14ac:dyDescent="0.2">
      <c r="A27" s="425"/>
      <c r="B27" s="424" t="s">
        <v>196</v>
      </c>
      <c r="C27" s="424"/>
      <c r="D27" s="424"/>
      <c r="E27" s="424"/>
      <c r="F27" s="424"/>
      <c r="G27" s="424"/>
      <c r="H27" s="424"/>
      <c r="I27" s="424"/>
      <c r="J27" s="424"/>
      <c r="K27" s="424"/>
      <c r="L27" s="424"/>
      <c r="M27" s="424"/>
      <c r="N27" s="424"/>
    </row>
    <row r="29" spans="1:14" ht="18" customHeight="1" x14ac:dyDescent="0.2">
      <c r="A29" s="422">
        <v>3</v>
      </c>
      <c r="B29" s="423" t="s">
        <v>202</v>
      </c>
      <c r="C29" s="423"/>
      <c r="D29" s="423"/>
      <c r="E29" s="423"/>
      <c r="F29" s="423"/>
      <c r="G29" s="423"/>
      <c r="H29" s="423"/>
      <c r="I29" s="423"/>
      <c r="J29" s="423"/>
      <c r="K29" s="423"/>
      <c r="L29" s="423"/>
      <c r="M29" s="423"/>
      <c r="N29" s="423"/>
    </row>
    <row r="30" spans="1:14" ht="50.25" customHeight="1" x14ac:dyDescent="0.2">
      <c r="A30" s="422"/>
      <c r="B30" s="421" t="s">
        <v>236</v>
      </c>
      <c r="C30" s="421"/>
      <c r="D30" s="421"/>
      <c r="E30" s="421"/>
      <c r="F30" s="421"/>
      <c r="G30" s="421"/>
      <c r="H30" s="421"/>
      <c r="I30" s="421"/>
      <c r="J30" s="421"/>
      <c r="K30" s="421"/>
      <c r="L30" s="421"/>
      <c r="M30" s="421"/>
      <c r="N30" s="421"/>
    </row>
    <row r="31" spans="1:14" ht="45.75" customHeight="1" x14ac:dyDescent="0.2">
      <c r="A31" s="422"/>
      <c r="B31" s="421" t="s">
        <v>240</v>
      </c>
      <c r="C31" s="421"/>
      <c r="D31" s="421"/>
      <c r="E31" s="421"/>
      <c r="F31" s="421"/>
      <c r="G31" s="421"/>
      <c r="H31" s="421"/>
      <c r="I31" s="421"/>
      <c r="J31" s="421"/>
      <c r="K31" s="421"/>
      <c r="L31" s="421"/>
      <c r="M31" s="421"/>
      <c r="N31" s="421"/>
    </row>
    <row r="32" spans="1:14" ht="19.5" customHeight="1" x14ac:dyDescent="0.2">
      <c r="A32" s="422"/>
      <c r="B32" s="421" t="s">
        <v>237</v>
      </c>
      <c r="C32" s="421"/>
      <c r="D32" s="421"/>
      <c r="E32" s="421"/>
      <c r="F32" s="421"/>
      <c r="G32" s="421"/>
      <c r="H32" s="421"/>
      <c r="I32" s="421"/>
      <c r="J32" s="421"/>
      <c r="K32" s="421"/>
      <c r="L32" s="421"/>
      <c r="M32" s="421"/>
      <c r="N32" s="421"/>
    </row>
    <row r="33" spans="1:14" ht="18.75" customHeight="1" x14ac:dyDescent="0.2">
      <c r="A33" s="422"/>
      <c r="B33" s="421" t="s">
        <v>238</v>
      </c>
      <c r="C33" s="421"/>
      <c r="D33" s="421"/>
      <c r="E33" s="421"/>
      <c r="F33" s="421"/>
      <c r="G33" s="421"/>
      <c r="H33" s="421"/>
      <c r="I33" s="421"/>
      <c r="J33" s="421"/>
      <c r="K33" s="421"/>
      <c r="L33" s="421"/>
      <c r="M33" s="421"/>
      <c r="N33" s="421"/>
    </row>
    <row r="34" spans="1:14" ht="45.75" customHeight="1" x14ac:dyDescent="0.2">
      <c r="A34" s="422"/>
      <c r="B34" s="421" t="s">
        <v>242</v>
      </c>
      <c r="C34" s="421"/>
      <c r="D34" s="421"/>
      <c r="E34" s="421"/>
      <c r="F34" s="421"/>
      <c r="G34" s="421"/>
      <c r="H34" s="421"/>
      <c r="I34" s="421"/>
      <c r="J34" s="421"/>
      <c r="K34" s="421"/>
      <c r="L34" s="421"/>
      <c r="M34" s="421"/>
      <c r="N34" s="421"/>
    </row>
    <row r="35" spans="1:14" ht="15" x14ac:dyDescent="0.2">
      <c r="A35" s="422"/>
      <c r="B35" s="421" t="s">
        <v>239</v>
      </c>
      <c r="C35" s="421"/>
      <c r="D35" s="421"/>
      <c r="E35" s="421"/>
      <c r="F35" s="421"/>
      <c r="G35" s="421"/>
      <c r="H35" s="421"/>
      <c r="I35" s="421"/>
      <c r="J35" s="421"/>
      <c r="K35" s="421"/>
      <c r="L35" s="421"/>
      <c r="M35" s="421"/>
      <c r="N35" s="421"/>
    </row>
  </sheetData>
  <sheetProtection sheet="1" objects="1" scenarios="1" formatCells="0" formatColumns="0" formatRows="0"/>
  <mergeCells count="31">
    <mergeCell ref="A3:N3"/>
    <mergeCell ref="B8:N8"/>
    <mergeCell ref="B9:N9"/>
    <mergeCell ref="B10:N10"/>
    <mergeCell ref="A4:N4"/>
    <mergeCell ref="A5:N5"/>
    <mergeCell ref="A6:N6"/>
    <mergeCell ref="B7:N7"/>
    <mergeCell ref="B11:N11"/>
    <mergeCell ref="B20:N20"/>
    <mergeCell ref="B21:N21"/>
    <mergeCell ref="B18:N18"/>
    <mergeCell ref="B19:N19"/>
    <mergeCell ref="B15:N15"/>
    <mergeCell ref="B12:N12"/>
    <mergeCell ref="B13:N13"/>
    <mergeCell ref="B17:N17"/>
    <mergeCell ref="B14:N14"/>
    <mergeCell ref="B26:N26"/>
    <mergeCell ref="B27:N27"/>
    <mergeCell ref="A24:A27"/>
    <mergeCell ref="B25:N25"/>
    <mergeCell ref="B24:N24"/>
    <mergeCell ref="B32:N32"/>
    <mergeCell ref="B33:N33"/>
    <mergeCell ref="B34:N34"/>
    <mergeCell ref="B35:N35"/>
    <mergeCell ref="A29:A35"/>
    <mergeCell ref="B29:N29"/>
    <mergeCell ref="B30:N30"/>
    <mergeCell ref="B31:N31"/>
  </mergeCells>
  <phoneticPr fontId="0" type="noConversion"/>
  <pageMargins left="0.75" right="0.75" top="1" bottom="1" header="0.5" footer="0.5"/>
  <pageSetup paperSize="9" orientation="portrait" horizontalDpi="4294967293" verticalDpi="4294967293"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14</vt:i4>
      </vt:variant>
    </vt:vector>
  </HeadingPairs>
  <TitlesOfParts>
    <vt:vector size="19" baseType="lpstr">
      <vt:lpstr>Tgrid</vt:lpstr>
      <vt:lpstr>Ref</vt:lpstr>
      <vt:lpstr>Report</vt:lpstr>
      <vt:lpstr>Input</vt:lpstr>
      <vt:lpstr>Info</vt:lpstr>
      <vt:lpstr>Iso</vt:lpstr>
      <vt:lpstr>XClHdisch</vt:lpstr>
      <vt:lpstr>XClHqtz</vt:lpstr>
      <vt:lpstr>Xmckn</vt:lpstr>
      <vt:lpstr>Xkmc</vt:lpstr>
      <vt:lpstr>Xkms</vt:lpstr>
      <vt:lpstr>Tnkm</vt:lpstr>
      <vt:lpstr>Txyz</vt:lpstr>
      <vt:lpstr>Tcfb</vt:lpstr>
      <vt:lpstr>Tlrc</vt:lpstr>
      <vt:lpstr>Tclb</vt:lpstr>
      <vt:lpstr>Tcsh</vt:lpstr>
      <vt:lpstr>Piper</vt:lpstr>
      <vt:lpstr>Map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S. Powell</dc:creator>
  <cp:lastModifiedBy>Christy Caudill</cp:lastModifiedBy>
  <cp:lastPrinted>2004-10-26T01:33:37Z</cp:lastPrinted>
  <dcterms:created xsi:type="dcterms:W3CDTF">1999-09-04T21:11:39Z</dcterms:created>
  <dcterms:modified xsi:type="dcterms:W3CDTF">2013-09-20T21:30:43Z</dcterms:modified>
</cp:coreProperties>
</file>