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Repos\phreeqc4feflow\PhreeqcRM4Feflow\paper\mpi_timing\"/>
    </mc:Choice>
  </mc:AlternateContent>
  <bookViews>
    <workbookView xWindow="240" yWindow="396" windowWidth="21072" windowHeight="10248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 refMode="R1C1"/>
</workbook>
</file>

<file path=xl/calcChain.xml><?xml version="1.0" encoding="utf-8"?>
<calcChain xmlns="http://schemas.openxmlformats.org/spreadsheetml/2006/main">
  <c r="G38" i="5" l="1"/>
  <c r="G4" i="5"/>
  <c r="K4" i="5"/>
  <c r="G16" i="5"/>
  <c r="G16" i="6" l="1"/>
  <c r="G17" i="6" s="1"/>
  <c r="F16" i="6"/>
  <c r="F17" i="6" s="1"/>
  <c r="F18" i="6" s="1"/>
  <c r="G15" i="6"/>
  <c r="F15" i="6"/>
  <c r="I15" i="6" l="1"/>
  <c r="I14" i="6" s="1"/>
  <c r="I16" i="6" s="1"/>
  <c r="I17" i="6" s="1"/>
  <c r="I18" i="6" s="1"/>
  <c r="H17" i="6"/>
  <c r="G18" i="6"/>
  <c r="H16" i="6"/>
  <c r="D9" i="6"/>
  <c r="D10" i="6" s="1"/>
  <c r="D8" i="6"/>
  <c r="I44" i="5"/>
  <c r="J44" i="5"/>
  <c r="K44" i="5" s="1"/>
  <c r="L44" i="5"/>
  <c r="G44" i="5"/>
  <c r="I43" i="5"/>
  <c r="J43" i="5"/>
  <c r="K43" i="5" s="1"/>
  <c r="G43" i="5"/>
  <c r="L43" i="5"/>
  <c r="H18" i="6" l="1"/>
  <c r="K26" i="5"/>
  <c r="K47" i="5"/>
  <c r="I34" i="5"/>
  <c r="J34" i="5"/>
  <c r="K34" i="5" s="1"/>
  <c r="G34" i="5"/>
  <c r="L34" i="5"/>
  <c r="I33" i="5"/>
  <c r="J33" i="5"/>
  <c r="K33" i="5" s="1"/>
  <c r="G33" i="5"/>
  <c r="L33" i="5"/>
  <c r="L72" i="5"/>
  <c r="I57" i="5"/>
  <c r="J57" i="5"/>
  <c r="K57" i="5" s="1"/>
  <c r="G57" i="5"/>
  <c r="L57" i="5"/>
  <c r="I56" i="5"/>
  <c r="J56" i="5"/>
  <c r="K56" i="5" s="1"/>
  <c r="G56" i="5"/>
  <c r="L56" i="5"/>
  <c r="J63" i="5"/>
  <c r="K63" i="5" s="1"/>
  <c r="I68" i="5"/>
  <c r="J68" i="5"/>
  <c r="K68" i="5" s="1"/>
  <c r="L68" i="5"/>
  <c r="G68" i="5"/>
  <c r="I67" i="5"/>
  <c r="J67" i="5"/>
  <c r="K67" i="5" s="1"/>
  <c r="G67" i="5"/>
  <c r="L67" i="5"/>
  <c r="L65" i="5"/>
  <c r="J65" i="5"/>
  <c r="K65" i="5" s="1"/>
  <c r="I65" i="5"/>
  <c r="G65" i="5"/>
  <c r="L63" i="5"/>
  <c r="G63" i="5"/>
  <c r="L52" i="5"/>
  <c r="J52" i="5"/>
  <c r="M52" i="5" s="1"/>
  <c r="G52" i="5"/>
  <c r="I52" i="5"/>
  <c r="L61" i="5"/>
  <c r="L62" i="5"/>
  <c r="L64" i="5"/>
  <c r="L66" i="5"/>
  <c r="L60" i="5"/>
  <c r="I60" i="5"/>
  <c r="J60" i="5"/>
  <c r="M60" i="5" s="1"/>
  <c r="L50" i="5"/>
  <c r="L51" i="5"/>
  <c r="L53" i="5"/>
  <c r="L54" i="5"/>
  <c r="L55" i="5"/>
  <c r="L49" i="5"/>
  <c r="I54" i="5"/>
  <c r="J54" i="5"/>
  <c r="K54" i="5" s="1"/>
  <c r="G54" i="5"/>
  <c r="J66" i="5"/>
  <c r="M66" i="5" s="1"/>
  <c r="I66" i="5"/>
  <c r="G66" i="5"/>
  <c r="J64" i="5"/>
  <c r="K64" i="5" s="1"/>
  <c r="I64" i="5"/>
  <c r="G64" i="5"/>
  <c r="J62" i="5"/>
  <c r="K62" i="5" s="1"/>
  <c r="I62" i="5"/>
  <c r="G62" i="5"/>
  <c r="J61" i="5"/>
  <c r="K61" i="5" s="1"/>
  <c r="I61" i="5"/>
  <c r="G61" i="5"/>
  <c r="G60" i="5"/>
  <c r="J55" i="5"/>
  <c r="K55" i="5" s="1"/>
  <c r="I55" i="5"/>
  <c r="G55" i="5"/>
  <c r="J53" i="5"/>
  <c r="I53" i="5"/>
  <c r="G53" i="5"/>
  <c r="J51" i="5"/>
  <c r="K51" i="5" s="1"/>
  <c r="I51" i="5"/>
  <c r="G51" i="5"/>
  <c r="J50" i="5"/>
  <c r="I50" i="5"/>
  <c r="G50" i="5"/>
  <c r="J49" i="5"/>
  <c r="J47" i="5" s="1"/>
  <c r="I49" i="5"/>
  <c r="G49" i="5"/>
  <c r="G47" i="5"/>
  <c r="M57" i="5" l="1"/>
  <c r="M56" i="5"/>
  <c r="M64" i="5"/>
  <c r="K60" i="5"/>
  <c r="M65" i="5"/>
  <c r="M67" i="5"/>
  <c r="M68" i="5"/>
  <c r="M62" i="5"/>
  <c r="M61" i="5"/>
  <c r="M63" i="5"/>
  <c r="K52" i="5"/>
  <c r="M50" i="5"/>
  <c r="M49" i="5"/>
  <c r="M53" i="5"/>
  <c r="M54" i="5"/>
  <c r="M51" i="5"/>
  <c r="M55" i="5"/>
  <c r="K49" i="5"/>
  <c r="K50" i="5"/>
  <c r="K53" i="5"/>
  <c r="K66" i="5"/>
  <c r="E76" i="5"/>
  <c r="E75" i="5"/>
  <c r="H73" i="5"/>
  <c r="E70" i="5"/>
  <c r="E73" i="5" s="1"/>
  <c r="G39" i="5" l="1"/>
  <c r="G40" i="5"/>
  <c r="G41" i="5"/>
  <c r="G42" i="5"/>
  <c r="G29" i="5"/>
  <c r="G30" i="5"/>
  <c r="G31" i="5"/>
  <c r="G32" i="5"/>
  <c r="G28" i="5"/>
  <c r="G26" i="5"/>
  <c r="G24" i="5"/>
  <c r="K17" i="5"/>
  <c r="K18" i="5"/>
  <c r="K19" i="5"/>
  <c r="K10" i="5"/>
  <c r="K7" i="5"/>
  <c r="K8" i="5"/>
  <c r="G17" i="5"/>
  <c r="G18" i="5"/>
  <c r="G19" i="5"/>
  <c r="G20" i="5"/>
  <c r="G11" i="5"/>
  <c r="G12" i="5"/>
  <c r="G13" i="5"/>
  <c r="G14" i="5"/>
  <c r="G10" i="5"/>
  <c r="G5" i="5"/>
  <c r="G6" i="5"/>
  <c r="G7" i="5"/>
  <c r="G8" i="5"/>
  <c r="I38" i="5"/>
  <c r="I28" i="5"/>
  <c r="L39" i="5"/>
  <c r="L40" i="5"/>
  <c r="L41" i="5"/>
  <c r="L42" i="5"/>
  <c r="L38" i="5"/>
  <c r="J38" i="5"/>
  <c r="L29" i="5"/>
  <c r="L30" i="5"/>
  <c r="L31" i="5"/>
  <c r="L32" i="5"/>
  <c r="L28" i="5"/>
  <c r="J28" i="5"/>
  <c r="K28" i="5" s="1"/>
  <c r="J41" i="5"/>
  <c r="K41" i="5" s="1"/>
  <c r="J39" i="5"/>
  <c r="K39" i="5" s="1"/>
  <c r="I17" i="5"/>
  <c r="I18" i="5"/>
  <c r="I19" i="5"/>
  <c r="I20" i="5"/>
  <c r="I41" i="5"/>
  <c r="I32" i="5"/>
  <c r="I31" i="5"/>
  <c r="I30" i="5"/>
  <c r="I29" i="5"/>
  <c r="J29" i="5"/>
  <c r="K29" i="5" s="1"/>
  <c r="J42" i="5"/>
  <c r="K42" i="5" s="1"/>
  <c r="I42" i="5"/>
  <c r="J40" i="5"/>
  <c r="K40" i="5" s="1"/>
  <c r="I39" i="5"/>
  <c r="J31" i="5"/>
  <c r="K31" i="5" s="1"/>
  <c r="J30" i="5"/>
  <c r="K30" i="5" s="1"/>
  <c r="J32" i="5"/>
  <c r="K32" i="5" s="1"/>
  <c r="R8" i="1"/>
  <c r="L11" i="5"/>
  <c r="J11" i="5"/>
  <c r="K11" i="5" s="1"/>
  <c r="I11" i="5"/>
  <c r="O62" i="1"/>
  <c r="K62" i="1"/>
  <c r="L62" i="1"/>
  <c r="N62" i="1"/>
  <c r="M62" i="1"/>
  <c r="J62" i="1"/>
  <c r="A20" i="4"/>
  <c r="A21" i="4"/>
  <c r="A22" i="4"/>
  <c r="A23" i="4"/>
  <c r="A24" i="4"/>
  <c r="A19" i="4"/>
  <c r="L20" i="5"/>
  <c r="J20" i="5"/>
  <c r="K20" i="5" s="1"/>
  <c r="L19" i="5"/>
  <c r="J19" i="5"/>
  <c r="L18" i="5"/>
  <c r="J18" i="5"/>
  <c r="L17" i="5"/>
  <c r="J17" i="5"/>
  <c r="L16" i="5"/>
  <c r="J16" i="5"/>
  <c r="K16" i="5" s="1"/>
  <c r="I16" i="5"/>
  <c r="L14" i="5"/>
  <c r="J14" i="5"/>
  <c r="K14" i="5" s="1"/>
  <c r="I14" i="5"/>
  <c r="L13" i="5"/>
  <c r="J13" i="5"/>
  <c r="K13" i="5" s="1"/>
  <c r="I13" i="5"/>
  <c r="L12" i="5"/>
  <c r="J12" i="5"/>
  <c r="K12" i="5" s="1"/>
  <c r="I12" i="5"/>
  <c r="L10" i="5"/>
  <c r="J10" i="5"/>
  <c r="I10" i="5"/>
  <c r="L8" i="5"/>
  <c r="J8" i="5"/>
  <c r="I8" i="5"/>
  <c r="L7" i="5"/>
  <c r="J7" i="5"/>
  <c r="I7" i="5"/>
  <c r="L6" i="5"/>
  <c r="J6" i="5"/>
  <c r="K6" i="5" s="1"/>
  <c r="I6" i="5"/>
  <c r="L5" i="5"/>
  <c r="J5" i="5"/>
  <c r="K5" i="5" s="1"/>
  <c r="I5" i="5"/>
  <c r="J4" i="5"/>
  <c r="I4" i="5"/>
  <c r="K12" i="4"/>
  <c r="K23" i="4"/>
  <c r="K35" i="4"/>
  <c r="H35" i="4"/>
  <c r="I35" i="4"/>
  <c r="H23" i="4"/>
  <c r="I23" i="4"/>
  <c r="H12" i="4"/>
  <c r="I12" i="4"/>
  <c r="M33" i="5" l="1"/>
  <c r="M34" i="5"/>
  <c r="K38" i="5"/>
  <c r="M44" i="5"/>
  <c r="M43" i="5"/>
  <c r="J26" i="5"/>
  <c r="M29" i="5"/>
  <c r="M42" i="5"/>
  <c r="M41" i="5"/>
  <c r="M40" i="5"/>
  <c r="M38" i="5"/>
  <c r="M39" i="5"/>
  <c r="M31" i="5"/>
  <c r="M32" i="5"/>
  <c r="M30" i="5"/>
  <c r="M28" i="5"/>
  <c r="I40" i="5"/>
  <c r="M14" i="5"/>
  <c r="M20" i="5"/>
  <c r="L63" i="1"/>
  <c r="N63" i="1"/>
  <c r="M63" i="1"/>
  <c r="M5" i="5"/>
  <c r="M7" i="5"/>
  <c r="M10" i="5"/>
  <c r="M11" i="5"/>
  <c r="M12" i="5"/>
  <c r="M13" i="5"/>
  <c r="M8" i="5"/>
  <c r="M4" i="5"/>
  <c r="M17" i="5"/>
  <c r="M6" i="5"/>
  <c r="M16" i="5"/>
  <c r="M18" i="5"/>
  <c r="M19" i="5"/>
  <c r="L32" i="4"/>
  <c r="L36" i="4"/>
  <c r="L31" i="4"/>
  <c r="L20" i="4"/>
  <c r="L21" i="4"/>
  <c r="L22" i="4"/>
  <c r="L24" i="4"/>
  <c r="L19" i="4"/>
  <c r="I33" i="4"/>
  <c r="L33" i="4" s="1"/>
  <c r="K32" i="4"/>
  <c r="K33" i="4"/>
  <c r="K34" i="4"/>
  <c r="K36" i="4"/>
  <c r="K31" i="4"/>
  <c r="I32" i="4"/>
  <c r="I31" i="4"/>
  <c r="L35" i="4" s="1"/>
  <c r="H31" i="4"/>
  <c r="K19" i="4"/>
  <c r="K20" i="4"/>
  <c r="K21" i="4"/>
  <c r="H42" i="4"/>
  <c r="G42" i="4"/>
  <c r="K22" i="4"/>
  <c r="K24" i="4"/>
  <c r="I19" i="4"/>
  <c r="L23" i="4" s="1"/>
  <c r="M24" i="4"/>
  <c r="M9" i="4"/>
  <c r="M10" i="4"/>
  <c r="M11" i="4"/>
  <c r="M13" i="4"/>
  <c r="K10" i="4"/>
  <c r="K11" i="4"/>
  <c r="K13" i="4"/>
  <c r="K9" i="4"/>
  <c r="I36" i="4"/>
  <c r="H36" i="4"/>
  <c r="I34" i="4"/>
  <c r="H34" i="4"/>
  <c r="H15" i="4"/>
  <c r="H16" i="4"/>
  <c r="H17" i="4"/>
  <c r="H18" i="4"/>
  <c r="H20" i="4"/>
  <c r="H21" i="4"/>
  <c r="H22" i="4"/>
  <c r="I15" i="4"/>
  <c r="I16" i="4"/>
  <c r="I17" i="4"/>
  <c r="I18" i="4"/>
  <c r="I20" i="4"/>
  <c r="I21" i="4"/>
  <c r="I22" i="4"/>
  <c r="I24" i="4"/>
  <c r="H24" i="4"/>
  <c r="H13" i="4"/>
  <c r="I13" i="4"/>
  <c r="G71" i="4"/>
  <c r="F71" i="4"/>
  <c r="G70" i="4"/>
  <c r="D70" i="4"/>
  <c r="I66" i="4"/>
  <c r="J66" i="4" s="1"/>
  <c r="D66" i="4"/>
  <c r="B66" i="4"/>
  <c r="D65" i="4"/>
  <c r="L64" i="4"/>
  <c r="L65" i="4" s="1"/>
  <c r="K64" i="4"/>
  <c r="G64" i="4"/>
  <c r="B64" i="4"/>
  <c r="I62" i="4"/>
  <c r="J62" i="4" s="1"/>
  <c r="I11" i="4"/>
  <c r="H11" i="4"/>
  <c r="I10" i="4"/>
  <c r="H10" i="4"/>
  <c r="I9" i="4"/>
  <c r="H9" i="4"/>
  <c r="I8" i="4"/>
  <c r="L12" i="4" s="1"/>
  <c r="H8" i="4"/>
  <c r="I7" i="4"/>
  <c r="H7" i="4"/>
  <c r="I6" i="4"/>
  <c r="H6" i="4"/>
  <c r="I5" i="4"/>
  <c r="H5" i="4"/>
  <c r="I4" i="4"/>
  <c r="H4" i="4"/>
  <c r="I63" i="4" l="1"/>
  <c r="I64" i="4" s="1"/>
  <c r="L34" i="4"/>
  <c r="N13" i="4"/>
  <c r="L9" i="4"/>
  <c r="N11" i="4"/>
  <c r="L8" i="4"/>
  <c r="L11" i="4"/>
  <c r="N10" i="4"/>
  <c r="N9" i="4"/>
  <c r="L10" i="4"/>
  <c r="L13" i="4"/>
  <c r="N24" i="4"/>
  <c r="H19" i="4"/>
  <c r="K52" i="3"/>
  <c r="L52" i="3" s="1"/>
  <c r="I50" i="3"/>
  <c r="I45" i="3"/>
  <c r="I46" i="3" s="1"/>
  <c r="H45" i="3"/>
  <c r="L37" i="3"/>
  <c r="L38" i="3"/>
  <c r="L39" i="3"/>
  <c r="L40" i="3"/>
  <c r="K37" i="3"/>
  <c r="K38" i="3"/>
  <c r="K39" i="3"/>
  <c r="K40" i="3"/>
  <c r="K41" i="3"/>
  <c r="K42" i="3"/>
  <c r="K43" i="3"/>
  <c r="K36" i="3"/>
  <c r="H36" i="3"/>
  <c r="I36" i="3"/>
  <c r="L41" i="3" s="1"/>
  <c r="H37" i="3"/>
  <c r="I37" i="3"/>
  <c r="H38" i="3"/>
  <c r="I38" i="3"/>
  <c r="H39" i="3"/>
  <c r="I39" i="3"/>
  <c r="H40" i="3"/>
  <c r="I40" i="3"/>
  <c r="H41" i="3"/>
  <c r="I41" i="3"/>
  <c r="H42" i="3"/>
  <c r="I42" i="3"/>
  <c r="G67" i="3"/>
  <c r="G68" i="3"/>
  <c r="D67" i="3"/>
  <c r="F68" i="3"/>
  <c r="B63" i="3"/>
  <c r="B61" i="3"/>
  <c r="D62" i="3"/>
  <c r="D63" i="3"/>
  <c r="L61" i="3"/>
  <c r="L62" i="3" s="1"/>
  <c r="K61" i="3"/>
  <c r="I63" i="3"/>
  <c r="J63" i="3" s="1"/>
  <c r="I59" i="3"/>
  <c r="J59" i="3" s="1"/>
  <c r="I54" i="3"/>
  <c r="J54" i="3" s="1"/>
  <c r="I53" i="3"/>
  <c r="I43" i="3"/>
  <c r="H43" i="3"/>
  <c r="M52" i="3" l="1"/>
  <c r="L43" i="3"/>
  <c r="L42" i="3"/>
  <c r="L36" i="3"/>
  <c r="I60" i="3"/>
  <c r="I61" i="3" s="1"/>
  <c r="H32" i="3"/>
  <c r="G61" i="3" l="1"/>
  <c r="E51" i="3"/>
  <c r="E49" i="3"/>
  <c r="E50" i="3"/>
  <c r="H11" i="3"/>
  <c r="I11" i="3"/>
  <c r="K11" i="3"/>
  <c r="K32" i="3"/>
  <c r="I32" i="3"/>
  <c r="K31" i="3"/>
  <c r="I31" i="3"/>
  <c r="H31" i="3"/>
  <c r="K30" i="3"/>
  <c r="I30" i="3"/>
  <c r="H30" i="3"/>
  <c r="K29" i="3"/>
  <c r="I29" i="3"/>
  <c r="H29" i="3"/>
  <c r="K28" i="3"/>
  <c r="I28" i="3"/>
  <c r="H28" i="3"/>
  <c r="K27" i="3"/>
  <c r="I27" i="3"/>
  <c r="H27" i="3"/>
  <c r="K26" i="3"/>
  <c r="I26" i="3"/>
  <c r="H26" i="3"/>
  <c r="K25" i="3"/>
  <c r="I25" i="3"/>
  <c r="H25" i="3"/>
  <c r="K21" i="3"/>
  <c r="I21" i="3"/>
  <c r="H21" i="3"/>
  <c r="K20" i="3"/>
  <c r="I20" i="3"/>
  <c r="H20" i="3"/>
  <c r="K19" i="3"/>
  <c r="I19" i="3"/>
  <c r="H19" i="3"/>
  <c r="K18" i="3"/>
  <c r="I18" i="3"/>
  <c r="H18" i="3"/>
  <c r="K17" i="3"/>
  <c r="I17" i="3"/>
  <c r="H17" i="3"/>
  <c r="K16" i="3"/>
  <c r="I16" i="3"/>
  <c r="H16" i="3"/>
  <c r="K15" i="3"/>
  <c r="I15" i="3"/>
  <c r="H15" i="3"/>
  <c r="K14" i="3"/>
  <c r="I14" i="3"/>
  <c r="H14" i="3"/>
  <c r="K10" i="3"/>
  <c r="I10" i="3"/>
  <c r="H10" i="3"/>
  <c r="K9" i="3"/>
  <c r="I9" i="3"/>
  <c r="H9" i="3"/>
  <c r="K8" i="3"/>
  <c r="I8" i="3"/>
  <c r="H8" i="3"/>
  <c r="K7" i="3"/>
  <c r="I7" i="3"/>
  <c r="H7" i="3"/>
  <c r="K6" i="3"/>
  <c r="I6" i="3"/>
  <c r="H6" i="3"/>
  <c r="K5" i="3"/>
  <c r="I5" i="3"/>
  <c r="H5" i="3"/>
  <c r="K4" i="3"/>
  <c r="I4" i="3"/>
  <c r="L4" i="3" s="1"/>
  <c r="H4" i="3"/>
  <c r="K21" i="2"/>
  <c r="K22" i="2"/>
  <c r="I21" i="2"/>
  <c r="I22" i="2"/>
  <c r="H21" i="2"/>
  <c r="H22" i="2"/>
  <c r="H33" i="2"/>
  <c r="I33" i="2"/>
  <c r="K33" i="2"/>
  <c r="H32" i="2"/>
  <c r="I32" i="2"/>
  <c r="K32" i="2"/>
  <c r="F92" i="2"/>
  <c r="F93" i="2"/>
  <c r="F94" i="2"/>
  <c r="F95" i="2"/>
  <c r="F96" i="2"/>
  <c r="F97" i="2"/>
  <c r="F98" i="2"/>
  <c r="F91" i="2"/>
  <c r="H43" i="2"/>
  <c r="I43" i="2"/>
  <c r="K43" i="2"/>
  <c r="F50" i="3" l="1"/>
  <c r="F51" i="3"/>
  <c r="L25" i="3"/>
  <c r="L28" i="3"/>
  <c r="L32" i="3"/>
  <c r="L27" i="3"/>
  <c r="L31" i="3"/>
  <c r="L26" i="3"/>
  <c r="L30" i="3"/>
  <c r="L29" i="3"/>
  <c r="L15" i="3"/>
  <c r="L17" i="3"/>
  <c r="L21" i="3"/>
  <c r="L16" i="3"/>
  <c r="L20" i="3"/>
  <c r="L19" i="3"/>
  <c r="L14" i="3"/>
  <c r="L18" i="3"/>
  <c r="L5" i="3"/>
  <c r="L9" i="3"/>
  <c r="L8" i="3"/>
  <c r="L7" i="3"/>
  <c r="L11" i="3"/>
  <c r="L6" i="3"/>
  <c r="L10" i="3"/>
  <c r="K37" i="2"/>
  <c r="K38" i="2"/>
  <c r="I37" i="2"/>
  <c r="I38" i="2"/>
  <c r="H37" i="2"/>
  <c r="H38" i="2"/>
  <c r="H42" i="2"/>
  <c r="I42" i="2"/>
  <c r="K42" i="2"/>
  <c r="C45" i="2"/>
  <c r="B46" i="2"/>
  <c r="B47" i="2" s="1"/>
  <c r="K36" i="2"/>
  <c r="H36" i="2"/>
  <c r="I36" i="2"/>
  <c r="K39" i="2"/>
  <c r="H39" i="2"/>
  <c r="I39" i="2"/>
  <c r="B48" i="2" l="1"/>
  <c r="C48" i="2" s="1"/>
  <c r="C47" i="2"/>
  <c r="C46" i="2"/>
  <c r="K40" i="2"/>
  <c r="K41" i="2"/>
  <c r="K35" i="2"/>
  <c r="H10" i="2"/>
  <c r="I10" i="2"/>
  <c r="K10" i="2"/>
  <c r="K25" i="2"/>
  <c r="K26" i="2"/>
  <c r="K27" i="2"/>
  <c r="K28" i="2"/>
  <c r="K29" i="2"/>
  <c r="K30" i="2"/>
  <c r="K31" i="2"/>
  <c r="K24" i="2"/>
  <c r="H26" i="2"/>
  <c r="I26" i="2"/>
  <c r="H31" i="2"/>
  <c r="I31" i="2"/>
  <c r="H20" i="2"/>
  <c r="I20" i="2"/>
  <c r="K20" i="2"/>
  <c r="H15" i="2"/>
  <c r="I15" i="2"/>
  <c r="K15" i="2"/>
  <c r="K14" i="2"/>
  <c r="K16" i="2"/>
  <c r="K17" i="2"/>
  <c r="K18" i="2"/>
  <c r="K19" i="2"/>
  <c r="K13" i="2"/>
  <c r="K4" i="2"/>
  <c r="K5" i="2"/>
  <c r="K6" i="2"/>
  <c r="K7" i="2"/>
  <c r="K8" i="2"/>
  <c r="K9" i="2"/>
  <c r="K3" i="2"/>
  <c r="I41" i="2"/>
  <c r="H41" i="2"/>
  <c r="I40" i="2"/>
  <c r="H40" i="2"/>
  <c r="I35" i="2"/>
  <c r="H35" i="2"/>
  <c r="I24" i="2"/>
  <c r="I25" i="2"/>
  <c r="I27" i="2"/>
  <c r="I28" i="2"/>
  <c r="I29" i="2"/>
  <c r="I30" i="2"/>
  <c r="H24" i="2"/>
  <c r="H25" i="2"/>
  <c r="H27" i="2"/>
  <c r="H28" i="2"/>
  <c r="H29" i="2"/>
  <c r="H30" i="2"/>
  <c r="I14" i="2"/>
  <c r="I16" i="2"/>
  <c r="I17" i="2"/>
  <c r="I18" i="2"/>
  <c r="I19" i="2"/>
  <c r="I13" i="2"/>
  <c r="I4" i="2"/>
  <c r="I5" i="2"/>
  <c r="I6" i="2"/>
  <c r="I7" i="2"/>
  <c r="I8" i="2"/>
  <c r="I9" i="2"/>
  <c r="I3" i="2"/>
  <c r="H14" i="2"/>
  <c r="H16" i="2"/>
  <c r="H17" i="2"/>
  <c r="H18" i="2"/>
  <c r="H19" i="2"/>
  <c r="H13" i="2"/>
  <c r="H9" i="2"/>
  <c r="H8" i="2"/>
  <c r="H3" i="2"/>
  <c r="H4" i="2"/>
  <c r="H5" i="2"/>
  <c r="H7" i="2"/>
  <c r="H6" i="2"/>
  <c r="L22" i="2" l="1"/>
  <c r="L21" i="2"/>
  <c r="L42" i="2"/>
  <c r="L43" i="2"/>
  <c r="L37" i="2"/>
  <c r="L38" i="2"/>
  <c r="L32" i="2"/>
  <c r="L33" i="2"/>
  <c r="L31" i="2"/>
  <c r="L10" i="2"/>
  <c r="L19" i="2"/>
  <c r="L20" i="2"/>
  <c r="L6" i="2"/>
  <c r="L3" i="2"/>
  <c r="L4" i="2"/>
  <c r="L8" i="2"/>
  <c r="L5" i="2"/>
  <c r="L9" i="2"/>
  <c r="L7" i="2"/>
  <c r="L28" i="2"/>
  <c r="L26" i="2"/>
  <c r="L30" i="2"/>
  <c r="L29" i="2"/>
  <c r="L27" i="2"/>
  <c r="L24" i="2"/>
  <c r="L25" i="2"/>
  <c r="L36" i="2"/>
  <c r="L35" i="2"/>
  <c r="L40" i="2"/>
  <c r="L41" i="2"/>
  <c r="L39" i="2"/>
  <c r="L14" i="2"/>
  <c r="L18" i="2"/>
  <c r="L16" i="2"/>
  <c r="L13" i="2"/>
  <c r="L17" i="2"/>
  <c r="L15" i="2"/>
</calcChain>
</file>

<file path=xl/sharedStrings.xml><?xml version="1.0" encoding="utf-8"?>
<sst xmlns="http://schemas.openxmlformats.org/spreadsheetml/2006/main" count="235" uniqueCount="140">
  <si>
    <t>Prod         up 90-00:00:0      1  down* compute192</t>
  </si>
  <si>
    <t>Prod         up 90-00:00:0      5  alloc compute[80,148,188-190]</t>
  </si>
  <si>
    <t>Prod         up 90-00:00:0     44   idle compute[81-92,150-159,165-175,179-185,191,193-195]</t>
  </si>
  <si>
    <t>Debug*       up 1-00:00:00      3  alloc compute[149,176,178]</t>
  </si>
  <si>
    <t>Debug*       up 1-00:00:00      2   idle compute[147,177]</t>
  </si>
  <si>
    <t>compute80</t>
  </si>
  <si>
    <t>node</t>
  </si>
  <si>
    <t>cores</t>
  </si>
  <si>
    <t>siblings</t>
  </si>
  <si>
    <t>cpu</t>
  </si>
  <si>
    <t>compute148</t>
  </si>
  <si>
    <t>model name</t>
  </si>
  <si>
    <t>bogomips</t>
  </si>
  <si>
    <t>Intel(R) Xeon(R) CPU           X5690  @ 3.47GHz</t>
  </si>
  <si>
    <t>compute188</t>
  </si>
  <si>
    <t>Intel(R) Xeon(R) CPU           X5570  @ 2.93GHz</t>
  </si>
  <si>
    <t>compute189</t>
  </si>
  <si>
    <t>compute190</t>
  </si>
  <si>
    <t>Intel(R) Xeon(R) CPU           E5420  @ 2.50GHz</t>
  </si>
  <si>
    <t>compute81</t>
  </si>
  <si>
    <t>compute82</t>
  </si>
  <si>
    <t>compute83</t>
  </si>
  <si>
    <t>compute84</t>
  </si>
  <si>
    <t>compute85</t>
  </si>
  <si>
    <t>compute86</t>
  </si>
  <si>
    <t>compute87</t>
  </si>
  <si>
    <t>compute88</t>
  </si>
  <si>
    <t>compute89</t>
  </si>
  <si>
    <t>compute90</t>
  </si>
  <si>
    <t>compute91</t>
  </si>
  <si>
    <t>compute92</t>
  </si>
  <si>
    <t>Intel(R) Xeon(R) CPU           E6540  @ 2.00GHz</t>
  </si>
  <si>
    <t>Intel(R) Xeon(R) CPU           X5660  @ 2.80GHz</t>
  </si>
  <si>
    <t>compute150</t>
  </si>
  <si>
    <t>compute151</t>
  </si>
  <si>
    <t>compute152</t>
  </si>
  <si>
    <t>compute153</t>
  </si>
  <si>
    <t>compute154</t>
  </si>
  <si>
    <t>compute155</t>
  </si>
  <si>
    <t>compute156</t>
  </si>
  <si>
    <t>compute157</t>
  </si>
  <si>
    <t>compute158</t>
  </si>
  <si>
    <t>compute159</t>
  </si>
  <si>
    <t>Intel(R) Xeon(R) CPU           X5355  @ 2.66GHz</t>
  </si>
  <si>
    <t>Intel(R) Xeon(R) CPU           E5450  @ 3.00GHz</t>
  </si>
  <si>
    <t>compute165</t>
  </si>
  <si>
    <t>compute166</t>
  </si>
  <si>
    <t>compute167</t>
  </si>
  <si>
    <t>compute168</t>
  </si>
  <si>
    <t>compute169</t>
  </si>
  <si>
    <t>compute170</t>
  </si>
  <si>
    <t>compute171</t>
  </si>
  <si>
    <t>compute172</t>
  </si>
  <si>
    <t>compute173</t>
  </si>
  <si>
    <t>compute174</t>
  </si>
  <si>
    <t>compute175</t>
  </si>
  <si>
    <t>Intel(R) Xeon(R) CPU            5160  @ 3.00GHz</t>
  </si>
  <si>
    <t>Intel(R) Xeon(R) CPU           E5345  @ 2.33GHz</t>
  </si>
  <si>
    <t>compute179</t>
  </si>
  <si>
    <t>compute180</t>
  </si>
  <si>
    <t>compute181</t>
  </si>
  <si>
    <t>compute182</t>
  </si>
  <si>
    <t>compute183</t>
  </si>
  <si>
    <t>compute184</t>
  </si>
  <si>
    <t>compute185</t>
  </si>
  <si>
    <t>compute191</t>
  </si>
  <si>
    <t>compute193</t>
  </si>
  <si>
    <t>compute194</t>
  </si>
  <si>
    <t>compute195</t>
  </si>
  <si>
    <t>Intel(R) Xeon(R) CPU           E5530  @ 2.40GHz</t>
  </si>
  <si>
    <t>Intel(R) Xeon(R) CPU           E5520  @ 2.27GHz</t>
  </si>
  <si>
    <t>Flow</t>
  </si>
  <si>
    <t>Transport</t>
  </si>
  <si>
    <t>Flow/Trans com</t>
  </si>
  <si>
    <t>Chemistry</t>
  </si>
  <si>
    <t>Chemistry com</t>
  </si>
  <si>
    <t>n</t>
  </si>
  <si>
    <t>Total</t>
  </si>
  <si>
    <t>Total chem</t>
  </si>
  <si>
    <t>Cells</t>
  </si>
  <si>
    <t>X,Y,Z x 1</t>
  </si>
  <si>
    <t>X,Y,Z x 2</t>
  </si>
  <si>
    <t>X,Y,Z x 4</t>
  </si>
  <si>
    <t>X,Y,Z x 8</t>
  </si>
  <si>
    <t>Speedup Chem</t>
  </si>
  <si>
    <t>Speedup w Comm</t>
  </si>
  <si>
    <t>6,5</t>
  </si>
  <si>
    <t>4,4,3</t>
  </si>
  <si>
    <t>3,3,3,2</t>
  </si>
  <si>
    <t>3,2,2,2,2</t>
  </si>
  <si>
    <t>2,2,2,2,2,1</t>
  </si>
  <si>
    <t>2,2,2,2,1,1,1</t>
  </si>
  <si>
    <t>2,2,2,1,1,1,1,1</t>
  </si>
  <si>
    <t>transport</t>
  </si>
  <si>
    <t>t commun</t>
  </si>
  <si>
    <t>Fastest CPU</t>
  </si>
  <si>
    <t>Processors</t>
  </si>
  <si>
    <t>T + Commun</t>
  </si>
  <si>
    <t>Example 2</t>
  </si>
  <si>
    <t>x 1</t>
  </si>
  <si>
    <t>x 2</t>
  </si>
  <si>
    <t>x 4</t>
  </si>
  <si>
    <t>X,Y,Z x 4 ORNL</t>
  </si>
  <si>
    <t>2.098/0.002</t>
  </si>
  <si>
    <t>2.2e-2*5e-2/1e-3</t>
  </si>
  <si>
    <t>ex4</t>
  </si>
  <si>
    <t>MoMaS</t>
  </si>
  <si>
    <t>Easy</t>
  </si>
  <si>
    <t>Medium</t>
  </si>
  <si>
    <t>Hard</t>
  </si>
  <si>
    <t>6000/763*2222</t>
  </si>
  <si>
    <t>x5690</t>
  </si>
  <si>
    <t>E5450</t>
  </si>
  <si>
    <t>X5570</t>
  </si>
  <si>
    <t>x5660</t>
  </si>
  <si>
    <t>X5355</t>
  </si>
  <si>
    <t>x</t>
  </si>
  <si>
    <t>compute192</t>
  </si>
  <si>
    <t>Easy (MT)</t>
  </si>
  <si>
    <t>lobo2</t>
  </si>
  <si>
    <t>Easy (MP)</t>
  </si>
  <si>
    <t>Chem (hr)</t>
  </si>
  <si>
    <t>Tot Chem Hr</t>
  </si>
  <si>
    <t>Set "d", selected fastest processors, eliminated 188-190</t>
  </si>
  <si>
    <t xml:space="preserve">compute193 normalization factor 8.30, bogomips 5866 </t>
  </si>
  <si>
    <t>lobo2 normalization factor 19.68, bogomips 3800</t>
  </si>
  <si>
    <t>dx</t>
  </si>
  <si>
    <t>v</t>
  </si>
  <si>
    <t>dt</t>
  </si>
  <si>
    <t>Cr</t>
  </si>
  <si>
    <t>cells</t>
  </si>
  <si>
    <t>sim time</t>
  </si>
  <si>
    <t>calcs</t>
  </si>
  <si>
    <t>time disp</t>
  </si>
  <si>
    <t>space disp</t>
  </si>
  <si>
    <t>park2</t>
  </si>
  <si>
    <t>park2 normalization factor ??, bogomips 3800</t>
  </si>
  <si>
    <t>Sr 86</t>
  </si>
  <si>
    <t>Sr 87</t>
  </si>
  <si>
    <t>R87/86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</si>
</sst>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1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 Only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x 1</c:v>
          </c:tx>
          <c:spPr>
            <a:ln w="28575">
              <a:noFill/>
            </a:ln>
          </c:spPr>
          <c:xVal>
            <c:numRef>
              <c:f>Sheet2!$B$2:$B$10</c:f>
              <c:numCache>
                <c:formatCode>General</c:formatCode>
                <c:ptCount val="9"/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96</c:v>
                </c:pt>
              </c:numCache>
            </c:numRef>
          </c:xVal>
          <c:yVal>
            <c:numRef>
              <c:f>Sheet2!$F$2:$F$10</c:f>
              <c:numCache>
                <c:formatCode>0.00</c:formatCode>
                <c:ptCount val="9"/>
                <c:pt idx="1">
                  <c:v>75.37</c:v>
                </c:pt>
                <c:pt idx="2">
                  <c:v>42.65</c:v>
                </c:pt>
                <c:pt idx="3">
                  <c:v>21.71</c:v>
                </c:pt>
                <c:pt idx="4">
                  <c:v>10.79</c:v>
                </c:pt>
                <c:pt idx="5">
                  <c:v>5.74</c:v>
                </c:pt>
                <c:pt idx="6">
                  <c:v>2.95</c:v>
                </c:pt>
                <c:pt idx="7">
                  <c:v>1.6</c:v>
                </c:pt>
                <c:pt idx="8">
                  <c:v>1.21</c:v>
                </c:pt>
              </c:numCache>
            </c:numRef>
          </c:yVal>
          <c:smooth val="0"/>
        </c:ser>
        <c:ser>
          <c:idx val="0"/>
          <c:order val="1"/>
          <c:tx>
            <c:v>x 2</c:v>
          </c:tx>
          <c:spPr>
            <a:ln w="28575">
              <a:noFill/>
            </a:ln>
          </c:spPr>
          <c:xVal>
            <c:numRef>
              <c:f>Sheet2!$B$13:$B$20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Sheet2!$F$13:$F$20</c:f>
              <c:numCache>
                <c:formatCode>0.00</c:formatCode>
                <c:ptCount val="8"/>
                <c:pt idx="0">
                  <c:v>547.54</c:v>
                </c:pt>
                <c:pt idx="1">
                  <c:v>298.92</c:v>
                </c:pt>
                <c:pt idx="2">
                  <c:v>150.51</c:v>
                </c:pt>
                <c:pt idx="3">
                  <c:v>76.08</c:v>
                </c:pt>
                <c:pt idx="4">
                  <c:v>42.03</c:v>
                </c:pt>
                <c:pt idx="5">
                  <c:v>20.059999999999999</c:v>
                </c:pt>
                <c:pt idx="6">
                  <c:v>10.31</c:v>
                </c:pt>
                <c:pt idx="7">
                  <c:v>7.05</c:v>
                </c:pt>
              </c:numCache>
            </c:numRef>
          </c:yVal>
          <c:smooth val="0"/>
        </c:ser>
        <c:ser>
          <c:idx val="1"/>
          <c:order val="2"/>
          <c:tx>
            <c:v>x 4</c:v>
          </c:tx>
          <c:spPr>
            <a:ln w="28575">
              <a:noFill/>
            </a:ln>
          </c:spPr>
          <c:xVal>
            <c:numRef>
              <c:f>Sheet2!$B$24:$B$31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Sheet2!$F$24:$F$31</c:f>
              <c:numCache>
                <c:formatCode>0.00</c:formatCode>
                <c:ptCount val="8"/>
                <c:pt idx="0">
                  <c:v>4285.17</c:v>
                </c:pt>
                <c:pt idx="1">
                  <c:v>2315.33</c:v>
                </c:pt>
                <c:pt idx="2">
                  <c:v>1152.54</c:v>
                </c:pt>
                <c:pt idx="3">
                  <c:v>572.1</c:v>
                </c:pt>
                <c:pt idx="4">
                  <c:v>299.35000000000002</c:v>
                </c:pt>
                <c:pt idx="5">
                  <c:v>153.05000000000001</c:v>
                </c:pt>
                <c:pt idx="6">
                  <c:v>76.900000000000006</c:v>
                </c:pt>
                <c:pt idx="7">
                  <c:v>50.86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xVal>
            <c:numRef>
              <c:f>Sheet2!$B$35:$B$42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Sheet2!$F$35:$F$42</c:f>
              <c:numCache>
                <c:formatCode>0.00</c:formatCode>
                <c:ptCount val="8"/>
                <c:pt idx="0">
                  <c:v>35152.83</c:v>
                </c:pt>
                <c:pt idx="1">
                  <c:v>19124.400000000001</c:v>
                </c:pt>
                <c:pt idx="2">
                  <c:v>9197.24</c:v>
                </c:pt>
                <c:pt idx="3">
                  <c:v>4554.91</c:v>
                </c:pt>
                <c:pt idx="4">
                  <c:v>2369.87</c:v>
                </c:pt>
                <c:pt idx="5">
                  <c:v>1200.43</c:v>
                </c:pt>
                <c:pt idx="6">
                  <c:v>599.72</c:v>
                </c:pt>
                <c:pt idx="7">
                  <c:v>398.34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48568"/>
        <c:axId val="244443080"/>
      </c:scatterChart>
      <c:valAx>
        <c:axId val="2444485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443080"/>
        <c:crossesAt val="1.0000000000000002E-2"/>
        <c:crossBetween val="midCat"/>
      </c:valAx>
      <c:valAx>
        <c:axId val="2444430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Time, in 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44448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 Speedup w Comm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marker>
            <c:symbol val="none"/>
          </c:marker>
          <c:xVal>
            <c:numRef>
              <c:f>Sheet3!$M$4:$M$12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512</c:v>
                </c:pt>
              </c:numCache>
            </c:numRef>
          </c:xVal>
          <c:yVal>
            <c:numRef>
              <c:f>Sheet3!$M$4:$M$12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512</c:v>
                </c:pt>
              </c:numCache>
            </c:numRef>
          </c:yVal>
          <c:smooth val="0"/>
        </c:ser>
        <c:ser>
          <c:idx val="1"/>
          <c:order val="1"/>
          <c:tx>
            <c:v>x 1</c:v>
          </c:tx>
          <c:marker>
            <c:symbol val="none"/>
          </c:marker>
          <c:xVal>
            <c:numRef>
              <c:f>Sheet3!$B$4:$B$11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Sheet3!$L$4:$L$11</c:f>
              <c:numCache>
                <c:formatCode>General</c:formatCode>
                <c:ptCount val="8"/>
                <c:pt idx="0">
                  <c:v>1</c:v>
                </c:pt>
                <c:pt idx="1">
                  <c:v>1.9358115713642501</c:v>
                </c:pt>
                <c:pt idx="2">
                  <c:v>3.8603254769921436</c:v>
                </c:pt>
                <c:pt idx="3">
                  <c:v>7.5148568931614586</c:v>
                </c:pt>
                <c:pt idx="4">
                  <c:v>14.525126689189189</c:v>
                </c:pt>
                <c:pt idx="5">
                  <c:v>27.061762391817467</c:v>
                </c:pt>
                <c:pt idx="6">
                  <c:v>50.029818181818179</c:v>
                </c:pt>
                <c:pt idx="7">
                  <c:v>69.206237424547282</c:v>
                </c:pt>
              </c:numCache>
            </c:numRef>
          </c:yVal>
          <c:smooth val="0"/>
        </c:ser>
        <c:ser>
          <c:idx val="2"/>
          <c:order val="2"/>
          <c:tx>
            <c:v>x 2</c:v>
          </c:tx>
          <c:marker>
            <c:symbol val="none"/>
          </c:marker>
          <c:xVal>
            <c:numRef>
              <c:f>Sheet3!$B$14:$B$21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Sheet3!$L$14:$L$21</c:f>
              <c:numCache>
                <c:formatCode>General</c:formatCode>
                <c:ptCount val="8"/>
                <c:pt idx="0">
                  <c:v>1</c:v>
                </c:pt>
                <c:pt idx="1">
                  <c:v>1.9272897521884935</c:v>
                </c:pt>
                <c:pt idx="2">
                  <c:v>3.8915270632722154</c:v>
                </c:pt>
                <c:pt idx="3">
                  <c:v>7.715678069533074</c:v>
                </c:pt>
                <c:pt idx="4">
                  <c:v>14.39901734292129</c:v>
                </c:pt>
                <c:pt idx="5">
                  <c:v>28.121822572445346</c:v>
                </c:pt>
                <c:pt idx="6">
                  <c:v>50.562728519195616</c:v>
                </c:pt>
                <c:pt idx="7">
                  <c:v>64.395372526193256</c:v>
                </c:pt>
              </c:numCache>
            </c:numRef>
          </c:yVal>
          <c:smooth val="0"/>
        </c:ser>
        <c:ser>
          <c:idx val="3"/>
          <c:order val="3"/>
          <c:tx>
            <c:v>x 4</c:v>
          </c:tx>
          <c:marker>
            <c:symbol val="none"/>
          </c:marker>
          <c:xVal>
            <c:numRef>
              <c:f>Sheet3!$B$25:$B$32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Sheet3!$L$25:$L$32</c:f>
              <c:numCache>
                <c:formatCode>General</c:formatCode>
                <c:ptCount val="8"/>
                <c:pt idx="0">
                  <c:v>1</c:v>
                </c:pt>
                <c:pt idx="1">
                  <c:v>1.9468839764673072</c:v>
                </c:pt>
                <c:pt idx="2">
                  <c:v>3.9128994830219717</c:v>
                </c:pt>
                <c:pt idx="3">
                  <c:v>7.847254983296966</c:v>
                </c:pt>
                <c:pt idx="4">
                  <c:v>14.977316593272747</c:v>
                </c:pt>
                <c:pt idx="5">
                  <c:v>29.266367630904437</c:v>
                </c:pt>
                <c:pt idx="6">
                  <c:v>56.029758149316521</c:v>
                </c:pt>
                <c:pt idx="7">
                  <c:v>79.860565033847081</c:v>
                </c:pt>
              </c:numCache>
            </c:numRef>
          </c:yVal>
          <c:smooth val="0"/>
        </c:ser>
        <c:ser>
          <c:idx val="4"/>
          <c:order val="4"/>
          <c:tx>
            <c:v>x4 ORNL</c:v>
          </c:tx>
          <c:marker>
            <c:symbol val="none"/>
          </c:marker>
          <c:xVal>
            <c:numRef>
              <c:f>Sheet3!$B$36:$B$43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Sheet3!$L$36:$L$43</c:f>
              <c:numCache>
                <c:formatCode>General</c:formatCode>
                <c:ptCount val="8"/>
                <c:pt idx="0">
                  <c:v>1</c:v>
                </c:pt>
                <c:pt idx="1">
                  <c:v>5.7092212894815786</c:v>
                </c:pt>
                <c:pt idx="2">
                  <c:v>11.404643142486456</c:v>
                </c:pt>
                <c:pt idx="3">
                  <c:v>22.008646297475067</c:v>
                </c:pt>
                <c:pt idx="4">
                  <c:v>42.56620614185077</c:v>
                </c:pt>
                <c:pt idx="5">
                  <c:v>81.551529843412183</c:v>
                </c:pt>
                <c:pt idx="6">
                  <c:v>151.01805343233605</c:v>
                </c:pt>
                <c:pt idx="7">
                  <c:v>261.43010165504495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75736"/>
        <c:axId val="245674168"/>
      </c:scatterChart>
      <c:valAx>
        <c:axId val="24567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674168"/>
        <c:crosses val="autoZero"/>
        <c:crossBetween val="midCat"/>
      </c:valAx>
      <c:valAx>
        <c:axId val="245674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675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 Only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Easy</c:v>
          </c:tx>
          <c:xVal>
            <c:numRef>
              <c:f>Sheet4!$B$4:$B$13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  <c:pt idx="9">
                  <c:v>256</c:v>
                </c:pt>
              </c:numCache>
            </c:numRef>
          </c:xVal>
          <c:yVal>
            <c:numRef>
              <c:f>Sheet4!$F$4:$F$13</c:f>
              <c:numCache>
                <c:formatCode>0.00</c:formatCode>
                <c:ptCount val="10"/>
                <c:pt idx="4">
                  <c:v>4779.9399999999996</c:v>
                </c:pt>
                <c:pt idx="5">
                  <c:v>2482.11</c:v>
                </c:pt>
                <c:pt idx="6">
                  <c:v>1344.66</c:v>
                </c:pt>
                <c:pt idx="7">
                  <c:v>770.39</c:v>
                </c:pt>
                <c:pt idx="8">
                  <c:v>1411.36</c:v>
                </c:pt>
                <c:pt idx="9">
                  <c:v>1239.9100000000001</c:v>
                </c:pt>
              </c:numCache>
            </c:numRef>
          </c:yVal>
          <c:smooth val="0"/>
        </c:ser>
        <c:ser>
          <c:idx val="1"/>
          <c:order val="1"/>
          <c:tx>
            <c:v>Medium</c:v>
          </c:tx>
          <c:xVal>
            <c:numRef>
              <c:f>Sheet4!$B$15:$B$24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  <c:pt idx="9">
                  <c:v>256</c:v>
                </c:pt>
              </c:numCache>
            </c:numRef>
          </c:xVal>
          <c:yVal>
            <c:numRef>
              <c:f>Sheet4!$F$15:$F$24</c:f>
              <c:numCache>
                <c:formatCode>0.00</c:formatCode>
                <c:ptCount val="10"/>
                <c:pt idx="4">
                  <c:v>8853.2999999999993</c:v>
                </c:pt>
                <c:pt idx="5">
                  <c:v>4777.79</c:v>
                </c:pt>
                <c:pt idx="6">
                  <c:v>2722.04</c:v>
                </c:pt>
                <c:pt idx="7">
                  <c:v>1618.91</c:v>
                </c:pt>
                <c:pt idx="8">
                  <c:v>2382.2199999999998</c:v>
                </c:pt>
                <c:pt idx="9">
                  <c:v>1868.12</c:v>
                </c:pt>
              </c:numCache>
            </c:numRef>
          </c:yVal>
          <c:smooth val="0"/>
        </c:ser>
        <c:ser>
          <c:idx val="2"/>
          <c:order val="2"/>
          <c:tx>
            <c:v>Hard</c:v>
          </c:tx>
          <c:xVal>
            <c:numRef>
              <c:f>Sheet4!$B$27:$B$36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  <c:pt idx="9">
                  <c:v>256</c:v>
                </c:pt>
              </c:numCache>
            </c:numRef>
          </c:xVal>
          <c:yVal>
            <c:numRef>
              <c:f>Sheet4!$F$27:$F$36</c:f>
              <c:numCache>
                <c:formatCode>0.00</c:formatCode>
                <c:ptCount val="10"/>
                <c:pt idx="4">
                  <c:v>49747.92</c:v>
                </c:pt>
                <c:pt idx="5">
                  <c:v>25283.14</c:v>
                </c:pt>
                <c:pt idx="6">
                  <c:v>13457.05</c:v>
                </c:pt>
                <c:pt idx="7">
                  <c:v>8184.38</c:v>
                </c:pt>
                <c:pt idx="8">
                  <c:v>8190.03</c:v>
                </c:pt>
                <c:pt idx="9">
                  <c:v>6575.2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77696"/>
        <c:axId val="296220816"/>
      </c:scatterChart>
      <c:valAx>
        <c:axId val="245677696"/>
        <c:scaling>
          <c:logBase val="10"/>
          <c:orientation val="minMax"/>
          <c:max val="30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220816"/>
        <c:crossesAt val="1.0000000000000002E-2"/>
        <c:crossBetween val="midCat"/>
      </c:valAx>
      <c:valAx>
        <c:axId val="296220816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Time, in 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45677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 Speedup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xVal>
            <c:numRef>
              <c:f>Sheet4!$B$19:$B$24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</c:numCache>
            </c:numRef>
          </c:xVal>
          <c:yVal>
            <c:numRef>
              <c:f>Sheet4!$A$19:$A$24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v>Easy</c:v>
          </c:tx>
          <c:xVal>
            <c:numRef>
              <c:f>Sheet4!$B$8:$B$13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</c:numCache>
            </c:numRef>
          </c:xVal>
          <c:yVal>
            <c:numRef>
              <c:f>Sheet4!$K$8:$K$13</c:f>
              <c:numCache>
                <c:formatCode>General</c:formatCode>
                <c:ptCount val="6"/>
                <c:pt idx="0">
                  <c:v>1</c:v>
                </c:pt>
                <c:pt idx="1">
                  <c:v>1.9257567150529185</c:v>
                </c:pt>
                <c:pt idx="2">
                  <c:v>3.5547573364270515</c:v>
                </c:pt>
                <c:pt idx="3">
                  <c:v>6.2045717104323783</c:v>
                </c:pt>
                <c:pt idx="4">
                  <c:v>3.3867617050221064</c:v>
                </c:pt>
                <c:pt idx="5">
                  <c:v>3.855070126057536</c:v>
                </c:pt>
              </c:numCache>
            </c:numRef>
          </c:yVal>
          <c:smooth val="0"/>
        </c:ser>
        <c:ser>
          <c:idx val="2"/>
          <c:order val="2"/>
          <c:tx>
            <c:v>Medium</c:v>
          </c:tx>
          <c:xVal>
            <c:numRef>
              <c:f>Sheet4!$B$19:$B$24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</c:numCache>
            </c:numRef>
          </c:xVal>
          <c:yVal>
            <c:numRef>
              <c:f>Sheet4!$K$19:$K$24</c:f>
              <c:numCache>
                <c:formatCode>General</c:formatCode>
                <c:ptCount val="6"/>
                <c:pt idx="0">
                  <c:v>1</c:v>
                </c:pt>
                <c:pt idx="1">
                  <c:v>1.8530115388076913</c:v>
                </c:pt>
                <c:pt idx="2">
                  <c:v>3.2524503681062731</c:v>
                </c:pt>
                <c:pt idx="3">
                  <c:v>5.468679543643562</c:v>
                </c:pt>
                <c:pt idx="4">
                  <c:v>3.7164073847083814</c:v>
                </c:pt>
                <c:pt idx="5">
                  <c:v>4.7391495193028286</c:v>
                </c:pt>
              </c:numCache>
            </c:numRef>
          </c:yVal>
          <c:smooth val="0"/>
        </c:ser>
        <c:ser>
          <c:idx val="3"/>
          <c:order val="3"/>
          <c:tx>
            <c:v>Hard</c:v>
          </c:tx>
          <c:xVal>
            <c:numRef>
              <c:f>Sheet4!$B$31:$B$36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</c:numCache>
            </c:numRef>
          </c:xVal>
          <c:yVal>
            <c:numRef>
              <c:f>Sheet4!$K$31:$K$36</c:f>
              <c:numCache>
                <c:formatCode>General</c:formatCode>
                <c:ptCount val="6"/>
                <c:pt idx="0">
                  <c:v>1</c:v>
                </c:pt>
                <c:pt idx="1">
                  <c:v>1.9676321849263976</c:v>
                </c:pt>
                <c:pt idx="2">
                  <c:v>3.696792387633248</c:v>
                </c:pt>
                <c:pt idx="3">
                  <c:v>6.078398119344409</c:v>
                </c:pt>
                <c:pt idx="4">
                  <c:v>6.0742048563924671</c:v>
                </c:pt>
                <c:pt idx="5">
                  <c:v>7.565993429857647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19248"/>
        <c:axId val="296220032"/>
      </c:scatterChart>
      <c:valAx>
        <c:axId val="29621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220032"/>
        <c:crossesAt val="-1.5"/>
        <c:crossBetween val="midCat"/>
      </c:valAx>
      <c:valAx>
        <c:axId val="29622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219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</a:t>
            </a:r>
            <a:r>
              <a:rPr lang="en-US" baseline="0"/>
              <a:t> plus Communication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Easy</c:v>
          </c:tx>
          <c:xVal>
            <c:numRef>
              <c:f>Sheet4!$B$4:$B$13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  <c:pt idx="9">
                  <c:v>256</c:v>
                </c:pt>
              </c:numCache>
            </c:numRef>
          </c:xVal>
          <c:yVal>
            <c:numRef>
              <c:f>Sheet4!$I$4:$I$13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5093.6299999999992</c:v>
                </c:pt>
                <c:pt idx="5">
                  <c:v>2767.3</c:v>
                </c:pt>
                <c:pt idx="6">
                  <c:v>1663.2800000000002</c:v>
                </c:pt>
                <c:pt idx="7">
                  <c:v>1116.9000000000001</c:v>
                </c:pt>
                <c:pt idx="8">
                  <c:v>1929.9199999999998</c:v>
                </c:pt>
                <c:pt idx="9">
                  <c:v>1811.22</c:v>
                </c:pt>
              </c:numCache>
            </c:numRef>
          </c:yVal>
          <c:smooth val="0"/>
        </c:ser>
        <c:ser>
          <c:idx val="1"/>
          <c:order val="1"/>
          <c:tx>
            <c:v>Medium</c:v>
          </c:tx>
          <c:xVal>
            <c:numRef>
              <c:f>Sheet4!$B$15:$B$24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  <c:pt idx="9">
                  <c:v>256</c:v>
                </c:pt>
              </c:numCache>
            </c:numRef>
          </c:xVal>
          <c:yVal>
            <c:numRef>
              <c:f>Sheet4!$I$15:$I$24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9173.9399999999987</c:v>
                </c:pt>
                <c:pt idx="5">
                  <c:v>5068.6499999999996</c:v>
                </c:pt>
                <c:pt idx="6">
                  <c:v>3047.21</c:v>
                </c:pt>
                <c:pt idx="7">
                  <c:v>1977.0300000000002</c:v>
                </c:pt>
                <c:pt idx="8">
                  <c:v>2829.0299999999997</c:v>
                </c:pt>
                <c:pt idx="9">
                  <c:v>2536.7199999999998</c:v>
                </c:pt>
              </c:numCache>
            </c:numRef>
          </c:yVal>
          <c:smooth val="0"/>
        </c:ser>
        <c:ser>
          <c:idx val="2"/>
          <c:order val="2"/>
          <c:tx>
            <c:v>Hard</c:v>
          </c:tx>
          <c:xVal>
            <c:numRef>
              <c:f>Sheet4!$B$27:$B$36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  <c:pt idx="9">
                  <c:v>256</c:v>
                </c:pt>
              </c:numCache>
            </c:numRef>
          </c:xVal>
          <c:yVal>
            <c:numRef>
              <c:f>Sheet4!$I$27:$I$36</c:f>
              <c:numCache>
                <c:formatCode>0.00</c:formatCode>
                <c:ptCount val="10"/>
                <c:pt idx="4">
                  <c:v>50113.59</c:v>
                </c:pt>
                <c:pt idx="5">
                  <c:v>25601.439999999999</c:v>
                </c:pt>
                <c:pt idx="6">
                  <c:v>13805.72</c:v>
                </c:pt>
                <c:pt idx="7">
                  <c:v>8564.2999999999993</c:v>
                </c:pt>
                <c:pt idx="8">
                  <c:v>8697.1</c:v>
                </c:pt>
                <c:pt idx="9">
                  <c:v>7095.1399999999994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19640"/>
        <c:axId val="296221208"/>
      </c:scatterChart>
      <c:valAx>
        <c:axId val="296219640"/>
        <c:scaling>
          <c:logBase val="10"/>
          <c:orientation val="minMax"/>
          <c:max val="30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221208"/>
        <c:crosses val="autoZero"/>
        <c:crossBetween val="midCat"/>
      </c:valAx>
      <c:valAx>
        <c:axId val="296221208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Time, in 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96219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 Speedup w Comm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xVal>
            <c:numRef>
              <c:f>Sheet4!$B$19:$B$24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</c:numCache>
            </c:numRef>
          </c:xVal>
          <c:yVal>
            <c:numRef>
              <c:f>Sheet4!$A$19:$A$24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v>Easy</c:v>
          </c:tx>
          <c:xVal>
            <c:numRef>
              <c:f>Sheet4!$B$19:$B$24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</c:numCache>
            </c:numRef>
          </c:xVal>
          <c:yVal>
            <c:numRef>
              <c:f>Sheet4!$L$8:$L$13</c:f>
              <c:numCache>
                <c:formatCode>General</c:formatCode>
                <c:ptCount val="6"/>
                <c:pt idx="0">
                  <c:v>1</c:v>
                </c:pt>
                <c:pt idx="1">
                  <c:v>1.8406497307845189</c:v>
                </c:pt>
                <c:pt idx="2">
                  <c:v>3.0624007984223933</c:v>
                </c:pt>
                <c:pt idx="3">
                  <c:v>4.5605067597815374</c:v>
                </c:pt>
                <c:pt idx="4">
                  <c:v>2.6392959293649474</c:v>
                </c:pt>
                <c:pt idx="5">
                  <c:v>2.8122646613884559</c:v>
                </c:pt>
              </c:numCache>
            </c:numRef>
          </c:yVal>
          <c:smooth val="0"/>
        </c:ser>
        <c:ser>
          <c:idx val="2"/>
          <c:order val="2"/>
          <c:tx>
            <c:v>Medium</c:v>
          </c:tx>
          <c:xVal>
            <c:numRef>
              <c:f>Sheet4!$B$19:$B$24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</c:numCache>
            </c:numRef>
          </c:xVal>
          <c:yVal>
            <c:numRef>
              <c:f>Sheet4!$L$19:$L$24</c:f>
              <c:numCache>
                <c:formatCode>General</c:formatCode>
                <c:ptCount val="6"/>
                <c:pt idx="0">
                  <c:v>1</c:v>
                </c:pt>
                <c:pt idx="1">
                  <c:v>1.8099375573377525</c:v>
                </c:pt>
                <c:pt idx="2">
                  <c:v>3.0106031418904502</c:v>
                </c:pt>
                <c:pt idx="3">
                  <c:v>4.6402634254411907</c:v>
                </c:pt>
                <c:pt idx="4">
                  <c:v>3.2427863967508297</c:v>
                </c:pt>
                <c:pt idx="5">
                  <c:v>3.6164574726418364</c:v>
                </c:pt>
              </c:numCache>
            </c:numRef>
          </c:yVal>
          <c:smooth val="0"/>
        </c:ser>
        <c:ser>
          <c:idx val="3"/>
          <c:order val="3"/>
          <c:tx>
            <c:v>Hard</c:v>
          </c:tx>
          <c:xVal>
            <c:numRef>
              <c:f>Sheet4!$B$31:$B$36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</c:numCache>
            </c:numRef>
          </c:xVal>
          <c:yVal>
            <c:numRef>
              <c:f>Sheet4!$L$31:$L$36</c:f>
              <c:numCache>
                <c:formatCode>General</c:formatCode>
                <c:ptCount val="6"/>
                <c:pt idx="0">
                  <c:v>1</c:v>
                </c:pt>
                <c:pt idx="1">
                  <c:v>1.9574520026998481</c:v>
                </c:pt>
                <c:pt idx="2">
                  <c:v>3.6299149917570399</c:v>
                </c:pt>
                <c:pt idx="3">
                  <c:v>5.8514519575446915</c:v>
                </c:pt>
                <c:pt idx="4">
                  <c:v>5.7621034597739467</c:v>
                </c:pt>
                <c:pt idx="5">
                  <c:v>7.063086845361755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21600"/>
        <c:axId val="296215328"/>
      </c:scatterChart>
      <c:valAx>
        <c:axId val="29622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215328"/>
        <c:crosses val="autoZero"/>
        <c:crossBetween val="midCat"/>
      </c:valAx>
      <c:valAx>
        <c:axId val="2962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221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 Only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Easy</c:v>
          </c:tx>
          <c:xVal>
            <c:numRef>
              <c:f>Sheet5!$B$4:$B$8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Sheet5!$G$4:$G$8</c:f>
              <c:numCache>
                <c:formatCode>0.00</c:formatCode>
                <c:ptCount val="5"/>
                <c:pt idx="0">
                  <c:v>403.83373493975904</c:v>
                </c:pt>
                <c:pt idx="1">
                  <c:v>212.86987951807225</c:v>
                </c:pt>
                <c:pt idx="2">
                  <c:v>117.72771084337349</c:v>
                </c:pt>
                <c:pt idx="3">
                  <c:v>82.213253012048185</c:v>
                </c:pt>
                <c:pt idx="4">
                  <c:v>65.151807228915658</c:v>
                </c:pt>
              </c:numCache>
            </c:numRef>
          </c:yVal>
          <c:smooth val="0"/>
        </c:ser>
        <c:ser>
          <c:idx val="1"/>
          <c:order val="1"/>
          <c:tx>
            <c:v>Medium</c:v>
          </c:tx>
          <c:xVal>
            <c:numRef>
              <c:f>Sheet5!$B$10:$B$14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Sheet5!$G$10:$G$14</c:f>
              <c:numCache>
                <c:formatCode>0.00</c:formatCode>
                <c:ptCount val="5"/>
                <c:pt idx="0">
                  <c:v>759.25060240963842</c:v>
                </c:pt>
                <c:pt idx="1">
                  <c:v>433.94457831325298</c:v>
                </c:pt>
                <c:pt idx="2">
                  <c:v>261.03855421686745</c:v>
                </c:pt>
                <c:pt idx="3">
                  <c:v>184.16506024096384</c:v>
                </c:pt>
                <c:pt idx="4">
                  <c:v>133.5879518072289</c:v>
                </c:pt>
              </c:numCache>
            </c:numRef>
          </c:yVal>
          <c:smooth val="0"/>
        </c:ser>
        <c:ser>
          <c:idx val="2"/>
          <c:order val="2"/>
          <c:tx>
            <c:v>Hard</c:v>
          </c:tx>
          <c:xVal>
            <c:numRef>
              <c:f>Sheet5!$B$16:$B$20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Sheet5!$G$16:$G$20</c:f>
              <c:numCache>
                <c:formatCode>0.00</c:formatCode>
                <c:ptCount val="5"/>
                <c:pt idx="0">
                  <c:v>4268.6843373493975</c:v>
                </c:pt>
                <c:pt idx="1">
                  <c:v>2441.2783132530121</c:v>
                </c:pt>
                <c:pt idx="2">
                  <c:v>1431.1999999999998</c:v>
                </c:pt>
                <c:pt idx="3">
                  <c:v>921.55903614457816</c:v>
                </c:pt>
                <c:pt idx="4">
                  <c:v>611.7132530120482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21992"/>
        <c:axId val="296220424"/>
      </c:scatterChart>
      <c:valAx>
        <c:axId val="296221992"/>
        <c:scaling>
          <c:logBase val="2"/>
          <c:orientation val="minMax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220424"/>
        <c:crossesAt val="1.0000000000000002E-2"/>
        <c:crossBetween val="midCat"/>
      </c:valAx>
      <c:valAx>
        <c:axId val="296220424"/>
        <c:scaling>
          <c:logBase val="2"/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Normolized</a:t>
                </a:r>
                <a:r>
                  <a:rPr lang="en-US" baseline="0"/>
                  <a:t> CPU Units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96221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 Speedup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Easy</c:v>
          </c:tx>
          <c:xVal>
            <c:numRef>
              <c:f>Sheet5!$B$4:$B$8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Sheet5!$L$4:$L$8</c:f>
              <c:numCache>
                <c:formatCode>0.00</c:formatCode>
                <c:ptCount val="5"/>
                <c:pt idx="0">
                  <c:v>1</c:v>
                </c:pt>
                <c:pt idx="1">
                  <c:v>1.8970919505099559</c:v>
                </c:pt>
                <c:pt idx="2">
                  <c:v>3.4302351761262462</c:v>
                </c:pt>
                <c:pt idx="3">
                  <c:v>4.9120271993200175</c:v>
                </c:pt>
                <c:pt idx="4">
                  <c:v>6.1983504697092986</c:v>
                </c:pt>
              </c:numCache>
            </c:numRef>
          </c:yVal>
          <c:smooth val="0"/>
        </c:ser>
        <c:ser>
          <c:idx val="1"/>
          <c:order val="1"/>
          <c:tx>
            <c:v>Medium</c:v>
          </c:tx>
          <c:xVal>
            <c:numRef>
              <c:f>Sheet5!$B$4:$B$8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Sheet5!$L$10:$L$14</c:f>
              <c:numCache>
                <c:formatCode>0.00</c:formatCode>
                <c:ptCount val="5"/>
                <c:pt idx="0">
                  <c:v>1</c:v>
                </c:pt>
                <c:pt idx="1">
                  <c:v>1.7496487808670254</c:v>
                </c:pt>
                <c:pt idx="2">
                  <c:v>2.9085764924167599</c:v>
                </c:pt>
                <c:pt idx="3">
                  <c:v>4.1226636660408094</c:v>
                </c:pt>
                <c:pt idx="4">
                  <c:v>5.6835260376269412</c:v>
                </c:pt>
              </c:numCache>
            </c:numRef>
          </c:yVal>
          <c:smooth val="0"/>
        </c:ser>
        <c:ser>
          <c:idx val="2"/>
          <c:order val="2"/>
          <c:tx>
            <c:v>Hard</c:v>
          </c:tx>
          <c:xVal>
            <c:numRef>
              <c:f>Sheet5!$B$10:$B$14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Sheet5!$L$16:$L$20</c:f>
              <c:numCache>
                <c:formatCode>0.00</c:formatCode>
                <c:ptCount val="5"/>
                <c:pt idx="0">
                  <c:v>1</c:v>
                </c:pt>
                <c:pt idx="1">
                  <c:v>1.7485447333783752</c:v>
                </c:pt>
                <c:pt idx="2">
                  <c:v>2.9825910685783943</c:v>
                </c:pt>
                <c:pt idx="3">
                  <c:v>4.6320248295842301</c:v>
                </c:pt>
                <c:pt idx="4">
                  <c:v>6.9782439996691101</c:v>
                </c:pt>
              </c:numCache>
            </c:numRef>
          </c:yVal>
          <c:smooth val="0"/>
        </c:ser>
        <c:ser>
          <c:idx val="3"/>
          <c:order val="3"/>
          <c:tx>
            <c:v>Ideal</c:v>
          </c:tx>
          <c:xVal>
            <c:numRef>
              <c:f>Sheet5!$B$16:$B$20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14544"/>
        <c:axId val="296218856"/>
      </c:scatterChart>
      <c:valAx>
        <c:axId val="296214544"/>
        <c:scaling>
          <c:logBase val="2"/>
          <c:orientation val="minMax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218856"/>
        <c:crossesAt val="-1.5"/>
        <c:crossBetween val="midCat"/>
      </c:valAx>
      <c:valAx>
        <c:axId val="296218856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Speedup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9621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Chemistry +</a:t>
            </a:r>
            <a:r>
              <a:rPr lang="en-US" baseline="0"/>
              <a:t> Communication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Easy</c:v>
          </c:tx>
          <c:xVal>
            <c:numRef>
              <c:f>Sheet5!$B$4:$B$8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Sheet5!$K$4:$K$8</c:f>
              <c:numCache>
                <c:formatCode>0.00</c:formatCode>
                <c:ptCount val="5"/>
                <c:pt idx="0">
                  <c:v>439.07590361445779</c:v>
                </c:pt>
                <c:pt idx="1">
                  <c:v>247.3759036144578</c:v>
                </c:pt>
                <c:pt idx="2">
                  <c:v>156.40843373493976</c:v>
                </c:pt>
                <c:pt idx="3">
                  <c:v>124.22168674698794</c:v>
                </c:pt>
                <c:pt idx="4">
                  <c:v>116.96506024096384</c:v>
                </c:pt>
              </c:numCache>
            </c:numRef>
          </c:yVal>
          <c:smooth val="0"/>
        </c:ser>
        <c:ser>
          <c:idx val="1"/>
          <c:order val="1"/>
          <c:tx>
            <c:v>Medium</c:v>
          </c:tx>
          <c:xVal>
            <c:numRef>
              <c:f>Sheet5!$B$10:$B$14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Sheet5!$K$10:$K$14</c:f>
              <c:numCache>
                <c:formatCode>0.00</c:formatCode>
                <c:ptCount val="5"/>
                <c:pt idx="0">
                  <c:v>795.5421686746987</c:v>
                </c:pt>
                <c:pt idx="1">
                  <c:v>468.98795180722885</c:v>
                </c:pt>
                <c:pt idx="2">
                  <c:v>300.88795180722889</c:v>
                </c:pt>
                <c:pt idx="3">
                  <c:v>227.2325301204819</c:v>
                </c:pt>
                <c:pt idx="4">
                  <c:v>186.16867469879517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Sheet5!$A$15</c:f>
              <c:strCache>
                <c:ptCount val="1"/>
                <c:pt idx="0">
                  <c:v>Hard</c:v>
                </c:pt>
              </c:strCache>
            </c:strRef>
          </c:tx>
          <c:xVal>
            <c:numRef>
              <c:f>Sheet5!$B$16:$B$20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Sheet5!$K$16:$K$20</c:f>
              <c:numCache>
                <c:formatCode>0.00</c:formatCode>
                <c:ptCount val="5"/>
                <c:pt idx="0">
                  <c:v>4309.8831325301198</c:v>
                </c:pt>
                <c:pt idx="1">
                  <c:v>2479.9614457831321</c:v>
                </c:pt>
                <c:pt idx="2">
                  <c:v>1473.5987951807226</c:v>
                </c:pt>
                <c:pt idx="3">
                  <c:v>967.58192771084316</c:v>
                </c:pt>
                <c:pt idx="4">
                  <c:v>667.2831325301205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16896"/>
        <c:axId val="296216112"/>
      </c:scatterChart>
      <c:valAx>
        <c:axId val="296216896"/>
        <c:scaling>
          <c:logBase val="2"/>
          <c:orientation val="minMax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96216112"/>
        <c:crossesAt val="0.1"/>
        <c:crossBetween val="midCat"/>
      </c:valAx>
      <c:valAx>
        <c:axId val="296216112"/>
        <c:scaling>
          <c:logBase val="2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CPU Units</a:t>
                </a:r>
              </a:p>
            </c:rich>
          </c:tx>
          <c:layout/>
          <c:overlay val="0"/>
        </c:title>
        <c:numFmt formatCode="0.00" sourceLinked="1"/>
        <c:majorTickMark val="in"/>
        <c:minorTickMark val="in"/>
        <c:tickLblPos val="nextTo"/>
        <c:crossAx val="29621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 Speedup w Comm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Easy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Sheet5!$B$4:$B$8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Sheet5!$M$4:$M$8</c:f>
              <c:numCache>
                <c:formatCode>0.00</c:formatCode>
                <c:ptCount val="5"/>
                <c:pt idx="0">
                  <c:v>1</c:v>
                </c:pt>
                <c:pt idx="1">
                  <c:v>1.7749340060977392</c:v>
                </c:pt>
                <c:pt idx="2">
                  <c:v>2.8072393101163926</c:v>
                </c:pt>
                <c:pt idx="3">
                  <c:v>3.5346155338299194</c:v>
                </c:pt>
                <c:pt idx="4">
                  <c:v>3.7539065316591302</c:v>
                </c:pt>
              </c:numCache>
            </c:numRef>
          </c:yVal>
          <c:smooth val="0"/>
        </c:ser>
        <c:ser>
          <c:idx val="2"/>
          <c:order val="1"/>
          <c:tx>
            <c:v>Medium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Sheet5!$B$10:$B$14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Sheet5!$M$10:$M$14</c:f>
              <c:numCache>
                <c:formatCode>0.00</c:formatCode>
                <c:ptCount val="5"/>
                <c:pt idx="0">
                  <c:v>1</c:v>
                </c:pt>
                <c:pt idx="1">
                  <c:v>1.6962955351179161</c:v>
                </c:pt>
                <c:pt idx="2">
                  <c:v>2.643981468504867</c:v>
                </c:pt>
                <c:pt idx="3">
                  <c:v>3.5010047560219086</c:v>
                </c:pt>
                <c:pt idx="4">
                  <c:v>4.273233238415739</c:v>
                </c:pt>
              </c:numCache>
            </c:numRef>
          </c:yVal>
          <c:smooth val="0"/>
        </c:ser>
        <c:ser>
          <c:idx val="3"/>
          <c:order val="2"/>
          <c:tx>
            <c:v>Hard</c:v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Sheet5!$B$16:$B$20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Sheet5!$M$16:$M$20</c:f>
              <c:numCache>
                <c:formatCode>0.00</c:formatCode>
                <c:ptCount val="5"/>
                <c:pt idx="0">
                  <c:v>1</c:v>
                </c:pt>
                <c:pt idx="1">
                  <c:v>1.7378831190535413</c:v>
                </c:pt>
                <c:pt idx="2">
                  <c:v>2.9247330729539276</c:v>
                </c:pt>
                <c:pt idx="3">
                  <c:v>4.4542823807454432</c:v>
                </c:pt>
                <c:pt idx="4">
                  <c:v>6.4588522059420947</c:v>
                </c:pt>
              </c:numCache>
            </c:numRef>
          </c:yVal>
          <c:smooth val="0"/>
        </c:ser>
        <c:ser>
          <c:idx val="0"/>
          <c:order val="3"/>
          <c:tx>
            <c:v>Ideal</c:v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Sheet5!$B$16:$B$20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79720"/>
        <c:axId val="296877760"/>
      </c:scatterChart>
      <c:valAx>
        <c:axId val="296879720"/>
        <c:scaling>
          <c:logBase val="2"/>
          <c:orientation val="minMax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877760"/>
        <c:crosses val="autoZero"/>
        <c:crossBetween val="midCat"/>
      </c:valAx>
      <c:valAx>
        <c:axId val="296877760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</a:t>
                </a: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96879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 Only,  lobo2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Multithread</c:v>
          </c:tx>
          <c:xVal>
            <c:numRef>
              <c:f>Sheet5!$B$28:$B$34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Sheet5!$G$28:$G$34</c:f>
              <c:numCache>
                <c:formatCode>0.00</c:formatCode>
                <c:ptCount val="7"/>
                <c:pt idx="0">
                  <c:v>22.942552777777777</c:v>
                </c:pt>
                <c:pt idx="1">
                  <c:v>12.003080555555554</c:v>
                </c:pt>
                <c:pt idx="2">
                  <c:v>6.0963111111111115</c:v>
                </c:pt>
                <c:pt idx="3">
                  <c:v>3.1666666666666665</c:v>
                </c:pt>
                <c:pt idx="4">
                  <c:v>1.6387944444444444</c:v>
                </c:pt>
                <c:pt idx="5">
                  <c:v>1.3422222222222222</c:v>
                </c:pt>
                <c:pt idx="6">
                  <c:v>1.1611111111111112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Sheet5!$B$38:$B$44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Sheet5!$G$38:$G$44</c:f>
              <c:numCache>
                <c:formatCode>0.00</c:formatCode>
                <c:ptCount val="7"/>
                <c:pt idx="0">
                  <c:v>21.419802777777775</c:v>
                </c:pt>
                <c:pt idx="1">
                  <c:v>11.111891666666667</c:v>
                </c:pt>
                <c:pt idx="2">
                  <c:v>5.6937305555555557</c:v>
                </c:pt>
                <c:pt idx="3">
                  <c:v>2.9258972222222219</c:v>
                </c:pt>
                <c:pt idx="4">
                  <c:v>1.5189055555555557</c:v>
                </c:pt>
                <c:pt idx="5">
                  <c:v>1.2175305555555556</c:v>
                </c:pt>
                <c:pt idx="6">
                  <c:v>1.0589277777777777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78152"/>
        <c:axId val="296879328"/>
      </c:scatterChart>
      <c:valAx>
        <c:axId val="296878152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or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879328"/>
        <c:crossesAt val="1.0000000000000002E-2"/>
        <c:crossBetween val="midCat"/>
      </c:valAx>
      <c:valAx>
        <c:axId val="296879328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in hours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in"/>
        <c:minorTickMark val="in"/>
        <c:tickLblPos val="nextTo"/>
        <c:crossAx val="296878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 Speedup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Sheet2!$B$3:$B$10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Sheet2!$M$3:$M$10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yVal>
          <c:smooth val="0"/>
        </c:ser>
        <c:ser>
          <c:idx val="1"/>
          <c:order val="1"/>
          <c:tx>
            <c:v>x 1</c:v>
          </c:tx>
          <c:marker>
            <c:symbol val="none"/>
          </c:marker>
          <c:xVal>
            <c:numRef>
              <c:f>Sheet2!$B$3:$B$10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Sheet2!$K$3:$K$10</c:f>
              <c:numCache>
                <c:formatCode>General</c:formatCode>
                <c:ptCount val="8"/>
                <c:pt idx="0">
                  <c:v>1</c:v>
                </c:pt>
                <c:pt idx="1">
                  <c:v>1.7671746776084409</c:v>
                </c:pt>
                <c:pt idx="2">
                  <c:v>3.4716720405343162</c:v>
                </c:pt>
                <c:pt idx="3">
                  <c:v>6.985171455050974</c:v>
                </c:pt>
                <c:pt idx="4">
                  <c:v>13.130662020905923</c:v>
                </c:pt>
                <c:pt idx="5">
                  <c:v>25.54915254237288</c:v>
                </c:pt>
                <c:pt idx="6">
                  <c:v>47.106250000000003</c:v>
                </c:pt>
                <c:pt idx="7">
                  <c:v>62.289256198347111</c:v>
                </c:pt>
              </c:numCache>
            </c:numRef>
          </c:yVal>
          <c:smooth val="0"/>
        </c:ser>
        <c:ser>
          <c:idx val="2"/>
          <c:order val="2"/>
          <c:tx>
            <c:v>x 2</c:v>
          </c:tx>
          <c:marker>
            <c:symbol val="none"/>
          </c:marker>
          <c:xVal>
            <c:numRef>
              <c:f>Sheet2!$B$13:$B$20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Sheet2!$K$13:$K$20</c:f>
              <c:numCache>
                <c:formatCode>General</c:formatCode>
                <c:ptCount val="8"/>
                <c:pt idx="0">
                  <c:v>1</c:v>
                </c:pt>
                <c:pt idx="1">
                  <c:v>1.8317275525224137</c:v>
                </c:pt>
                <c:pt idx="2">
                  <c:v>3.6378978140987308</c:v>
                </c:pt>
                <c:pt idx="3">
                  <c:v>7.1968980021030493</c:v>
                </c:pt>
                <c:pt idx="4">
                  <c:v>13.027361408517724</c:v>
                </c:pt>
                <c:pt idx="5">
                  <c:v>27.295114656031902</c:v>
                </c:pt>
                <c:pt idx="6">
                  <c:v>53.107662463627541</c:v>
                </c:pt>
                <c:pt idx="7">
                  <c:v>77.665248226950354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Sheet2!$B$24:$B$31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Sheet2!$K$24:$K$31</c:f>
              <c:numCache>
                <c:formatCode>General</c:formatCode>
                <c:ptCount val="8"/>
                <c:pt idx="0">
                  <c:v>1</c:v>
                </c:pt>
                <c:pt idx="1">
                  <c:v>1.8507815300626693</c:v>
                </c:pt>
                <c:pt idx="2">
                  <c:v>3.7180228018116508</c:v>
                </c:pt>
                <c:pt idx="3">
                  <c:v>7.4902464604090193</c:v>
                </c:pt>
                <c:pt idx="4">
                  <c:v>14.314915650576248</c:v>
                </c:pt>
                <c:pt idx="5">
                  <c:v>27.998497223129693</c:v>
                </c:pt>
                <c:pt idx="6">
                  <c:v>55.723927178153446</c:v>
                </c:pt>
                <c:pt idx="7">
                  <c:v>84.254227290601648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Sheet2!$B$35:$B$42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Sheet2!$K$35:$K$42</c:f>
              <c:numCache>
                <c:formatCode>General</c:formatCode>
                <c:ptCount val="8"/>
                <c:pt idx="0">
                  <c:v>1</c:v>
                </c:pt>
                <c:pt idx="1">
                  <c:v>1.8381141369140992</c:v>
                </c:pt>
                <c:pt idx="2">
                  <c:v>3.8221064145330557</c:v>
                </c:pt>
                <c:pt idx="3">
                  <c:v>7.7175685139772252</c:v>
                </c:pt>
                <c:pt idx="4">
                  <c:v>14.833231358682124</c:v>
                </c:pt>
                <c:pt idx="5">
                  <c:v>29.283531734461818</c:v>
                </c:pt>
                <c:pt idx="6">
                  <c:v>58.615403855132392</c:v>
                </c:pt>
                <c:pt idx="7">
                  <c:v>88.248305467690926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42688"/>
        <c:axId val="244448176"/>
      </c:scatterChart>
      <c:valAx>
        <c:axId val="24444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448176"/>
        <c:crosses val="autoZero"/>
        <c:crossBetween val="midCat"/>
      </c:valAx>
      <c:valAx>
        <c:axId val="24444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442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 Speedup, lobo2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Multithread</c:v>
          </c:tx>
          <c:xVal>
            <c:numRef>
              <c:f>Sheet5!$B$28:$B$34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Sheet5!$L$28:$L$34</c:f>
              <c:numCache>
                <c:formatCode>0.00</c:formatCode>
                <c:ptCount val="7"/>
                <c:pt idx="0">
                  <c:v>1</c:v>
                </c:pt>
                <c:pt idx="1">
                  <c:v>1.9113887198864923</c:v>
                </c:pt>
                <c:pt idx="2">
                  <c:v>3.763350058687585</c:v>
                </c:pt>
                <c:pt idx="3">
                  <c:v>7.2450166666666664</c:v>
                </c:pt>
                <c:pt idx="4">
                  <c:v>13.999652522348747</c:v>
                </c:pt>
                <c:pt idx="5">
                  <c:v>17.092961506622515</c:v>
                </c:pt>
                <c:pt idx="6">
                  <c:v>19.759136363636365</c:v>
                </c:pt>
              </c:numCache>
            </c:numRef>
          </c:yVal>
          <c:smooth val="0"/>
        </c:ser>
        <c:ser>
          <c:idx val="1"/>
          <c:order val="1"/>
          <c:tx>
            <c:v>Multiprocess</c:v>
          </c:tx>
          <c:xVal>
            <c:numRef>
              <c:f>Sheet5!$B$38:$B$44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Sheet5!$L$38:$L$44</c:f>
              <c:numCache>
                <c:formatCode>0.00</c:formatCode>
                <c:ptCount val="7"/>
                <c:pt idx="0">
                  <c:v>1</c:v>
                </c:pt>
                <c:pt idx="1">
                  <c:v>1.9276468328099952</c:v>
                </c:pt>
                <c:pt idx="2">
                  <c:v>3.7619979675500779</c:v>
                </c:pt>
                <c:pt idx="3">
                  <c:v>7.3207639062281933</c:v>
                </c:pt>
                <c:pt idx="4">
                  <c:v>14.10212945724809</c:v>
                </c:pt>
                <c:pt idx="5">
                  <c:v>17.592825642066934</c:v>
                </c:pt>
                <c:pt idx="6">
                  <c:v>20.227822168126039</c:v>
                </c:pt>
              </c:numCache>
            </c:numRef>
          </c:yVal>
          <c:smooth val="0"/>
        </c:ser>
        <c:ser>
          <c:idx val="3"/>
          <c:order val="2"/>
          <c:tx>
            <c:v>Ideal</c:v>
          </c:tx>
          <c:xVal>
            <c:numRef>
              <c:f>Sheet5!$B$28:$B$34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Sheet5!$B$28:$B$34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78544"/>
        <c:axId val="296878936"/>
      </c:scatterChart>
      <c:valAx>
        <c:axId val="29687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Number of Threads or Processe</a:t>
                </a:r>
                <a:r>
                  <a:rPr lang="en-US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878936"/>
        <c:crossesAt val="-1.5"/>
        <c:crossBetween val="midCat"/>
      </c:valAx>
      <c:valAx>
        <c:axId val="296878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9687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Chemistry +</a:t>
            </a:r>
            <a:r>
              <a:rPr lang="en-US" baseline="0"/>
              <a:t> Comm, park2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Multithread</c:v>
          </c:tx>
          <c:xVal>
            <c:numRef>
              <c:f>Sheet5!$B$49:$B$57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xVal>
          <c:yVal>
            <c:numRef>
              <c:f>Sheet5!$K$49:$K$57</c:f>
              <c:numCache>
                <c:formatCode>0.00</c:formatCode>
                <c:ptCount val="9"/>
                <c:pt idx="0">
                  <c:v>5.1226055555555554</c:v>
                </c:pt>
                <c:pt idx="1">
                  <c:v>2.8204527777777777</c:v>
                </c:pt>
                <c:pt idx="2">
                  <c:v>1.4829555555555554</c:v>
                </c:pt>
                <c:pt idx="3">
                  <c:v>1.1002444444444444</c:v>
                </c:pt>
                <c:pt idx="4">
                  <c:v>1.2949999999999999</c:v>
                </c:pt>
                <c:pt idx="5">
                  <c:v>0.97881944444444446</c:v>
                </c:pt>
                <c:pt idx="6">
                  <c:v>0.81507499999999999</c:v>
                </c:pt>
                <c:pt idx="7">
                  <c:v>0.84232499999999999</c:v>
                </c:pt>
                <c:pt idx="8">
                  <c:v>0.81838055555555556</c:v>
                </c:pt>
              </c:numCache>
            </c:numRef>
          </c:yVal>
          <c:smooth val="0"/>
        </c:ser>
        <c:ser>
          <c:idx val="1"/>
          <c:order val="1"/>
          <c:tx>
            <c:v>Multiprocess</c:v>
          </c:tx>
          <c:xVal>
            <c:numRef>
              <c:f>Sheet5!$B$60:$B$68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xVal>
          <c:yVal>
            <c:numRef>
              <c:f>Sheet5!$K$60:$K$68</c:f>
              <c:numCache>
                <c:formatCode>0.00</c:formatCode>
                <c:ptCount val="9"/>
                <c:pt idx="0">
                  <c:v>4.6017361111111112</c:v>
                </c:pt>
                <c:pt idx="1">
                  <c:v>2.4371749999999999</c:v>
                </c:pt>
                <c:pt idx="2">
                  <c:v>1.3491527777777781</c:v>
                </c:pt>
                <c:pt idx="3">
                  <c:v>0.93614166666666654</c:v>
                </c:pt>
                <c:pt idx="4">
                  <c:v>0.8515583333333332</c:v>
                </c:pt>
                <c:pt idx="5">
                  <c:v>0.83853055555555556</c:v>
                </c:pt>
                <c:pt idx="6">
                  <c:v>0.6880722222222222</c:v>
                </c:pt>
                <c:pt idx="7">
                  <c:v>0.57467777777777784</c:v>
                </c:pt>
                <c:pt idx="8">
                  <c:v>0.57476111111111106</c:v>
                </c:pt>
              </c:numCache>
            </c:numRef>
          </c:yVal>
          <c:smooth val="0"/>
        </c:ser>
        <c:ser>
          <c:idx val="2"/>
          <c:order val="2"/>
          <c:tx>
            <c:v>Ideal</c:v>
          </c:tx>
          <c:xVal>
            <c:numRef>
              <c:f>Sheet5!$L$46:$L$47</c:f>
              <c:numCache>
                <c:formatCode>0.00</c:formatCode>
                <c:ptCount val="2"/>
                <c:pt idx="0">
                  <c:v>1</c:v>
                </c:pt>
                <c:pt idx="1">
                  <c:v>24</c:v>
                </c:pt>
              </c:numCache>
            </c:numRef>
          </c:xVal>
          <c:yVal>
            <c:numRef>
              <c:f>Sheet5!$K$46:$K$47</c:f>
              <c:numCache>
                <c:formatCode>General</c:formatCode>
                <c:ptCount val="2"/>
                <c:pt idx="0">
                  <c:v>5.12</c:v>
                </c:pt>
                <c:pt idx="1">
                  <c:v>0.21333333333333335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71488"/>
        <c:axId val="296875800"/>
      </c:scatterChart>
      <c:valAx>
        <c:axId val="296871488"/>
        <c:scaling>
          <c:logBase val="2"/>
          <c:orientation val="minMax"/>
          <c:max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Number of Threads or Processe</a:t>
                </a:r>
                <a:r>
                  <a:rPr lang="en-US" baseline="0"/>
                  <a:t>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96875800"/>
        <c:crossesAt val="0.1"/>
        <c:crossBetween val="midCat"/>
        <c:majorUnit val="2"/>
      </c:valAx>
      <c:valAx>
        <c:axId val="296875800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Time, in hours</a:t>
                </a:r>
              </a:p>
            </c:rich>
          </c:tx>
          <c:layout/>
          <c:overlay val="0"/>
        </c:title>
        <c:numFmt formatCode="0.00" sourceLinked="1"/>
        <c:majorTickMark val="in"/>
        <c:minorTickMark val="in"/>
        <c:tickLblPos val="nextTo"/>
        <c:crossAx val="29687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Chm Speedup w Comm, park2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Multithread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Sheet5!$B$49:$B$57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xVal>
          <c:yVal>
            <c:numRef>
              <c:f>Sheet5!$M$49:$M$57</c:f>
              <c:numCache>
                <c:formatCode>0.00</c:formatCode>
                <c:ptCount val="9"/>
                <c:pt idx="0">
                  <c:v>1</c:v>
                </c:pt>
                <c:pt idx="1">
                  <c:v>1.8162351789458551</c:v>
                </c:pt>
                <c:pt idx="2">
                  <c:v>3.4543216999085917</c:v>
                </c:pt>
                <c:pt idx="3">
                  <c:v>4.6558795015249146</c:v>
                </c:pt>
                <c:pt idx="4">
                  <c:v>3.9556799656799657</c:v>
                </c:pt>
                <c:pt idx="5">
                  <c:v>5.2334529975168502</c:v>
                </c:pt>
                <c:pt idx="6">
                  <c:v>6.2848272313045497</c:v>
                </c:pt>
                <c:pt idx="7">
                  <c:v>6.0815072039361953</c:v>
                </c:pt>
                <c:pt idx="8">
                  <c:v>6.259441919509058</c:v>
                </c:pt>
              </c:numCache>
            </c:numRef>
          </c:yVal>
          <c:smooth val="0"/>
        </c:ser>
        <c:ser>
          <c:idx val="2"/>
          <c:order val="1"/>
          <c:tx>
            <c:v>Multiprocess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Sheet5!$B$60:$B$68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xVal>
          <c:yVal>
            <c:numRef>
              <c:f>Sheet5!$M$60:$M$68</c:f>
              <c:numCache>
                <c:formatCode>0.00</c:formatCode>
                <c:ptCount val="9"/>
                <c:pt idx="0">
                  <c:v>1</c:v>
                </c:pt>
                <c:pt idx="1">
                  <c:v>1.8881434903571188</c:v>
                </c:pt>
                <c:pt idx="2">
                  <c:v>3.4108339595836887</c:v>
                </c:pt>
                <c:pt idx="3">
                  <c:v>4.9156407357623344</c:v>
                </c:pt>
                <c:pt idx="4">
                  <c:v>5.4039000394701224</c:v>
                </c:pt>
                <c:pt idx="5">
                  <c:v>5.4878573960400301</c:v>
                </c:pt>
                <c:pt idx="6">
                  <c:v>6.6878678756267513</c:v>
                </c:pt>
                <c:pt idx="7">
                  <c:v>8.007506622068405</c:v>
                </c:pt>
                <c:pt idx="8">
                  <c:v>8.0063456315184087</c:v>
                </c:pt>
              </c:numCache>
            </c:numRef>
          </c:yVal>
          <c:smooth val="0"/>
        </c:ser>
        <c:ser>
          <c:idx val="0"/>
          <c:order val="2"/>
          <c:tx>
            <c:v>Ideal</c:v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Sheet5!$B$60:$B$66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Sheet5!$B$60:$B$66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80896"/>
        <c:axId val="296875408"/>
      </c:scatterChart>
      <c:valAx>
        <c:axId val="2968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Number of Threads or Processe</a:t>
                </a:r>
                <a:r>
                  <a:rPr lang="en-US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875408"/>
        <c:crosses val="autoZero"/>
        <c:crossBetween val="midCat"/>
      </c:valAx>
      <c:valAx>
        <c:axId val="296875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9688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Chemistry +</a:t>
            </a:r>
            <a:r>
              <a:rPr lang="en-US" baseline="0"/>
              <a:t> Comm, lobo2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Multithread</c:v>
          </c:tx>
          <c:xVal>
            <c:numRef>
              <c:f>Sheet5!$B$28:$B$34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Sheet5!$K$28:$K$34</c:f>
              <c:numCache>
                <c:formatCode>0.00</c:formatCode>
                <c:ptCount val="7"/>
                <c:pt idx="0">
                  <c:v>23.507727777777781</c:v>
                </c:pt>
                <c:pt idx="1">
                  <c:v>12.546033333333332</c:v>
                </c:pt>
                <c:pt idx="2">
                  <c:v>6.5912861111111116</c:v>
                </c:pt>
                <c:pt idx="3">
                  <c:v>3.6769527777777782</c:v>
                </c:pt>
                <c:pt idx="4">
                  <c:v>2.2666944444444446</c:v>
                </c:pt>
                <c:pt idx="5">
                  <c:v>1.776788888888889</c:v>
                </c:pt>
                <c:pt idx="6">
                  <c:v>1.6086805555555554</c:v>
                </c:pt>
              </c:numCache>
            </c:numRef>
          </c:yVal>
          <c:smooth val="0"/>
        </c:ser>
        <c:ser>
          <c:idx val="1"/>
          <c:order val="1"/>
          <c:tx>
            <c:v>Multiprocess</c:v>
          </c:tx>
          <c:xVal>
            <c:numRef>
              <c:f>Sheet5!$B$38:$B$44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Sheet5!$K$38:$K$44</c:f>
              <c:numCache>
                <c:formatCode>0.00</c:formatCode>
                <c:ptCount val="7"/>
                <c:pt idx="0">
                  <c:v>21.924066666666665</c:v>
                </c:pt>
                <c:pt idx="1">
                  <c:v>11.410016666666666</c:v>
                </c:pt>
                <c:pt idx="2">
                  <c:v>5.8971277777777775</c:v>
                </c:pt>
                <c:pt idx="3">
                  <c:v>3.0861749999999999</c:v>
                </c:pt>
                <c:pt idx="4">
                  <c:v>1.643788888888889</c:v>
                </c:pt>
                <c:pt idx="5">
                  <c:v>1.3431055555555553</c:v>
                </c:pt>
                <c:pt idx="6">
                  <c:v>1.2071861111111111</c:v>
                </c:pt>
              </c:numCache>
            </c:numRef>
          </c:yVal>
          <c:smooth val="0"/>
        </c:ser>
        <c:ser>
          <c:idx val="2"/>
          <c:order val="2"/>
          <c:tx>
            <c:v>Ideal</c:v>
          </c:tx>
          <c:xVal>
            <c:numRef>
              <c:f>Sheet5!$L$25:$L$26</c:f>
              <c:numCache>
                <c:formatCode>0.00</c:formatCode>
                <c:ptCount val="2"/>
                <c:pt idx="0">
                  <c:v>1</c:v>
                </c:pt>
                <c:pt idx="1">
                  <c:v>24</c:v>
                </c:pt>
              </c:numCache>
            </c:numRef>
          </c:xVal>
          <c:yVal>
            <c:numRef>
              <c:f>Sheet5!$K$25:$K$26</c:f>
              <c:numCache>
                <c:formatCode>General</c:formatCode>
                <c:ptCount val="2"/>
                <c:pt idx="0">
                  <c:v>23.51</c:v>
                </c:pt>
                <c:pt idx="1">
                  <c:v>0.97958333333333336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71096"/>
        <c:axId val="296876584"/>
      </c:scatterChart>
      <c:valAx>
        <c:axId val="296871096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Number of Threads or Processe</a:t>
                </a:r>
                <a:r>
                  <a:rPr lang="en-US" baseline="0"/>
                  <a:t>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96876584"/>
        <c:crossesAt val="0.1"/>
        <c:crossBetween val="midCat"/>
      </c:valAx>
      <c:valAx>
        <c:axId val="296876584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Time, in hours</a:t>
                </a:r>
              </a:p>
            </c:rich>
          </c:tx>
          <c:layout/>
          <c:overlay val="0"/>
        </c:title>
        <c:numFmt formatCode="0.00" sourceLinked="1"/>
        <c:majorTickMark val="in"/>
        <c:minorTickMark val="in"/>
        <c:tickLblPos val="nextTo"/>
        <c:crossAx val="296871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Chm Speedup w Comm, lobo2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Multithread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Sheet5!$B$28:$B$34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Sheet5!$M$28:$M$34</c:f>
              <c:numCache>
                <c:formatCode>0.00</c:formatCode>
                <c:ptCount val="7"/>
                <c:pt idx="0">
                  <c:v>1</c:v>
                </c:pt>
                <c:pt idx="1">
                  <c:v>1.8737179436085603</c:v>
                </c:pt>
                <c:pt idx="2">
                  <c:v>3.5664857178859464</c:v>
                </c:pt>
                <c:pt idx="3">
                  <c:v>6.3932634435368056</c:v>
                </c:pt>
                <c:pt idx="4">
                  <c:v>10.370929277827479</c:v>
                </c:pt>
                <c:pt idx="5">
                  <c:v>13.230456316325956</c:v>
                </c:pt>
                <c:pt idx="6">
                  <c:v>14.613048996330672</c:v>
                </c:pt>
              </c:numCache>
            </c:numRef>
          </c:yVal>
          <c:smooth val="0"/>
        </c:ser>
        <c:ser>
          <c:idx val="2"/>
          <c:order val="1"/>
          <c:tx>
            <c:v>Multiprocess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Sheet5!$B$38:$B$44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Sheet5!$M$38:$M$44</c:f>
              <c:numCache>
                <c:formatCode>0.00</c:formatCode>
                <c:ptCount val="7"/>
                <c:pt idx="0">
                  <c:v>1</c:v>
                </c:pt>
                <c:pt idx="1">
                  <c:v>1.9214754287533908</c:v>
                </c:pt>
                <c:pt idx="2">
                  <c:v>3.7177533695782223</c:v>
                </c:pt>
                <c:pt idx="3">
                  <c:v>7.1039609441028677</c:v>
                </c:pt>
                <c:pt idx="4">
                  <c:v>13.33751968690221</c:v>
                </c:pt>
                <c:pt idx="5">
                  <c:v>16.323412985659274</c:v>
                </c:pt>
                <c:pt idx="6">
                  <c:v>18.161297967955782</c:v>
                </c:pt>
              </c:numCache>
            </c:numRef>
          </c:yVal>
          <c:smooth val="0"/>
        </c:ser>
        <c:ser>
          <c:idx val="0"/>
          <c:order val="2"/>
          <c:tx>
            <c:v>Ideal</c:v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Sheet5!$B$28:$B$34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Sheet5!$B$28:$B$34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73448"/>
        <c:axId val="296876976"/>
      </c:scatterChart>
      <c:valAx>
        <c:axId val="29687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Number of Threads or Processe</a:t>
                </a:r>
                <a:r>
                  <a:rPr lang="en-US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876976"/>
        <c:crosses val="autoZero"/>
        <c:crossBetween val="midCat"/>
      </c:valAx>
      <c:valAx>
        <c:axId val="29687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96873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</a:t>
            </a:r>
            <a:r>
              <a:rPr lang="en-US" baseline="0"/>
              <a:t> plus Communication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x 1</c:v>
          </c:tx>
          <c:spPr>
            <a:ln w="28575">
              <a:noFill/>
            </a:ln>
          </c:spPr>
          <c:xVal>
            <c:numRef>
              <c:f>Sheet2!$B$3:$B$10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Sheet2!$I$3:$I$10</c:f>
              <c:numCache>
                <c:formatCode>0.00</c:formatCode>
                <c:ptCount val="8"/>
                <c:pt idx="0">
                  <c:v>77.86</c:v>
                </c:pt>
                <c:pt idx="1">
                  <c:v>44.57</c:v>
                </c:pt>
                <c:pt idx="2">
                  <c:v>23.470000000000002</c:v>
                </c:pt>
                <c:pt idx="3">
                  <c:v>12.29</c:v>
                </c:pt>
                <c:pt idx="4">
                  <c:v>7.29</c:v>
                </c:pt>
                <c:pt idx="5">
                  <c:v>4.3100000000000005</c:v>
                </c:pt>
                <c:pt idx="6">
                  <c:v>3.27</c:v>
                </c:pt>
                <c:pt idx="7">
                  <c:v>4.6500000000000004</c:v>
                </c:pt>
              </c:numCache>
            </c:numRef>
          </c:yVal>
          <c:smooth val="0"/>
        </c:ser>
        <c:ser>
          <c:idx val="0"/>
          <c:order val="1"/>
          <c:tx>
            <c:v>x 2</c:v>
          </c:tx>
          <c:spPr>
            <a:ln w="28575">
              <a:noFill/>
            </a:ln>
          </c:spPr>
          <c:xVal>
            <c:numRef>
              <c:f>Sheet2!$B$13:$B$20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Sheet2!$I$13:$I$20</c:f>
              <c:numCache>
                <c:formatCode>0.00</c:formatCode>
                <c:ptCount val="8"/>
                <c:pt idx="0">
                  <c:v>566.71999999999991</c:v>
                </c:pt>
                <c:pt idx="1">
                  <c:v>312.97000000000003</c:v>
                </c:pt>
                <c:pt idx="2">
                  <c:v>161.92999999999998</c:v>
                </c:pt>
                <c:pt idx="3">
                  <c:v>86.63</c:v>
                </c:pt>
                <c:pt idx="4">
                  <c:v>52.74</c:v>
                </c:pt>
                <c:pt idx="5">
                  <c:v>31.259999999999998</c:v>
                </c:pt>
                <c:pt idx="6">
                  <c:v>30.520000000000003</c:v>
                </c:pt>
                <c:pt idx="7">
                  <c:v>27.03</c:v>
                </c:pt>
              </c:numCache>
            </c:numRef>
          </c:yVal>
          <c:smooth val="0"/>
        </c:ser>
        <c:ser>
          <c:idx val="1"/>
          <c:order val="2"/>
          <c:tx>
            <c:v>x 4</c:v>
          </c:tx>
          <c:spPr>
            <a:ln w="28575">
              <a:noFill/>
            </a:ln>
          </c:spPr>
          <c:xVal>
            <c:numRef>
              <c:f>Sheet2!$B$24:$B$31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Sheet2!$I$24:$I$31</c:f>
              <c:numCache>
                <c:formatCode>0.00</c:formatCode>
                <c:ptCount val="8"/>
                <c:pt idx="0">
                  <c:v>4440.01</c:v>
                </c:pt>
                <c:pt idx="1">
                  <c:v>2431.62</c:v>
                </c:pt>
                <c:pt idx="2">
                  <c:v>1243.32</c:v>
                </c:pt>
                <c:pt idx="3">
                  <c:v>648.69000000000005</c:v>
                </c:pt>
                <c:pt idx="4">
                  <c:v>369.6</c:v>
                </c:pt>
                <c:pt idx="5">
                  <c:v>221.93</c:v>
                </c:pt>
                <c:pt idx="6">
                  <c:v>143.48000000000002</c:v>
                </c:pt>
                <c:pt idx="7">
                  <c:v>115.05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xVal>
            <c:numRef>
              <c:f>Sheet2!$B$35:$B$42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Sheet2!$I$35:$I$42</c:f>
              <c:numCache>
                <c:formatCode>0.00</c:formatCode>
                <c:ptCount val="8"/>
                <c:pt idx="0">
                  <c:v>36424.39</c:v>
                </c:pt>
                <c:pt idx="1">
                  <c:v>20127.34</c:v>
                </c:pt>
                <c:pt idx="2">
                  <c:v>9854.7199999999993</c:v>
                </c:pt>
                <c:pt idx="3">
                  <c:v>5114.87</c:v>
                </c:pt>
                <c:pt idx="4">
                  <c:v>2870.16</c:v>
                </c:pt>
                <c:pt idx="5">
                  <c:v>1679.5900000000001</c:v>
                </c:pt>
                <c:pt idx="6">
                  <c:v>1063.68</c:v>
                </c:pt>
                <c:pt idx="7">
                  <c:v>853.42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46216"/>
        <c:axId val="244444256"/>
      </c:scatterChart>
      <c:valAx>
        <c:axId val="2444462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444256"/>
        <c:crosses val="autoZero"/>
        <c:crossBetween val="midCat"/>
      </c:valAx>
      <c:valAx>
        <c:axId val="2444442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Time, in 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44446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 Speedup w Comm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Sheet2!$B$3:$B$10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Sheet2!$M$3:$M$10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yVal>
          <c:smooth val="0"/>
        </c:ser>
        <c:ser>
          <c:idx val="1"/>
          <c:order val="1"/>
          <c:tx>
            <c:v>x 1</c:v>
          </c:tx>
          <c:marker>
            <c:symbol val="none"/>
          </c:marker>
          <c:xVal>
            <c:numRef>
              <c:f>Sheet2!$B$3:$B$10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Sheet2!$L$3:$L$10</c:f>
              <c:numCache>
                <c:formatCode>General</c:formatCode>
                <c:ptCount val="8"/>
                <c:pt idx="0">
                  <c:v>1</c:v>
                </c:pt>
                <c:pt idx="1">
                  <c:v>1.7469149652232443</c:v>
                </c:pt>
                <c:pt idx="2">
                  <c:v>3.3174265019173408</c:v>
                </c:pt>
                <c:pt idx="3">
                  <c:v>6.3352318958502849</c:v>
                </c:pt>
                <c:pt idx="4">
                  <c:v>10.680384087791495</c:v>
                </c:pt>
                <c:pt idx="5">
                  <c:v>18.064965197215773</c:v>
                </c:pt>
                <c:pt idx="6">
                  <c:v>23.810397553516818</c:v>
                </c:pt>
                <c:pt idx="7">
                  <c:v>16.744086021505375</c:v>
                </c:pt>
              </c:numCache>
            </c:numRef>
          </c:yVal>
          <c:smooth val="0"/>
        </c:ser>
        <c:ser>
          <c:idx val="2"/>
          <c:order val="2"/>
          <c:tx>
            <c:v>x 2</c:v>
          </c:tx>
          <c:marker>
            <c:symbol val="none"/>
          </c:marker>
          <c:xVal>
            <c:numRef>
              <c:f>Sheet2!$B$13:$B$20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Sheet2!$L$13:$L$20</c:f>
              <c:numCache>
                <c:formatCode>General</c:formatCode>
                <c:ptCount val="8"/>
                <c:pt idx="0">
                  <c:v>1</c:v>
                </c:pt>
                <c:pt idx="1">
                  <c:v>1.8107805859986577</c:v>
                </c:pt>
                <c:pt idx="2">
                  <c:v>3.4997838572222566</c:v>
                </c:pt>
                <c:pt idx="3">
                  <c:v>6.5418446265727805</c:v>
                </c:pt>
                <c:pt idx="4">
                  <c:v>10.745544178991276</c:v>
                </c:pt>
                <c:pt idx="5">
                  <c:v>18.129238643634036</c:v>
                </c:pt>
                <c:pt idx="6">
                  <c:v>18.568807339449538</c:v>
                </c:pt>
                <c:pt idx="7">
                  <c:v>20.966333703292634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Sheet2!$B$24:$B$31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Sheet2!$L$24:$L$31</c:f>
              <c:numCache>
                <c:formatCode>General</c:formatCode>
                <c:ptCount val="8"/>
                <c:pt idx="0">
                  <c:v>1</c:v>
                </c:pt>
                <c:pt idx="1">
                  <c:v>1.8259473108462674</c:v>
                </c:pt>
                <c:pt idx="2">
                  <c:v>3.5710919151948013</c:v>
                </c:pt>
                <c:pt idx="3">
                  <c:v>6.8445790747506514</c:v>
                </c:pt>
                <c:pt idx="4">
                  <c:v>12.013014069264068</c:v>
                </c:pt>
                <c:pt idx="5">
                  <c:v>20.006353354661378</c:v>
                </c:pt>
                <c:pt idx="6">
                  <c:v>30.945149149707273</c:v>
                </c:pt>
                <c:pt idx="7">
                  <c:v>38.592003476749241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Sheet2!$B$35:$B$42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Sheet2!$L$35:$L$42</c:f>
              <c:numCache>
                <c:formatCode>0.00</c:formatCode>
                <c:ptCount val="8"/>
                <c:pt idx="0">
                  <c:v>1</c:v>
                </c:pt>
                <c:pt idx="1">
                  <c:v>1.8096971581937802</c:v>
                </c:pt>
                <c:pt idx="2">
                  <c:v>3.6961364706455386</c:v>
                </c:pt>
                <c:pt idx="3">
                  <c:v>7.1212738544674643</c:v>
                </c:pt>
                <c:pt idx="4">
                  <c:v>12.690717590656968</c:v>
                </c:pt>
                <c:pt idx="5">
                  <c:v>21.686477056900788</c:v>
                </c:pt>
                <c:pt idx="6">
                  <c:v>34.243748119735258</c:v>
                </c:pt>
                <c:pt idx="7">
                  <c:v>42.680497293243654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46608"/>
        <c:axId val="244447392"/>
      </c:scatterChart>
      <c:valAx>
        <c:axId val="24444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447392"/>
        <c:crosses val="autoZero"/>
        <c:crossBetween val="midCat"/>
      </c:valAx>
      <c:valAx>
        <c:axId val="24444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446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wer"/>
            <c:forward val="10000000"/>
            <c:dispRSqr val="0"/>
            <c:dispEq val="0"/>
          </c:trendline>
          <c:xVal>
            <c:numRef>
              <c:f>Sheet2!$D$45:$D$48</c:f>
              <c:numCache>
                <c:formatCode>0.00</c:formatCode>
                <c:ptCount val="4"/>
                <c:pt idx="0">
                  <c:v>4.18</c:v>
                </c:pt>
                <c:pt idx="1">
                  <c:v>47.07</c:v>
                </c:pt>
                <c:pt idx="2">
                  <c:v>806.65</c:v>
                </c:pt>
                <c:pt idx="3">
                  <c:v>13132.62</c:v>
                </c:pt>
              </c:numCache>
            </c:numRef>
          </c:xVal>
          <c:yVal>
            <c:numRef>
              <c:f>Sheet2!$E$45:$E$48</c:f>
              <c:numCache>
                <c:formatCode>0.00</c:formatCode>
                <c:ptCount val="4"/>
                <c:pt idx="0">
                  <c:v>75.709999999999994</c:v>
                </c:pt>
                <c:pt idx="1">
                  <c:v>547.54</c:v>
                </c:pt>
                <c:pt idx="2">
                  <c:v>4279.37</c:v>
                </c:pt>
                <c:pt idx="3">
                  <c:v>35152.83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Sheet2!$F$47:$F$48</c:f>
              <c:numCache>
                <c:formatCode>0.00</c:formatCode>
                <c:ptCount val="2"/>
                <c:pt idx="0">
                  <c:v>1</c:v>
                </c:pt>
                <c:pt idx="1">
                  <c:v>1000000</c:v>
                </c:pt>
              </c:numCache>
            </c:numRef>
          </c:xVal>
          <c:yVal>
            <c:numRef>
              <c:f>Sheet2!$G$47:$G$48</c:f>
              <c:numCache>
                <c:formatCode>0.00</c:formatCode>
                <c:ptCount val="2"/>
                <c:pt idx="0">
                  <c:v>1</c:v>
                </c:pt>
                <c:pt idx="1">
                  <c:v>1000000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78872"/>
        <c:axId val="245678088"/>
      </c:scatterChart>
      <c:valAx>
        <c:axId val="245678872"/>
        <c:scaling>
          <c:logBase val="10"/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5678088"/>
        <c:crosses val="autoZero"/>
        <c:crossBetween val="midCat"/>
      </c:valAx>
      <c:valAx>
        <c:axId val="245678088"/>
        <c:scaling>
          <c:logBase val="1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5678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Sheet2!$C$90</c:f>
              <c:strCache>
                <c:ptCount val="1"/>
                <c:pt idx="0">
                  <c:v>transport</c:v>
                </c:pt>
              </c:strCache>
            </c:strRef>
          </c:tx>
          <c:xVal>
            <c:numRef>
              <c:f>Sheet2!$B$91:$B$98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Sheet2!$C$91:$C$98</c:f>
              <c:numCache>
                <c:formatCode>0.00</c:formatCode>
                <c:ptCount val="8"/>
                <c:pt idx="0">
                  <c:v>13.5</c:v>
                </c:pt>
                <c:pt idx="1">
                  <c:v>9.74</c:v>
                </c:pt>
                <c:pt idx="2">
                  <c:v>7</c:v>
                </c:pt>
                <c:pt idx="3">
                  <c:v>6.99</c:v>
                </c:pt>
                <c:pt idx="4">
                  <c:v>5.98</c:v>
                </c:pt>
                <c:pt idx="5">
                  <c:v>5.96</c:v>
                </c:pt>
                <c:pt idx="6">
                  <c:v>5.91</c:v>
                </c:pt>
                <c:pt idx="7">
                  <c:v>5.21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Sheet2!$D$90</c:f>
              <c:strCache>
                <c:ptCount val="1"/>
                <c:pt idx="0">
                  <c:v>t commun</c:v>
                </c:pt>
              </c:strCache>
            </c:strRef>
          </c:tx>
          <c:xVal>
            <c:numRef>
              <c:f>Sheet2!$B$91:$B$98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Sheet2!$D$91:$D$98</c:f>
              <c:numCache>
                <c:formatCode>0.00</c:formatCode>
                <c:ptCount val="8"/>
                <c:pt idx="0">
                  <c:v>0.14000000000000001</c:v>
                </c:pt>
                <c:pt idx="1">
                  <c:v>1.65</c:v>
                </c:pt>
                <c:pt idx="2">
                  <c:v>2.4300000000000002</c:v>
                </c:pt>
                <c:pt idx="3">
                  <c:v>3.18</c:v>
                </c:pt>
                <c:pt idx="4">
                  <c:v>3.26</c:v>
                </c:pt>
                <c:pt idx="5">
                  <c:v>3.62</c:v>
                </c:pt>
                <c:pt idx="6">
                  <c:v>3.57</c:v>
                </c:pt>
                <c:pt idx="7">
                  <c:v>4.16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Sheet2!$E$90</c:f>
              <c:strCache>
                <c:ptCount val="1"/>
                <c:pt idx="0">
                  <c:v>Fastest CPU</c:v>
                </c:pt>
              </c:strCache>
            </c:strRef>
          </c:tx>
          <c:xVal>
            <c:numRef>
              <c:f>Sheet2!$B$91:$B$98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Sheet2!$E$91:$E$98</c:f>
              <c:numCache>
                <c:formatCode>0.00</c:formatCode>
                <c:ptCount val="8"/>
                <c:pt idx="0">
                  <c:v>8.9090000000000007</c:v>
                </c:pt>
                <c:pt idx="1">
                  <c:v>5.2510000000000003</c:v>
                </c:pt>
                <c:pt idx="2">
                  <c:v>5.51</c:v>
                </c:pt>
                <c:pt idx="3">
                  <c:v>4.7</c:v>
                </c:pt>
                <c:pt idx="4">
                  <c:v>4.6589999999999998</c:v>
                </c:pt>
                <c:pt idx="5">
                  <c:v>4.7930000000000001</c:v>
                </c:pt>
                <c:pt idx="6">
                  <c:v>4.5270000000000001</c:v>
                </c:pt>
                <c:pt idx="7">
                  <c:v>4.3579999999999997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Sheet2!$F$90</c:f>
              <c:strCache>
                <c:ptCount val="1"/>
                <c:pt idx="0">
                  <c:v>T + Commun</c:v>
                </c:pt>
              </c:strCache>
            </c:strRef>
          </c:tx>
          <c:xVal>
            <c:numRef>
              <c:f>Sheet2!$B$91:$B$98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Sheet2!$F$91:$F$98</c:f>
              <c:numCache>
                <c:formatCode>0.00</c:formatCode>
                <c:ptCount val="8"/>
                <c:pt idx="0">
                  <c:v>13.64</c:v>
                </c:pt>
                <c:pt idx="1">
                  <c:v>11.39</c:v>
                </c:pt>
                <c:pt idx="2">
                  <c:v>9.43</c:v>
                </c:pt>
                <c:pt idx="3">
                  <c:v>10.17</c:v>
                </c:pt>
                <c:pt idx="4">
                  <c:v>9.24</c:v>
                </c:pt>
                <c:pt idx="5">
                  <c:v>9.58</c:v>
                </c:pt>
                <c:pt idx="6">
                  <c:v>9.48</c:v>
                </c:pt>
                <c:pt idx="7">
                  <c:v>9.370000000000001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76520"/>
        <c:axId val="245679656"/>
      </c:scatterChart>
      <c:valAx>
        <c:axId val="24567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679656"/>
        <c:crosses val="autoZero"/>
        <c:crossBetween val="midCat"/>
      </c:valAx>
      <c:valAx>
        <c:axId val="245679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5676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 Only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x 1</c:v>
          </c:tx>
          <c:spPr>
            <a:ln w="28575">
              <a:noFill/>
            </a:ln>
          </c:spPr>
          <c:xVal>
            <c:numRef>
              <c:f>Sheet3!$B$4:$B$11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Sheet3!$F$4:$F$11</c:f>
              <c:numCache>
                <c:formatCode>0.00</c:formatCode>
                <c:ptCount val="8"/>
                <c:pt idx="0">
                  <c:v>685.85</c:v>
                </c:pt>
                <c:pt idx="1">
                  <c:v>353.74</c:v>
                </c:pt>
                <c:pt idx="2">
                  <c:v>176.66</c:v>
                </c:pt>
                <c:pt idx="3">
                  <c:v>90.28</c:v>
                </c:pt>
                <c:pt idx="4">
                  <c:v>46.17</c:v>
                </c:pt>
                <c:pt idx="5">
                  <c:v>24.15</c:v>
                </c:pt>
                <c:pt idx="6">
                  <c:v>12.35</c:v>
                </c:pt>
                <c:pt idx="7">
                  <c:v>8.4499999999999993</c:v>
                </c:pt>
              </c:numCache>
            </c:numRef>
          </c:yVal>
          <c:smooth val="0"/>
        </c:ser>
        <c:ser>
          <c:idx val="0"/>
          <c:order val="1"/>
          <c:tx>
            <c:v>x 2</c:v>
          </c:tx>
          <c:spPr>
            <a:ln w="28575">
              <a:noFill/>
            </a:ln>
          </c:spPr>
          <c:xVal>
            <c:numRef>
              <c:f>Sheet3!$B$14:$B$21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Sheet3!$F$14:$F$21</c:f>
              <c:numCache>
                <c:formatCode>0.00</c:formatCode>
                <c:ptCount val="8"/>
                <c:pt idx="0">
                  <c:v>4410.91</c:v>
                </c:pt>
                <c:pt idx="1">
                  <c:v>2285.37</c:v>
                </c:pt>
                <c:pt idx="2">
                  <c:v>1128.49</c:v>
                </c:pt>
                <c:pt idx="3">
                  <c:v>565.33000000000004</c:v>
                </c:pt>
                <c:pt idx="4">
                  <c:v>300.52999999999997</c:v>
                </c:pt>
                <c:pt idx="5">
                  <c:v>150.31</c:v>
                </c:pt>
                <c:pt idx="6">
                  <c:v>76.819999999999993</c:v>
                </c:pt>
                <c:pt idx="7">
                  <c:v>52.02</c:v>
                </c:pt>
              </c:numCache>
            </c:numRef>
          </c:yVal>
          <c:smooth val="0"/>
        </c:ser>
        <c:ser>
          <c:idx val="1"/>
          <c:order val="2"/>
          <c:tx>
            <c:v>x 4</c:v>
          </c:tx>
          <c:spPr>
            <a:ln w="28575">
              <a:noFill/>
            </a:ln>
          </c:spPr>
          <c:xVal>
            <c:numRef>
              <c:f>Sheet3!$B$25:$B$32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Sheet3!$F$25:$F$32</c:f>
              <c:numCache>
                <c:formatCode>0.00</c:formatCode>
                <c:ptCount val="8"/>
                <c:pt idx="0">
                  <c:v>31866.31</c:v>
                </c:pt>
                <c:pt idx="1">
                  <c:v>16342.72</c:v>
                </c:pt>
                <c:pt idx="2">
                  <c:v>8109.76</c:v>
                </c:pt>
                <c:pt idx="3">
                  <c:v>4020.42</c:v>
                </c:pt>
                <c:pt idx="4">
                  <c:v>2087.4299999999998</c:v>
                </c:pt>
                <c:pt idx="5">
                  <c:v>1046.57</c:v>
                </c:pt>
                <c:pt idx="6">
                  <c:v>528.04</c:v>
                </c:pt>
                <c:pt idx="7">
                  <c:v>358.77</c:v>
                </c:pt>
              </c:numCache>
            </c:numRef>
          </c:yVal>
          <c:smooth val="0"/>
        </c:ser>
        <c:ser>
          <c:idx val="2"/>
          <c:order val="3"/>
          <c:tx>
            <c:v>x4 ORNL</c:v>
          </c:tx>
          <c:spPr>
            <a:ln w="28575">
              <a:noFill/>
            </a:ln>
          </c:spPr>
          <c:xVal>
            <c:numRef>
              <c:f>Sheet3!$B$36:$B$43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Sheet3!$F$36:$F$43</c:f>
              <c:numCache>
                <c:formatCode>0.00</c:formatCode>
                <c:ptCount val="8"/>
                <c:pt idx="0">
                  <c:v>62038.82</c:v>
                </c:pt>
                <c:pt idx="1">
                  <c:v>10827.76</c:v>
                </c:pt>
                <c:pt idx="2">
                  <c:v>5394.56</c:v>
                </c:pt>
                <c:pt idx="3">
                  <c:v>2769.51</c:v>
                </c:pt>
                <c:pt idx="4">
                  <c:v>1397.27</c:v>
                </c:pt>
                <c:pt idx="5">
                  <c:v>709.67</c:v>
                </c:pt>
                <c:pt idx="6">
                  <c:v>358.65</c:v>
                </c:pt>
                <c:pt idx="7" formatCode="General">
                  <c:v>180.89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74560"/>
        <c:axId val="245680048"/>
      </c:scatterChart>
      <c:valAx>
        <c:axId val="2456745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680048"/>
        <c:crossesAt val="1.0000000000000002E-2"/>
        <c:crossBetween val="midCat"/>
      </c:valAx>
      <c:valAx>
        <c:axId val="2456800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Time, in 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45674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 Speedup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marker>
            <c:symbol val="none"/>
          </c:marker>
          <c:xVal>
            <c:numRef>
              <c:f>Sheet3!$B$4:$B$12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512</c:v>
                </c:pt>
              </c:numCache>
            </c:numRef>
          </c:xVal>
          <c:yVal>
            <c:numRef>
              <c:f>Sheet3!$M$4:$M$12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512</c:v>
                </c:pt>
              </c:numCache>
            </c:numRef>
          </c:yVal>
          <c:smooth val="0"/>
        </c:ser>
        <c:ser>
          <c:idx val="1"/>
          <c:order val="1"/>
          <c:tx>
            <c:v>x 1</c:v>
          </c:tx>
          <c:marker>
            <c:symbol val="none"/>
          </c:marker>
          <c:xVal>
            <c:numRef>
              <c:f>Sheet3!$B$4:$B$11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Sheet3!$K$4:$K$11</c:f>
              <c:numCache>
                <c:formatCode>General</c:formatCode>
                <c:ptCount val="8"/>
                <c:pt idx="0">
                  <c:v>1</c:v>
                </c:pt>
                <c:pt idx="1">
                  <c:v>1.9388533951489795</c:v>
                </c:pt>
                <c:pt idx="2">
                  <c:v>3.8823163138231633</c:v>
                </c:pt>
                <c:pt idx="3">
                  <c:v>7.5969206911829863</c:v>
                </c:pt>
                <c:pt idx="4">
                  <c:v>14.854884123889972</c:v>
                </c:pt>
                <c:pt idx="5">
                  <c:v>28.399585921325055</c:v>
                </c:pt>
                <c:pt idx="6">
                  <c:v>55.534412955465591</c:v>
                </c:pt>
                <c:pt idx="7">
                  <c:v>81.165680473372788</c:v>
                </c:pt>
              </c:numCache>
            </c:numRef>
          </c:yVal>
          <c:smooth val="0"/>
        </c:ser>
        <c:ser>
          <c:idx val="2"/>
          <c:order val="2"/>
          <c:tx>
            <c:v>x 2</c:v>
          </c:tx>
          <c:marker>
            <c:symbol val="none"/>
          </c:marker>
          <c:xVal>
            <c:numRef>
              <c:f>Sheet3!$B$14:$B$21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Sheet3!$K$14:$K$21</c:f>
              <c:numCache>
                <c:formatCode>General</c:formatCode>
                <c:ptCount val="8"/>
                <c:pt idx="0">
                  <c:v>1</c:v>
                </c:pt>
                <c:pt idx="1">
                  <c:v>1.9300638408660304</c:v>
                </c:pt>
                <c:pt idx="2">
                  <c:v>3.9086832847433293</c:v>
                </c:pt>
                <c:pt idx="3">
                  <c:v>7.8023632214812579</c:v>
                </c:pt>
                <c:pt idx="4">
                  <c:v>14.677103783316142</c:v>
                </c:pt>
                <c:pt idx="5">
                  <c:v>29.345419466436031</c:v>
                </c:pt>
                <c:pt idx="6">
                  <c:v>57.418771153345489</c:v>
                </c:pt>
                <c:pt idx="7">
                  <c:v>84.792579777008839</c:v>
                </c:pt>
              </c:numCache>
            </c:numRef>
          </c:yVal>
          <c:smooth val="0"/>
        </c:ser>
        <c:ser>
          <c:idx val="3"/>
          <c:order val="3"/>
          <c:tx>
            <c:v>x 4</c:v>
          </c:tx>
          <c:marker>
            <c:symbol val="none"/>
          </c:marker>
          <c:xVal>
            <c:numRef>
              <c:f>Sheet3!$B$25:$B$32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Sheet3!$K$25:$K$32</c:f>
              <c:numCache>
                <c:formatCode>General</c:formatCode>
                <c:ptCount val="8"/>
                <c:pt idx="0">
                  <c:v>1</c:v>
                </c:pt>
                <c:pt idx="1">
                  <c:v>1.9498779884866169</c:v>
                </c:pt>
                <c:pt idx="2">
                  <c:v>3.9293776881190072</c:v>
                </c:pt>
                <c:pt idx="3">
                  <c:v>7.9261146845354471</c:v>
                </c:pt>
                <c:pt idx="4">
                  <c:v>15.265810110997736</c:v>
                </c:pt>
                <c:pt idx="5">
                  <c:v>30.448331215303327</c:v>
                </c:pt>
                <c:pt idx="6">
                  <c:v>60.348288008484211</c:v>
                </c:pt>
                <c:pt idx="7">
                  <c:v>88.820999526158829</c:v>
                </c:pt>
              </c:numCache>
            </c:numRef>
          </c:yVal>
          <c:smooth val="0"/>
        </c:ser>
        <c:ser>
          <c:idx val="4"/>
          <c:order val="4"/>
          <c:tx>
            <c:v>x4 ORNL</c:v>
          </c:tx>
          <c:marker>
            <c:symbol val="none"/>
          </c:marker>
          <c:xVal>
            <c:numRef>
              <c:f>Sheet3!$B$36:$B$43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Sheet3!$K$36:$K$43</c:f>
              <c:numCache>
                <c:formatCode>General</c:formatCode>
                <c:ptCount val="8"/>
                <c:pt idx="0">
                  <c:v>1</c:v>
                </c:pt>
                <c:pt idx="1">
                  <c:v>5.7296079706236558</c:v>
                </c:pt>
                <c:pt idx="2">
                  <c:v>11.500255813263731</c:v>
                </c:pt>
                <c:pt idx="3">
                  <c:v>22.40064849016613</c:v>
                </c:pt>
                <c:pt idx="4">
                  <c:v>44.400022901801371</c:v>
                </c:pt>
                <c:pt idx="5">
                  <c:v>87.419251201262568</c:v>
                </c:pt>
                <c:pt idx="6">
                  <c:v>172.97872577722015</c:v>
                </c:pt>
                <c:pt idx="7">
                  <c:v>342.96434297086631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75344"/>
        <c:axId val="245680832"/>
      </c:scatterChart>
      <c:valAx>
        <c:axId val="24567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680832"/>
        <c:crosses val="autoZero"/>
        <c:crossBetween val="midCat"/>
      </c:valAx>
      <c:valAx>
        <c:axId val="24568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675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Chemistry</a:t>
            </a:r>
            <a:r>
              <a:rPr lang="en-US" baseline="0"/>
              <a:t> plus Communication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x 1</c:v>
          </c:tx>
          <c:spPr>
            <a:ln w="28575">
              <a:noFill/>
            </a:ln>
          </c:spPr>
          <c:xVal>
            <c:numRef>
              <c:f>Sheet3!$B$4:$B$11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Sheet3!$I$4:$I$11</c:f>
              <c:numCache>
                <c:formatCode>0.00</c:formatCode>
                <c:ptCount val="8"/>
                <c:pt idx="0">
                  <c:v>687.91</c:v>
                </c:pt>
                <c:pt idx="1">
                  <c:v>355.36</c:v>
                </c:pt>
                <c:pt idx="2">
                  <c:v>178.2</c:v>
                </c:pt>
                <c:pt idx="3">
                  <c:v>91.54</c:v>
                </c:pt>
                <c:pt idx="4">
                  <c:v>47.36</c:v>
                </c:pt>
                <c:pt idx="5">
                  <c:v>25.419999999999998</c:v>
                </c:pt>
                <c:pt idx="6">
                  <c:v>13.75</c:v>
                </c:pt>
                <c:pt idx="7">
                  <c:v>9.94</c:v>
                </c:pt>
              </c:numCache>
            </c:numRef>
          </c:yVal>
          <c:smooth val="0"/>
        </c:ser>
        <c:ser>
          <c:idx val="0"/>
          <c:order val="1"/>
          <c:tx>
            <c:v>x 2</c:v>
          </c:tx>
          <c:spPr>
            <a:ln w="28575">
              <a:noFill/>
            </a:ln>
          </c:spPr>
          <c:xVal>
            <c:numRef>
              <c:f>Sheet3!$B$14:$B$21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Sheet3!$I$14:$I$21</c:f>
              <c:numCache>
                <c:formatCode>0.00</c:formatCode>
                <c:ptCount val="8"/>
                <c:pt idx="0">
                  <c:v>4425.25</c:v>
                </c:pt>
                <c:pt idx="1">
                  <c:v>2296.1</c:v>
                </c:pt>
                <c:pt idx="2">
                  <c:v>1137.1500000000001</c:v>
                </c:pt>
                <c:pt idx="3">
                  <c:v>573.54000000000008</c:v>
                </c:pt>
                <c:pt idx="4">
                  <c:v>307.33</c:v>
                </c:pt>
                <c:pt idx="5">
                  <c:v>157.36000000000001</c:v>
                </c:pt>
                <c:pt idx="6">
                  <c:v>87.52</c:v>
                </c:pt>
                <c:pt idx="7">
                  <c:v>68.72</c:v>
                </c:pt>
              </c:numCache>
            </c:numRef>
          </c:yVal>
          <c:smooth val="0"/>
        </c:ser>
        <c:ser>
          <c:idx val="1"/>
          <c:order val="2"/>
          <c:tx>
            <c:v>x 4</c:v>
          </c:tx>
          <c:spPr>
            <a:ln w="28575">
              <a:noFill/>
            </a:ln>
          </c:spPr>
          <c:xVal>
            <c:numRef>
              <c:f>Sheet3!$B$25:$B$32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Sheet3!$I$25:$I$32</c:f>
              <c:numCache>
                <c:formatCode>0.00</c:formatCode>
                <c:ptCount val="8"/>
                <c:pt idx="0">
                  <c:v>31970.58</c:v>
                </c:pt>
                <c:pt idx="1">
                  <c:v>16421.41</c:v>
                </c:pt>
                <c:pt idx="2">
                  <c:v>8170.56</c:v>
                </c:pt>
                <c:pt idx="3">
                  <c:v>4074.11</c:v>
                </c:pt>
                <c:pt idx="4">
                  <c:v>2134.6</c:v>
                </c:pt>
                <c:pt idx="5">
                  <c:v>1092.3999999999999</c:v>
                </c:pt>
                <c:pt idx="6">
                  <c:v>570.59999999999991</c:v>
                </c:pt>
                <c:pt idx="7">
                  <c:v>400.33</c:v>
                </c:pt>
              </c:numCache>
            </c:numRef>
          </c:yVal>
          <c:smooth val="0"/>
        </c:ser>
        <c:ser>
          <c:idx val="2"/>
          <c:order val="3"/>
          <c:tx>
            <c:v>x4 ORNL</c:v>
          </c:tx>
          <c:spPr>
            <a:ln w="28575">
              <a:noFill/>
            </a:ln>
          </c:spPr>
          <c:xVal>
            <c:numRef>
              <c:f>Sheet3!$B$36:$B$43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Sheet3!$I$36:$I$43</c:f>
              <c:numCache>
                <c:formatCode>0.00</c:formatCode>
                <c:ptCount val="8"/>
                <c:pt idx="0">
                  <c:v>62236.05</c:v>
                </c:pt>
                <c:pt idx="1">
                  <c:v>10900.97</c:v>
                </c:pt>
                <c:pt idx="2">
                  <c:v>5457.0800000000008</c:v>
                </c:pt>
                <c:pt idx="3">
                  <c:v>2827.8</c:v>
                </c:pt>
                <c:pt idx="4">
                  <c:v>1462.1</c:v>
                </c:pt>
                <c:pt idx="5">
                  <c:v>763.15</c:v>
                </c:pt>
                <c:pt idx="6">
                  <c:v>412.10999999999996</c:v>
                </c:pt>
                <c:pt idx="7">
                  <c:v>238.06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78480"/>
        <c:axId val="245681224"/>
      </c:scatterChart>
      <c:valAx>
        <c:axId val="2456784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681224"/>
        <c:crosses val="autoZero"/>
        <c:crossBetween val="midCat"/>
      </c:valAx>
      <c:valAx>
        <c:axId val="2456812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Time, in 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45678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428626</xdr:colOff>
      <xdr:row>0</xdr:row>
      <xdr:rowOff>114300</xdr:rowOff>
    </xdr:from>
    <xdr:to>
      <xdr:col>21</xdr:col>
      <xdr:colOff>180976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142876</xdr:colOff>
      <xdr:row>1</xdr:row>
      <xdr:rowOff>9525</xdr:rowOff>
    </xdr:from>
    <xdr:to>
      <xdr:col>27</xdr:col>
      <xdr:colOff>419100</xdr:colOff>
      <xdr:row>23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461962</xdr:colOff>
      <xdr:row>25</xdr:row>
      <xdr:rowOff>38100</xdr:rowOff>
    </xdr:from>
    <xdr:to>
      <xdr:col>20</xdr:col>
      <xdr:colOff>157162</xdr:colOff>
      <xdr:row>47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24</xdr:row>
      <xdr:rowOff>133350</xdr:rowOff>
    </xdr:from>
    <xdr:to>
      <xdr:col>27</xdr:col>
      <xdr:colOff>428625</xdr:colOff>
      <xdr:row>48</xdr:row>
      <xdr:rowOff>33337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790575</xdr:colOff>
      <xdr:row>51</xdr:row>
      <xdr:rowOff>28575</xdr:rowOff>
    </xdr:from>
    <xdr:to>
      <xdr:col>14</xdr:col>
      <xdr:colOff>133350</xdr:colOff>
      <xdr:row>74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319087</xdr:colOff>
      <xdr:row>82</xdr:row>
      <xdr:rowOff>71437</xdr:rowOff>
    </xdr:from>
    <xdr:to>
      <xdr:col>15</xdr:col>
      <xdr:colOff>595312</xdr:colOff>
      <xdr:row>96</xdr:row>
      <xdr:rowOff>147637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2</xdr:row>
      <xdr:rowOff>152400</xdr:rowOff>
    </xdr:from>
    <xdr:to>
      <xdr:col>20</xdr:col>
      <xdr:colOff>400051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457201</xdr:colOff>
      <xdr:row>2</xdr:row>
      <xdr:rowOff>123825</xdr:rowOff>
    </xdr:from>
    <xdr:to>
      <xdr:col>28</xdr:col>
      <xdr:colOff>238125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27</xdr:row>
      <xdr:rowOff>104775</xdr:rowOff>
    </xdr:from>
    <xdr:to>
      <xdr:col>20</xdr:col>
      <xdr:colOff>376237</xdr:colOff>
      <xdr:row>47</xdr:row>
      <xdr:rowOff>100012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533400</xdr:colOff>
      <xdr:row>27</xdr:row>
      <xdr:rowOff>104776</xdr:rowOff>
    </xdr:from>
    <xdr:to>
      <xdr:col>28</xdr:col>
      <xdr:colOff>276225</xdr:colOff>
      <xdr:row>47</xdr:row>
      <xdr:rowOff>66676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</xdr:row>
      <xdr:rowOff>190499</xdr:rowOff>
    </xdr:from>
    <xdr:to>
      <xdr:col>19</xdr:col>
      <xdr:colOff>400049</xdr:colOff>
      <xdr:row>21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457201</xdr:colOff>
      <xdr:row>2</xdr:row>
      <xdr:rowOff>123825</xdr:rowOff>
    </xdr:from>
    <xdr:to>
      <xdr:col>27</xdr:col>
      <xdr:colOff>19050</xdr:colOff>
      <xdr:row>23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90487</xdr:colOff>
      <xdr:row>24</xdr:row>
      <xdr:rowOff>66675</xdr:rowOff>
    </xdr:from>
    <xdr:to>
      <xdr:col>19</xdr:col>
      <xdr:colOff>285750</xdr:colOff>
      <xdr:row>42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457201</xdr:colOff>
      <xdr:row>24</xdr:row>
      <xdr:rowOff>38101</xdr:rowOff>
    </xdr:from>
    <xdr:to>
      <xdr:col>26</xdr:col>
      <xdr:colOff>590551</xdr:colOff>
      <xdr:row>41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57150</xdr:rowOff>
    </xdr:from>
    <xdr:to>
      <xdr:col>19</xdr:col>
      <xdr:colOff>600075</xdr:colOff>
      <xdr:row>12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</xdr:colOff>
      <xdr:row>0</xdr:row>
      <xdr:rowOff>38100</xdr:rowOff>
    </xdr:from>
    <xdr:to>
      <xdr:col>27</xdr:col>
      <xdr:colOff>28576</xdr:colOff>
      <xdr:row>12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13</xdr:row>
      <xdr:rowOff>9525</xdr:rowOff>
    </xdr:from>
    <xdr:to>
      <xdr:col>20</xdr:col>
      <xdr:colOff>1</xdr:colOff>
      <xdr:row>25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600075</xdr:colOff>
      <xdr:row>12</xdr:row>
      <xdr:rowOff>180976</xdr:rowOff>
    </xdr:from>
    <xdr:to>
      <xdr:col>27</xdr:col>
      <xdr:colOff>9525</xdr:colOff>
      <xdr:row>25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19</xdr:col>
      <xdr:colOff>600075</xdr:colOff>
      <xdr:row>44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27</xdr:col>
      <xdr:colOff>28574</xdr:colOff>
      <xdr:row>44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28575</xdr:colOff>
      <xdr:row>66</xdr:row>
      <xdr:rowOff>66675</xdr:rowOff>
    </xdr:from>
    <xdr:to>
      <xdr:col>20</xdr:col>
      <xdr:colOff>19051</xdr:colOff>
      <xdr:row>80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19050</xdr:colOff>
      <xdr:row>66</xdr:row>
      <xdr:rowOff>19049</xdr:rowOff>
    </xdr:from>
    <xdr:to>
      <xdr:col>27</xdr:col>
      <xdr:colOff>38100</xdr:colOff>
      <xdr:row>81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19</xdr:col>
      <xdr:colOff>600076</xdr:colOff>
      <xdr:row>63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48</xdr:row>
      <xdr:rowOff>0</xdr:rowOff>
    </xdr:from>
    <xdr:to>
      <xdr:col>27</xdr:col>
      <xdr:colOff>19050</xdr:colOff>
      <xdr:row>65</xdr:row>
      <xdr:rowOff>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B40" workbookViewId="0">
      <selection activeCell="G59" sqref="G59"/>
    </sheetView>
  </sheetViews>
  <sheetFormatPr baseColWidth="10" defaultColWidth="8.88671875" defaultRowHeight="14.4" x14ac:dyDescent="0.3"/>
  <cols>
    <col min="1" max="1" width="57.88671875" customWidth="1"/>
    <col min="3" max="3" width="11.88671875" bestFit="1" customWidth="1"/>
    <col min="7" max="7" width="9.6640625" bestFit="1" customWidth="1"/>
    <col min="8" max="8" width="40.6640625" bestFit="1" customWidth="1"/>
  </cols>
  <sheetData>
    <row r="1" spans="1:18" x14ac:dyDescent="0.3">
      <c r="A1" t="s">
        <v>0</v>
      </c>
    </row>
    <row r="2" spans="1:18" x14ac:dyDescent="0.3">
      <c r="A2" t="s">
        <v>1</v>
      </c>
    </row>
    <row r="3" spans="1:18" x14ac:dyDescent="0.3">
      <c r="A3" t="s">
        <v>2</v>
      </c>
    </row>
    <row r="4" spans="1:18" x14ac:dyDescent="0.3">
      <c r="A4" t="s">
        <v>3</v>
      </c>
      <c r="J4" t="s">
        <v>111</v>
      </c>
      <c r="K4" t="s">
        <v>112</v>
      </c>
      <c r="L4" t="s">
        <v>113</v>
      </c>
      <c r="M4" t="s">
        <v>114</v>
      </c>
      <c r="N4" t="s">
        <v>115</v>
      </c>
    </row>
    <row r="5" spans="1:18" x14ac:dyDescent="0.3">
      <c r="A5" t="s">
        <v>4</v>
      </c>
      <c r="J5">
        <v>3.47</v>
      </c>
      <c r="K5">
        <v>3</v>
      </c>
      <c r="L5">
        <v>2.93</v>
      </c>
      <c r="M5">
        <v>2.8</v>
      </c>
      <c r="N5">
        <v>2.66</v>
      </c>
    </row>
    <row r="6" spans="1:18" x14ac:dyDescent="0.3">
      <c r="C6" t="s">
        <v>6</v>
      </c>
      <c r="D6" t="s">
        <v>7</v>
      </c>
      <c r="E6" t="s">
        <v>8</v>
      </c>
      <c r="F6" t="s">
        <v>9</v>
      </c>
      <c r="G6" t="s">
        <v>12</v>
      </c>
      <c r="H6" t="s">
        <v>11</v>
      </c>
      <c r="J6">
        <v>6933.14</v>
      </c>
      <c r="K6">
        <v>5985.07</v>
      </c>
      <c r="L6">
        <v>5865.81</v>
      </c>
      <c r="M6">
        <v>5585.79</v>
      </c>
      <c r="N6">
        <v>5319.89</v>
      </c>
    </row>
    <row r="7" spans="1:18" x14ac:dyDescent="0.3">
      <c r="C7" t="s">
        <v>5</v>
      </c>
      <c r="D7">
        <v>6</v>
      </c>
      <c r="E7">
        <v>12</v>
      </c>
      <c r="F7">
        <v>2</v>
      </c>
      <c r="G7">
        <v>6933.14</v>
      </c>
      <c r="H7" t="s">
        <v>13</v>
      </c>
      <c r="J7">
        <v>0</v>
      </c>
    </row>
    <row r="8" spans="1:18" x14ac:dyDescent="0.3">
      <c r="C8" t="s">
        <v>10</v>
      </c>
      <c r="D8">
        <v>4</v>
      </c>
      <c r="E8">
        <v>4</v>
      </c>
      <c r="F8">
        <v>2</v>
      </c>
      <c r="G8">
        <v>4987.84</v>
      </c>
      <c r="H8" t="s">
        <v>18</v>
      </c>
      <c r="I8" t="s">
        <v>116</v>
      </c>
      <c r="N8">
        <v>4</v>
      </c>
      <c r="R8">
        <f>J6/M6</f>
        <v>1.2412102853848785</v>
      </c>
    </row>
    <row r="9" spans="1:18" x14ac:dyDescent="0.3">
      <c r="C9" t="s">
        <v>14</v>
      </c>
      <c r="D9">
        <v>4</v>
      </c>
      <c r="E9">
        <v>8</v>
      </c>
      <c r="F9">
        <v>2</v>
      </c>
      <c r="G9">
        <v>5865.82</v>
      </c>
      <c r="H9" t="s">
        <v>15</v>
      </c>
      <c r="L9">
        <v>8</v>
      </c>
    </row>
    <row r="10" spans="1:18" x14ac:dyDescent="0.3">
      <c r="C10" t="s">
        <v>16</v>
      </c>
      <c r="D10">
        <v>4</v>
      </c>
      <c r="E10">
        <v>8</v>
      </c>
      <c r="F10">
        <v>2</v>
      </c>
      <c r="G10">
        <v>5865.81</v>
      </c>
      <c r="H10" t="s">
        <v>15</v>
      </c>
      <c r="L10">
        <v>8</v>
      </c>
    </row>
    <row r="11" spans="1:18" x14ac:dyDescent="0.3">
      <c r="C11" t="s">
        <v>17</v>
      </c>
      <c r="D11">
        <v>4</v>
      </c>
      <c r="E11">
        <v>8</v>
      </c>
      <c r="F11">
        <v>2</v>
      </c>
      <c r="G11">
        <v>5865.82</v>
      </c>
      <c r="H11" t="s">
        <v>15</v>
      </c>
      <c r="L11">
        <v>8</v>
      </c>
    </row>
    <row r="13" spans="1:18" x14ac:dyDescent="0.3">
      <c r="C13" t="s">
        <v>19</v>
      </c>
      <c r="D13">
        <v>6</v>
      </c>
      <c r="E13">
        <v>12</v>
      </c>
      <c r="F13">
        <v>2</v>
      </c>
      <c r="G13">
        <v>6933.14</v>
      </c>
      <c r="H13" t="s">
        <v>13</v>
      </c>
      <c r="J13">
        <v>12</v>
      </c>
    </row>
    <row r="14" spans="1:18" x14ac:dyDescent="0.3">
      <c r="C14" t="s">
        <v>20</v>
      </c>
      <c r="D14">
        <v>6</v>
      </c>
      <c r="E14">
        <v>12</v>
      </c>
      <c r="F14">
        <v>2</v>
      </c>
      <c r="G14">
        <v>6933.15</v>
      </c>
      <c r="H14" t="s">
        <v>13</v>
      </c>
      <c r="J14">
        <v>0</v>
      </c>
    </row>
    <row r="15" spans="1:18" x14ac:dyDescent="0.3">
      <c r="C15" t="s">
        <v>21</v>
      </c>
      <c r="D15">
        <v>6</v>
      </c>
      <c r="E15">
        <v>12</v>
      </c>
      <c r="F15">
        <v>2</v>
      </c>
      <c r="G15">
        <v>6933.14</v>
      </c>
      <c r="H15" t="s">
        <v>13</v>
      </c>
      <c r="J15">
        <v>0</v>
      </c>
    </row>
    <row r="16" spans="1:18" x14ac:dyDescent="0.3">
      <c r="C16" t="s">
        <v>22</v>
      </c>
      <c r="D16">
        <v>6</v>
      </c>
      <c r="E16">
        <v>12</v>
      </c>
      <c r="F16">
        <v>2</v>
      </c>
      <c r="G16">
        <v>6933.85</v>
      </c>
      <c r="H16" t="s">
        <v>13</v>
      </c>
      <c r="J16">
        <v>0</v>
      </c>
    </row>
    <row r="17" spans="3:15" x14ac:dyDescent="0.3">
      <c r="C17" t="s">
        <v>23</v>
      </c>
      <c r="D17">
        <v>6</v>
      </c>
      <c r="E17">
        <v>12</v>
      </c>
      <c r="F17">
        <v>2</v>
      </c>
      <c r="G17">
        <v>6933.54</v>
      </c>
      <c r="H17" t="s">
        <v>13</v>
      </c>
      <c r="J17">
        <v>0</v>
      </c>
    </row>
    <row r="18" spans="3:15" x14ac:dyDescent="0.3">
      <c r="C18" t="s">
        <v>24</v>
      </c>
      <c r="D18">
        <v>6</v>
      </c>
      <c r="E18">
        <v>12</v>
      </c>
      <c r="F18">
        <v>2</v>
      </c>
      <c r="G18">
        <v>6933.13</v>
      </c>
      <c r="H18" t="s">
        <v>13</v>
      </c>
      <c r="J18">
        <v>12</v>
      </c>
    </row>
    <row r="19" spans="3:15" x14ac:dyDescent="0.3">
      <c r="C19" t="s">
        <v>25</v>
      </c>
      <c r="D19">
        <v>6</v>
      </c>
      <c r="E19">
        <v>12</v>
      </c>
      <c r="F19">
        <v>2</v>
      </c>
      <c r="G19">
        <v>6933.02</v>
      </c>
      <c r="H19" t="s">
        <v>13</v>
      </c>
      <c r="J19">
        <v>12</v>
      </c>
    </row>
    <row r="20" spans="3:15" x14ac:dyDescent="0.3">
      <c r="C20" t="s">
        <v>26</v>
      </c>
      <c r="D20">
        <v>6</v>
      </c>
      <c r="E20">
        <v>12</v>
      </c>
      <c r="F20">
        <v>2</v>
      </c>
      <c r="G20">
        <v>6933.54</v>
      </c>
      <c r="H20" t="s">
        <v>13</v>
      </c>
      <c r="J20">
        <v>12</v>
      </c>
    </row>
    <row r="21" spans="3:15" x14ac:dyDescent="0.3">
      <c r="C21" t="s">
        <v>27</v>
      </c>
      <c r="D21">
        <v>6</v>
      </c>
      <c r="E21">
        <v>12</v>
      </c>
      <c r="F21">
        <v>2</v>
      </c>
      <c r="G21">
        <v>6933.79</v>
      </c>
      <c r="H21" t="s">
        <v>13</v>
      </c>
      <c r="J21">
        <v>0</v>
      </c>
    </row>
    <row r="22" spans="3:15" x14ac:dyDescent="0.3">
      <c r="C22" t="s">
        <v>28</v>
      </c>
      <c r="D22">
        <v>6</v>
      </c>
      <c r="E22">
        <v>12</v>
      </c>
      <c r="F22">
        <v>2</v>
      </c>
      <c r="G22">
        <v>3989.56</v>
      </c>
      <c r="H22" t="s">
        <v>31</v>
      </c>
      <c r="O22">
        <v>12</v>
      </c>
    </row>
    <row r="23" spans="3:15" x14ac:dyDescent="0.3">
      <c r="C23" t="s">
        <v>29</v>
      </c>
      <c r="D23">
        <v>6</v>
      </c>
      <c r="E23">
        <v>12</v>
      </c>
      <c r="F23">
        <v>2</v>
      </c>
      <c r="G23">
        <v>5585.79</v>
      </c>
      <c r="H23" t="s">
        <v>32</v>
      </c>
      <c r="I23" t="s">
        <v>116</v>
      </c>
      <c r="M23">
        <v>12</v>
      </c>
    </row>
    <row r="24" spans="3:15" x14ac:dyDescent="0.3">
      <c r="C24" t="s">
        <v>30</v>
      </c>
      <c r="D24">
        <v>6</v>
      </c>
      <c r="E24">
        <v>12</v>
      </c>
      <c r="F24">
        <v>2</v>
      </c>
      <c r="G24">
        <v>5585.78</v>
      </c>
      <c r="H24" t="s">
        <v>32</v>
      </c>
      <c r="I24" t="s">
        <v>116</v>
      </c>
      <c r="M24">
        <v>12</v>
      </c>
    </row>
    <row r="26" spans="3:15" x14ac:dyDescent="0.3">
      <c r="C26" t="s">
        <v>33</v>
      </c>
      <c r="D26">
        <v>4</v>
      </c>
      <c r="E26">
        <v>4</v>
      </c>
      <c r="F26">
        <v>2</v>
      </c>
      <c r="G26">
        <v>5319.89</v>
      </c>
      <c r="H26" t="s">
        <v>43</v>
      </c>
      <c r="N26">
        <v>4</v>
      </c>
    </row>
    <row r="27" spans="3:15" x14ac:dyDescent="0.3">
      <c r="C27" t="s">
        <v>34</v>
      </c>
      <c r="D27">
        <v>4</v>
      </c>
      <c r="E27">
        <v>4</v>
      </c>
      <c r="F27">
        <v>2</v>
      </c>
      <c r="G27">
        <v>5320.07</v>
      </c>
      <c r="H27" t="s">
        <v>43</v>
      </c>
      <c r="N27">
        <v>4</v>
      </c>
    </row>
    <row r="28" spans="3:15" x14ac:dyDescent="0.3">
      <c r="C28" t="s">
        <v>35</v>
      </c>
      <c r="D28">
        <v>4</v>
      </c>
      <c r="E28">
        <v>4</v>
      </c>
      <c r="F28">
        <v>2</v>
      </c>
      <c r="G28">
        <v>5319.98</v>
      </c>
      <c r="H28" t="s">
        <v>43</v>
      </c>
      <c r="N28">
        <v>4</v>
      </c>
    </row>
    <row r="29" spans="3:15" x14ac:dyDescent="0.3">
      <c r="C29" t="s">
        <v>36</v>
      </c>
      <c r="D29">
        <v>4</v>
      </c>
      <c r="E29">
        <v>4</v>
      </c>
      <c r="F29">
        <v>2</v>
      </c>
      <c r="G29">
        <v>5985.07</v>
      </c>
      <c r="H29" t="s">
        <v>44</v>
      </c>
      <c r="K29">
        <v>4</v>
      </c>
    </row>
    <row r="30" spans="3:15" x14ac:dyDescent="0.3">
      <c r="C30" t="s">
        <v>37</v>
      </c>
      <c r="D30">
        <v>4</v>
      </c>
      <c r="E30">
        <v>4</v>
      </c>
      <c r="F30">
        <v>2</v>
      </c>
      <c r="G30">
        <v>5985.47</v>
      </c>
      <c r="H30" t="s">
        <v>44</v>
      </c>
      <c r="K30">
        <v>4</v>
      </c>
    </row>
    <row r="31" spans="3:15" x14ac:dyDescent="0.3">
      <c r="C31" t="s">
        <v>38</v>
      </c>
      <c r="D31">
        <v>4</v>
      </c>
      <c r="E31">
        <v>4</v>
      </c>
      <c r="F31">
        <v>2</v>
      </c>
      <c r="G31">
        <v>5320.44</v>
      </c>
      <c r="H31" t="s">
        <v>43</v>
      </c>
      <c r="N31">
        <v>4</v>
      </c>
    </row>
    <row r="32" spans="3:15" x14ac:dyDescent="0.3">
      <c r="C32" t="s">
        <v>39</v>
      </c>
      <c r="D32">
        <v>4</v>
      </c>
      <c r="E32">
        <v>4</v>
      </c>
      <c r="F32">
        <v>2</v>
      </c>
      <c r="G32">
        <v>4987.46</v>
      </c>
      <c r="H32" t="s">
        <v>18</v>
      </c>
      <c r="I32" t="s">
        <v>116</v>
      </c>
      <c r="O32">
        <v>4</v>
      </c>
    </row>
    <row r="33" spans="3:15" x14ac:dyDescent="0.3">
      <c r="C33" t="s">
        <v>40</v>
      </c>
      <c r="D33">
        <v>4</v>
      </c>
      <c r="E33">
        <v>4</v>
      </c>
      <c r="F33">
        <v>2</v>
      </c>
      <c r="G33">
        <v>4987.6899999999996</v>
      </c>
      <c r="H33" t="s">
        <v>18</v>
      </c>
      <c r="I33" t="s">
        <v>116</v>
      </c>
      <c r="O33">
        <v>4</v>
      </c>
    </row>
    <row r="34" spans="3:15" x14ac:dyDescent="0.3">
      <c r="C34" t="s">
        <v>41</v>
      </c>
      <c r="D34">
        <v>4</v>
      </c>
      <c r="E34">
        <v>4</v>
      </c>
      <c r="F34">
        <v>2</v>
      </c>
      <c r="G34">
        <v>5984.65</v>
      </c>
      <c r="H34" t="s">
        <v>44</v>
      </c>
      <c r="K34">
        <v>4</v>
      </c>
    </row>
    <row r="35" spans="3:15" x14ac:dyDescent="0.3">
      <c r="C35" t="s">
        <v>42</v>
      </c>
      <c r="D35">
        <v>4</v>
      </c>
      <c r="E35">
        <v>4</v>
      </c>
      <c r="F35">
        <v>2</v>
      </c>
      <c r="G35">
        <v>4987.67</v>
      </c>
      <c r="H35" t="s">
        <v>18</v>
      </c>
      <c r="I35" t="s">
        <v>116</v>
      </c>
      <c r="O35">
        <v>4</v>
      </c>
    </row>
    <row r="37" spans="3:15" x14ac:dyDescent="0.3">
      <c r="C37" t="s">
        <v>45</v>
      </c>
      <c r="D37">
        <v>4</v>
      </c>
      <c r="E37">
        <v>4</v>
      </c>
      <c r="F37">
        <v>2</v>
      </c>
      <c r="G37">
        <v>5319.86</v>
      </c>
      <c r="H37" t="s">
        <v>43</v>
      </c>
      <c r="N37">
        <v>4</v>
      </c>
    </row>
    <row r="38" spans="3:15" x14ac:dyDescent="0.3">
      <c r="C38" t="s">
        <v>46</v>
      </c>
      <c r="D38">
        <v>4</v>
      </c>
      <c r="E38">
        <v>4</v>
      </c>
      <c r="F38">
        <v>2</v>
      </c>
      <c r="G38">
        <v>5320.37</v>
      </c>
      <c r="H38" t="s">
        <v>43</v>
      </c>
      <c r="N38">
        <v>4</v>
      </c>
    </row>
    <row r="39" spans="3:15" x14ac:dyDescent="0.3">
      <c r="C39" t="s">
        <v>47</v>
      </c>
      <c r="D39">
        <v>2</v>
      </c>
      <c r="E39">
        <v>2</v>
      </c>
      <c r="F39">
        <v>2</v>
      </c>
      <c r="G39">
        <v>5984.51</v>
      </c>
      <c r="H39" t="s">
        <v>56</v>
      </c>
      <c r="I39" t="s">
        <v>116</v>
      </c>
      <c r="O39">
        <v>2</v>
      </c>
    </row>
    <row r="40" spans="3:15" x14ac:dyDescent="0.3">
      <c r="C40" t="s">
        <v>48</v>
      </c>
      <c r="D40">
        <v>4</v>
      </c>
      <c r="E40">
        <v>4</v>
      </c>
      <c r="F40">
        <v>2</v>
      </c>
      <c r="G40">
        <v>5985</v>
      </c>
      <c r="H40" t="s">
        <v>44</v>
      </c>
      <c r="K40">
        <v>4</v>
      </c>
    </row>
    <row r="41" spans="3:15" x14ac:dyDescent="0.3">
      <c r="C41" t="s">
        <v>49</v>
      </c>
      <c r="D41">
        <v>4</v>
      </c>
      <c r="E41">
        <v>4</v>
      </c>
      <c r="F41">
        <v>2</v>
      </c>
      <c r="G41">
        <v>5320.04</v>
      </c>
      <c r="H41" t="s">
        <v>43</v>
      </c>
      <c r="N41">
        <v>4</v>
      </c>
    </row>
    <row r="42" spans="3:15" x14ac:dyDescent="0.3">
      <c r="C42" t="s">
        <v>50</v>
      </c>
      <c r="D42">
        <v>4</v>
      </c>
      <c r="E42">
        <v>4</v>
      </c>
      <c r="F42">
        <v>2</v>
      </c>
      <c r="G42">
        <v>4654.82</v>
      </c>
      <c r="H42" t="s">
        <v>57</v>
      </c>
      <c r="I42" t="s">
        <v>116</v>
      </c>
      <c r="O42">
        <v>4</v>
      </c>
    </row>
    <row r="43" spans="3:15" x14ac:dyDescent="0.3">
      <c r="C43" t="s">
        <v>51</v>
      </c>
      <c r="D43">
        <v>4</v>
      </c>
      <c r="E43">
        <v>4</v>
      </c>
      <c r="F43">
        <v>2</v>
      </c>
      <c r="G43">
        <v>5985.07</v>
      </c>
      <c r="H43" t="s">
        <v>44</v>
      </c>
      <c r="K43">
        <v>4</v>
      </c>
    </row>
    <row r="44" spans="3:15" x14ac:dyDescent="0.3">
      <c r="C44" t="s">
        <v>52</v>
      </c>
      <c r="D44">
        <v>4</v>
      </c>
      <c r="E44">
        <v>4</v>
      </c>
      <c r="F44">
        <v>2</v>
      </c>
      <c r="G44">
        <v>5985.22</v>
      </c>
      <c r="H44" t="s">
        <v>44</v>
      </c>
      <c r="K44">
        <v>4</v>
      </c>
    </row>
    <row r="45" spans="3:15" x14ac:dyDescent="0.3">
      <c r="C45" t="s">
        <v>53</v>
      </c>
      <c r="D45">
        <v>4</v>
      </c>
      <c r="E45">
        <v>4</v>
      </c>
      <c r="F45">
        <v>2</v>
      </c>
      <c r="G45">
        <v>4654.9399999999996</v>
      </c>
      <c r="H45" t="s">
        <v>57</v>
      </c>
      <c r="I45" t="s">
        <v>116</v>
      </c>
      <c r="O45">
        <v>4</v>
      </c>
    </row>
    <row r="46" spans="3:15" x14ac:dyDescent="0.3">
      <c r="C46" t="s">
        <v>54</v>
      </c>
      <c r="D46">
        <v>4</v>
      </c>
      <c r="E46">
        <v>4</v>
      </c>
      <c r="F46">
        <v>2</v>
      </c>
      <c r="G46">
        <v>4987.6400000000003</v>
      </c>
      <c r="H46" t="s">
        <v>18</v>
      </c>
      <c r="I46" t="s">
        <v>116</v>
      </c>
      <c r="O46">
        <v>4</v>
      </c>
    </row>
    <row r="47" spans="3:15" x14ac:dyDescent="0.3">
      <c r="C47" t="s">
        <v>55</v>
      </c>
      <c r="D47">
        <v>4</v>
      </c>
      <c r="E47">
        <v>4</v>
      </c>
      <c r="F47">
        <v>2</v>
      </c>
      <c r="G47">
        <v>5320.19</v>
      </c>
      <c r="H47" t="s">
        <v>43</v>
      </c>
      <c r="N47">
        <v>4</v>
      </c>
    </row>
    <row r="49" spans="3:15" x14ac:dyDescent="0.3">
      <c r="C49" t="s">
        <v>58</v>
      </c>
      <c r="D49">
        <v>4</v>
      </c>
      <c r="E49">
        <v>4</v>
      </c>
      <c r="F49">
        <v>2</v>
      </c>
      <c r="G49">
        <v>4987.22</v>
      </c>
      <c r="H49" t="s">
        <v>18</v>
      </c>
      <c r="I49" t="s">
        <v>116</v>
      </c>
      <c r="O49">
        <v>4</v>
      </c>
    </row>
    <row r="50" spans="3:15" x14ac:dyDescent="0.3">
      <c r="C50" t="s">
        <v>59</v>
      </c>
      <c r="D50">
        <v>4</v>
      </c>
      <c r="E50">
        <v>4</v>
      </c>
      <c r="F50">
        <v>2</v>
      </c>
      <c r="G50">
        <v>5319.94</v>
      </c>
      <c r="H50" t="s">
        <v>43</v>
      </c>
      <c r="N50">
        <v>4</v>
      </c>
    </row>
    <row r="51" spans="3:15" x14ac:dyDescent="0.3">
      <c r="C51" t="s">
        <v>60</v>
      </c>
      <c r="D51">
        <v>4</v>
      </c>
      <c r="E51">
        <v>4</v>
      </c>
      <c r="F51">
        <v>2</v>
      </c>
      <c r="G51">
        <v>5319.86</v>
      </c>
      <c r="H51" t="s">
        <v>43</v>
      </c>
      <c r="N51">
        <v>4</v>
      </c>
    </row>
    <row r="52" spans="3:15" x14ac:dyDescent="0.3">
      <c r="C52" t="s">
        <v>61</v>
      </c>
      <c r="D52">
        <v>4</v>
      </c>
      <c r="E52">
        <v>4</v>
      </c>
      <c r="F52">
        <v>2</v>
      </c>
      <c r="G52">
        <v>5319.87</v>
      </c>
      <c r="H52" t="s">
        <v>43</v>
      </c>
      <c r="N52">
        <v>4</v>
      </c>
    </row>
    <row r="53" spans="3:15" x14ac:dyDescent="0.3">
      <c r="C53" t="s">
        <v>62</v>
      </c>
      <c r="D53">
        <v>4</v>
      </c>
      <c r="E53">
        <v>4</v>
      </c>
      <c r="F53">
        <v>2</v>
      </c>
      <c r="G53">
        <v>5320.39</v>
      </c>
      <c r="H53" t="s">
        <v>43</v>
      </c>
      <c r="N53">
        <v>4</v>
      </c>
    </row>
    <row r="54" spans="3:15" x14ac:dyDescent="0.3">
      <c r="C54" t="s">
        <v>63</v>
      </c>
      <c r="D54">
        <v>4</v>
      </c>
      <c r="E54">
        <v>4</v>
      </c>
      <c r="F54">
        <v>2</v>
      </c>
      <c r="G54">
        <v>4654.93</v>
      </c>
      <c r="H54" t="s">
        <v>57</v>
      </c>
      <c r="I54" t="s">
        <v>116</v>
      </c>
      <c r="O54">
        <v>4</v>
      </c>
    </row>
    <row r="55" spans="3:15" x14ac:dyDescent="0.3">
      <c r="C55" t="s">
        <v>64</v>
      </c>
      <c r="D55">
        <v>4</v>
      </c>
      <c r="E55">
        <v>4</v>
      </c>
      <c r="F55">
        <v>2</v>
      </c>
      <c r="G55">
        <v>5985.25</v>
      </c>
      <c r="H55" t="s">
        <v>44</v>
      </c>
      <c r="K55">
        <v>4</v>
      </c>
    </row>
    <row r="57" spans="3:15" x14ac:dyDescent="0.3">
      <c r="C57" t="s">
        <v>65</v>
      </c>
      <c r="D57">
        <v>4</v>
      </c>
      <c r="E57">
        <v>8</v>
      </c>
      <c r="F57">
        <v>2</v>
      </c>
      <c r="G57">
        <v>5866.27</v>
      </c>
      <c r="H57" t="s">
        <v>15</v>
      </c>
      <c r="L57">
        <v>0</v>
      </c>
    </row>
    <row r="58" spans="3:15" x14ac:dyDescent="0.3">
      <c r="C58" t="s">
        <v>117</v>
      </c>
      <c r="D58">
        <v>4</v>
      </c>
      <c r="E58">
        <v>8</v>
      </c>
      <c r="F58">
        <v>2</v>
      </c>
      <c r="G58">
        <v>5867.27</v>
      </c>
      <c r="H58" t="s">
        <v>15</v>
      </c>
      <c r="L58">
        <v>8</v>
      </c>
    </row>
    <row r="59" spans="3:15" x14ac:dyDescent="0.3">
      <c r="C59" t="s">
        <v>66</v>
      </c>
      <c r="D59">
        <v>4</v>
      </c>
      <c r="E59">
        <v>8</v>
      </c>
      <c r="F59">
        <v>2</v>
      </c>
      <c r="G59">
        <v>5866.79</v>
      </c>
      <c r="H59" t="s">
        <v>15</v>
      </c>
      <c r="L59">
        <v>8</v>
      </c>
    </row>
    <row r="60" spans="3:15" x14ac:dyDescent="0.3">
      <c r="C60" t="s">
        <v>67</v>
      </c>
      <c r="D60">
        <v>4</v>
      </c>
      <c r="E60">
        <v>8</v>
      </c>
      <c r="F60">
        <v>2</v>
      </c>
      <c r="G60">
        <v>4799.95</v>
      </c>
      <c r="H60" t="s">
        <v>69</v>
      </c>
      <c r="I60" t="s">
        <v>116</v>
      </c>
      <c r="O60">
        <v>8</v>
      </c>
    </row>
    <row r="61" spans="3:15" x14ac:dyDescent="0.3">
      <c r="C61" t="s">
        <v>68</v>
      </c>
      <c r="D61">
        <v>4</v>
      </c>
      <c r="E61">
        <v>8</v>
      </c>
      <c r="F61">
        <v>2</v>
      </c>
      <c r="G61">
        <v>4533.3999999999996</v>
      </c>
      <c r="H61" t="s">
        <v>70</v>
      </c>
      <c r="I61" t="s">
        <v>116</v>
      </c>
      <c r="O61">
        <v>8</v>
      </c>
    </row>
    <row r="62" spans="3:15" x14ac:dyDescent="0.3">
      <c r="J62">
        <f t="shared" ref="J62:O62" si="0">SUM(J7:J61)</f>
        <v>48</v>
      </c>
      <c r="K62">
        <f t="shared" si="0"/>
        <v>28</v>
      </c>
      <c r="L62">
        <f t="shared" si="0"/>
        <v>40</v>
      </c>
      <c r="M62">
        <f t="shared" si="0"/>
        <v>24</v>
      </c>
      <c r="N62">
        <f t="shared" si="0"/>
        <v>52</v>
      </c>
      <c r="O62">
        <f t="shared" si="0"/>
        <v>62</v>
      </c>
    </row>
    <row r="63" spans="3:15" x14ac:dyDescent="0.3">
      <c r="L63">
        <f>SUM(J62:L62)</f>
        <v>116</v>
      </c>
      <c r="M63">
        <f>SUM(J62:M62)</f>
        <v>140</v>
      </c>
      <c r="N63">
        <f>SUM(J62:N62)</f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8.88671875" defaultRowHeight="14.4" x14ac:dyDescent="0.3"/>
  <cols>
    <col min="1" max="1" width="13.88671875" style="2" customWidth="1"/>
    <col min="2" max="2" width="13.44140625" customWidth="1"/>
    <col min="3" max="3" width="13" style="1" customWidth="1"/>
    <col min="4" max="4" width="10.109375" style="1" customWidth="1"/>
    <col min="5" max="5" width="15.33203125" style="1" customWidth="1"/>
    <col min="6" max="6" width="12.88671875" style="1" customWidth="1"/>
    <col min="7" max="7" width="14.5546875" style="1" customWidth="1"/>
    <col min="8" max="8" width="9.6640625" bestFit="1" customWidth="1"/>
    <col min="9" max="9" width="10.33203125" customWidth="1"/>
    <col min="11" max="11" width="13.5546875" customWidth="1"/>
    <col min="12" max="12" width="14.33203125" customWidth="1"/>
  </cols>
  <sheetData>
    <row r="1" spans="1:13" x14ac:dyDescent="0.3">
      <c r="A1" s="2" t="s">
        <v>105</v>
      </c>
      <c r="B1" t="s">
        <v>76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77</v>
      </c>
      <c r="I1" s="1" t="s">
        <v>78</v>
      </c>
      <c r="K1" s="1" t="s">
        <v>84</v>
      </c>
      <c r="L1" s="1" t="s">
        <v>85</v>
      </c>
    </row>
    <row r="2" spans="1:13" x14ac:dyDescent="0.3">
      <c r="A2" s="2" t="s">
        <v>80</v>
      </c>
    </row>
    <row r="3" spans="1:13" x14ac:dyDescent="0.3">
      <c r="B3">
        <v>1</v>
      </c>
      <c r="C3" s="1">
        <v>0.01</v>
      </c>
      <c r="D3" s="1">
        <v>4.13</v>
      </c>
      <c r="E3" s="1">
        <v>0.01</v>
      </c>
      <c r="F3" s="1">
        <v>75.37</v>
      </c>
      <c r="G3" s="1">
        <v>2.4900000000000002</v>
      </c>
      <c r="H3" s="1">
        <f>G3+F3+E3+D3+C3</f>
        <v>82.01</v>
      </c>
      <c r="I3" s="1">
        <f>G3+F3</f>
        <v>77.86</v>
      </c>
      <c r="K3">
        <f>$F$3/F3</f>
        <v>1</v>
      </c>
      <c r="L3">
        <f>$I$3/I3</f>
        <v>1</v>
      </c>
      <c r="M3">
        <v>1</v>
      </c>
    </row>
    <row r="4" spans="1:13" x14ac:dyDescent="0.3">
      <c r="B4">
        <v>2</v>
      </c>
      <c r="C4" s="1">
        <v>0.01</v>
      </c>
      <c r="D4" s="1">
        <v>2.17</v>
      </c>
      <c r="E4" s="1">
        <v>0.19</v>
      </c>
      <c r="F4" s="1">
        <v>42.65</v>
      </c>
      <c r="G4" s="1">
        <v>1.92</v>
      </c>
      <c r="H4" s="1">
        <f>G4+F4+E4+D4+C4</f>
        <v>46.94</v>
      </c>
      <c r="I4" s="1">
        <f t="shared" ref="I4:I10" si="0">G4+F4</f>
        <v>44.57</v>
      </c>
      <c r="K4">
        <f t="shared" ref="K4:K10" si="1">$F$3/F4</f>
        <v>1.7671746776084409</v>
      </c>
      <c r="L4">
        <f t="shared" ref="L4:L10" si="2">$I$3/I4</f>
        <v>1.7469149652232443</v>
      </c>
      <c r="M4">
        <v>2</v>
      </c>
    </row>
    <row r="5" spans="1:13" x14ac:dyDescent="0.3">
      <c r="B5">
        <v>4</v>
      </c>
      <c r="C5" s="1">
        <v>0.01</v>
      </c>
      <c r="D5" s="1">
        <v>1.38</v>
      </c>
      <c r="E5" s="1">
        <v>0.28999999999999998</v>
      </c>
      <c r="F5" s="1">
        <v>21.71</v>
      </c>
      <c r="G5" s="1">
        <v>1.76</v>
      </c>
      <c r="H5" s="1">
        <f t="shared" ref="H5:H10" si="3">G5+F5+E5+D5+C5</f>
        <v>25.150000000000002</v>
      </c>
      <c r="I5" s="1">
        <f t="shared" si="0"/>
        <v>23.470000000000002</v>
      </c>
      <c r="K5">
        <f t="shared" si="1"/>
        <v>3.4716720405343162</v>
      </c>
      <c r="L5">
        <f t="shared" si="2"/>
        <v>3.3174265019173408</v>
      </c>
      <c r="M5">
        <v>4</v>
      </c>
    </row>
    <row r="6" spans="1:13" x14ac:dyDescent="0.3">
      <c r="B6">
        <v>8</v>
      </c>
      <c r="C6" s="1">
        <v>0.01</v>
      </c>
      <c r="D6" s="1">
        <v>0.96</v>
      </c>
      <c r="E6" s="1">
        <v>0.32</v>
      </c>
      <c r="F6" s="1">
        <v>10.79</v>
      </c>
      <c r="G6" s="1">
        <v>1.5</v>
      </c>
      <c r="H6" s="1">
        <f t="shared" si="3"/>
        <v>13.58</v>
      </c>
      <c r="I6" s="1">
        <f t="shared" si="0"/>
        <v>12.29</v>
      </c>
      <c r="K6">
        <f t="shared" si="1"/>
        <v>6.985171455050974</v>
      </c>
      <c r="L6">
        <f t="shared" si="2"/>
        <v>6.3352318958502849</v>
      </c>
      <c r="M6">
        <v>8</v>
      </c>
    </row>
    <row r="7" spans="1:13" x14ac:dyDescent="0.3">
      <c r="B7">
        <v>16</v>
      </c>
      <c r="C7" s="1">
        <v>0.01</v>
      </c>
      <c r="D7" s="1">
        <v>0.62</v>
      </c>
      <c r="E7" s="1">
        <v>0.33</v>
      </c>
      <c r="F7" s="1">
        <v>5.74</v>
      </c>
      <c r="G7" s="1">
        <v>1.55</v>
      </c>
      <c r="H7" s="1">
        <f t="shared" si="3"/>
        <v>8.25</v>
      </c>
      <c r="I7" s="1">
        <f t="shared" si="0"/>
        <v>7.29</v>
      </c>
      <c r="K7">
        <f t="shared" si="1"/>
        <v>13.130662020905923</v>
      </c>
      <c r="L7">
        <f t="shared" si="2"/>
        <v>10.680384087791495</v>
      </c>
      <c r="M7">
        <v>16</v>
      </c>
    </row>
    <row r="8" spans="1:13" x14ac:dyDescent="0.3">
      <c r="B8">
        <v>32</v>
      </c>
      <c r="C8" s="1">
        <v>0.01</v>
      </c>
      <c r="D8" s="1">
        <v>0.62</v>
      </c>
      <c r="E8" s="1">
        <v>0.27</v>
      </c>
      <c r="F8" s="1">
        <v>2.95</v>
      </c>
      <c r="G8" s="1">
        <v>1.36</v>
      </c>
      <c r="H8" s="1">
        <f t="shared" si="3"/>
        <v>5.21</v>
      </c>
      <c r="I8" s="1">
        <f t="shared" si="0"/>
        <v>4.3100000000000005</v>
      </c>
      <c r="K8">
        <f t="shared" si="1"/>
        <v>25.54915254237288</v>
      </c>
      <c r="L8">
        <f t="shared" si="2"/>
        <v>18.064965197215773</v>
      </c>
      <c r="M8">
        <v>32</v>
      </c>
    </row>
    <row r="9" spans="1:13" x14ac:dyDescent="0.3">
      <c r="B9">
        <v>64</v>
      </c>
      <c r="C9" s="1">
        <v>0.01</v>
      </c>
      <c r="D9" s="1">
        <v>0.54</v>
      </c>
      <c r="E9" s="1">
        <v>0.13</v>
      </c>
      <c r="F9" s="1">
        <v>1.6</v>
      </c>
      <c r="G9" s="1">
        <v>1.67</v>
      </c>
      <c r="H9" s="1">
        <f t="shared" si="3"/>
        <v>3.9499999999999997</v>
      </c>
      <c r="I9" s="1">
        <f t="shared" si="0"/>
        <v>3.27</v>
      </c>
      <c r="K9">
        <f t="shared" si="1"/>
        <v>47.106250000000003</v>
      </c>
      <c r="L9">
        <f t="shared" si="2"/>
        <v>23.810397553516818</v>
      </c>
      <c r="M9">
        <v>64</v>
      </c>
    </row>
    <row r="10" spans="1:13" x14ac:dyDescent="0.3">
      <c r="B10">
        <v>96</v>
      </c>
      <c r="C10" s="1">
        <v>0.01</v>
      </c>
      <c r="D10" s="1">
        <v>0.55000000000000004</v>
      </c>
      <c r="E10" s="1">
        <v>0.03</v>
      </c>
      <c r="F10" s="1">
        <v>1.21</v>
      </c>
      <c r="G10" s="1">
        <v>3.44</v>
      </c>
      <c r="H10" s="1">
        <f t="shared" si="3"/>
        <v>5.24</v>
      </c>
      <c r="I10" s="1">
        <f t="shared" si="0"/>
        <v>4.6500000000000004</v>
      </c>
      <c r="K10">
        <f t="shared" si="1"/>
        <v>62.289256198347111</v>
      </c>
      <c r="L10">
        <f t="shared" si="2"/>
        <v>16.744086021505375</v>
      </c>
      <c r="M10">
        <v>96</v>
      </c>
    </row>
    <row r="11" spans="1:13" x14ac:dyDescent="0.3">
      <c r="B11">
        <v>384</v>
      </c>
      <c r="H11" s="1"/>
      <c r="I11" s="1"/>
      <c r="M11">
        <v>384</v>
      </c>
    </row>
    <row r="12" spans="1:13" x14ac:dyDescent="0.3">
      <c r="A12" s="2" t="s">
        <v>81</v>
      </c>
      <c r="H12" s="1"/>
    </row>
    <row r="13" spans="1:13" x14ac:dyDescent="0.3">
      <c r="B13">
        <v>1</v>
      </c>
      <c r="C13" s="1">
        <v>0.03</v>
      </c>
      <c r="D13" s="1">
        <v>47.07</v>
      </c>
      <c r="E13" s="1">
        <v>7.0000000000000007E-2</v>
      </c>
      <c r="F13" s="1">
        <v>547.54</v>
      </c>
      <c r="G13" s="1">
        <v>19.18</v>
      </c>
      <c r="H13" s="1">
        <f t="shared" ref="H13:H33" si="4">G13+F13+E13+D13+C13</f>
        <v>613.89</v>
      </c>
      <c r="I13" s="1">
        <f>G13+F13</f>
        <v>566.71999999999991</v>
      </c>
      <c r="K13">
        <f>$F$13/F13</f>
        <v>1</v>
      </c>
      <c r="L13">
        <f>$I$13/I13</f>
        <v>1</v>
      </c>
    </row>
    <row r="14" spans="1:13" x14ac:dyDescent="0.3">
      <c r="B14">
        <v>2</v>
      </c>
      <c r="C14" s="1">
        <v>0.03</v>
      </c>
      <c r="D14" s="1">
        <v>23.69</v>
      </c>
      <c r="E14" s="1">
        <v>1.85</v>
      </c>
      <c r="F14" s="1">
        <v>298.92</v>
      </c>
      <c r="G14" s="1">
        <v>14.05</v>
      </c>
      <c r="H14" s="1">
        <f t="shared" si="4"/>
        <v>338.54</v>
      </c>
      <c r="I14" s="1">
        <f t="shared" ref="I14:I33" si="5">G14+F14</f>
        <v>312.97000000000003</v>
      </c>
      <c r="K14">
        <f t="shared" ref="K14:K22" si="6">$F$13/F14</f>
        <v>1.8317275525224137</v>
      </c>
      <c r="L14">
        <f t="shared" ref="L14:L22" si="7">$I$13/I14</f>
        <v>1.8107805859986577</v>
      </c>
    </row>
    <row r="15" spans="1:13" x14ac:dyDescent="0.3">
      <c r="B15">
        <v>4</v>
      </c>
      <c r="C15" s="1">
        <v>0.03</v>
      </c>
      <c r="D15" s="1">
        <v>14.07</v>
      </c>
      <c r="E15" s="1">
        <v>2.96</v>
      </c>
      <c r="F15" s="1">
        <v>150.51</v>
      </c>
      <c r="G15" s="1">
        <v>11.42</v>
      </c>
      <c r="H15" s="1">
        <f t="shared" si="4"/>
        <v>178.98999999999998</v>
      </c>
      <c r="I15" s="1">
        <f t="shared" si="5"/>
        <v>161.92999999999998</v>
      </c>
      <c r="K15">
        <f t="shared" si="6"/>
        <v>3.6378978140987308</v>
      </c>
      <c r="L15">
        <f t="shared" si="7"/>
        <v>3.4997838572222566</v>
      </c>
    </row>
    <row r="16" spans="1:13" x14ac:dyDescent="0.3">
      <c r="B16">
        <v>8</v>
      </c>
      <c r="C16" s="1">
        <v>0.03</v>
      </c>
      <c r="D16" s="1">
        <v>9.41</v>
      </c>
      <c r="E16" s="1">
        <v>3.32</v>
      </c>
      <c r="F16" s="1">
        <v>76.08</v>
      </c>
      <c r="G16" s="1">
        <v>10.55</v>
      </c>
      <c r="H16" s="1">
        <f t="shared" si="4"/>
        <v>99.389999999999986</v>
      </c>
      <c r="I16" s="1">
        <f t="shared" si="5"/>
        <v>86.63</v>
      </c>
      <c r="K16">
        <f t="shared" si="6"/>
        <v>7.1968980021030493</v>
      </c>
      <c r="L16">
        <f t="shared" si="7"/>
        <v>6.5418446265727805</v>
      </c>
    </row>
    <row r="17" spans="1:12" x14ac:dyDescent="0.3">
      <c r="B17">
        <v>16</v>
      </c>
      <c r="C17" s="1">
        <v>0.03</v>
      </c>
      <c r="D17" s="1">
        <v>6.02</v>
      </c>
      <c r="E17" s="1">
        <v>3.43</v>
      </c>
      <c r="F17" s="1">
        <v>42.03</v>
      </c>
      <c r="G17" s="1">
        <v>10.71</v>
      </c>
      <c r="H17" s="1">
        <f t="shared" si="4"/>
        <v>62.22</v>
      </c>
      <c r="I17" s="1">
        <f t="shared" si="5"/>
        <v>52.74</v>
      </c>
      <c r="K17">
        <f t="shared" si="6"/>
        <v>13.027361408517724</v>
      </c>
      <c r="L17">
        <f t="shared" si="7"/>
        <v>10.745544178991276</v>
      </c>
    </row>
    <row r="18" spans="1:12" x14ac:dyDescent="0.3">
      <c r="B18">
        <v>32</v>
      </c>
      <c r="C18" s="1">
        <v>0.03</v>
      </c>
      <c r="D18" s="1">
        <v>8.2100000000000009</v>
      </c>
      <c r="E18" s="1">
        <v>2.87</v>
      </c>
      <c r="F18" s="1">
        <v>20.059999999999999</v>
      </c>
      <c r="G18" s="1">
        <v>11.2</v>
      </c>
      <c r="H18" s="1">
        <f t="shared" si="4"/>
        <v>42.37</v>
      </c>
      <c r="I18" s="1">
        <f t="shared" si="5"/>
        <v>31.259999999999998</v>
      </c>
      <c r="K18">
        <f t="shared" si="6"/>
        <v>27.295114656031902</v>
      </c>
      <c r="L18">
        <f t="shared" si="7"/>
        <v>18.129238643634036</v>
      </c>
    </row>
    <row r="19" spans="1:12" x14ac:dyDescent="0.3">
      <c r="B19">
        <v>64</v>
      </c>
      <c r="C19" s="1">
        <v>0.03</v>
      </c>
      <c r="D19" s="1">
        <v>9.7200000000000006</v>
      </c>
      <c r="E19" s="1">
        <v>1.32</v>
      </c>
      <c r="F19" s="1">
        <v>10.31</v>
      </c>
      <c r="G19" s="1">
        <v>20.21</v>
      </c>
      <c r="H19" s="1">
        <f t="shared" si="4"/>
        <v>41.59</v>
      </c>
      <c r="I19" s="1">
        <f t="shared" si="5"/>
        <v>30.520000000000003</v>
      </c>
      <c r="K19">
        <f t="shared" si="6"/>
        <v>53.107662463627541</v>
      </c>
      <c r="L19">
        <f t="shared" si="7"/>
        <v>18.568807339449538</v>
      </c>
    </row>
    <row r="20" spans="1:12" x14ac:dyDescent="0.3">
      <c r="B20">
        <v>96</v>
      </c>
      <c r="C20" s="1">
        <v>0.03</v>
      </c>
      <c r="D20" s="1">
        <v>10.199999999999999</v>
      </c>
      <c r="E20" s="1">
        <v>0.12</v>
      </c>
      <c r="F20" s="1">
        <v>7.05</v>
      </c>
      <c r="G20" s="1">
        <v>19.98</v>
      </c>
      <c r="H20" s="1">
        <f t="shared" si="4"/>
        <v>37.380000000000003</v>
      </c>
      <c r="I20" s="1">
        <f t="shared" si="5"/>
        <v>27.03</v>
      </c>
      <c r="K20">
        <f t="shared" si="6"/>
        <v>77.665248226950354</v>
      </c>
      <c r="L20">
        <f t="shared" si="7"/>
        <v>20.966333703292634</v>
      </c>
    </row>
    <row r="21" spans="1:12" x14ac:dyDescent="0.3">
      <c r="B21">
        <v>256</v>
      </c>
      <c r="C21" s="1">
        <v>0.11</v>
      </c>
      <c r="D21" s="1">
        <v>11.6</v>
      </c>
      <c r="E21" s="1">
        <v>0.28000000000000003</v>
      </c>
      <c r="F21" s="1">
        <v>5.13</v>
      </c>
      <c r="G21" s="1">
        <v>55.73</v>
      </c>
      <c r="H21" s="1">
        <f t="shared" si="4"/>
        <v>72.849999999999994</v>
      </c>
      <c r="I21" s="1">
        <f t="shared" si="5"/>
        <v>60.86</v>
      </c>
      <c r="K21">
        <f t="shared" si="6"/>
        <v>106.73294346978557</v>
      </c>
      <c r="L21">
        <f t="shared" si="7"/>
        <v>9.3118632928031531</v>
      </c>
    </row>
    <row r="22" spans="1:12" x14ac:dyDescent="0.3">
      <c r="B22">
        <v>384</v>
      </c>
      <c r="C22" s="1">
        <v>0.14000000000000001</v>
      </c>
      <c r="D22" s="1">
        <v>11.56</v>
      </c>
      <c r="E22" s="1">
        <v>0.36</v>
      </c>
      <c r="F22" s="1">
        <v>3.43</v>
      </c>
      <c r="G22" s="1">
        <v>45.42</v>
      </c>
      <c r="H22" s="1">
        <f t="shared" si="4"/>
        <v>60.910000000000004</v>
      </c>
      <c r="I22" s="1">
        <f t="shared" si="5"/>
        <v>48.85</v>
      </c>
      <c r="K22">
        <f t="shared" si="6"/>
        <v>159.63265306122446</v>
      </c>
      <c r="L22">
        <f t="shared" si="7"/>
        <v>11.601228249744112</v>
      </c>
    </row>
    <row r="23" spans="1:12" x14ac:dyDescent="0.3">
      <c r="A23" s="2" t="s">
        <v>82</v>
      </c>
      <c r="H23" s="1"/>
      <c r="I23" s="1"/>
    </row>
    <row r="24" spans="1:12" x14ac:dyDescent="0.3">
      <c r="B24">
        <v>1</v>
      </c>
      <c r="C24" s="1">
        <v>0.16</v>
      </c>
      <c r="D24" s="1">
        <v>806.45</v>
      </c>
      <c r="E24" s="1">
        <v>0.6</v>
      </c>
      <c r="F24" s="1">
        <v>4285.17</v>
      </c>
      <c r="G24" s="1">
        <v>154.84</v>
      </c>
      <c r="H24" s="1">
        <f t="shared" si="4"/>
        <v>5247.22</v>
      </c>
      <c r="I24" s="1">
        <f t="shared" si="5"/>
        <v>4440.01</v>
      </c>
      <c r="K24">
        <f>$F$24/F24</f>
        <v>1</v>
      </c>
      <c r="L24">
        <f>$I$24/I24</f>
        <v>1</v>
      </c>
    </row>
    <row r="25" spans="1:12" x14ac:dyDescent="0.3">
      <c r="B25">
        <v>2</v>
      </c>
      <c r="C25" s="1">
        <v>0.18</v>
      </c>
      <c r="D25" s="1">
        <v>411.44</v>
      </c>
      <c r="E25" s="1">
        <v>13.75</v>
      </c>
      <c r="F25" s="1">
        <v>2315.33</v>
      </c>
      <c r="G25" s="1">
        <v>116.29</v>
      </c>
      <c r="H25" s="1">
        <f t="shared" si="4"/>
        <v>2856.99</v>
      </c>
      <c r="I25" s="1">
        <f t="shared" si="5"/>
        <v>2431.62</v>
      </c>
      <c r="K25">
        <f t="shared" ref="K25:K33" si="8">$F$24/F25</f>
        <v>1.8507815300626693</v>
      </c>
      <c r="L25">
        <f t="shared" ref="L25:L33" si="9">$I$24/I25</f>
        <v>1.8259473108462674</v>
      </c>
    </row>
    <row r="26" spans="1:12" x14ac:dyDescent="0.3">
      <c r="B26">
        <v>4</v>
      </c>
      <c r="C26" s="1">
        <v>0.17</v>
      </c>
      <c r="D26" s="1">
        <v>245.54</v>
      </c>
      <c r="E26" s="1">
        <v>21.77</v>
      </c>
      <c r="F26" s="1">
        <v>1152.54</v>
      </c>
      <c r="G26" s="1">
        <v>90.78</v>
      </c>
      <c r="H26" s="1">
        <f t="shared" si="4"/>
        <v>1510.8</v>
      </c>
      <c r="I26" s="1">
        <f t="shared" si="5"/>
        <v>1243.32</v>
      </c>
      <c r="K26">
        <f t="shared" si="8"/>
        <v>3.7180228018116508</v>
      </c>
      <c r="L26">
        <f t="shared" si="9"/>
        <v>3.5710919151948013</v>
      </c>
    </row>
    <row r="27" spans="1:12" x14ac:dyDescent="0.3">
      <c r="B27">
        <v>8</v>
      </c>
      <c r="C27" s="1">
        <v>0.17</v>
      </c>
      <c r="D27" s="1">
        <v>163.58000000000001</v>
      </c>
      <c r="E27" s="1">
        <v>25.1</v>
      </c>
      <c r="F27" s="1">
        <v>572.1</v>
      </c>
      <c r="G27" s="1">
        <v>76.59</v>
      </c>
      <c r="H27" s="1">
        <f t="shared" si="4"/>
        <v>837.54000000000008</v>
      </c>
      <c r="I27" s="1">
        <f t="shared" si="5"/>
        <v>648.69000000000005</v>
      </c>
      <c r="K27">
        <f t="shared" si="8"/>
        <v>7.4902464604090193</v>
      </c>
      <c r="L27">
        <f t="shared" si="9"/>
        <v>6.8445790747506514</v>
      </c>
    </row>
    <row r="28" spans="1:12" x14ac:dyDescent="0.3">
      <c r="B28">
        <v>16</v>
      </c>
      <c r="C28" s="1">
        <v>0.17</v>
      </c>
      <c r="D28" s="1">
        <v>121.57</v>
      </c>
      <c r="E28" s="1">
        <v>25.89</v>
      </c>
      <c r="F28" s="1">
        <v>299.35000000000002</v>
      </c>
      <c r="G28" s="1">
        <v>70.25</v>
      </c>
      <c r="H28" s="1">
        <f t="shared" si="4"/>
        <v>517.2299999999999</v>
      </c>
      <c r="I28" s="1">
        <f t="shared" si="5"/>
        <v>369.6</v>
      </c>
      <c r="K28">
        <f t="shared" si="8"/>
        <v>14.314915650576248</v>
      </c>
      <c r="L28">
        <f t="shared" si="9"/>
        <v>12.013014069264068</v>
      </c>
    </row>
    <row r="29" spans="1:12" x14ac:dyDescent="0.3">
      <c r="B29">
        <v>32</v>
      </c>
      <c r="C29" s="1">
        <v>0.17</v>
      </c>
      <c r="D29" s="1">
        <v>163.51</v>
      </c>
      <c r="E29" s="1">
        <v>19.75</v>
      </c>
      <c r="F29" s="1">
        <v>153.05000000000001</v>
      </c>
      <c r="G29" s="1">
        <v>68.88</v>
      </c>
      <c r="H29" s="1">
        <f t="shared" si="4"/>
        <v>405.36</v>
      </c>
      <c r="I29" s="1">
        <f t="shared" si="5"/>
        <v>221.93</v>
      </c>
      <c r="K29">
        <f t="shared" si="8"/>
        <v>27.998497223129693</v>
      </c>
      <c r="L29">
        <f t="shared" si="9"/>
        <v>20.006353354661378</v>
      </c>
    </row>
    <row r="30" spans="1:12" x14ac:dyDescent="0.3">
      <c r="B30">
        <v>64</v>
      </c>
      <c r="C30" s="1">
        <v>0.17</v>
      </c>
      <c r="D30" s="1">
        <v>205.16</v>
      </c>
      <c r="E30" s="1">
        <v>8.7899999999999991</v>
      </c>
      <c r="F30" s="1">
        <v>76.900000000000006</v>
      </c>
      <c r="G30" s="1">
        <v>66.58</v>
      </c>
      <c r="H30" s="1">
        <f t="shared" si="4"/>
        <v>357.6</v>
      </c>
      <c r="I30" s="1">
        <f t="shared" si="5"/>
        <v>143.48000000000002</v>
      </c>
      <c r="K30">
        <f t="shared" si="8"/>
        <v>55.723927178153446</v>
      </c>
      <c r="L30">
        <f t="shared" si="9"/>
        <v>30.945149149707273</v>
      </c>
    </row>
    <row r="31" spans="1:12" x14ac:dyDescent="0.3">
      <c r="B31">
        <v>96</v>
      </c>
      <c r="C31" s="1">
        <v>0.17</v>
      </c>
      <c r="D31" s="1">
        <v>211.22</v>
      </c>
      <c r="E31" s="1">
        <v>0.83</v>
      </c>
      <c r="F31" s="1">
        <v>50.86</v>
      </c>
      <c r="G31" s="1">
        <v>64.19</v>
      </c>
      <c r="H31" s="1">
        <f t="shared" si="4"/>
        <v>327.27000000000004</v>
      </c>
      <c r="I31" s="1">
        <f t="shared" si="5"/>
        <v>115.05</v>
      </c>
      <c r="K31">
        <f t="shared" si="8"/>
        <v>84.254227290601648</v>
      </c>
      <c r="L31">
        <f t="shared" si="9"/>
        <v>38.592003476749241</v>
      </c>
    </row>
    <row r="32" spans="1:12" x14ac:dyDescent="0.3">
      <c r="B32">
        <v>256</v>
      </c>
      <c r="C32" s="1">
        <v>0.26</v>
      </c>
      <c r="D32" s="1">
        <v>235.2</v>
      </c>
      <c r="E32" s="1">
        <v>1.06</v>
      </c>
      <c r="F32" s="1">
        <v>35.68</v>
      </c>
      <c r="G32" s="1">
        <v>94.63</v>
      </c>
      <c r="H32" s="1">
        <f t="shared" si="4"/>
        <v>366.83</v>
      </c>
      <c r="I32" s="1">
        <f t="shared" si="5"/>
        <v>130.31</v>
      </c>
      <c r="K32">
        <f t="shared" si="8"/>
        <v>120.10005605381166</v>
      </c>
      <c r="L32">
        <f t="shared" si="9"/>
        <v>34.072672857033233</v>
      </c>
    </row>
    <row r="33" spans="1:12" x14ac:dyDescent="0.3">
      <c r="B33">
        <v>384</v>
      </c>
      <c r="C33" s="1">
        <v>0.31</v>
      </c>
      <c r="D33" s="1">
        <v>234.97</v>
      </c>
      <c r="E33" s="1">
        <v>2.12</v>
      </c>
      <c r="F33" s="1">
        <v>21.04</v>
      </c>
      <c r="G33" s="1">
        <v>90.48</v>
      </c>
      <c r="H33" s="1">
        <f t="shared" si="4"/>
        <v>348.92</v>
      </c>
      <c r="I33" s="1">
        <f t="shared" si="5"/>
        <v>111.52000000000001</v>
      </c>
      <c r="K33">
        <f t="shared" si="8"/>
        <v>203.66777566539926</v>
      </c>
      <c r="L33">
        <f t="shared" si="9"/>
        <v>39.813576040172165</v>
      </c>
    </row>
    <row r="34" spans="1:12" x14ac:dyDescent="0.3">
      <c r="A34" s="2" t="s">
        <v>83</v>
      </c>
      <c r="H34" s="1"/>
      <c r="I34" s="1"/>
    </row>
    <row r="35" spans="1:12" x14ac:dyDescent="0.3">
      <c r="B35">
        <v>1</v>
      </c>
      <c r="C35" s="1">
        <v>0.93</v>
      </c>
      <c r="D35" s="1">
        <v>13132.62</v>
      </c>
      <c r="E35" s="1">
        <v>6.54</v>
      </c>
      <c r="F35" s="1">
        <v>35152.83</v>
      </c>
      <c r="G35" s="1">
        <v>1271.56</v>
      </c>
      <c r="H35" s="1">
        <f t="shared" ref="H35:H43" si="10">G35+F35+E35+D35+C35</f>
        <v>49564.480000000003</v>
      </c>
      <c r="I35" s="1">
        <f t="shared" ref="I35:I43" si="11">G35+F35</f>
        <v>36424.39</v>
      </c>
      <c r="K35">
        <f t="shared" ref="K35:K43" si="12">$F$35/F35</f>
        <v>1</v>
      </c>
      <c r="L35" s="1">
        <f>$I$35/I35</f>
        <v>1</v>
      </c>
    </row>
    <row r="36" spans="1:12" x14ac:dyDescent="0.3">
      <c r="B36">
        <v>2</v>
      </c>
      <c r="C36" s="1">
        <v>0.9</v>
      </c>
      <c r="D36" s="1">
        <v>6727.94</v>
      </c>
      <c r="E36" s="1">
        <v>107.03</v>
      </c>
      <c r="F36" s="1">
        <v>19124.400000000001</v>
      </c>
      <c r="G36" s="1">
        <v>1002.94</v>
      </c>
      <c r="H36" s="1">
        <f t="shared" si="10"/>
        <v>26963.21</v>
      </c>
      <c r="I36" s="1">
        <f t="shared" si="11"/>
        <v>20127.34</v>
      </c>
      <c r="K36">
        <f t="shared" si="12"/>
        <v>1.8381141369140992</v>
      </c>
      <c r="L36" s="1">
        <f t="shared" ref="L36:L43" si="13">$I$35/I36</f>
        <v>1.8096971581937802</v>
      </c>
    </row>
    <row r="37" spans="1:12" x14ac:dyDescent="0.3">
      <c r="B37">
        <v>4</v>
      </c>
      <c r="C37" s="1">
        <v>0.66</v>
      </c>
      <c r="D37" s="1">
        <v>3794.26</v>
      </c>
      <c r="E37" s="1">
        <v>166.75</v>
      </c>
      <c r="F37" s="1">
        <v>9197.24</v>
      </c>
      <c r="G37" s="1">
        <v>657.48</v>
      </c>
      <c r="H37" s="1">
        <f t="shared" si="10"/>
        <v>13816.39</v>
      </c>
      <c r="I37" s="1">
        <f t="shared" si="11"/>
        <v>9854.7199999999993</v>
      </c>
      <c r="K37">
        <f t="shared" si="12"/>
        <v>3.8221064145330557</v>
      </c>
      <c r="L37" s="1">
        <f t="shared" si="13"/>
        <v>3.6961364706455386</v>
      </c>
    </row>
    <row r="38" spans="1:12" x14ac:dyDescent="0.3">
      <c r="B38">
        <v>8</v>
      </c>
      <c r="C38" s="1">
        <v>0.65</v>
      </c>
      <c r="D38" s="1">
        <v>2515.02</v>
      </c>
      <c r="E38" s="1">
        <v>187.65</v>
      </c>
      <c r="F38" s="1">
        <v>4554.91</v>
      </c>
      <c r="G38" s="1">
        <v>559.96</v>
      </c>
      <c r="H38" s="1">
        <f t="shared" si="10"/>
        <v>7818.1899999999987</v>
      </c>
      <c r="I38" s="1">
        <f t="shared" si="11"/>
        <v>5114.87</v>
      </c>
      <c r="K38">
        <f t="shared" si="12"/>
        <v>7.7175685139772252</v>
      </c>
      <c r="L38" s="1">
        <f t="shared" si="13"/>
        <v>7.1212738544674643</v>
      </c>
    </row>
    <row r="39" spans="1:12" x14ac:dyDescent="0.3">
      <c r="B39">
        <v>16</v>
      </c>
      <c r="C39" s="1">
        <v>0.67</v>
      </c>
      <c r="D39" s="1">
        <v>1992.23</v>
      </c>
      <c r="E39" s="1">
        <v>198.57</v>
      </c>
      <c r="F39" s="1">
        <v>2369.87</v>
      </c>
      <c r="G39" s="1">
        <v>500.29</v>
      </c>
      <c r="H39" s="1">
        <f t="shared" si="10"/>
        <v>5061.63</v>
      </c>
      <c r="I39" s="1">
        <f t="shared" si="11"/>
        <v>2870.16</v>
      </c>
      <c r="K39">
        <f t="shared" si="12"/>
        <v>14.833231358682124</v>
      </c>
      <c r="L39" s="1">
        <f t="shared" si="13"/>
        <v>12.690717590656968</v>
      </c>
    </row>
    <row r="40" spans="1:12" x14ac:dyDescent="0.3">
      <c r="B40">
        <v>32</v>
      </c>
      <c r="C40" s="1">
        <v>0.65</v>
      </c>
      <c r="D40" s="1">
        <v>2767.23</v>
      </c>
      <c r="E40" s="1">
        <v>147.19999999999999</v>
      </c>
      <c r="F40" s="1">
        <v>1200.43</v>
      </c>
      <c r="G40" s="1">
        <v>479.16</v>
      </c>
      <c r="H40" s="1">
        <f t="shared" si="10"/>
        <v>4594.67</v>
      </c>
      <c r="I40" s="1">
        <f t="shared" si="11"/>
        <v>1679.5900000000001</v>
      </c>
      <c r="K40">
        <f t="shared" si="12"/>
        <v>29.283531734461818</v>
      </c>
      <c r="L40" s="1">
        <f t="shared" si="13"/>
        <v>21.686477056900788</v>
      </c>
    </row>
    <row r="41" spans="1:12" x14ac:dyDescent="0.3">
      <c r="B41">
        <v>64</v>
      </c>
      <c r="C41" s="1">
        <v>0.63</v>
      </c>
      <c r="D41" s="1">
        <v>3404.79</v>
      </c>
      <c r="E41" s="1">
        <v>66.5</v>
      </c>
      <c r="F41" s="1">
        <v>599.72</v>
      </c>
      <c r="G41" s="1">
        <v>463.96</v>
      </c>
      <c r="H41" s="1">
        <f t="shared" si="10"/>
        <v>4535.6000000000004</v>
      </c>
      <c r="I41" s="1">
        <f t="shared" si="11"/>
        <v>1063.68</v>
      </c>
      <c r="K41">
        <f t="shared" si="12"/>
        <v>58.615403855132392</v>
      </c>
      <c r="L41" s="1">
        <f t="shared" si="13"/>
        <v>34.243748119735258</v>
      </c>
    </row>
    <row r="42" spans="1:12" x14ac:dyDescent="0.3">
      <c r="B42">
        <v>96</v>
      </c>
      <c r="C42" s="1">
        <v>0.64</v>
      </c>
      <c r="D42" s="1">
        <v>3476.91</v>
      </c>
      <c r="E42" s="1">
        <v>6.19</v>
      </c>
      <c r="F42" s="1">
        <v>398.34</v>
      </c>
      <c r="G42" s="1">
        <v>455.08</v>
      </c>
      <c r="H42" s="1">
        <f t="shared" si="10"/>
        <v>4337.16</v>
      </c>
      <c r="I42" s="1">
        <f t="shared" si="11"/>
        <v>853.42</v>
      </c>
      <c r="K42">
        <f t="shared" si="12"/>
        <v>88.248305467690926</v>
      </c>
      <c r="L42" s="1">
        <f t="shared" si="13"/>
        <v>42.680497293243654</v>
      </c>
    </row>
    <row r="43" spans="1:12" x14ac:dyDescent="0.3">
      <c r="B43">
        <v>256</v>
      </c>
      <c r="C43" s="1">
        <v>0.75</v>
      </c>
      <c r="D43" s="1">
        <v>3809.27</v>
      </c>
      <c r="E43" s="1">
        <v>7</v>
      </c>
      <c r="F43" s="1">
        <v>277.35000000000002</v>
      </c>
      <c r="G43" s="1">
        <v>531.28</v>
      </c>
      <c r="H43" s="1">
        <f t="shared" si="10"/>
        <v>4625.6499999999996</v>
      </c>
      <c r="I43" s="1">
        <f t="shared" si="11"/>
        <v>808.63</v>
      </c>
      <c r="K43">
        <f t="shared" si="12"/>
        <v>126.74537587885344</v>
      </c>
      <c r="L43" s="1">
        <f t="shared" si="13"/>
        <v>45.044569209650888</v>
      </c>
    </row>
    <row r="45" spans="1:12" x14ac:dyDescent="0.3">
      <c r="B45">
        <v>3500</v>
      </c>
      <c r="C45" s="1">
        <f>B45*LOG(B45)*0.8</f>
        <v>9923.3905241807734</v>
      </c>
      <c r="D45" s="1">
        <v>4.18</v>
      </c>
      <c r="E45" s="1">
        <v>75.709999999999994</v>
      </c>
      <c r="I45" s="1"/>
    </row>
    <row r="46" spans="1:12" x14ac:dyDescent="0.3">
      <c r="B46">
        <f>B45*8</f>
        <v>28000</v>
      </c>
      <c r="C46" s="1">
        <f>B46*LOG(B46)*0.8</f>
        <v>99616.339902065723</v>
      </c>
      <c r="D46" s="1">
        <v>47.07</v>
      </c>
      <c r="E46" s="1">
        <v>547.54</v>
      </c>
    </row>
    <row r="47" spans="1:12" x14ac:dyDescent="0.3">
      <c r="B47">
        <f>B46*8</f>
        <v>224000</v>
      </c>
      <c r="C47" s="1">
        <f>B47*LOG(B47)*0.8</f>
        <v>958764.44488548208</v>
      </c>
      <c r="D47" s="1">
        <v>806.65</v>
      </c>
      <c r="E47" s="1">
        <v>4279.37</v>
      </c>
      <c r="F47" s="1">
        <v>1</v>
      </c>
      <c r="G47" s="1">
        <v>1</v>
      </c>
    </row>
    <row r="48" spans="1:12" x14ac:dyDescent="0.3">
      <c r="B48">
        <f>B47*8</f>
        <v>1792000</v>
      </c>
      <c r="C48" s="1">
        <f>B48*LOG(B48)*0.8</f>
        <v>8964785.364435507</v>
      </c>
      <c r="D48" s="1">
        <v>13132.62</v>
      </c>
      <c r="E48" s="1">
        <v>35152.83</v>
      </c>
      <c r="F48" s="1">
        <v>1000000</v>
      </c>
      <c r="G48" s="1">
        <v>1000000</v>
      </c>
    </row>
    <row r="90" spans="1:6" customFormat="1" x14ac:dyDescent="0.3">
      <c r="A90" s="2"/>
      <c r="B90" t="s">
        <v>96</v>
      </c>
      <c r="C90" s="1" t="s">
        <v>93</v>
      </c>
      <c r="D90" s="1" t="s">
        <v>94</v>
      </c>
      <c r="E90" s="1" t="s">
        <v>95</v>
      </c>
      <c r="F90" s="1" t="s">
        <v>97</v>
      </c>
    </row>
    <row r="91" spans="1:6" customFormat="1" x14ac:dyDescent="0.3">
      <c r="A91" s="2">
        <v>11</v>
      </c>
      <c r="B91">
        <v>1</v>
      </c>
      <c r="C91" s="1">
        <v>13.5</v>
      </c>
      <c r="D91" s="1">
        <v>0.14000000000000001</v>
      </c>
      <c r="E91" s="1">
        <v>8.9090000000000007</v>
      </c>
      <c r="F91" s="1">
        <f>C91+D91</f>
        <v>13.64</v>
      </c>
    </row>
    <row r="92" spans="1:6" customFormat="1" x14ac:dyDescent="0.3">
      <c r="A92" s="2" t="s">
        <v>86</v>
      </c>
      <c r="B92">
        <v>2</v>
      </c>
      <c r="C92" s="1">
        <v>9.74</v>
      </c>
      <c r="D92" s="1">
        <v>1.65</v>
      </c>
      <c r="E92" s="1">
        <v>5.2510000000000003</v>
      </c>
      <c r="F92" s="1">
        <f t="shared" ref="F92:F98" si="14">C92+D92</f>
        <v>11.39</v>
      </c>
    </row>
    <row r="93" spans="1:6" customFormat="1" x14ac:dyDescent="0.3">
      <c r="A93" s="2" t="s">
        <v>87</v>
      </c>
      <c r="B93">
        <v>3</v>
      </c>
      <c r="C93" s="1">
        <v>7</v>
      </c>
      <c r="D93" s="1">
        <v>2.4300000000000002</v>
      </c>
      <c r="E93" s="1">
        <v>5.51</v>
      </c>
      <c r="F93" s="1">
        <f t="shared" si="14"/>
        <v>9.43</v>
      </c>
    </row>
    <row r="94" spans="1:6" customFormat="1" x14ac:dyDescent="0.3">
      <c r="A94" s="2" t="s">
        <v>88</v>
      </c>
      <c r="B94">
        <v>4</v>
      </c>
      <c r="C94" s="1">
        <v>6.99</v>
      </c>
      <c r="D94" s="1">
        <v>3.18</v>
      </c>
      <c r="E94" s="1">
        <v>4.7</v>
      </c>
      <c r="F94" s="1">
        <f t="shared" si="14"/>
        <v>10.17</v>
      </c>
    </row>
    <row r="95" spans="1:6" customFormat="1" x14ac:dyDescent="0.3">
      <c r="A95" s="2" t="s">
        <v>89</v>
      </c>
      <c r="B95">
        <v>5</v>
      </c>
      <c r="C95" s="1">
        <v>5.98</v>
      </c>
      <c r="D95" s="1">
        <v>3.26</v>
      </c>
      <c r="E95" s="1">
        <v>4.6589999999999998</v>
      </c>
      <c r="F95" s="1">
        <f t="shared" si="14"/>
        <v>9.24</v>
      </c>
    </row>
    <row r="96" spans="1:6" customFormat="1" x14ac:dyDescent="0.3">
      <c r="A96" s="2" t="s">
        <v>90</v>
      </c>
      <c r="B96">
        <v>6</v>
      </c>
      <c r="C96" s="1">
        <v>5.96</v>
      </c>
      <c r="D96" s="1">
        <v>3.62</v>
      </c>
      <c r="E96" s="1">
        <v>4.7930000000000001</v>
      </c>
      <c r="F96" s="1">
        <f t="shared" si="14"/>
        <v>9.58</v>
      </c>
    </row>
    <row r="97" spans="1:6" customFormat="1" x14ac:dyDescent="0.3">
      <c r="A97" s="2" t="s">
        <v>91</v>
      </c>
      <c r="B97">
        <v>7</v>
      </c>
      <c r="C97" s="1">
        <v>5.91</v>
      </c>
      <c r="D97" s="1">
        <v>3.57</v>
      </c>
      <c r="E97" s="1">
        <v>4.5270000000000001</v>
      </c>
      <c r="F97" s="1">
        <f t="shared" si="14"/>
        <v>9.48</v>
      </c>
    </row>
    <row r="98" spans="1:6" customFormat="1" x14ac:dyDescent="0.3">
      <c r="A98" s="2" t="s">
        <v>92</v>
      </c>
      <c r="B98">
        <v>8</v>
      </c>
      <c r="C98" s="1">
        <v>5.21</v>
      </c>
      <c r="D98" s="1">
        <v>4.16</v>
      </c>
      <c r="E98" s="1">
        <v>4.3579999999999997</v>
      </c>
      <c r="F98" s="1">
        <f t="shared" si="14"/>
        <v>9.370000000000001</v>
      </c>
    </row>
  </sheetData>
  <sortState ref="I1:I61">
    <sortCondition ref="I1"/>
  </sortState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sqref="A1:XFD1048576"/>
    </sheetView>
  </sheetViews>
  <sheetFormatPr baseColWidth="10" defaultColWidth="8.88671875" defaultRowHeight="14.4" x14ac:dyDescent="0.3"/>
  <cols>
    <col min="1" max="1" width="13.88671875" style="2" customWidth="1"/>
    <col min="2" max="2" width="13.44140625" customWidth="1"/>
    <col min="3" max="3" width="13" style="1" customWidth="1"/>
    <col min="4" max="4" width="10.109375" style="1" customWidth="1"/>
    <col min="5" max="5" width="15.33203125" style="1" customWidth="1"/>
    <col min="6" max="6" width="12.88671875" style="1" customWidth="1"/>
    <col min="7" max="7" width="14.5546875" style="1" customWidth="1"/>
    <col min="8" max="8" width="9.6640625" bestFit="1" customWidth="1"/>
    <col min="9" max="9" width="10.33203125" customWidth="1"/>
    <col min="11" max="11" width="13.5546875" customWidth="1"/>
    <col min="12" max="12" width="14.33203125" customWidth="1"/>
  </cols>
  <sheetData>
    <row r="1" spans="1:13" x14ac:dyDescent="0.3">
      <c r="A1" s="2" t="s">
        <v>98</v>
      </c>
    </row>
    <row r="2" spans="1:13" x14ac:dyDescent="0.3">
      <c r="B2" t="s">
        <v>76</v>
      </c>
      <c r="C2" s="1" t="s">
        <v>71</v>
      </c>
      <c r="D2" s="1" t="s">
        <v>72</v>
      </c>
      <c r="E2" s="1" t="s">
        <v>73</v>
      </c>
      <c r="F2" s="1" t="s">
        <v>74</v>
      </c>
      <c r="G2" s="1" t="s">
        <v>75</v>
      </c>
      <c r="H2" s="1" t="s">
        <v>77</v>
      </c>
      <c r="I2" s="1" t="s">
        <v>78</v>
      </c>
      <c r="K2" s="1" t="s">
        <v>84</v>
      </c>
      <c r="L2" s="1" t="s">
        <v>85</v>
      </c>
    </row>
    <row r="3" spans="1:13" x14ac:dyDescent="0.3">
      <c r="A3" s="2" t="s">
        <v>80</v>
      </c>
    </row>
    <row r="4" spans="1:13" x14ac:dyDescent="0.3">
      <c r="B4">
        <v>1</v>
      </c>
      <c r="C4" s="1">
        <v>0.16</v>
      </c>
      <c r="D4" s="1">
        <v>3.28</v>
      </c>
      <c r="E4" s="1">
        <v>0.02</v>
      </c>
      <c r="F4" s="1">
        <v>685.85</v>
      </c>
      <c r="G4" s="1">
        <v>2.06</v>
      </c>
      <c r="H4" s="1">
        <f t="shared" ref="H4:H11" si="0">G4+F4+E4+D4+C4</f>
        <v>691.36999999999989</v>
      </c>
      <c r="I4" s="1">
        <f>G4+F4</f>
        <v>687.91</v>
      </c>
      <c r="K4">
        <f>$F$4/F4</f>
        <v>1</v>
      </c>
      <c r="L4">
        <f>$I$4/I4</f>
        <v>1</v>
      </c>
      <c r="M4">
        <v>1</v>
      </c>
    </row>
    <row r="5" spans="1:13" x14ac:dyDescent="0.3">
      <c r="B5">
        <v>2</v>
      </c>
      <c r="C5" s="1">
        <v>0.17</v>
      </c>
      <c r="D5" s="1">
        <v>1.8</v>
      </c>
      <c r="E5" s="1">
        <v>0.51</v>
      </c>
      <c r="F5" s="1">
        <v>353.74</v>
      </c>
      <c r="G5" s="1">
        <v>1.62</v>
      </c>
      <c r="H5" s="1">
        <f t="shared" si="0"/>
        <v>357.84000000000003</v>
      </c>
      <c r="I5" s="1">
        <f t="shared" ref="I5:I11" si="1">G5+F5</f>
        <v>355.36</v>
      </c>
      <c r="K5">
        <f t="shared" ref="K5:K11" si="2">$F$4/F5</f>
        <v>1.9388533951489795</v>
      </c>
      <c r="L5">
        <f t="shared" ref="L5:L11" si="3">$I$4/I5</f>
        <v>1.9358115713642501</v>
      </c>
      <c r="M5">
        <v>2</v>
      </c>
    </row>
    <row r="6" spans="1:13" x14ac:dyDescent="0.3">
      <c r="B6">
        <v>4</v>
      </c>
      <c r="C6" s="1">
        <v>0.19</v>
      </c>
      <c r="D6" s="1">
        <v>1.05</v>
      </c>
      <c r="E6" s="1">
        <v>0.79</v>
      </c>
      <c r="F6" s="1">
        <v>176.66</v>
      </c>
      <c r="G6" s="1">
        <v>1.54</v>
      </c>
      <c r="H6" s="1">
        <f t="shared" si="0"/>
        <v>180.23</v>
      </c>
      <c r="I6" s="1">
        <f t="shared" si="1"/>
        <v>178.2</v>
      </c>
      <c r="K6">
        <f t="shared" si="2"/>
        <v>3.8823163138231633</v>
      </c>
      <c r="L6">
        <f t="shared" si="3"/>
        <v>3.8603254769921436</v>
      </c>
      <c r="M6">
        <v>4</v>
      </c>
    </row>
    <row r="7" spans="1:13" x14ac:dyDescent="0.3">
      <c r="B7">
        <v>8</v>
      </c>
      <c r="C7" s="1">
        <v>0.19</v>
      </c>
      <c r="D7" s="1">
        <v>0.67</v>
      </c>
      <c r="E7" s="1">
        <v>0.96</v>
      </c>
      <c r="F7" s="1">
        <v>90.28</v>
      </c>
      <c r="G7" s="1">
        <v>1.26</v>
      </c>
      <c r="H7" s="1">
        <f t="shared" si="0"/>
        <v>93.36</v>
      </c>
      <c r="I7" s="1">
        <f t="shared" si="1"/>
        <v>91.54</v>
      </c>
      <c r="K7">
        <f t="shared" si="2"/>
        <v>7.5969206911829863</v>
      </c>
      <c r="L7">
        <f t="shared" si="3"/>
        <v>7.5148568931614586</v>
      </c>
      <c r="M7">
        <v>8</v>
      </c>
    </row>
    <row r="8" spans="1:13" x14ac:dyDescent="0.3">
      <c r="B8">
        <v>16</v>
      </c>
      <c r="C8" s="1">
        <v>0.2</v>
      </c>
      <c r="D8" s="1">
        <v>0.72</v>
      </c>
      <c r="E8" s="1">
        <v>1.1100000000000001</v>
      </c>
      <c r="F8" s="1">
        <v>46.17</v>
      </c>
      <c r="G8" s="1">
        <v>1.19</v>
      </c>
      <c r="H8" s="1">
        <f t="shared" si="0"/>
        <v>49.39</v>
      </c>
      <c r="I8" s="1">
        <f t="shared" si="1"/>
        <v>47.36</v>
      </c>
      <c r="K8">
        <f t="shared" si="2"/>
        <v>14.854884123889972</v>
      </c>
      <c r="L8">
        <f t="shared" si="3"/>
        <v>14.525126689189189</v>
      </c>
      <c r="M8">
        <v>16</v>
      </c>
    </row>
    <row r="9" spans="1:13" x14ac:dyDescent="0.3">
      <c r="B9">
        <v>32</v>
      </c>
      <c r="C9" s="1">
        <v>0.22</v>
      </c>
      <c r="D9" s="1">
        <v>0.78</v>
      </c>
      <c r="E9" s="1">
        <v>0.97</v>
      </c>
      <c r="F9" s="1">
        <v>24.15</v>
      </c>
      <c r="G9" s="1">
        <v>1.27</v>
      </c>
      <c r="H9" s="1">
        <f t="shared" si="0"/>
        <v>27.389999999999997</v>
      </c>
      <c r="I9" s="1">
        <f t="shared" si="1"/>
        <v>25.419999999999998</v>
      </c>
      <c r="K9">
        <f t="shared" si="2"/>
        <v>28.399585921325055</v>
      </c>
      <c r="L9">
        <f t="shared" si="3"/>
        <v>27.061762391817467</v>
      </c>
      <c r="M9">
        <v>32</v>
      </c>
    </row>
    <row r="10" spans="1:13" x14ac:dyDescent="0.3">
      <c r="B10">
        <v>64</v>
      </c>
      <c r="C10" s="1">
        <v>0.21</v>
      </c>
      <c r="D10" s="1">
        <v>0.82</v>
      </c>
      <c r="E10" s="1">
        <v>0.38</v>
      </c>
      <c r="F10" s="1">
        <v>12.35</v>
      </c>
      <c r="G10" s="1">
        <v>1.4</v>
      </c>
      <c r="H10" s="1">
        <f t="shared" si="0"/>
        <v>15.160000000000002</v>
      </c>
      <c r="I10" s="1">
        <f t="shared" si="1"/>
        <v>13.75</v>
      </c>
      <c r="K10">
        <f t="shared" si="2"/>
        <v>55.534412955465591</v>
      </c>
      <c r="L10">
        <f t="shared" si="3"/>
        <v>50.029818181818179</v>
      </c>
      <c r="M10">
        <v>64</v>
      </c>
    </row>
    <row r="11" spans="1:13" x14ac:dyDescent="0.3">
      <c r="B11">
        <v>96</v>
      </c>
      <c r="C11" s="1">
        <v>0.2</v>
      </c>
      <c r="D11" s="1">
        <v>0.79</v>
      </c>
      <c r="E11" s="1">
        <v>0.12</v>
      </c>
      <c r="F11" s="1">
        <v>8.4499999999999993</v>
      </c>
      <c r="G11" s="1">
        <v>1.49</v>
      </c>
      <c r="H11" s="1">
        <f t="shared" si="0"/>
        <v>11.049999999999997</v>
      </c>
      <c r="I11" s="1">
        <f t="shared" si="1"/>
        <v>9.94</v>
      </c>
      <c r="K11">
        <f t="shared" si="2"/>
        <v>81.165680473372788</v>
      </c>
      <c r="L11">
        <f t="shared" si="3"/>
        <v>69.206237424547282</v>
      </c>
      <c r="M11">
        <v>96</v>
      </c>
    </row>
    <row r="12" spans="1:13" x14ac:dyDescent="0.3">
      <c r="B12">
        <v>512</v>
      </c>
      <c r="H12" s="1"/>
      <c r="I12" s="1"/>
      <c r="M12">
        <v>512</v>
      </c>
    </row>
    <row r="13" spans="1:13" x14ac:dyDescent="0.3">
      <c r="A13" s="2" t="s">
        <v>81</v>
      </c>
      <c r="H13" s="1"/>
    </row>
    <row r="14" spans="1:13" x14ac:dyDescent="0.3">
      <c r="B14">
        <v>1</v>
      </c>
      <c r="C14" s="1">
        <v>1.2</v>
      </c>
      <c r="D14" s="1">
        <v>28.91</v>
      </c>
      <c r="E14" s="1">
        <v>0.1</v>
      </c>
      <c r="F14" s="1">
        <v>4410.91</v>
      </c>
      <c r="G14" s="1">
        <v>14.34</v>
      </c>
      <c r="H14" s="1">
        <f t="shared" ref="H14:H31" si="4">G14+F14+E14+D14+C14</f>
        <v>4455.46</v>
      </c>
      <c r="I14" s="1">
        <f>G14+F14</f>
        <v>4425.25</v>
      </c>
      <c r="K14">
        <f>$F$14/F14</f>
        <v>1</v>
      </c>
      <c r="L14">
        <f>$I$14/I14</f>
        <v>1</v>
      </c>
    </row>
    <row r="15" spans="1:13" x14ac:dyDescent="0.3">
      <c r="B15">
        <v>2</v>
      </c>
      <c r="C15" s="1">
        <v>1.19</v>
      </c>
      <c r="D15" s="1">
        <v>15.15</v>
      </c>
      <c r="E15" s="1">
        <v>3.06</v>
      </c>
      <c r="F15" s="1">
        <v>2285.37</v>
      </c>
      <c r="G15" s="1">
        <v>10.73</v>
      </c>
      <c r="H15" s="1">
        <f t="shared" si="4"/>
        <v>2315.5</v>
      </c>
      <c r="I15" s="1">
        <f t="shared" ref="I15:I32" si="5">G15+F15</f>
        <v>2296.1</v>
      </c>
      <c r="K15">
        <f t="shared" ref="K15:K21" si="6">$F$14/F15</f>
        <v>1.9300638408660304</v>
      </c>
      <c r="L15">
        <f t="shared" ref="L15:L21" si="7">$I$14/I15</f>
        <v>1.9272897521884935</v>
      </c>
    </row>
    <row r="16" spans="1:13" x14ac:dyDescent="0.3">
      <c r="B16">
        <v>4</v>
      </c>
      <c r="C16" s="1">
        <v>1.2</v>
      </c>
      <c r="D16" s="1">
        <v>8.01</v>
      </c>
      <c r="E16" s="1">
        <v>4.75</v>
      </c>
      <c r="F16" s="1">
        <v>1128.49</v>
      </c>
      <c r="G16" s="1">
        <v>8.66</v>
      </c>
      <c r="H16" s="1">
        <f t="shared" si="4"/>
        <v>1151.1100000000001</v>
      </c>
      <c r="I16" s="1">
        <f t="shared" si="5"/>
        <v>1137.1500000000001</v>
      </c>
      <c r="K16">
        <f t="shared" si="6"/>
        <v>3.9086832847433293</v>
      </c>
      <c r="L16">
        <f t="shared" si="7"/>
        <v>3.8915270632722154</v>
      </c>
    </row>
    <row r="17" spans="1:12" x14ac:dyDescent="0.3">
      <c r="B17">
        <v>8</v>
      </c>
      <c r="C17" s="1">
        <v>1.22</v>
      </c>
      <c r="D17" s="1">
        <v>4.4400000000000004</v>
      </c>
      <c r="E17" s="1">
        <v>5.83</v>
      </c>
      <c r="F17" s="1">
        <v>565.33000000000004</v>
      </c>
      <c r="G17" s="1">
        <v>8.2100000000000009</v>
      </c>
      <c r="H17" s="1">
        <f t="shared" si="4"/>
        <v>585.0300000000002</v>
      </c>
      <c r="I17" s="1">
        <f t="shared" si="5"/>
        <v>573.54000000000008</v>
      </c>
      <c r="K17">
        <f t="shared" si="6"/>
        <v>7.8023632214812579</v>
      </c>
      <c r="L17">
        <f t="shared" si="7"/>
        <v>7.715678069533074</v>
      </c>
    </row>
    <row r="18" spans="1:12" x14ac:dyDescent="0.3">
      <c r="B18">
        <v>16</v>
      </c>
      <c r="C18" s="1">
        <v>1.23</v>
      </c>
      <c r="D18" s="1">
        <v>5.18</v>
      </c>
      <c r="E18" s="1">
        <v>6.83</v>
      </c>
      <c r="F18" s="1">
        <v>300.52999999999997</v>
      </c>
      <c r="G18" s="1">
        <v>6.8</v>
      </c>
      <c r="H18" s="1">
        <f t="shared" si="4"/>
        <v>320.57</v>
      </c>
      <c r="I18" s="1">
        <f t="shared" si="5"/>
        <v>307.33</v>
      </c>
      <c r="K18">
        <f t="shared" si="6"/>
        <v>14.677103783316142</v>
      </c>
      <c r="L18">
        <f t="shared" si="7"/>
        <v>14.39901734292129</v>
      </c>
    </row>
    <row r="19" spans="1:12" x14ac:dyDescent="0.3">
      <c r="B19">
        <v>32</v>
      </c>
      <c r="C19" s="1">
        <v>1.27</v>
      </c>
      <c r="D19" s="1">
        <v>6.17</v>
      </c>
      <c r="E19" s="1">
        <v>5.97</v>
      </c>
      <c r="F19" s="1">
        <v>150.31</v>
      </c>
      <c r="G19" s="1">
        <v>7.05</v>
      </c>
      <c r="H19" s="1">
        <f t="shared" si="4"/>
        <v>170.77</v>
      </c>
      <c r="I19" s="1">
        <f t="shared" si="5"/>
        <v>157.36000000000001</v>
      </c>
      <c r="K19">
        <f t="shared" si="6"/>
        <v>29.345419466436031</v>
      </c>
      <c r="L19">
        <f t="shared" si="7"/>
        <v>28.121822572445346</v>
      </c>
    </row>
    <row r="20" spans="1:12" x14ac:dyDescent="0.3">
      <c r="B20">
        <v>64</v>
      </c>
      <c r="C20" s="1">
        <v>1.3</v>
      </c>
      <c r="D20" s="1">
        <v>7.14</v>
      </c>
      <c r="E20" s="1">
        <v>2.34</v>
      </c>
      <c r="F20" s="1">
        <v>76.819999999999993</v>
      </c>
      <c r="G20" s="1">
        <v>10.7</v>
      </c>
      <c r="H20" s="1">
        <f t="shared" si="4"/>
        <v>98.3</v>
      </c>
      <c r="I20" s="1">
        <f t="shared" si="5"/>
        <v>87.52</v>
      </c>
      <c r="K20">
        <f t="shared" si="6"/>
        <v>57.418771153345489</v>
      </c>
      <c r="L20">
        <f t="shared" si="7"/>
        <v>50.562728519195616</v>
      </c>
    </row>
    <row r="21" spans="1:12" x14ac:dyDescent="0.3">
      <c r="B21">
        <v>96</v>
      </c>
      <c r="C21" s="1">
        <v>1.27</v>
      </c>
      <c r="D21" s="1">
        <v>7.18</v>
      </c>
      <c r="E21" s="1">
        <v>0.31</v>
      </c>
      <c r="F21" s="1">
        <v>52.02</v>
      </c>
      <c r="G21" s="1">
        <v>16.7</v>
      </c>
      <c r="H21" s="1">
        <f t="shared" si="4"/>
        <v>77.48</v>
      </c>
      <c r="I21" s="1">
        <f t="shared" si="5"/>
        <v>68.72</v>
      </c>
      <c r="K21">
        <f t="shared" si="6"/>
        <v>84.792579777008839</v>
      </c>
      <c r="L21">
        <f t="shared" si="7"/>
        <v>64.395372526193256</v>
      </c>
    </row>
    <row r="22" spans="1:12" x14ac:dyDescent="0.3">
      <c r="B22">
        <v>256</v>
      </c>
      <c r="H22" s="1"/>
      <c r="I22" s="1"/>
    </row>
    <row r="23" spans="1:12" x14ac:dyDescent="0.3">
      <c r="B23">
        <v>384</v>
      </c>
      <c r="H23" s="1"/>
      <c r="I23" s="1"/>
    </row>
    <row r="24" spans="1:12" x14ac:dyDescent="0.3">
      <c r="A24" s="2" t="s">
        <v>82</v>
      </c>
      <c r="H24" s="1"/>
      <c r="I24" s="1"/>
    </row>
    <row r="25" spans="1:12" x14ac:dyDescent="0.3">
      <c r="B25">
        <v>1</v>
      </c>
      <c r="C25" s="1">
        <v>9.43</v>
      </c>
      <c r="D25" s="1">
        <v>267.23</v>
      </c>
      <c r="E25" s="1">
        <v>0.67</v>
      </c>
      <c r="F25" s="1">
        <v>31866.31</v>
      </c>
      <c r="G25" s="1">
        <v>104.27</v>
      </c>
      <c r="H25" s="1">
        <f t="shared" si="4"/>
        <v>32247.91</v>
      </c>
      <c r="I25" s="1">
        <f t="shared" si="5"/>
        <v>31970.58</v>
      </c>
      <c r="K25">
        <f>$F$25/F25</f>
        <v>1</v>
      </c>
      <c r="L25">
        <f>$I$25/I25</f>
        <v>1</v>
      </c>
    </row>
    <row r="26" spans="1:12" x14ac:dyDescent="0.3">
      <c r="B26">
        <v>2</v>
      </c>
      <c r="C26" s="1">
        <v>9.2200000000000006</v>
      </c>
      <c r="D26" s="1">
        <v>137.9</v>
      </c>
      <c r="E26" s="1">
        <v>20.39</v>
      </c>
      <c r="F26" s="1">
        <v>16342.72</v>
      </c>
      <c r="G26" s="1">
        <v>78.69</v>
      </c>
      <c r="H26" s="1">
        <f t="shared" si="4"/>
        <v>16588.920000000002</v>
      </c>
      <c r="I26" s="1">
        <f t="shared" si="5"/>
        <v>16421.41</v>
      </c>
      <c r="K26">
        <f t="shared" ref="K26:K32" si="8">$F$25/F26</f>
        <v>1.9498779884866169</v>
      </c>
      <c r="L26">
        <f t="shared" ref="L26:L32" si="9">$I$25/I26</f>
        <v>1.9468839764673072</v>
      </c>
    </row>
    <row r="27" spans="1:12" x14ac:dyDescent="0.3">
      <c r="B27">
        <v>4</v>
      </c>
      <c r="C27" s="1">
        <v>9.57</v>
      </c>
      <c r="D27" s="1">
        <v>72</v>
      </c>
      <c r="E27" s="1">
        <v>27.91</v>
      </c>
      <c r="F27" s="1">
        <v>8109.76</v>
      </c>
      <c r="G27" s="1">
        <v>60.8</v>
      </c>
      <c r="H27" s="1">
        <f t="shared" si="4"/>
        <v>8280.0400000000009</v>
      </c>
      <c r="I27" s="1">
        <f t="shared" si="5"/>
        <v>8170.56</v>
      </c>
      <c r="K27">
        <f t="shared" si="8"/>
        <v>3.9293776881190072</v>
      </c>
      <c r="L27">
        <f t="shared" si="9"/>
        <v>3.9128994830219717</v>
      </c>
    </row>
    <row r="28" spans="1:12" x14ac:dyDescent="0.3">
      <c r="B28">
        <v>8</v>
      </c>
      <c r="C28" s="1">
        <v>9.1999999999999993</v>
      </c>
      <c r="D28" s="1">
        <v>38.08</v>
      </c>
      <c r="E28" s="1">
        <v>35.090000000000003</v>
      </c>
      <c r="F28" s="1">
        <v>4020.42</v>
      </c>
      <c r="G28" s="1">
        <v>53.69</v>
      </c>
      <c r="H28" s="1">
        <f t="shared" si="4"/>
        <v>4156.4799999999996</v>
      </c>
      <c r="I28" s="1">
        <f t="shared" si="5"/>
        <v>4074.11</v>
      </c>
      <c r="K28">
        <f t="shared" si="8"/>
        <v>7.9261146845354471</v>
      </c>
      <c r="L28">
        <f t="shared" si="9"/>
        <v>7.847254983296966</v>
      </c>
    </row>
    <row r="29" spans="1:12" x14ac:dyDescent="0.3">
      <c r="B29">
        <v>16</v>
      </c>
      <c r="C29" s="1">
        <v>9.2799999999999994</v>
      </c>
      <c r="D29" s="1">
        <v>46.33</v>
      </c>
      <c r="E29" s="1">
        <v>42.7</v>
      </c>
      <c r="F29" s="1">
        <v>2087.4299999999998</v>
      </c>
      <c r="G29" s="1">
        <v>47.17</v>
      </c>
      <c r="H29" s="1">
        <f t="shared" si="4"/>
        <v>2232.91</v>
      </c>
      <c r="I29" s="1">
        <f t="shared" si="5"/>
        <v>2134.6</v>
      </c>
      <c r="K29">
        <f t="shared" si="8"/>
        <v>15.265810110997736</v>
      </c>
      <c r="L29">
        <f t="shared" si="9"/>
        <v>14.977316593272747</v>
      </c>
    </row>
    <row r="30" spans="1:12" x14ac:dyDescent="0.3">
      <c r="B30">
        <v>32</v>
      </c>
      <c r="C30" s="1">
        <v>9.43</v>
      </c>
      <c r="D30" s="1">
        <v>57.44</v>
      </c>
      <c r="E30" s="1">
        <v>38.71</v>
      </c>
      <c r="F30" s="1">
        <v>1046.57</v>
      </c>
      <c r="G30" s="1">
        <v>45.83</v>
      </c>
      <c r="H30" s="1">
        <f t="shared" si="4"/>
        <v>1197.98</v>
      </c>
      <c r="I30" s="1">
        <f t="shared" si="5"/>
        <v>1092.3999999999999</v>
      </c>
      <c r="K30">
        <f t="shared" si="8"/>
        <v>30.448331215303327</v>
      </c>
      <c r="L30">
        <f t="shared" si="9"/>
        <v>29.266367630904437</v>
      </c>
    </row>
    <row r="31" spans="1:12" x14ac:dyDescent="0.3">
      <c r="B31">
        <v>64</v>
      </c>
      <c r="C31" s="1">
        <v>9.73</v>
      </c>
      <c r="D31" s="1">
        <v>66.849999999999994</v>
      </c>
      <c r="E31" s="1">
        <v>13.58</v>
      </c>
      <c r="F31" s="1">
        <v>528.04</v>
      </c>
      <c r="G31" s="1">
        <v>42.56</v>
      </c>
      <c r="H31" s="1">
        <f t="shared" si="4"/>
        <v>660.76</v>
      </c>
      <c r="I31" s="1">
        <f t="shared" si="5"/>
        <v>570.59999999999991</v>
      </c>
      <c r="K31">
        <f t="shared" si="8"/>
        <v>60.348288008484211</v>
      </c>
      <c r="L31">
        <f t="shared" si="9"/>
        <v>56.029758149316521</v>
      </c>
    </row>
    <row r="32" spans="1:12" x14ac:dyDescent="0.3">
      <c r="B32">
        <v>96</v>
      </c>
      <c r="C32" s="1">
        <v>9.4</v>
      </c>
      <c r="D32" s="1">
        <v>67.19</v>
      </c>
      <c r="E32" s="1">
        <v>1.97</v>
      </c>
      <c r="F32" s="1">
        <v>358.77</v>
      </c>
      <c r="G32" s="1">
        <v>41.56</v>
      </c>
      <c r="H32" s="1">
        <f>G32+F32+E32+D32+C32</f>
        <v>478.89</v>
      </c>
      <c r="I32" s="1">
        <f t="shared" si="5"/>
        <v>400.33</v>
      </c>
      <c r="K32">
        <f t="shared" si="8"/>
        <v>88.820999526158829</v>
      </c>
      <c r="L32">
        <f t="shared" si="9"/>
        <v>79.860565033847081</v>
      </c>
    </row>
    <row r="33" spans="1:12" x14ac:dyDescent="0.3">
      <c r="B33">
        <v>256</v>
      </c>
      <c r="H33" s="1"/>
      <c r="I33" s="1"/>
    </row>
    <row r="34" spans="1:12" x14ac:dyDescent="0.3">
      <c r="B34">
        <v>384</v>
      </c>
      <c r="H34" s="1"/>
      <c r="I34" s="1"/>
    </row>
    <row r="35" spans="1:12" x14ac:dyDescent="0.3">
      <c r="A35" s="2" t="s">
        <v>102</v>
      </c>
      <c r="H35" s="1"/>
      <c r="I35" s="1"/>
    </row>
    <row r="36" spans="1:12" x14ac:dyDescent="0.3">
      <c r="B36">
        <v>1</v>
      </c>
      <c r="C36" s="1">
        <v>37.71</v>
      </c>
      <c r="D36" s="1">
        <v>633.47</v>
      </c>
      <c r="E36" s="1">
        <v>1.1299999999999999</v>
      </c>
      <c r="F36" s="1">
        <v>62038.82</v>
      </c>
      <c r="G36" s="1">
        <v>197.23</v>
      </c>
      <c r="H36" s="1">
        <f t="shared" ref="H36:H42" si="10">G36+F36+E36+D36+C36</f>
        <v>62908.36</v>
      </c>
      <c r="I36" s="1">
        <f t="shared" ref="I36:I42" si="11">G36+F36</f>
        <v>62236.05</v>
      </c>
      <c r="K36">
        <f>$F$36/F36</f>
        <v>1</v>
      </c>
      <c r="L36">
        <f>$I$36/I36</f>
        <v>1</v>
      </c>
    </row>
    <row r="37" spans="1:12" x14ac:dyDescent="0.3">
      <c r="B37">
        <v>8</v>
      </c>
      <c r="C37" s="1">
        <v>39.68</v>
      </c>
      <c r="D37" s="1">
        <v>160.51</v>
      </c>
      <c r="E37" s="1">
        <v>3.74</v>
      </c>
      <c r="F37" s="1">
        <v>10827.76</v>
      </c>
      <c r="G37" s="1">
        <v>73.209999999999994</v>
      </c>
      <c r="H37" s="1">
        <f t="shared" si="10"/>
        <v>11104.9</v>
      </c>
      <c r="I37" s="1">
        <f t="shared" si="11"/>
        <v>10900.97</v>
      </c>
      <c r="K37">
        <f t="shared" ref="K37:K43" si="12">$F$36/F37</f>
        <v>5.7296079706236558</v>
      </c>
      <c r="L37">
        <f t="shared" ref="L37:L43" si="13">$I$36/I37</f>
        <v>5.7092212894815786</v>
      </c>
    </row>
    <row r="38" spans="1:12" x14ac:dyDescent="0.3">
      <c r="B38">
        <v>16</v>
      </c>
      <c r="C38" s="1">
        <v>40.01</v>
      </c>
      <c r="D38" s="1">
        <v>145.47999999999999</v>
      </c>
      <c r="E38" s="1">
        <v>4.22</v>
      </c>
      <c r="F38" s="1">
        <v>5394.56</v>
      </c>
      <c r="G38" s="1">
        <v>62.52</v>
      </c>
      <c r="H38" s="1">
        <f t="shared" si="10"/>
        <v>5646.7900000000009</v>
      </c>
      <c r="I38" s="1">
        <f t="shared" si="11"/>
        <v>5457.0800000000008</v>
      </c>
      <c r="K38">
        <f t="shared" si="12"/>
        <v>11.500255813263731</v>
      </c>
      <c r="L38">
        <f t="shared" si="13"/>
        <v>11.404643142486456</v>
      </c>
    </row>
    <row r="39" spans="1:12" x14ac:dyDescent="0.3">
      <c r="B39">
        <v>32</v>
      </c>
      <c r="C39" s="1">
        <v>40.64</v>
      </c>
      <c r="D39" s="1">
        <v>146.04</v>
      </c>
      <c r="E39" s="1">
        <v>3.97</v>
      </c>
      <c r="F39" s="1">
        <v>2769.51</v>
      </c>
      <c r="G39" s="1">
        <v>58.29</v>
      </c>
      <c r="H39" s="1">
        <f t="shared" si="10"/>
        <v>3018.45</v>
      </c>
      <c r="I39" s="1">
        <f t="shared" si="11"/>
        <v>2827.8</v>
      </c>
      <c r="K39">
        <f t="shared" si="12"/>
        <v>22.40064849016613</v>
      </c>
      <c r="L39">
        <f t="shared" si="13"/>
        <v>22.008646297475067</v>
      </c>
    </row>
    <row r="40" spans="1:12" x14ac:dyDescent="0.3">
      <c r="B40">
        <v>64</v>
      </c>
      <c r="C40" s="1">
        <v>40.79</v>
      </c>
      <c r="D40" s="1">
        <v>146.49</v>
      </c>
      <c r="E40" s="1">
        <v>3.99</v>
      </c>
      <c r="F40" s="1">
        <v>1397.27</v>
      </c>
      <c r="G40" s="1">
        <v>64.83</v>
      </c>
      <c r="H40" s="1">
        <f t="shared" si="10"/>
        <v>1653.37</v>
      </c>
      <c r="I40" s="1">
        <f t="shared" si="11"/>
        <v>1462.1</v>
      </c>
      <c r="K40">
        <f t="shared" si="12"/>
        <v>44.400022901801371</v>
      </c>
      <c r="L40">
        <f t="shared" si="13"/>
        <v>42.56620614185077</v>
      </c>
    </row>
    <row r="41" spans="1:12" x14ac:dyDescent="0.3">
      <c r="B41">
        <v>128</v>
      </c>
      <c r="C41" s="1">
        <v>40.85</v>
      </c>
      <c r="D41" s="1">
        <v>147.22</v>
      </c>
      <c r="E41" s="1">
        <v>4.0199999999999996</v>
      </c>
      <c r="F41" s="1">
        <v>709.67</v>
      </c>
      <c r="G41" s="1">
        <v>53.48</v>
      </c>
      <c r="H41" s="1">
        <f t="shared" si="10"/>
        <v>955.24</v>
      </c>
      <c r="I41" s="1">
        <f t="shared" si="11"/>
        <v>763.15</v>
      </c>
      <c r="K41">
        <f t="shared" si="12"/>
        <v>87.419251201262568</v>
      </c>
      <c r="L41">
        <f t="shared" si="13"/>
        <v>81.551529843412183</v>
      </c>
    </row>
    <row r="42" spans="1:12" x14ac:dyDescent="0.3">
      <c r="B42">
        <v>256</v>
      </c>
      <c r="C42" s="1">
        <v>40.619999999999997</v>
      </c>
      <c r="D42" s="1">
        <v>146.9</v>
      </c>
      <c r="E42" s="1">
        <v>4.0599999999999996</v>
      </c>
      <c r="F42" s="1">
        <v>358.65</v>
      </c>
      <c r="G42" s="1">
        <v>53.46</v>
      </c>
      <c r="H42" s="1">
        <f t="shared" si="10"/>
        <v>603.68999999999994</v>
      </c>
      <c r="I42" s="1">
        <f t="shared" si="11"/>
        <v>412.10999999999996</v>
      </c>
      <c r="K42">
        <f t="shared" si="12"/>
        <v>172.97872577722015</v>
      </c>
      <c r="L42">
        <f t="shared" si="13"/>
        <v>151.01805343233605</v>
      </c>
    </row>
    <row r="43" spans="1:12" x14ac:dyDescent="0.3">
      <c r="B43">
        <v>512</v>
      </c>
      <c r="C43" s="4">
        <v>40.64</v>
      </c>
      <c r="D43" s="4">
        <v>145.82</v>
      </c>
      <c r="E43" s="4">
        <v>4.07</v>
      </c>
      <c r="F43" s="4">
        <v>180.89</v>
      </c>
      <c r="G43" s="4">
        <v>57.17</v>
      </c>
      <c r="H43" s="1">
        <f>G43+F43+E43+D43+C43</f>
        <v>428.59</v>
      </c>
      <c r="I43" s="1">
        <f t="shared" ref="I43" si="14">G43+F43</f>
        <v>238.06</v>
      </c>
      <c r="K43">
        <f t="shared" si="12"/>
        <v>342.96434297086631</v>
      </c>
      <c r="L43">
        <f t="shared" si="13"/>
        <v>261.43010165504495</v>
      </c>
    </row>
    <row r="45" spans="1:12" x14ac:dyDescent="0.3">
      <c r="C45" s="1">
        <v>4.82</v>
      </c>
      <c r="D45" s="1">
        <v>25.28</v>
      </c>
      <c r="E45" s="1">
        <v>37.78</v>
      </c>
      <c r="F45" s="1">
        <v>3.34</v>
      </c>
      <c r="G45" s="1">
        <v>251.26</v>
      </c>
      <c r="H45" s="1">
        <f>SUM(C45:G45)</f>
        <v>322.48</v>
      </c>
      <c r="I45" s="1">
        <f>360+48</f>
        <v>408</v>
      </c>
    </row>
    <row r="46" spans="1:12" x14ac:dyDescent="0.3">
      <c r="I46">
        <f>I45/6.7</f>
        <v>60.895522388059703</v>
      </c>
    </row>
    <row r="48" spans="1:12" x14ac:dyDescent="0.3">
      <c r="E48" s="1" t="s">
        <v>79</v>
      </c>
    </row>
    <row r="49" spans="1:13" x14ac:dyDescent="0.3">
      <c r="A49" s="2" t="s">
        <v>99</v>
      </c>
      <c r="B49">
        <v>26</v>
      </c>
      <c r="C49" s="1">
        <v>22</v>
      </c>
      <c r="D49" s="1">
        <v>14</v>
      </c>
      <c r="E49" s="1">
        <f>D49*C49*B49</f>
        <v>8008</v>
      </c>
      <c r="I49" t="s">
        <v>104</v>
      </c>
    </row>
    <row r="50" spans="1:13" x14ac:dyDescent="0.3">
      <c r="A50" s="2" t="s">
        <v>100</v>
      </c>
      <c r="B50">
        <v>51</v>
      </c>
      <c r="C50" s="1">
        <v>41</v>
      </c>
      <c r="D50" s="1">
        <v>25</v>
      </c>
      <c r="E50" s="1">
        <f>D50*C50*B50</f>
        <v>52275</v>
      </c>
      <c r="F50" s="1">
        <f>E50/E49</f>
        <v>6.5278471528471531</v>
      </c>
      <c r="I50">
        <f>0.022*0.04/0.001</f>
        <v>0.87999999999999989</v>
      </c>
    </row>
    <row r="51" spans="1:13" x14ac:dyDescent="0.3">
      <c r="A51" s="2" t="s">
        <v>101</v>
      </c>
      <c r="B51">
        <v>101</v>
      </c>
      <c r="C51" s="1">
        <v>79</v>
      </c>
      <c r="D51" s="1">
        <v>47</v>
      </c>
      <c r="E51" s="1">
        <f>D51*C51*B51</f>
        <v>375013</v>
      </c>
      <c r="F51" s="1">
        <f>E51/E50</f>
        <v>7.1738498326159732</v>
      </c>
    </row>
    <row r="52" spans="1:13" x14ac:dyDescent="0.3">
      <c r="K52">
        <f>2.1/1760</f>
        <v>1.1931818181818183E-3</v>
      </c>
      <c r="L52">
        <f>K52/0.022</f>
        <v>5.4235537190082651E-2</v>
      </c>
      <c r="M52">
        <f>0.022*0.05/K52</f>
        <v>0.92190476190476189</v>
      </c>
    </row>
    <row r="53" spans="1:13" x14ac:dyDescent="0.3">
      <c r="I53">
        <f>17.25/0.25</f>
        <v>69</v>
      </c>
    </row>
    <row r="54" spans="1:13" x14ac:dyDescent="0.3">
      <c r="I54">
        <f>LOG10(0.0003)</f>
        <v>-3.5228787452803374</v>
      </c>
      <c r="J54">
        <f>-12-I54</f>
        <v>-8.4771212547196626</v>
      </c>
    </row>
    <row r="56" spans="1:13" x14ac:dyDescent="0.3">
      <c r="B56">
        <v>1.74</v>
      </c>
    </row>
    <row r="57" spans="1:13" x14ac:dyDescent="0.3">
      <c r="B57">
        <v>9.99</v>
      </c>
    </row>
    <row r="58" spans="1:13" x14ac:dyDescent="0.3">
      <c r="B58">
        <v>4.96</v>
      </c>
    </row>
    <row r="59" spans="1:13" x14ac:dyDescent="0.3">
      <c r="B59">
        <v>26.29</v>
      </c>
      <c r="G59" s="3">
        <v>2.7990000000000001E-7</v>
      </c>
      <c r="I59">
        <f>0.25*0.1/0.0055</f>
        <v>4.5454545454545459</v>
      </c>
      <c r="J59">
        <f>5000/I59</f>
        <v>1100</v>
      </c>
    </row>
    <row r="60" spans="1:13" x14ac:dyDescent="0.3">
      <c r="B60">
        <v>17.75</v>
      </c>
      <c r="G60" s="3">
        <v>9.7020000000000005E-7</v>
      </c>
      <c r="I60">
        <f>I59/2</f>
        <v>2.2727272727272729</v>
      </c>
    </row>
    <row r="61" spans="1:13" x14ac:dyDescent="0.3">
      <c r="B61">
        <f>SUM(B56:B60)</f>
        <v>60.730000000000004</v>
      </c>
      <c r="G61" s="3">
        <f>G60+G59</f>
        <v>1.2501000000000001E-6</v>
      </c>
      <c r="I61">
        <f>I60/2</f>
        <v>1.1363636363636365</v>
      </c>
      <c r="K61">
        <f>0.0055*2.1/(0.01*0.25*0.25)</f>
        <v>18.48</v>
      </c>
      <c r="L61">
        <f>0.0055/4</f>
        <v>1.3749999999999999E-3</v>
      </c>
    </row>
    <row r="62" spans="1:13" x14ac:dyDescent="0.3">
      <c r="B62">
        <v>67.25</v>
      </c>
      <c r="C62" s="1">
        <v>0.02</v>
      </c>
      <c r="D62" s="1">
        <f>C62*C62/0.01/0.022</f>
        <v>1.8181818181818183</v>
      </c>
      <c r="L62">
        <f>L61/4</f>
        <v>3.4374999999999998E-4</v>
      </c>
    </row>
    <row r="63" spans="1:13" x14ac:dyDescent="0.3">
      <c r="B63">
        <f>B62/10.3</f>
        <v>6.5291262135922326</v>
      </c>
      <c r="D63" s="1">
        <f>0.0004/0.01/0.022</f>
        <v>1.8181818181818183</v>
      </c>
      <c r="I63">
        <f>0.1/0.001/2</f>
        <v>50</v>
      </c>
      <c r="J63">
        <f>LOG10(I63)</f>
        <v>1.6989700043360187</v>
      </c>
    </row>
    <row r="67" spans="4:7" customFormat="1" x14ac:dyDescent="0.3">
      <c r="D67" s="1">
        <f>20.95/0.005</f>
        <v>4190</v>
      </c>
      <c r="E67" s="1"/>
      <c r="F67" s="1" t="s">
        <v>103</v>
      </c>
      <c r="G67" s="1">
        <f>2.095/0.005</f>
        <v>419.00000000000006</v>
      </c>
    </row>
    <row r="68" spans="4:7" customFormat="1" x14ac:dyDescent="0.3">
      <c r="D68" s="1"/>
      <c r="E68" s="1"/>
      <c r="F68" s="1">
        <f>2.098/0.002</f>
        <v>1049</v>
      </c>
      <c r="G68" s="1">
        <f>2.09/0.01</f>
        <v>208.99999999999997</v>
      </c>
    </row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C11" sqref="C11:G11"/>
    </sheetView>
  </sheetViews>
  <sheetFormatPr baseColWidth="10" defaultColWidth="8.88671875" defaultRowHeight="14.4" x14ac:dyDescent="0.3"/>
  <cols>
    <col min="1" max="1" width="13.88671875" style="2" customWidth="1"/>
    <col min="2" max="2" width="13.44140625" customWidth="1"/>
    <col min="3" max="3" width="13" style="1" customWidth="1"/>
    <col min="4" max="4" width="10.109375" style="1" customWidth="1"/>
    <col min="5" max="5" width="15.33203125" style="1" customWidth="1"/>
    <col min="6" max="6" width="12.88671875" style="1" customWidth="1"/>
    <col min="7" max="7" width="14.5546875" style="1" customWidth="1"/>
    <col min="8" max="8" width="9.6640625" bestFit="1" customWidth="1"/>
    <col min="9" max="9" width="10.33203125" customWidth="1"/>
    <col min="11" max="11" width="13.5546875" customWidth="1"/>
    <col min="12" max="12" width="14.33203125" customWidth="1"/>
  </cols>
  <sheetData>
    <row r="1" spans="1:14" x14ac:dyDescent="0.3">
      <c r="A1" s="2" t="s">
        <v>106</v>
      </c>
    </row>
    <row r="2" spans="1:14" x14ac:dyDescent="0.3">
      <c r="B2" t="s">
        <v>76</v>
      </c>
      <c r="C2" s="1" t="s">
        <v>71</v>
      </c>
      <c r="D2" s="1" t="s">
        <v>72</v>
      </c>
      <c r="E2" s="1" t="s">
        <v>73</v>
      </c>
      <c r="F2" s="1" t="s">
        <v>74</v>
      </c>
      <c r="G2" s="1" t="s">
        <v>75</v>
      </c>
      <c r="H2" s="1" t="s">
        <v>77</v>
      </c>
      <c r="I2" s="1" t="s">
        <v>78</v>
      </c>
      <c r="K2" s="1" t="s">
        <v>84</v>
      </c>
      <c r="L2" s="1" t="s">
        <v>85</v>
      </c>
    </row>
    <row r="3" spans="1:14" x14ac:dyDescent="0.3">
      <c r="A3" s="2" t="s">
        <v>107</v>
      </c>
    </row>
    <row r="4" spans="1:14" x14ac:dyDescent="0.3">
      <c r="B4">
        <v>1</v>
      </c>
      <c r="H4" s="1">
        <f t="shared" ref="H4:H13" si="0">G4+F4+E4+D4+C4</f>
        <v>0</v>
      </c>
      <c r="I4" s="1">
        <f>G4+F4</f>
        <v>0</v>
      </c>
    </row>
    <row r="5" spans="1:14" x14ac:dyDescent="0.3">
      <c r="B5">
        <v>2</v>
      </c>
      <c r="H5" s="1">
        <f t="shared" si="0"/>
        <v>0</v>
      </c>
      <c r="I5" s="1">
        <f t="shared" ref="I5:I13" si="1">G5+F5</f>
        <v>0</v>
      </c>
    </row>
    <row r="6" spans="1:14" x14ac:dyDescent="0.3">
      <c r="B6">
        <v>4</v>
      </c>
      <c r="H6" s="1">
        <f t="shared" si="0"/>
        <v>0</v>
      </c>
      <c r="I6" s="1">
        <f t="shared" si="1"/>
        <v>0</v>
      </c>
    </row>
    <row r="7" spans="1:14" x14ac:dyDescent="0.3">
      <c r="B7">
        <v>8</v>
      </c>
      <c r="H7" s="1">
        <f t="shared" si="0"/>
        <v>0</v>
      </c>
      <c r="I7" s="1">
        <f t="shared" si="1"/>
        <v>0</v>
      </c>
    </row>
    <row r="8" spans="1:14" x14ac:dyDescent="0.3">
      <c r="B8">
        <v>16</v>
      </c>
      <c r="C8" s="1">
        <v>2.2000000000000002</v>
      </c>
      <c r="D8" s="1">
        <v>41.04</v>
      </c>
      <c r="E8" s="1">
        <v>840.36</v>
      </c>
      <c r="F8" s="1">
        <v>4779.9399999999996</v>
      </c>
      <c r="G8" s="1">
        <v>313.69</v>
      </c>
      <c r="H8" s="1">
        <f t="shared" si="0"/>
        <v>5977.2299999999987</v>
      </c>
      <c r="I8" s="1">
        <f t="shared" si="1"/>
        <v>5093.6299999999992</v>
      </c>
      <c r="K8">
        <v>1</v>
      </c>
      <c r="L8">
        <f t="shared" ref="L8:L12" si="2">$I$8/I8</f>
        <v>1</v>
      </c>
    </row>
    <row r="9" spans="1:14" x14ac:dyDescent="0.3">
      <c r="B9">
        <v>32</v>
      </c>
      <c r="C9" s="1">
        <v>2.11</v>
      </c>
      <c r="D9" s="1">
        <v>41.23</v>
      </c>
      <c r="E9" s="1">
        <v>831.56</v>
      </c>
      <c r="F9" s="1">
        <v>2482.11</v>
      </c>
      <c r="G9" s="1">
        <v>285.19</v>
      </c>
      <c r="H9" s="1">
        <f t="shared" si="0"/>
        <v>3642.2000000000003</v>
      </c>
      <c r="I9" s="1">
        <f t="shared" si="1"/>
        <v>2767.3</v>
      </c>
      <c r="K9">
        <f>$F$8/F9</f>
        <v>1.9257567150529185</v>
      </c>
      <c r="L9">
        <f t="shared" si="2"/>
        <v>1.8406497307845189</v>
      </c>
      <c r="M9">
        <f t="shared" ref="M9:M11" si="3">(F8-F9)/(F8/2)</f>
        <v>0.96144721481859596</v>
      </c>
      <c r="N9">
        <f t="shared" ref="N9:N11" si="4">(I8-I9)/(I8/2)</f>
        <v>0.9134271629466606</v>
      </c>
    </row>
    <row r="10" spans="1:14" x14ac:dyDescent="0.3">
      <c r="B10">
        <v>64</v>
      </c>
      <c r="C10" s="1">
        <v>2.12</v>
      </c>
      <c r="D10" s="1">
        <v>42.87</v>
      </c>
      <c r="E10" s="1">
        <v>836.86</v>
      </c>
      <c r="F10" s="1">
        <v>1344.66</v>
      </c>
      <c r="G10" s="1">
        <v>318.62</v>
      </c>
      <c r="H10" s="1">
        <f t="shared" si="0"/>
        <v>2545.13</v>
      </c>
      <c r="I10" s="1">
        <f t="shared" si="1"/>
        <v>1663.2800000000002</v>
      </c>
      <c r="K10">
        <f t="shared" ref="K10:K13" si="5">$F$8/F10</f>
        <v>3.5547573364270515</v>
      </c>
      <c r="L10">
        <f t="shared" si="2"/>
        <v>3.0624007984223933</v>
      </c>
      <c r="M10">
        <f t="shared" si="3"/>
        <v>0.91651860715278533</v>
      </c>
      <c r="N10">
        <f t="shared" si="4"/>
        <v>0.79790409424348641</v>
      </c>
    </row>
    <row r="11" spans="1:14" x14ac:dyDescent="0.3">
      <c r="B11">
        <v>128</v>
      </c>
      <c r="C11" s="1">
        <v>2.15</v>
      </c>
      <c r="D11" s="1">
        <v>43.52</v>
      </c>
      <c r="E11" s="1">
        <v>841.34</v>
      </c>
      <c r="F11" s="1">
        <v>770.39</v>
      </c>
      <c r="G11" s="1">
        <v>346.51</v>
      </c>
      <c r="H11" s="1">
        <f t="shared" si="0"/>
        <v>2003.9100000000003</v>
      </c>
      <c r="I11" s="1">
        <f t="shared" si="1"/>
        <v>1116.9000000000001</v>
      </c>
      <c r="K11">
        <f t="shared" si="5"/>
        <v>6.2045717104323783</v>
      </c>
      <c r="L11">
        <f t="shared" si="2"/>
        <v>4.5605067597815374</v>
      </c>
      <c r="M11">
        <f t="shared" si="3"/>
        <v>0.85414900420924256</v>
      </c>
      <c r="N11">
        <f t="shared" si="4"/>
        <v>0.65699100572363045</v>
      </c>
    </row>
    <row r="12" spans="1:14" x14ac:dyDescent="0.3">
      <c r="B12">
        <v>192</v>
      </c>
      <c r="C12" s="1">
        <v>2.14</v>
      </c>
      <c r="D12" s="1">
        <v>43.59</v>
      </c>
      <c r="E12" s="1">
        <v>864.03</v>
      </c>
      <c r="F12" s="1">
        <v>1411.36</v>
      </c>
      <c r="G12" s="1">
        <v>518.55999999999995</v>
      </c>
      <c r="H12" s="1">
        <f t="shared" si="0"/>
        <v>2839.68</v>
      </c>
      <c r="I12" s="1">
        <f t="shared" si="1"/>
        <v>1929.9199999999998</v>
      </c>
      <c r="K12">
        <f t="shared" si="5"/>
        <v>3.3867617050221064</v>
      </c>
      <c r="L12">
        <f t="shared" si="2"/>
        <v>2.6392959293649474</v>
      </c>
    </row>
    <row r="13" spans="1:14" x14ac:dyDescent="0.3">
      <c r="B13">
        <v>256</v>
      </c>
      <c r="C13" s="1">
        <v>2.15</v>
      </c>
      <c r="D13" s="1">
        <v>45.18</v>
      </c>
      <c r="E13" s="1">
        <v>843.44</v>
      </c>
      <c r="F13" s="1">
        <v>1239.9100000000001</v>
      </c>
      <c r="G13" s="1">
        <v>571.30999999999995</v>
      </c>
      <c r="H13" s="1">
        <f t="shared" si="0"/>
        <v>2701.99</v>
      </c>
      <c r="I13" s="1">
        <f t="shared" si="1"/>
        <v>1811.22</v>
      </c>
      <c r="K13">
        <f t="shared" si="5"/>
        <v>3.855070126057536</v>
      </c>
      <c r="L13">
        <f>$I$8/I13</f>
        <v>2.8122646613884559</v>
      </c>
      <c r="M13">
        <f>(F11-F13)/(F11/2)</f>
        <v>-1.2189150949519076</v>
      </c>
      <c r="N13">
        <f>(I11-I13)/(I11/2)</f>
        <v>-1.2432984152565134</v>
      </c>
    </row>
    <row r="14" spans="1:14" x14ac:dyDescent="0.3">
      <c r="A14" s="2" t="s">
        <v>108</v>
      </c>
      <c r="H14" s="1"/>
    </row>
    <row r="15" spans="1:14" x14ac:dyDescent="0.3">
      <c r="B15">
        <v>1</v>
      </c>
      <c r="H15" s="1">
        <f t="shared" ref="H15:H22" si="6">G15+F15+E15+D15+C15</f>
        <v>0</v>
      </c>
      <c r="I15" s="1">
        <f t="shared" ref="I15:I22" si="7">G15+F15</f>
        <v>0</v>
      </c>
    </row>
    <row r="16" spans="1:14" x14ac:dyDescent="0.3">
      <c r="B16">
        <v>2</v>
      </c>
      <c r="H16" s="1">
        <f t="shared" si="6"/>
        <v>0</v>
      </c>
      <c r="I16" s="1">
        <f t="shared" si="7"/>
        <v>0</v>
      </c>
    </row>
    <row r="17" spans="1:14" x14ac:dyDescent="0.3">
      <c r="B17">
        <v>4</v>
      </c>
      <c r="H17" s="1">
        <f t="shared" si="6"/>
        <v>0</v>
      </c>
      <c r="I17" s="1">
        <f t="shared" si="7"/>
        <v>0</v>
      </c>
    </row>
    <row r="18" spans="1:14" x14ac:dyDescent="0.3">
      <c r="B18">
        <v>8</v>
      </c>
      <c r="H18" s="1">
        <f t="shared" si="6"/>
        <v>0</v>
      </c>
      <c r="I18" s="1">
        <f t="shared" si="7"/>
        <v>0</v>
      </c>
    </row>
    <row r="19" spans="1:14" x14ac:dyDescent="0.3">
      <c r="A19" s="2">
        <f>B19/$B$19</f>
        <v>1</v>
      </c>
      <c r="B19">
        <v>16</v>
      </c>
      <c r="C19" s="1">
        <v>2.1</v>
      </c>
      <c r="D19" s="1">
        <v>41.2</v>
      </c>
      <c r="E19" s="1">
        <v>833.56</v>
      </c>
      <c r="F19" s="1">
        <v>8853.2999999999993</v>
      </c>
      <c r="G19" s="1">
        <v>320.64</v>
      </c>
      <c r="H19" s="1">
        <f t="shared" si="6"/>
        <v>10050.799999999999</v>
      </c>
      <c r="I19" s="1">
        <f t="shared" si="7"/>
        <v>9173.9399999999987</v>
      </c>
      <c r="K19">
        <f t="shared" ref="K19:K21" si="8">$F$19/F19</f>
        <v>1</v>
      </c>
      <c r="L19">
        <f>$I$19/I19</f>
        <v>1</v>
      </c>
    </row>
    <row r="20" spans="1:14" x14ac:dyDescent="0.3">
      <c r="A20" s="2">
        <f t="shared" ref="A20:A24" si="9">B20/$B$19</f>
        <v>2</v>
      </c>
      <c r="B20">
        <v>32</v>
      </c>
      <c r="C20" s="1">
        <v>2.06</v>
      </c>
      <c r="D20" s="1">
        <v>41.5</v>
      </c>
      <c r="E20" s="1">
        <v>838.26</v>
      </c>
      <c r="F20" s="1">
        <v>4777.79</v>
      </c>
      <c r="G20" s="1">
        <v>290.86</v>
      </c>
      <c r="H20" s="1">
        <f t="shared" si="6"/>
        <v>5950.47</v>
      </c>
      <c r="I20" s="1">
        <f t="shared" si="7"/>
        <v>5068.6499999999996</v>
      </c>
      <c r="K20">
        <f t="shared" si="8"/>
        <v>1.8530115388076913</v>
      </c>
      <c r="L20">
        <f t="shared" ref="L20:L24" si="10">$I$19/I20</f>
        <v>1.8099375573377525</v>
      </c>
    </row>
    <row r="21" spans="1:14" x14ac:dyDescent="0.3">
      <c r="A21" s="2">
        <f t="shared" si="9"/>
        <v>4</v>
      </c>
      <c r="B21">
        <v>64</v>
      </c>
      <c r="C21" s="1">
        <v>2.13</v>
      </c>
      <c r="D21" s="1">
        <v>41.97</v>
      </c>
      <c r="E21" s="1">
        <v>834.83</v>
      </c>
      <c r="F21" s="1">
        <v>2722.04</v>
      </c>
      <c r="G21" s="1">
        <v>325.17</v>
      </c>
      <c r="H21" s="1">
        <f t="shared" si="6"/>
        <v>3926.14</v>
      </c>
      <c r="I21" s="1">
        <f t="shared" si="7"/>
        <v>3047.21</v>
      </c>
      <c r="K21">
        <f t="shared" si="8"/>
        <v>3.2524503681062731</v>
      </c>
      <c r="L21">
        <f t="shared" si="10"/>
        <v>3.0106031418904502</v>
      </c>
    </row>
    <row r="22" spans="1:14" x14ac:dyDescent="0.3">
      <c r="A22" s="2">
        <f t="shared" si="9"/>
        <v>8</v>
      </c>
      <c r="B22">
        <v>128</v>
      </c>
      <c r="C22" s="1">
        <v>2.15</v>
      </c>
      <c r="D22" s="1">
        <v>42.63</v>
      </c>
      <c r="E22" s="1">
        <v>847.9</v>
      </c>
      <c r="F22" s="1">
        <v>1618.91</v>
      </c>
      <c r="G22" s="1">
        <v>358.12</v>
      </c>
      <c r="H22" s="1">
        <f t="shared" si="6"/>
        <v>2869.7100000000005</v>
      </c>
      <c r="I22" s="1">
        <f t="shared" si="7"/>
        <v>1977.0300000000002</v>
      </c>
      <c r="K22">
        <f>$F$19/F22</f>
        <v>5.468679543643562</v>
      </c>
      <c r="L22">
        <f t="shared" si="10"/>
        <v>4.6402634254411907</v>
      </c>
    </row>
    <row r="23" spans="1:14" x14ac:dyDescent="0.3">
      <c r="A23" s="2">
        <f t="shared" si="9"/>
        <v>12</v>
      </c>
      <c r="B23">
        <v>192</v>
      </c>
      <c r="C23" s="1">
        <v>2.16</v>
      </c>
      <c r="D23" s="1">
        <v>45.24</v>
      </c>
      <c r="E23" s="1">
        <v>861.97</v>
      </c>
      <c r="F23" s="1">
        <v>2382.2199999999998</v>
      </c>
      <c r="G23" s="1">
        <v>446.81</v>
      </c>
      <c r="H23" s="1">
        <f t="shared" ref="H23" si="11">G23+F23+E23+D23+C23</f>
        <v>3738.3999999999996</v>
      </c>
      <c r="I23" s="1">
        <f t="shared" ref="I23" si="12">G23+F23</f>
        <v>2829.0299999999997</v>
      </c>
      <c r="K23">
        <f>$F$19/F23</f>
        <v>3.7164073847083814</v>
      </c>
      <c r="L23">
        <f t="shared" si="10"/>
        <v>3.2427863967508297</v>
      </c>
    </row>
    <row r="24" spans="1:14" x14ac:dyDescent="0.3">
      <c r="A24" s="2">
        <f t="shared" si="9"/>
        <v>16</v>
      </c>
      <c r="B24">
        <v>256</v>
      </c>
      <c r="C24" s="1">
        <v>2.0699999999999998</v>
      </c>
      <c r="D24" s="1">
        <v>43.67</v>
      </c>
      <c r="E24" s="1">
        <v>842.22</v>
      </c>
      <c r="F24" s="1">
        <v>1868.12</v>
      </c>
      <c r="G24" s="1">
        <v>668.6</v>
      </c>
      <c r="H24" s="1">
        <f t="shared" ref="H24" si="13">G24+F24+E24+D24+C24</f>
        <v>3424.68</v>
      </c>
      <c r="I24" s="1">
        <f t="shared" ref="I24" si="14">G24+F24</f>
        <v>2536.7199999999998</v>
      </c>
      <c r="K24">
        <f>$F$19/F24</f>
        <v>4.7391495193028286</v>
      </c>
      <c r="L24">
        <f t="shared" si="10"/>
        <v>3.6164574726418364</v>
      </c>
      <c r="M24">
        <f>(F22-F24)/(F22/2)</f>
        <v>-0.30787381633321159</v>
      </c>
      <c r="N24">
        <f>(I22-I24)/(I22/2)</f>
        <v>-0.56619272342857674</v>
      </c>
    </row>
    <row r="25" spans="1:14" x14ac:dyDescent="0.3">
      <c r="H25" s="1"/>
      <c r="I25" s="1"/>
    </row>
    <row r="26" spans="1:14" x14ac:dyDescent="0.3">
      <c r="A26" s="2" t="s">
        <v>109</v>
      </c>
      <c r="H26" s="1"/>
      <c r="I26" s="1"/>
    </row>
    <row r="27" spans="1:14" x14ac:dyDescent="0.3">
      <c r="B27">
        <v>1</v>
      </c>
      <c r="H27" s="1"/>
      <c r="I27" s="1"/>
    </row>
    <row r="28" spans="1:14" x14ac:dyDescent="0.3">
      <c r="B28">
        <v>2</v>
      </c>
      <c r="H28" s="1"/>
      <c r="I28" s="1"/>
    </row>
    <row r="29" spans="1:14" x14ac:dyDescent="0.3">
      <c r="B29">
        <v>4</v>
      </c>
      <c r="H29" s="1"/>
      <c r="I29" s="1"/>
    </row>
    <row r="30" spans="1:14" x14ac:dyDescent="0.3">
      <c r="B30">
        <v>8</v>
      </c>
      <c r="H30" s="1"/>
      <c r="I30" s="1"/>
    </row>
    <row r="31" spans="1:14" x14ac:dyDescent="0.3">
      <c r="B31">
        <v>16</v>
      </c>
      <c r="C31" s="1">
        <v>2.33</v>
      </c>
      <c r="D31" s="1">
        <v>44.76</v>
      </c>
      <c r="E31" s="1">
        <v>1544.42</v>
      </c>
      <c r="F31" s="1">
        <v>49747.92</v>
      </c>
      <c r="G31" s="1">
        <v>365.67</v>
      </c>
      <c r="H31" s="1">
        <f t="shared" ref="H31" si="15">G31+F31+E31+D31+C31</f>
        <v>51705.1</v>
      </c>
      <c r="I31" s="1">
        <f t="shared" ref="I31:I32" si="16">G31+F31</f>
        <v>50113.59</v>
      </c>
      <c r="K31">
        <f>$F$31/F31</f>
        <v>1</v>
      </c>
      <c r="L31">
        <f>$I$31/I31</f>
        <v>1</v>
      </c>
    </row>
    <row r="32" spans="1:14" x14ac:dyDescent="0.3">
      <c r="B32">
        <v>32</v>
      </c>
      <c r="C32" s="1">
        <v>2.19</v>
      </c>
      <c r="D32" s="1">
        <v>45.06</v>
      </c>
      <c r="E32" s="1">
        <v>858</v>
      </c>
      <c r="F32" s="1">
        <v>25283.14</v>
      </c>
      <c r="G32" s="1">
        <v>318.3</v>
      </c>
      <c r="H32" s="1">
        <v>25283.14</v>
      </c>
      <c r="I32" s="1">
        <f t="shared" si="16"/>
        <v>25601.439999999999</v>
      </c>
      <c r="K32">
        <f t="shared" ref="K32:K36" si="17">$F$31/F32</f>
        <v>1.9676321849263976</v>
      </c>
      <c r="L32">
        <f t="shared" ref="L32:L36" si="18">$I$31/I32</f>
        <v>1.9574520026998481</v>
      </c>
    </row>
    <row r="33" spans="2:12" x14ac:dyDescent="0.3">
      <c r="B33">
        <v>64</v>
      </c>
      <c r="C33" s="1">
        <v>2.0499999999999998</v>
      </c>
      <c r="D33" s="1">
        <v>45.86</v>
      </c>
      <c r="E33" s="1">
        <v>853.35</v>
      </c>
      <c r="F33" s="1">
        <v>13457.05</v>
      </c>
      <c r="G33" s="1">
        <v>348.67</v>
      </c>
      <c r="H33" s="1">
        <v>25283.14</v>
      </c>
      <c r="I33" s="1">
        <f t="shared" ref="I33" si="19">G33+F33</f>
        <v>13805.72</v>
      </c>
      <c r="K33">
        <f t="shared" si="17"/>
        <v>3.696792387633248</v>
      </c>
      <c r="L33">
        <f t="shared" si="18"/>
        <v>3.6299149917570399</v>
      </c>
    </row>
    <row r="34" spans="2:12" x14ac:dyDescent="0.3">
      <c r="B34">
        <v>128</v>
      </c>
      <c r="C34" s="1">
        <v>2.1</v>
      </c>
      <c r="D34" s="1">
        <v>46.48</v>
      </c>
      <c r="E34" s="1">
        <v>869.47</v>
      </c>
      <c r="F34" s="1">
        <v>8184.38</v>
      </c>
      <c r="G34" s="1">
        <v>379.92</v>
      </c>
      <c r="H34" s="1">
        <f t="shared" ref="H34:H36" si="20">G34+F34+E34+D34+C34</f>
        <v>9482.3499999999985</v>
      </c>
      <c r="I34" s="1">
        <f t="shared" ref="I34:I36" si="21">G34+F34</f>
        <v>8564.2999999999993</v>
      </c>
      <c r="K34">
        <f t="shared" si="17"/>
        <v>6.078398119344409</v>
      </c>
      <c r="L34">
        <f t="shared" si="18"/>
        <v>5.8514519575446915</v>
      </c>
    </row>
    <row r="35" spans="2:12" x14ac:dyDescent="0.3">
      <c r="B35">
        <v>192</v>
      </c>
      <c r="C35" s="1">
        <v>2.19</v>
      </c>
      <c r="D35" s="1">
        <v>47.52</v>
      </c>
      <c r="E35" s="1">
        <v>873.62</v>
      </c>
      <c r="F35" s="1">
        <v>8190.03</v>
      </c>
      <c r="G35" s="1">
        <v>507.07</v>
      </c>
      <c r="H35" s="1">
        <f t="shared" si="20"/>
        <v>9620.4300000000021</v>
      </c>
      <c r="I35" s="1">
        <f t="shared" si="21"/>
        <v>8697.1</v>
      </c>
      <c r="K35">
        <f t="shared" si="17"/>
        <v>6.0742048563924671</v>
      </c>
      <c r="L35">
        <f t="shared" si="18"/>
        <v>5.7621034597739467</v>
      </c>
    </row>
    <row r="36" spans="2:12" x14ac:dyDescent="0.3">
      <c r="B36">
        <v>256</v>
      </c>
      <c r="C36" s="1">
        <v>2.13</v>
      </c>
      <c r="D36" s="1">
        <v>49.56</v>
      </c>
      <c r="E36" s="1">
        <v>858.8</v>
      </c>
      <c r="F36" s="1">
        <v>6575.2</v>
      </c>
      <c r="G36" s="1">
        <v>519.94000000000005</v>
      </c>
      <c r="H36" s="1">
        <f t="shared" si="20"/>
        <v>8005.63</v>
      </c>
      <c r="I36" s="1">
        <f t="shared" si="21"/>
        <v>7095.1399999999994</v>
      </c>
      <c r="K36">
        <f t="shared" si="17"/>
        <v>7.565993429857647</v>
      </c>
      <c r="L36">
        <f t="shared" si="18"/>
        <v>7.063086845361755</v>
      </c>
    </row>
    <row r="37" spans="2:12" x14ac:dyDescent="0.3">
      <c r="H37" s="1"/>
      <c r="I37" s="1"/>
    </row>
    <row r="38" spans="2:12" x14ac:dyDescent="0.3">
      <c r="H38" s="1"/>
      <c r="I38" s="1"/>
    </row>
    <row r="39" spans="2:12" x14ac:dyDescent="0.3">
      <c r="H39" s="1"/>
      <c r="I39" s="1"/>
    </row>
    <row r="40" spans="2:12" x14ac:dyDescent="0.3">
      <c r="H40" s="1"/>
      <c r="I40" s="1"/>
    </row>
    <row r="41" spans="2:12" x14ac:dyDescent="0.3">
      <c r="H41" s="1"/>
      <c r="I41" s="1"/>
    </row>
    <row r="42" spans="2:12" x14ac:dyDescent="0.3">
      <c r="F42" s="1" t="s">
        <v>110</v>
      </c>
      <c r="G42" s="1">
        <f>6000/763*2400</f>
        <v>18872.87024901704</v>
      </c>
      <c r="H42" s="1">
        <f>6*2848</f>
        <v>17088</v>
      </c>
      <c r="I42" s="1"/>
    </row>
    <row r="43" spans="2:12" x14ac:dyDescent="0.3">
      <c r="H43" s="1"/>
      <c r="I43" s="1"/>
    </row>
    <row r="44" spans="2:12" x14ac:dyDescent="0.3">
      <c r="H44" s="1"/>
      <c r="I44" s="1"/>
    </row>
    <row r="45" spans="2:12" x14ac:dyDescent="0.3">
      <c r="H45" s="1"/>
      <c r="I45" s="1"/>
    </row>
    <row r="46" spans="2:12" x14ac:dyDescent="0.3">
      <c r="C46" s="4"/>
      <c r="D46" s="4"/>
      <c r="E46" s="4"/>
      <c r="F46" s="4"/>
      <c r="G46" s="4"/>
      <c r="H46" s="1"/>
      <c r="I46" s="1"/>
    </row>
    <row r="48" spans="2:12" x14ac:dyDescent="0.3">
      <c r="H48" s="1"/>
      <c r="I48" s="1"/>
    </row>
    <row r="59" spans="2:12" x14ac:dyDescent="0.3">
      <c r="B59">
        <v>1.74</v>
      </c>
    </row>
    <row r="60" spans="2:12" x14ac:dyDescent="0.3">
      <c r="B60">
        <v>9.99</v>
      </c>
    </row>
    <row r="61" spans="2:12" x14ac:dyDescent="0.3">
      <c r="B61">
        <v>4.96</v>
      </c>
    </row>
    <row r="62" spans="2:12" x14ac:dyDescent="0.3">
      <c r="B62">
        <v>26.29</v>
      </c>
      <c r="G62" s="3">
        <v>2.7990000000000001E-7</v>
      </c>
      <c r="I62">
        <f>0.25*0.1/0.0055</f>
        <v>4.5454545454545459</v>
      </c>
      <c r="J62">
        <f>5000/I62</f>
        <v>1100</v>
      </c>
    </row>
    <row r="63" spans="2:12" x14ac:dyDescent="0.3">
      <c r="B63">
        <v>17.75</v>
      </c>
      <c r="G63" s="3">
        <v>9.7020000000000005E-7</v>
      </c>
      <c r="I63">
        <f>I62/2</f>
        <v>2.2727272727272729</v>
      </c>
    </row>
    <row r="64" spans="2:12" x14ac:dyDescent="0.3">
      <c r="B64">
        <f>SUM(B59:B63)</f>
        <v>60.730000000000004</v>
      </c>
      <c r="G64" s="3">
        <f>G63+G62</f>
        <v>1.2501000000000001E-6</v>
      </c>
      <c r="I64">
        <f>I63/2</f>
        <v>1.1363636363636365</v>
      </c>
      <c r="K64">
        <f>0.0055*2.1/(0.01*0.25*0.25)</f>
        <v>18.48</v>
      </c>
      <c r="L64">
        <f>0.0055/4</f>
        <v>1.3749999999999999E-3</v>
      </c>
    </row>
    <row r="65" spans="1:12" x14ac:dyDescent="0.3">
      <c r="B65">
        <v>67.25</v>
      </c>
      <c r="C65" s="1">
        <v>0.02</v>
      </c>
      <c r="D65" s="1">
        <f>C65*C65/0.01/0.022</f>
        <v>1.8181818181818183</v>
      </c>
      <c r="L65">
        <f>L64/4</f>
        <v>3.4374999999999998E-4</v>
      </c>
    </row>
    <row r="66" spans="1:12" x14ac:dyDescent="0.3">
      <c r="B66">
        <f>B65/10.3</f>
        <v>6.5291262135922326</v>
      </c>
      <c r="D66" s="1">
        <f>0.0004/0.01/0.022</f>
        <v>1.8181818181818183</v>
      </c>
      <c r="I66">
        <f>0.1/0.001/2</f>
        <v>50</v>
      </c>
      <c r="J66">
        <f>LOG10(I66)</f>
        <v>1.6989700043360187</v>
      </c>
    </row>
    <row r="70" spans="1:12" x14ac:dyDescent="0.3">
      <c r="A70"/>
      <c r="C70"/>
      <c r="D70" s="1">
        <f>20.95/0.005</f>
        <v>4190</v>
      </c>
      <c r="F70" s="1" t="s">
        <v>103</v>
      </c>
      <c r="G70" s="1">
        <f>2.095/0.005</f>
        <v>419.00000000000006</v>
      </c>
    </row>
    <row r="71" spans="1:12" x14ac:dyDescent="0.3">
      <c r="A71"/>
      <c r="C71"/>
      <c r="F71" s="1">
        <f>2.098/0.002</f>
        <v>1049</v>
      </c>
      <c r="G71" s="1">
        <f>2.09/0.01</f>
        <v>208.99999999999997</v>
      </c>
    </row>
    <row r="92" spans="1:7" x14ac:dyDescent="0.3">
      <c r="A92"/>
      <c r="C92"/>
      <c r="D92"/>
      <c r="E92"/>
      <c r="F92"/>
      <c r="G92"/>
    </row>
    <row r="93" spans="1:7" x14ac:dyDescent="0.3">
      <c r="A93"/>
      <c r="C93"/>
      <c r="D93"/>
      <c r="E93"/>
      <c r="F93"/>
      <c r="G93"/>
    </row>
    <row r="94" spans="1:7" x14ac:dyDescent="0.3">
      <c r="A94"/>
      <c r="C94"/>
      <c r="D94"/>
      <c r="E94"/>
      <c r="F94"/>
      <c r="G94"/>
    </row>
    <row r="95" spans="1:7" x14ac:dyDescent="0.3">
      <c r="A95"/>
      <c r="C95"/>
      <c r="D95"/>
      <c r="E95"/>
      <c r="F95"/>
      <c r="G95"/>
    </row>
    <row r="96" spans="1:7" x14ac:dyDescent="0.3">
      <c r="A96"/>
      <c r="C96"/>
      <c r="D96"/>
      <c r="E96"/>
      <c r="F96"/>
      <c r="G96"/>
    </row>
    <row r="97" spans="1:7" x14ac:dyDescent="0.3">
      <c r="A97"/>
      <c r="C97"/>
      <c r="D97"/>
      <c r="E97"/>
      <c r="F97"/>
      <c r="G97"/>
    </row>
    <row r="98" spans="1:7" x14ac:dyDescent="0.3">
      <c r="A98"/>
      <c r="C98"/>
      <c r="D98"/>
      <c r="E98"/>
      <c r="F98"/>
      <c r="G98"/>
    </row>
    <row r="99" spans="1:7" x14ac:dyDescent="0.3">
      <c r="A99"/>
      <c r="C99"/>
      <c r="D99"/>
      <c r="E99"/>
      <c r="F99"/>
      <c r="G99"/>
    </row>
    <row r="100" spans="1:7" x14ac:dyDescent="0.3">
      <c r="A100"/>
      <c r="C100"/>
      <c r="D100"/>
      <c r="E100"/>
      <c r="F100"/>
      <c r="G10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" sqref="G4"/>
    </sheetView>
  </sheetViews>
  <sheetFormatPr baseColWidth="10" defaultColWidth="8.88671875" defaultRowHeight="14.4" x14ac:dyDescent="0.3"/>
  <cols>
    <col min="1" max="1" width="12.109375" style="2" customWidth="1"/>
    <col min="2" max="2" width="7.6640625" customWidth="1"/>
    <col min="3" max="3" width="13" style="1" customWidth="1"/>
    <col min="4" max="4" width="10.109375" style="1" customWidth="1"/>
    <col min="5" max="5" width="15.33203125" style="1" customWidth="1"/>
    <col min="6" max="7" width="12.88671875" style="1" customWidth="1"/>
    <col min="8" max="8" width="14" style="1" customWidth="1"/>
    <col min="9" max="9" width="9.6640625" bestFit="1" customWidth="1"/>
    <col min="10" max="10" width="11" customWidth="1"/>
    <col min="11" max="11" width="11.44140625" customWidth="1"/>
    <col min="12" max="12" width="12.5546875" style="1" customWidth="1"/>
    <col min="13" max="13" width="14" style="1" customWidth="1"/>
    <col min="14" max="14" width="4.44140625" customWidth="1"/>
  </cols>
  <sheetData>
    <row r="1" spans="1:13" x14ac:dyDescent="0.3">
      <c r="A1" s="2" t="s">
        <v>106</v>
      </c>
      <c r="B1" t="s">
        <v>123</v>
      </c>
    </row>
    <row r="2" spans="1:13" x14ac:dyDescent="0.3">
      <c r="B2" t="s">
        <v>76</v>
      </c>
      <c r="C2" s="1" t="s">
        <v>71</v>
      </c>
      <c r="D2" s="1" t="s">
        <v>72</v>
      </c>
      <c r="E2" s="1" t="s">
        <v>73</v>
      </c>
      <c r="F2" s="1" t="s">
        <v>74</v>
      </c>
      <c r="G2" s="1" t="s">
        <v>121</v>
      </c>
      <c r="H2" s="1" t="s">
        <v>75</v>
      </c>
      <c r="I2" s="1" t="s">
        <v>77</v>
      </c>
      <c r="J2" s="1" t="s">
        <v>78</v>
      </c>
      <c r="K2" s="1" t="s">
        <v>122</v>
      </c>
      <c r="L2" s="1" t="s">
        <v>84</v>
      </c>
      <c r="M2" s="1" t="s">
        <v>85</v>
      </c>
    </row>
    <row r="3" spans="1:13" x14ac:dyDescent="0.3">
      <c r="A3" s="2" t="s">
        <v>107</v>
      </c>
    </row>
    <row r="4" spans="1:13" x14ac:dyDescent="0.3">
      <c r="B4">
        <v>16</v>
      </c>
      <c r="C4" s="1">
        <v>2.36</v>
      </c>
      <c r="D4" s="1">
        <v>41.81</v>
      </c>
      <c r="E4" s="1">
        <v>838.59</v>
      </c>
      <c r="F4" s="1">
        <v>3351.82</v>
      </c>
      <c r="G4" s="1">
        <f>F4/8.3</f>
        <v>403.83373493975904</v>
      </c>
      <c r="H4" s="1">
        <v>292.51</v>
      </c>
      <c r="I4" s="1">
        <f>H4+F4+E4+D4+C4</f>
        <v>4527.09</v>
      </c>
      <c r="J4" s="1">
        <f>H4+F4</f>
        <v>3644.33</v>
      </c>
      <c r="K4" s="1">
        <f>J4/8.3</f>
        <v>439.07590361445779</v>
      </c>
      <c r="L4" s="1">
        <v>1</v>
      </c>
      <c r="M4" s="1">
        <f t="shared" ref="M4:M7" si="0">$J$4/J4</f>
        <v>1</v>
      </c>
    </row>
    <row r="5" spans="1:13" x14ac:dyDescent="0.3">
      <c r="B5">
        <v>32</v>
      </c>
      <c r="C5" s="1">
        <v>2.39</v>
      </c>
      <c r="D5" s="1">
        <v>42.01</v>
      </c>
      <c r="E5" s="1">
        <v>836.1</v>
      </c>
      <c r="F5" s="1">
        <v>1766.82</v>
      </c>
      <c r="G5" s="1">
        <f t="shared" ref="G5:G8" si="1">F5/8.3</f>
        <v>212.86987951807225</v>
      </c>
      <c r="H5" s="1">
        <v>286.39999999999998</v>
      </c>
      <c r="I5" s="1">
        <f>H5+F5+E5+D5+C5</f>
        <v>2933.72</v>
      </c>
      <c r="J5" s="1">
        <f>H5+F5</f>
        <v>2053.2199999999998</v>
      </c>
      <c r="K5" s="1">
        <f t="shared" ref="K5:K8" si="2">J5/8.3</f>
        <v>247.3759036144578</v>
      </c>
      <c r="L5" s="1">
        <f>$F$4/F5</f>
        <v>1.8970919505099559</v>
      </c>
      <c r="M5" s="1">
        <f t="shared" si="0"/>
        <v>1.7749340060977392</v>
      </c>
    </row>
    <row r="6" spans="1:13" x14ac:dyDescent="0.3">
      <c r="B6">
        <v>64</v>
      </c>
      <c r="C6" s="1">
        <v>2.36</v>
      </c>
      <c r="D6" s="1">
        <v>43.33</v>
      </c>
      <c r="E6" s="1">
        <v>834.59</v>
      </c>
      <c r="F6" s="1">
        <v>977.14</v>
      </c>
      <c r="G6" s="1">
        <f t="shared" si="1"/>
        <v>117.72771084337349</v>
      </c>
      <c r="H6" s="1">
        <v>321.05</v>
      </c>
      <c r="I6" s="1">
        <f>H6+F6+E6+D6+C6</f>
        <v>2178.4700000000003</v>
      </c>
      <c r="J6" s="1">
        <f>H6+F6</f>
        <v>1298.19</v>
      </c>
      <c r="K6" s="1">
        <f t="shared" si="2"/>
        <v>156.40843373493976</v>
      </c>
      <c r="L6" s="1">
        <f t="shared" ref="L6:L8" si="3">$F$4/F6</f>
        <v>3.4302351761262462</v>
      </c>
      <c r="M6" s="1">
        <f t="shared" si="0"/>
        <v>2.8072393101163926</v>
      </c>
    </row>
    <row r="7" spans="1:13" x14ac:dyDescent="0.3">
      <c r="B7">
        <v>128</v>
      </c>
      <c r="C7" s="1">
        <v>2.19</v>
      </c>
      <c r="D7" s="1">
        <v>44.03</v>
      </c>
      <c r="E7" s="1">
        <v>838.87</v>
      </c>
      <c r="F7" s="1">
        <v>682.37</v>
      </c>
      <c r="G7" s="1">
        <f t="shared" si="1"/>
        <v>82.213253012048185</v>
      </c>
      <c r="H7" s="1">
        <v>348.67</v>
      </c>
      <c r="I7" s="1">
        <f>H7+F7+E7+D7+C7</f>
        <v>1916.1299999999999</v>
      </c>
      <c r="J7" s="1">
        <f>H7+F7</f>
        <v>1031.04</v>
      </c>
      <c r="K7" s="1">
        <f t="shared" si="2"/>
        <v>124.22168674698794</v>
      </c>
      <c r="L7" s="1">
        <f t="shared" si="3"/>
        <v>4.9120271993200175</v>
      </c>
      <c r="M7" s="1">
        <f t="shared" si="0"/>
        <v>3.5346155338299194</v>
      </c>
    </row>
    <row r="8" spans="1:13" x14ac:dyDescent="0.3">
      <c r="B8">
        <v>256</v>
      </c>
      <c r="C8" s="1">
        <v>2.34</v>
      </c>
      <c r="D8" s="1">
        <v>44.09</v>
      </c>
      <c r="E8" s="1">
        <v>840.83</v>
      </c>
      <c r="F8" s="1">
        <v>540.76</v>
      </c>
      <c r="G8" s="1">
        <f t="shared" si="1"/>
        <v>65.151807228915658</v>
      </c>
      <c r="H8" s="1">
        <v>430.05</v>
      </c>
      <c r="I8" s="1">
        <f>H8+F8+E8+D8+C8</f>
        <v>1858.0699999999997</v>
      </c>
      <c r="J8" s="1">
        <f>H8+F8</f>
        <v>970.81</v>
      </c>
      <c r="K8" s="1">
        <f t="shared" si="2"/>
        <v>116.96506024096384</v>
      </c>
      <c r="L8" s="1">
        <f t="shared" si="3"/>
        <v>6.1983504697092986</v>
      </c>
      <c r="M8" s="1">
        <f>$J$4/J8</f>
        <v>3.7539065316591302</v>
      </c>
    </row>
    <row r="9" spans="1:13" x14ac:dyDescent="0.3">
      <c r="A9" s="2" t="s">
        <v>108</v>
      </c>
      <c r="I9" s="1"/>
      <c r="K9" s="1"/>
    </row>
    <row r="10" spans="1:13" x14ac:dyDescent="0.3">
      <c r="B10">
        <v>16</v>
      </c>
      <c r="C10" s="1">
        <v>2.2799999999999998</v>
      </c>
      <c r="D10" s="1">
        <v>41.86</v>
      </c>
      <c r="E10" s="1">
        <v>838.79</v>
      </c>
      <c r="F10" s="1">
        <v>6301.78</v>
      </c>
      <c r="G10" s="1">
        <f>F10/8.3</f>
        <v>759.25060240963842</v>
      </c>
      <c r="H10" s="1">
        <v>301.22000000000003</v>
      </c>
      <c r="I10" s="1">
        <f>H10+F10+E10+D10+C10</f>
        <v>7485.9299999999994</v>
      </c>
      <c r="J10" s="1">
        <f>H10+F10</f>
        <v>6603</v>
      </c>
      <c r="K10" s="1">
        <f>J10/8.3</f>
        <v>795.5421686746987</v>
      </c>
      <c r="L10" s="1">
        <f t="shared" ref="L10:L12" si="4">$F$10/F10</f>
        <v>1</v>
      </c>
      <c r="M10" s="1">
        <f>$J$10/J10</f>
        <v>1</v>
      </c>
    </row>
    <row r="11" spans="1:13" x14ac:dyDescent="0.3">
      <c r="B11">
        <v>32</v>
      </c>
      <c r="C11" s="1">
        <v>2.2200000000000002</v>
      </c>
      <c r="D11" s="1">
        <v>41.83</v>
      </c>
      <c r="E11" s="1">
        <v>834.39</v>
      </c>
      <c r="F11" s="1">
        <v>3601.74</v>
      </c>
      <c r="G11" s="1">
        <f t="shared" ref="G11:G14" si="5">F11/8.3</f>
        <v>433.94457831325298</v>
      </c>
      <c r="H11" s="1">
        <v>290.86</v>
      </c>
      <c r="I11" s="1">
        <f>H11+F11+E11+D11+C11</f>
        <v>4771.04</v>
      </c>
      <c r="J11" s="1">
        <f>H11+F11</f>
        <v>3892.6</v>
      </c>
      <c r="K11" s="1">
        <f t="shared" ref="K11:K14" si="6">J11/8.3</f>
        <v>468.98795180722885</v>
      </c>
      <c r="L11" s="1">
        <f t="shared" si="4"/>
        <v>1.7496487808670254</v>
      </c>
      <c r="M11" s="1">
        <f>$J$10/J11</f>
        <v>1.6962955351179161</v>
      </c>
    </row>
    <row r="12" spans="1:13" x14ac:dyDescent="0.3">
      <c r="B12">
        <v>64</v>
      </c>
      <c r="C12" s="1">
        <v>2.2999999999999998</v>
      </c>
      <c r="D12" s="1">
        <v>42.84</v>
      </c>
      <c r="E12" s="1">
        <v>843.74</v>
      </c>
      <c r="F12" s="1">
        <v>2166.62</v>
      </c>
      <c r="G12" s="1">
        <f t="shared" si="5"/>
        <v>261.03855421686745</v>
      </c>
      <c r="H12" s="1">
        <v>330.75</v>
      </c>
      <c r="I12" s="1">
        <f>H12+F12+E12+D12+C12</f>
        <v>3386.25</v>
      </c>
      <c r="J12" s="1">
        <f>H12+F12</f>
        <v>2497.37</v>
      </c>
      <c r="K12" s="1">
        <f t="shared" si="6"/>
        <v>300.88795180722889</v>
      </c>
      <c r="L12" s="1">
        <f t="shared" si="4"/>
        <v>2.9085764924167599</v>
      </c>
      <c r="M12" s="1">
        <f>$J$10/J12</f>
        <v>2.643981468504867</v>
      </c>
    </row>
    <row r="13" spans="1:13" x14ac:dyDescent="0.3">
      <c r="B13">
        <v>128</v>
      </c>
      <c r="C13" s="1">
        <v>2.2000000000000002</v>
      </c>
      <c r="D13" s="1">
        <v>43.35</v>
      </c>
      <c r="E13" s="1">
        <v>839.45</v>
      </c>
      <c r="F13" s="1">
        <v>1528.57</v>
      </c>
      <c r="G13" s="1">
        <f t="shared" si="5"/>
        <v>184.16506024096384</v>
      </c>
      <c r="H13" s="1">
        <v>357.46</v>
      </c>
      <c r="I13" s="1">
        <f>H13+F13+E13+D13+C13</f>
        <v>2771.0299999999997</v>
      </c>
      <c r="J13" s="1">
        <f>H13+F13</f>
        <v>1886.03</v>
      </c>
      <c r="K13" s="1">
        <f t="shared" si="6"/>
        <v>227.2325301204819</v>
      </c>
      <c r="L13" s="1">
        <f>$F$10/F13</f>
        <v>4.1226636660408094</v>
      </c>
      <c r="M13" s="1">
        <f>$J$10/J13</f>
        <v>3.5010047560219086</v>
      </c>
    </row>
    <row r="14" spans="1:13" x14ac:dyDescent="0.3">
      <c r="B14">
        <v>256</v>
      </c>
      <c r="C14" s="1">
        <v>2.36</v>
      </c>
      <c r="D14" s="1">
        <v>43.76</v>
      </c>
      <c r="E14" s="1">
        <v>841.3</v>
      </c>
      <c r="F14" s="1">
        <v>1108.78</v>
      </c>
      <c r="G14" s="1">
        <f t="shared" si="5"/>
        <v>133.5879518072289</v>
      </c>
      <c r="H14" s="1">
        <v>436.42</v>
      </c>
      <c r="I14" s="1">
        <f>H14+F14+E14+D14+C14</f>
        <v>2432.6200000000003</v>
      </c>
      <c r="J14" s="1">
        <f>H14+F14</f>
        <v>1545.2</v>
      </c>
      <c r="K14" s="1">
        <f t="shared" si="6"/>
        <v>186.16867469879517</v>
      </c>
      <c r="L14" s="1">
        <f>$F$10/F14</f>
        <v>5.6835260376269412</v>
      </c>
      <c r="M14" s="1">
        <f>$J$10/J14</f>
        <v>4.273233238415739</v>
      </c>
    </row>
    <row r="15" spans="1:13" x14ac:dyDescent="0.3">
      <c r="A15" s="2" t="s">
        <v>109</v>
      </c>
      <c r="I15" s="1"/>
      <c r="J15" s="1"/>
      <c r="K15" s="1"/>
    </row>
    <row r="16" spans="1:13" x14ac:dyDescent="0.3">
      <c r="A16" s="2">
        <v>1</v>
      </c>
      <c r="B16">
        <v>16</v>
      </c>
      <c r="C16" s="1">
        <v>2.4300000000000002</v>
      </c>
      <c r="D16" s="1">
        <v>45.79</v>
      </c>
      <c r="E16" s="1">
        <v>997.28</v>
      </c>
      <c r="F16" s="1">
        <v>35430.080000000002</v>
      </c>
      <c r="G16" s="1">
        <f>F16/8.3</f>
        <v>4268.6843373493975</v>
      </c>
      <c r="H16" s="1">
        <v>341.95</v>
      </c>
      <c r="I16" s="1">
        <f t="shared" ref="I16:I20" si="7">H16+F16+E16+D16+C16</f>
        <v>36817.53</v>
      </c>
      <c r="J16" s="1">
        <f t="shared" ref="J16:J20" si="8">H16+F16</f>
        <v>35772.03</v>
      </c>
      <c r="K16" s="1">
        <f>J16/8.3</f>
        <v>4309.8831325301198</v>
      </c>
      <c r="L16" s="1">
        <f>$F$16/F16</f>
        <v>1</v>
      </c>
      <c r="M16" s="1">
        <f>$J$16/J16</f>
        <v>1</v>
      </c>
    </row>
    <row r="17" spans="1:13" x14ac:dyDescent="0.3">
      <c r="A17" s="2">
        <v>2</v>
      </c>
      <c r="B17">
        <v>32</v>
      </c>
      <c r="C17" s="1">
        <v>2.25</v>
      </c>
      <c r="D17" s="1">
        <v>45.55</v>
      </c>
      <c r="E17" s="1">
        <v>847.73</v>
      </c>
      <c r="F17" s="1">
        <v>20262.61</v>
      </c>
      <c r="G17" s="1">
        <f t="shared" ref="G17:G20" si="9">F17/8.3</f>
        <v>2441.2783132530121</v>
      </c>
      <c r="H17" s="1">
        <v>321.07</v>
      </c>
      <c r="I17" s="1">
        <f t="shared" si="7"/>
        <v>21479.21</v>
      </c>
      <c r="J17" s="1">
        <f t="shared" si="8"/>
        <v>20583.68</v>
      </c>
      <c r="K17" s="1">
        <f t="shared" ref="K17:K20" si="10">J17/8.3</f>
        <v>2479.9614457831321</v>
      </c>
      <c r="L17" s="1">
        <f>$F$16/F17</f>
        <v>1.7485447333783752</v>
      </c>
      <c r="M17" s="1">
        <f>$J$16/J17</f>
        <v>1.7378831190535413</v>
      </c>
    </row>
    <row r="18" spans="1:13" x14ac:dyDescent="0.3">
      <c r="A18" s="2">
        <v>4</v>
      </c>
      <c r="B18">
        <v>64</v>
      </c>
      <c r="C18" s="1">
        <v>2.2599999999999998</v>
      </c>
      <c r="D18" s="1">
        <v>46.69</v>
      </c>
      <c r="E18" s="1">
        <v>859.77</v>
      </c>
      <c r="F18" s="1">
        <v>11878.96</v>
      </c>
      <c r="G18" s="1">
        <f t="shared" si="9"/>
        <v>1431.1999999999998</v>
      </c>
      <c r="H18" s="1">
        <v>351.91</v>
      </c>
      <c r="I18" s="1">
        <f t="shared" si="7"/>
        <v>13139.59</v>
      </c>
      <c r="J18" s="1">
        <f t="shared" si="8"/>
        <v>12230.869999999999</v>
      </c>
      <c r="K18" s="1">
        <f t="shared" si="10"/>
        <v>1473.5987951807226</v>
      </c>
      <c r="L18" s="1">
        <f>$F$16/F18</f>
        <v>2.9825910685783943</v>
      </c>
      <c r="M18" s="1">
        <f>$J$16/J18</f>
        <v>2.9247330729539276</v>
      </c>
    </row>
    <row r="19" spans="1:13" x14ac:dyDescent="0.3">
      <c r="A19" s="2">
        <v>8</v>
      </c>
      <c r="B19">
        <v>128</v>
      </c>
      <c r="C19" s="1">
        <v>2.31</v>
      </c>
      <c r="D19" s="1">
        <v>48.04</v>
      </c>
      <c r="E19" s="1">
        <v>854.03</v>
      </c>
      <c r="F19" s="1">
        <v>7648.94</v>
      </c>
      <c r="G19" s="1">
        <f t="shared" si="9"/>
        <v>921.55903614457816</v>
      </c>
      <c r="H19" s="1">
        <v>381.99</v>
      </c>
      <c r="I19" s="1">
        <f t="shared" si="7"/>
        <v>8935.31</v>
      </c>
      <c r="J19" s="1">
        <f t="shared" si="8"/>
        <v>8030.9299999999994</v>
      </c>
      <c r="K19" s="1">
        <f t="shared" si="10"/>
        <v>967.58192771084316</v>
      </c>
      <c r="L19" s="1">
        <f>$F$16/F19</f>
        <v>4.6320248295842301</v>
      </c>
      <c r="M19" s="1">
        <f>$J$16/J19</f>
        <v>4.4542823807454432</v>
      </c>
    </row>
    <row r="20" spans="1:13" x14ac:dyDescent="0.3">
      <c r="A20" s="2">
        <v>16</v>
      </c>
      <c r="B20">
        <v>256</v>
      </c>
      <c r="C20" s="1">
        <v>2.34</v>
      </c>
      <c r="D20" s="1">
        <v>48.76</v>
      </c>
      <c r="E20" s="1">
        <v>857.25</v>
      </c>
      <c r="F20" s="1">
        <v>5077.22</v>
      </c>
      <c r="G20" s="1">
        <f t="shared" si="9"/>
        <v>611.7132530120482</v>
      </c>
      <c r="H20" s="1">
        <v>461.23</v>
      </c>
      <c r="I20" s="1">
        <f t="shared" si="7"/>
        <v>6446.8000000000011</v>
      </c>
      <c r="J20" s="1">
        <f t="shared" si="8"/>
        <v>5538.4500000000007</v>
      </c>
      <c r="K20" s="1">
        <f t="shared" si="10"/>
        <v>667.2831325301205</v>
      </c>
      <c r="L20" s="1">
        <f>$F$16/F20</f>
        <v>6.9782439996691101</v>
      </c>
      <c r="M20" s="1">
        <f>$J$16/J20</f>
        <v>6.4588522059420947</v>
      </c>
    </row>
    <row r="21" spans="1:13" x14ac:dyDescent="0.3">
      <c r="I21" s="1"/>
      <c r="J21" s="1"/>
      <c r="K21" s="1"/>
    </row>
    <row r="22" spans="1:13" x14ac:dyDescent="0.3">
      <c r="I22" s="1"/>
      <c r="J22" s="1"/>
    </row>
    <row r="23" spans="1:13" x14ac:dyDescent="0.3">
      <c r="I23" s="1"/>
      <c r="J23" s="1"/>
    </row>
    <row r="24" spans="1:13" x14ac:dyDescent="0.3">
      <c r="C24" s="1" t="s">
        <v>124</v>
      </c>
      <c r="G24" s="1">
        <f>F4*0.5866</f>
        <v>1966.1776120000002</v>
      </c>
      <c r="I24" s="1"/>
      <c r="J24" s="1"/>
    </row>
    <row r="25" spans="1:13" x14ac:dyDescent="0.3">
      <c r="I25" s="1"/>
      <c r="J25" s="1"/>
      <c r="K25">
        <v>23.51</v>
      </c>
      <c r="L25" s="1">
        <v>1</v>
      </c>
    </row>
    <row r="26" spans="1:13" x14ac:dyDescent="0.3">
      <c r="C26" s="1" t="s">
        <v>125</v>
      </c>
      <c r="G26" s="1">
        <f>F42*0.38</f>
        <v>2077.8628000000003</v>
      </c>
      <c r="I26" s="1"/>
      <c r="J26" s="1">
        <f>J38/16</f>
        <v>4932.915</v>
      </c>
      <c r="K26">
        <f>K25/L26</f>
        <v>0.97958333333333336</v>
      </c>
      <c r="L26" s="1">
        <v>24</v>
      </c>
    </row>
    <row r="27" spans="1:13" x14ac:dyDescent="0.3">
      <c r="A27" s="2" t="s">
        <v>118</v>
      </c>
      <c r="I27" s="1"/>
      <c r="J27" s="1"/>
    </row>
    <row r="28" spans="1:13" x14ac:dyDescent="0.3">
      <c r="A28" s="2" t="s">
        <v>119</v>
      </c>
      <c r="B28">
        <v>1</v>
      </c>
      <c r="C28" s="1">
        <v>4.75</v>
      </c>
      <c r="D28" s="1">
        <v>11667.63</v>
      </c>
      <c r="E28" s="1">
        <v>73.03</v>
      </c>
      <c r="F28" s="1">
        <v>82593.19</v>
      </c>
      <c r="G28" s="1">
        <f>F28/3600</f>
        <v>22.942552777777777</v>
      </c>
      <c r="H28" s="1">
        <v>2034.63</v>
      </c>
      <c r="I28" s="1">
        <f t="shared" ref="I28:I34" si="11">H28+F28+E28+D28+C28</f>
        <v>96373.23000000001</v>
      </c>
      <c r="J28" s="1">
        <f t="shared" ref="J28:J31" si="12">H28+F28</f>
        <v>84627.82</v>
      </c>
      <c r="K28" s="1">
        <f>J28/3600</f>
        <v>23.507727777777781</v>
      </c>
      <c r="L28" s="1">
        <f>$F$28/F28</f>
        <v>1</v>
      </c>
      <c r="M28" s="1">
        <f>$J$28/J28</f>
        <v>1</v>
      </c>
    </row>
    <row r="29" spans="1:13" x14ac:dyDescent="0.3">
      <c r="B29" s="2">
        <v>2</v>
      </c>
      <c r="C29" s="1">
        <v>8.5</v>
      </c>
      <c r="D29" s="1">
        <v>7985.13</v>
      </c>
      <c r="E29" s="1">
        <v>87.87</v>
      </c>
      <c r="F29" s="1">
        <v>43211.09</v>
      </c>
      <c r="G29" s="1">
        <f t="shared" ref="G29:G34" si="13">F29/3600</f>
        <v>12.003080555555554</v>
      </c>
      <c r="H29" s="1">
        <v>1954.63</v>
      </c>
      <c r="I29" s="1">
        <f t="shared" si="11"/>
        <v>53247.219999999994</v>
      </c>
      <c r="J29" s="1">
        <f t="shared" si="12"/>
        <v>45165.719999999994</v>
      </c>
      <c r="K29" s="1">
        <f t="shared" ref="K29:K34" si="14">J29/3600</f>
        <v>12.546033333333332</v>
      </c>
      <c r="L29" s="1">
        <f t="shared" ref="L29:L34" si="15">$F$28/F29</f>
        <v>1.9113887198864923</v>
      </c>
      <c r="M29" s="1">
        <f t="shared" ref="M29:M34" si="16">$J$28/J29</f>
        <v>1.8737179436085603</v>
      </c>
    </row>
    <row r="30" spans="1:13" x14ac:dyDescent="0.3">
      <c r="B30" s="2">
        <v>4</v>
      </c>
      <c r="C30" s="1">
        <v>6.69</v>
      </c>
      <c r="D30" s="1">
        <v>4885.22</v>
      </c>
      <c r="E30" s="1">
        <v>81.31</v>
      </c>
      <c r="F30" s="1">
        <v>21946.720000000001</v>
      </c>
      <c r="G30" s="1">
        <f t="shared" si="13"/>
        <v>6.0963111111111115</v>
      </c>
      <c r="H30" s="1">
        <v>1781.91</v>
      </c>
      <c r="I30" s="1">
        <f t="shared" si="11"/>
        <v>28701.850000000002</v>
      </c>
      <c r="J30" s="1">
        <f t="shared" si="12"/>
        <v>23728.63</v>
      </c>
      <c r="K30" s="1">
        <f t="shared" si="14"/>
        <v>6.5912861111111116</v>
      </c>
      <c r="L30" s="1">
        <f t="shared" si="15"/>
        <v>3.763350058687585</v>
      </c>
      <c r="M30" s="1">
        <f t="shared" si="16"/>
        <v>3.5664857178859464</v>
      </c>
    </row>
    <row r="31" spans="1:13" x14ac:dyDescent="0.3">
      <c r="B31" s="2">
        <v>8</v>
      </c>
      <c r="C31" s="1">
        <v>6.38</v>
      </c>
      <c r="D31" s="1">
        <v>3466.56</v>
      </c>
      <c r="E31" s="1">
        <v>87.09</v>
      </c>
      <c r="F31" s="1">
        <v>11400</v>
      </c>
      <c r="G31" s="1">
        <f t="shared" si="13"/>
        <v>3.1666666666666665</v>
      </c>
      <c r="H31" s="1">
        <v>1837.03</v>
      </c>
      <c r="I31" s="1">
        <f t="shared" si="11"/>
        <v>16797.060000000001</v>
      </c>
      <c r="J31" s="1">
        <f t="shared" si="12"/>
        <v>13237.03</v>
      </c>
      <c r="K31" s="1">
        <f t="shared" si="14"/>
        <v>3.6769527777777782</v>
      </c>
      <c r="L31" s="1">
        <f t="shared" si="15"/>
        <v>7.2450166666666664</v>
      </c>
      <c r="M31" s="1">
        <f t="shared" si="16"/>
        <v>6.3932634435368056</v>
      </c>
    </row>
    <row r="32" spans="1:13" x14ac:dyDescent="0.3">
      <c r="B32" s="2">
        <v>16</v>
      </c>
      <c r="C32" s="1">
        <v>7.75</v>
      </c>
      <c r="D32" s="1">
        <v>3512.84</v>
      </c>
      <c r="E32" s="1">
        <v>86.25</v>
      </c>
      <c r="F32" s="1">
        <v>5899.66</v>
      </c>
      <c r="G32" s="1">
        <f t="shared" si="13"/>
        <v>1.6387944444444444</v>
      </c>
      <c r="H32" s="1">
        <v>2260.44</v>
      </c>
      <c r="I32" s="1">
        <f t="shared" si="11"/>
        <v>11766.94</v>
      </c>
      <c r="J32" s="1">
        <f t="shared" ref="J32:J34" si="17">H32+F32</f>
        <v>8160.1</v>
      </c>
      <c r="K32" s="1">
        <f t="shared" si="14"/>
        <v>2.2666944444444446</v>
      </c>
      <c r="L32" s="1">
        <f t="shared" si="15"/>
        <v>13.999652522348747</v>
      </c>
      <c r="M32" s="1">
        <f t="shared" si="16"/>
        <v>10.370929277827479</v>
      </c>
    </row>
    <row r="33" spans="1:13" x14ac:dyDescent="0.3">
      <c r="B33" s="2">
        <v>20</v>
      </c>
      <c r="C33" s="1">
        <v>5</v>
      </c>
      <c r="D33" s="1">
        <v>3401.38</v>
      </c>
      <c r="E33" s="1">
        <v>82.69</v>
      </c>
      <c r="F33" s="1">
        <v>4832</v>
      </c>
      <c r="G33" s="1">
        <f t="shared" si="13"/>
        <v>1.3422222222222222</v>
      </c>
      <c r="H33" s="1">
        <v>1564.44</v>
      </c>
      <c r="I33" s="1">
        <f t="shared" si="11"/>
        <v>9885.51</v>
      </c>
      <c r="J33" s="1">
        <f t="shared" si="17"/>
        <v>6396.4400000000005</v>
      </c>
      <c r="K33" s="1">
        <f t="shared" si="14"/>
        <v>1.776788888888889</v>
      </c>
      <c r="L33" s="1">
        <f t="shared" si="15"/>
        <v>17.092961506622515</v>
      </c>
      <c r="M33" s="1">
        <f t="shared" si="16"/>
        <v>13.230456316325956</v>
      </c>
    </row>
    <row r="34" spans="1:13" x14ac:dyDescent="0.3">
      <c r="B34" s="2">
        <v>24</v>
      </c>
      <c r="C34" s="1">
        <v>6.25</v>
      </c>
      <c r="D34" s="1">
        <v>3460.38</v>
      </c>
      <c r="E34" s="1">
        <v>84.63</v>
      </c>
      <c r="F34" s="1">
        <v>4180</v>
      </c>
      <c r="G34" s="1">
        <f t="shared" si="13"/>
        <v>1.1611111111111112</v>
      </c>
      <c r="H34" s="1">
        <v>1611.25</v>
      </c>
      <c r="I34" s="1">
        <f t="shared" si="11"/>
        <v>9342.51</v>
      </c>
      <c r="J34" s="1">
        <f t="shared" si="17"/>
        <v>5791.25</v>
      </c>
      <c r="K34" s="1">
        <f t="shared" si="14"/>
        <v>1.6086805555555554</v>
      </c>
      <c r="L34" s="1">
        <f t="shared" si="15"/>
        <v>19.759136363636365</v>
      </c>
      <c r="M34" s="1">
        <f t="shared" si="16"/>
        <v>14.613048996330672</v>
      </c>
    </row>
    <row r="35" spans="1:13" x14ac:dyDescent="0.3">
      <c r="I35" s="1"/>
      <c r="J35" s="1"/>
    </row>
    <row r="36" spans="1:13" x14ac:dyDescent="0.3">
      <c r="I36" s="1"/>
      <c r="J36" s="1"/>
    </row>
    <row r="37" spans="1:13" x14ac:dyDescent="0.3">
      <c r="A37" s="2" t="s">
        <v>120</v>
      </c>
      <c r="C37" s="4"/>
      <c r="D37" s="4"/>
      <c r="E37" s="4"/>
      <c r="F37" s="4"/>
      <c r="G37" s="4"/>
      <c r="H37" s="4"/>
      <c r="I37" s="1"/>
      <c r="J37" s="1"/>
    </row>
    <row r="38" spans="1:13" x14ac:dyDescent="0.3">
      <c r="A38" s="2" t="s">
        <v>119</v>
      </c>
      <c r="B38">
        <v>1</v>
      </c>
      <c r="C38" s="1">
        <v>6.42</v>
      </c>
      <c r="D38" s="1">
        <v>9744.0300000000007</v>
      </c>
      <c r="E38" s="1">
        <v>71.08</v>
      </c>
      <c r="F38" s="1">
        <v>77111.289999999994</v>
      </c>
      <c r="G38" s="1">
        <f>F38/3600</f>
        <v>21.419802777777775</v>
      </c>
      <c r="H38" s="1">
        <v>1815.35</v>
      </c>
      <c r="I38" s="1">
        <f t="shared" ref="I38:I41" si="18">H38+F38+E38+D38+C38</f>
        <v>88748.17</v>
      </c>
      <c r="J38" s="1">
        <f t="shared" ref="J38" si="19">H38+F38</f>
        <v>78926.64</v>
      </c>
      <c r="K38" s="1">
        <f>J38/3600</f>
        <v>21.924066666666665</v>
      </c>
      <c r="L38" s="1">
        <f>$F$38/F38</f>
        <v>1</v>
      </c>
      <c r="M38" s="1">
        <f>$J$38/J38</f>
        <v>1</v>
      </c>
    </row>
    <row r="39" spans="1:13" x14ac:dyDescent="0.3">
      <c r="B39" s="2">
        <v>2</v>
      </c>
      <c r="C39" s="1">
        <v>6.26</v>
      </c>
      <c r="D39" s="1">
        <v>4367.58</v>
      </c>
      <c r="E39" s="1">
        <v>1075.32</v>
      </c>
      <c r="F39" s="1">
        <v>40002.81</v>
      </c>
      <c r="G39" s="1">
        <f t="shared" ref="G39:G44" si="20">F39/3600</f>
        <v>11.111891666666667</v>
      </c>
      <c r="H39" s="1">
        <v>1073.25</v>
      </c>
      <c r="I39" s="1">
        <f t="shared" si="18"/>
        <v>46525.22</v>
      </c>
      <c r="J39" s="1">
        <f t="shared" ref="J39:J43" si="21">H39+F39</f>
        <v>41076.06</v>
      </c>
      <c r="K39" s="1">
        <f t="shared" ref="K39:K43" si="22">J39/3600</f>
        <v>11.410016666666666</v>
      </c>
      <c r="L39" s="1">
        <f t="shared" ref="L39:L43" si="23">$F$38/F39</f>
        <v>1.9276468328099952</v>
      </c>
      <c r="M39" s="1">
        <f t="shared" ref="M39:M43" si="24">$J$38/J39</f>
        <v>1.9214754287533908</v>
      </c>
    </row>
    <row r="40" spans="1:13" x14ac:dyDescent="0.3">
      <c r="B40" s="2">
        <v>4</v>
      </c>
      <c r="C40" s="1">
        <v>6.66</v>
      </c>
      <c r="D40" s="1">
        <v>1637.39</v>
      </c>
      <c r="E40" s="1">
        <v>1605.52</v>
      </c>
      <c r="F40" s="1">
        <v>20497.43</v>
      </c>
      <c r="G40" s="1">
        <f t="shared" si="20"/>
        <v>5.6937305555555557</v>
      </c>
      <c r="H40" s="1">
        <v>732.23</v>
      </c>
      <c r="I40" s="1">
        <f t="shared" si="18"/>
        <v>24479.23</v>
      </c>
      <c r="J40" s="1">
        <f t="shared" si="21"/>
        <v>21229.66</v>
      </c>
      <c r="K40" s="1">
        <f t="shared" si="22"/>
        <v>5.8971277777777775</v>
      </c>
      <c r="L40" s="1">
        <f t="shared" si="23"/>
        <v>3.7619979675500779</v>
      </c>
      <c r="M40" s="1">
        <f t="shared" si="24"/>
        <v>3.7177533695782223</v>
      </c>
    </row>
    <row r="41" spans="1:13" x14ac:dyDescent="0.3">
      <c r="B41" s="2">
        <v>8</v>
      </c>
      <c r="C41" s="1">
        <v>7.19</v>
      </c>
      <c r="D41" s="1">
        <v>77.98</v>
      </c>
      <c r="E41" s="1">
        <v>2029.62</v>
      </c>
      <c r="F41" s="1">
        <v>10533.23</v>
      </c>
      <c r="G41" s="1">
        <f t="shared" si="20"/>
        <v>2.9258972222222219</v>
      </c>
      <c r="H41" s="1">
        <v>577</v>
      </c>
      <c r="I41" s="1">
        <f t="shared" si="18"/>
        <v>13225.019999999999</v>
      </c>
      <c r="J41" s="1">
        <f t="shared" si="21"/>
        <v>11110.23</v>
      </c>
      <c r="K41" s="1">
        <f t="shared" si="22"/>
        <v>3.0861749999999999</v>
      </c>
      <c r="L41" s="1">
        <f t="shared" si="23"/>
        <v>7.3207639062281933</v>
      </c>
      <c r="M41" s="1">
        <f t="shared" si="24"/>
        <v>7.1039609441028677</v>
      </c>
    </row>
    <row r="42" spans="1:13" x14ac:dyDescent="0.3">
      <c r="B42" s="2">
        <v>16</v>
      </c>
      <c r="C42" s="1">
        <v>4.37</v>
      </c>
      <c r="D42" s="1">
        <v>74.77</v>
      </c>
      <c r="E42" s="1">
        <v>2617.4699999999998</v>
      </c>
      <c r="F42" s="1">
        <v>5468.06</v>
      </c>
      <c r="G42" s="1">
        <f t="shared" si="20"/>
        <v>1.5189055555555557</v>
      </c>
      <c r="H42" s="1">
        <v>449.58</v>
      </c>
      <c r="I42" s="1">
        <f t="shared" ref="I42:I43" si="25">H42+F42+E42+D42+C42</f>
        <v>8614.2500000000018</v>
      </c>
      <c r="J42" s="1">
        <f t="shared" si="21"/>
        <v>5917.64</v>
      </c>
      <c r="K42" s="1">
        <f t="shared" si="22"/>
        <v>1.643788888888889</v>
      </c>
      <c r="L42" s="1">
        <f t="shared" si="23"/>
        <v>14.10212945724809</v>
      </c>
      <c r="M42" s="1">
        <f t="shared" si="24"/>
        <v>13.33751968690221</v>
      </c>
    </row>
    <row r="43" spans="1:13" x14ac:dyDescent="0.3">
      <c r="B43" s="2">
        <v>20</v>
      </c>
      <c r="C43" s="1">
        <v>4.75</v>
      </c>
      <c r="D43" s="1">
        <v>75.760000000000005</v>
      </c>
      <c r="E43" s="1">
        <v>2298.8200000000002</v>
      </c>
      <c r="F43" s="1">
        <v>4383.1099999999997</v>
      </c>
      <c r="G43" s="1">
        <f t="shared" si="20"/>
        <v>1.2175305555555556</v>
      </c>
      <c r="H43" s="1">
        <v>452.07</v>
      </c>
      <c r="I43" s="1">
        <f t="shared" si="25"/>
        <v>7214.51</v>
      </c>
      <c r="J43" s="1">
        <f t="shared" si="21"/>
        <v>4835.1799999999994</v>
      </c>
      <c r="K43" s="1">
        <f t="shared" si="22"/>
        <v>1.3431055555555553</v>
      </c>
      <c r="L43" s="1">
        <f t="shared" si="23"/>
        <v>17.592825642066934</v>
      </c>
      <c r="M43" s="1">
        <f t="shared" si="24"/>
        <v>16.323412985659274</v>
      </c>
    </row>
    <row r="44" spans="1:13" x14ac:dyDescent="0.3">
      <c r="B44" s="2">
        <v>24</v>
      </c>
      <c r="C44" s="1">
        <v>5.4</v>
      </c>
      <c r="D44" s="1">
        <v>254.41</v>
      </c>
      <c r="E44" s="1">
        <v>2320.2399999999998</v>
      </c>
      <c r="F44" s="1">
        <v>3812.14</v>
      </c>
      <c r="G44" s="1">
        <f t="shared" si="20"/>
        <v>1.0589277777777777</v>
      </c>
      <c r="H44" s="1">
        <v>533.73</v>
      </c>
      <c r="I44" s="1">
        <f t="shared" ref="I44" si="26">H44+F44+E44+D44+C44</f>
        <v>6925.9199999999992</v>
      </c>
      <c r="J44" s="1">
        <f t="shared" ref="J44" si="27">H44+F44</f>
        <v>4345.87</v>
      </c>
      <c r="K44" s="1">
        <f t="shared" ref="K44" si="28">J44/3600</f>
        <v>1.2071861111111111</v>
      </c>
      <c r="L44" s="1">
        <f t="shared" ref="L44" si="29">$F$38/F44</f>
        <v>20.227822168126039</v>
      </c>
      <c r="M44" s="1">
        <f t="shared" ref="M44" si="30">$J$38/J44</f>
        <v>18.161297967955782</v>
      </c>
    </row>
    <row r="46" spans="1:13" x14ac:dyDescent="0.3">
      <c r="K46">
        <v>5.12</v>
      </c>
      <c r="L46" s="1">
        <v>1</v>
      </c>
    </row>
    <row r="47" spans="1:13" x14ac:dyDescent="0.3">
      <c r="C47" s="1" t="s">
        <v>136</v>
      </c>
      <c r="G47" s="1">
        <f>F66*0.38</f>
        <v>753.42600000000004</v>
      </c>
      <c r="I47" s="1"/>
      <c r="J47" s="1">
        <f>J49/16</f>
        <v>1152.5862500000001</v>
      </c>
      <c r="K47">
        <f>K46/L47</f>
        <v>0.21333333333333335</v>
      </c>
      <c r="L47" s="1">
        <v>24</v>
      </c>
    </row>
    <row r="48" spans="1:13" x14ac:dyDescent="0.3">
      <c r="A48" s="2" t="s">
        <v>118</v>
      </c>
      <c r="I48" s="1"/>
      <c r="J48" s="1"/>
    </row>
    <row r="49" spans="1:13" x14ac:dyDescent="0.3">
      <c r="A49" s="2" t="s">
        <v>135</v>
      </c>
      <c r="B49">
        <v>1</v>
      </c>
      <c r="C49" s="1">
        <v>2.91</v>
      </c>
      <c r="D49" s="1">
        <v>3926.55</v>
      </c>
      <c r="E49" s="1">
        <v>17.32</v>
      </c>
      <c r="F49" s="1">
        <v>17571.73</v>
      </c>
      <c r="G49" s="1">
        <f>F49/3600</f>
        <v>4.8810361111111114</v>
      </c>
      <c r="H49" s="1">
        <v>869.65</v>
      </c>
      <c r="I49" s="1">
        <f t="shared" ref="I49:I57" si="31">H49+F49+E49+D49+C49</f>
        <v>22388.16</v>
      </c>
      <c r="J49" s="1">
        <f t="shared" ref="J49:J57" si="32">H49+F49</f>
        <v>18441.38</v>
      </c>
      <c r="K49" s="1">
        <f>J49/3600</f>
        <v>5.1226055555555554</v>
      </c>
      <c r="L49" s="1">
        <f>$F$49/F49</f>
        <v>1</v>
      </c>
      <c r="M49" s="1">
        <f>$J$49/J49</f>
        <v>1</v>
      </c>
    </row>
    <row r="50" spans="1:13" x14ac:dyDescent="0.3">
      <c r="B50" s="2">
        <v>2</v>
      </c>
      <c r="C50" s="1">
        <v>3.1</v>
      </c>
      <c r="D50" s="1">
        <v>2143.8000000000002</v>
      </c>
      <c r="E50" s="1">
        <v>20.11</v>
      </c>
      <c r="F50" s="1">
        <v>9426.75</v>
      </c>
      <c r="G50" s="1">
        <f t="shared" ref="G50:G57" si="33">F50/3600</f>
        <v>2.6185416666666668</v>
      </c>
      <c r="H50" s="1">
        <v>726.88</v>
      </c>
      <c r="I50" s="1">
        <f t="shared" si="31"/>
        <v>12320.640000000001</v>
      </c>
      <c r="J50" s="1">
        <f t="shared" si="32"/>
        <v>10153.629999999999</v>
      </c>
      <c r="K50" s="1">
        <f t="shared" ref="K50:K57" si="34">J50/3600</f>
        <v>2.8204527777777777</v>
      </c>
      <c r="L50" s="1">
        <f t="shared" ref="L50:L57" si="35">$F$49/F50</f>
        <v>1.864028429734532</v>
      </c>
      <c r="M50" s="1">
        <f t="shared" ref="M50:M57" si="36">$J$49/J50</f>
        <v>1.8162351789458551</v>
      </c>
    </row>
    <row r="51" spans="1:13" x14ac:dyDescent="0.3">
      <c r="B51" s="2">
        <v>4</v>
      </c>
      <c r="C51" s="1">
        <v>3.16</v>
      </c>
      <c r="D51" s="1">
        <v>1362.41</v>
      </c>
      <c r="E51" s="1">
        <v>23.12</v>
      </c>
      <c r="F51" s="1">
        <v>4726.83</v>
      </c>
      <c r="G51" s="1">
        <f t="shared" si="33"/>
        <v>1.3130083333333333</v>
      </c>
      <c r="H51" s="1">
        <v>611.80999999999995</v>
      </c>
      <c r="I51" s="1">
        <f t="shared" si="31"/>
        <v>6727.329999999999</v>
      </c>
      <c r="J51" s="1">
        <f t="shared" si="32"/>
        <v>5338.6399999999994</v>
      </c>
      <c r="K51" s="1">
        <f t="shared" si="34"/>
        <v>1.4829555555555554</v>
      </c>
      <c r="L51" s="1">
        <f t="shared" si="35"/>
        <v>3.7174448837804617</v>
      </c>
      <c r="M51" s="1">
        <f t="shared" si="36"/>
        <v>3.4543216999085917</v>
      </c>
    </row>
    <row r="52" spans="1:13" x14ac:dyDescent="0.3">
      <c r="B52" s="2">
        <v>6</v>
      </c>
      <c r="C52" s="1">
        <v>3.18</v>
      </c>
      <c r="D52" s="1">
        <v>1717.72</v>
      </c>
      <c r="E52" s="1">
        <v>21.14</v>
      </c>
      <c r="F52" s="1">
        <v>3378.74</v>
      </c>
      <c r="G52" s="1">
        <f t="shared" si="33"/>
        <v>0.93853888888888881</v>
      </c>
      <c r="H52" s="1">
        <v>582.14</v>
      </c>
      <c r="I52" s="1">
        <f t="shared" ref="I52" si="37">H52+F52+E52+D52+C52</f>
        <v>5702.92</v>
      </c>
      <c r="J52" s="1">
        <f t="shared" si="32"/>
        <v>3960.8799999999997</v>
      </c>
      <c r="K52" s="1">
        <f t="shared" ref="K52" si="38">J52/3600</f>
        <v>1.1002444444444444</v>
      </c>
      <c r="L52" s="1">
        <f t="shared" ref="L52" si="39">$F$49/F52</f>
        <v>5.200675399705216</v>
      </c>
      <c r="M52" s="1">
        <f t="shared" ref="M52" si="40">$J$49/J52</f>
        <v>4.6558795015249146</v>
      </c>
    </row>
    <row r="53" spans="1:13" x14ac:dyDescent="0.3">
      <c r="B53" s="2">
        <v>8</v>
      </c>
      <c r="C53" s="1">
        <v>3.15</v>
      </c>
      <c r="D53" s="1">
        <v>2611.67</v>
      </c>
      <c r="E53" s="1">
        <v>19.420000000000002</v>
      </c>
      <c r="F53" s="1">
        <v>3931.18</v>
      </c>
      <c r="G53" s="1">
        <f t="shared" si="33"/>
        <v>1.0919944444444445</v>
      </c>
      <c r="H53" s="1">
        <v>730.82</v>
      </c>
      <c r="I53" s="1">
        <f t="shared" si="31"/>
        <v>7296.24</v>
      </c>
      <c r="J53" s="1">
        <f t="shared" si="32"/>
        <v>4662</v>
      </c>
      <c r="K53" s="1">
        <f t="shared" si="34"/>
        <v>1.2949999999999999</v>
      </c>
      <c r="L53" s="1">
        <f t="shared" si="35"/>
        <v>4.4698360288768262</v>
      </c>
      <c r="M53" s="1">
        <f t="shared" si="36"/>
        <v>3.9556799656799657</v>
      </c>
    </row>
    <row r="54" spans="1:13" x14ac:dyDescent="0.3">
      <c r="B54" s="2">
        <v>12</v>
      </c>
      <c r="C54" s="1">
        <v>3.21</v>
      </c>
      <c r="D54" s="1">
        <v>3097.76</v>
      </c>
      <c r="E54" s="1">
        <v>19.489999999999998</v>
      </c>
      <c r="F54" s="1">
        <v>2732.61</v>
      </c>
      <c r="G54" s="1">
        <f t="shared" si="33"/>
        <v>0.75905833333333339</v>
      </c>
      <c r="H54" s="1">
        <v>791.14</v>
      </c>
      <c r="I54" s="1">
        <f t="shared" si="31"/>
        <v>6644.21</v>
      </c>
      <c r="J54" s="1">
        <f t="shared" si="32"/>
        <v>3523.75</v>
      </c>
      <c r="K54" s="1">
        <f t="shared" si="34"/>
        <v>0.97881944444444446</v>
      </c>
      <c r="L54" s="1">
        <f t="shared" si="35"/>
        <v>6.4303834063404581</v>
      </c>
      <c r="M54" s="1">
        <f t="shared" si="36"/>
        <v>5.2334529975168502</v>
      </c>
    </row>
    <row r="55" spans="1:13" x14ac:dyDescent="0.3">
      <c r="B55" s="2">
        <v>16</v>
      </c>
      <c r="C55" s="1">
        <v>3.17</v>
      </c>
      <c r="D55" s="1">
        <v>3657.57</v>
      </c>
      <c r="E55" s="1">
        <v>20.7</v>
      </c>
      <c r="F55" s="1">
        <v>2148.11</v>
      </c>
      <c r="G55" s="1">
        <f t="shared" si="33"/>
        <v>0.59669722222222221</v>
      </c>
      <c r="H55" s="1">
        <v>786.16</v>
      </c>
      <c r="I55" s="1">
        <f t="shared" si="31"/>
        <v>6615.71</v>
      </c>
      <c r="J55" s="1">
        <f t="shared" si="32"/>
        <v>2934.27</v>
      </c>
      <c r="K55" s="1">
        <f t="shared" si="34"/>
        <v>0.81507499999999999</v>
      </c>
      <c r="L55" s="1">
        <f t="shared" si="35"/>
        <v>8.1800885429517098</v>
      </c>
      <c r="M55" s="1">
        <f t="shared" si="36"/>
        <v>6.2848272313045497</v>
      </c>
    </row>
    <row r="56" spans="1:13" x14ac:dyDescent="0.3">
      <c r="B56" s="2">
        <v>20</v>
      </c>
      <c r="C56" s="1">
        <v>3.29</v>
      </c>
      <c r="D56" s="1">
        <v>4333.55</v>
      </c>
      <c r="E56" s="1">
        <v>21.78</v>
      </c>
      <c r="F56" s="1">
        <v>2248.13</v>
      </c>
      <c r="G56" s="1">
        <f t="shared" si="33"/>
        <v>0.62448055555555559</v>
      </c>
      <c r="H56" s="1">
        <v>784.24</v>
      </c>
      <c r="I56" s="1">
        <f t="shared" si="31"/>
        <v>7390.9900000000007</v>
      </c>
      <c r="J56" s="1">
        <f t="shared" si="32"/>
        <v>3032.37</v>
      </c>
      <c r="K56" s="1">
        <f t="shared" si="34"/>
        <v>0.84232499999999999</v>
      </c>
      <c r="L56" s="1">
        <f t="shared" si="35"/>
        <v>7.8161538701053761</v>
      </c>
      <c r="M56" s="1">
        <f t="shared" si="36"/>
        <v>6.0815072039361953</v>
      </c>
    </row>
    <row r="57" spans="1:13" x14ac:dyDescent="0.3">
      <c r="B57" s="2">
        <v>24</v>
      </c>
      <c r="C57" s="1">
        <v>3.43</v>
      </c>
      <c r="D57" s="1">
        <v>4497.08</v>
      </c>
      <c r="E57" s="1">
        <v>22.54</v>
      </c>
      <c r="F57" s="1">
        <v>2119.58</v>
      </c>
      <c r="G57" s="1">
        <f t="shared" si="33"/>
        <v>0.58877222222222225</v>
      </c>
      <c r="H57" s="1">
        <v>826.59</v>
      </c>
      <c r="I57" s="1">
        <f t="shared" si="31"/>
        <v>7469.22</v>
      </c>
      <c r="J57" s="1">
        <f t="shared" si="32"/>
        <v>2946.17</v>
      </c>
      <c r="K57" s="1">
        <f t="shared" si="34"/>
        <v>0.81838055555555556</v>
      </c>
      <c r="L57" s="1">
        <f t="shared" si="35"/>
        <v>8.2901942837732001</v>
      </c>
      <c r="M57" s="1">
        <f t="shared" si="36"/>
        <v>6.259441919509058</v>
      </c>
    </row>
    <row r="58" spans="1:13" x14ac:dyDescent="0.3">
      <c r="I58" s="1"/>
      <c r="J58" s="1"/>
    </row>
    <row r="59" spans="1:13" x14ac:dyDescent="0.3">
      <c r="A59" s="2" t="s">
        <v>120</v>
      </c>
      <c r="C59" s="4"/>
      <c r="D59" s="4"/>
      <c r="E59" s="4"/>
      <c r="F59" s="4"/>
      <c r="G59" s="4"/>
      <c r="H59" s="4"/>
      <c r="I59" s="1"/>
      <c r="J59" s="1"/>
    </row>
    <row r="60" spans="1:13" x14ac:dyDescent="0.3">
      <c r="A60" s="2" t="s">
        <v>135</v>
      </c>
      <c r="B60">
        <v>1</v>
      </c>
      <c r="C60" s="1">
        <v>2.71</v>
      </c>
      <c r="D60" s="1">
        <v>3493.01</v>
      </c>
      <c r="E60" s="1">
        <v>16.95</v>
      </c>
      <c r="F60" s="1">
        <v>15657.35</v>
      </c>
      <c r="G60" s="1">
        <f>F60/3600</f>
        <v>4.3492638888888893</v>
      </c>
      <c r="H60" s="1">
        <v>908.9</v>
      </c>
      <c r="I60" s="1">
        <f t="shared" ref="I60" si="41">H60+F60+E60+D60+C60</f>
        <v>20078.919999999998</v>
      </c>
      <c r="J60" s="1">
        <f t="shared" ref="J60:J67" si="42">H60+F60</f>
        <v>16566.25</v>
      </c>
      <c r="K60" s="1">
        <f>J60/3600</f>
        <v>4.6017361111111112</v>
      </c>
      <c r="L60" s="1">
        <f t="shared" ref="L60:L68" si="43">$F$60/F60</f>
        <v>1</v>
      </c>
      <c r="M60" s="1">
        <f t="shared" ref="M60:M68" si="44">$J$60/J60</f>
        <v>1</v>
      </c>
    </row>
    <row r="61" spans="1:13" x14ac:dyDescent="0.3">
      <c r="B61" s="2">
        <v>2</v>
      </c>
      <c r="C61" s="1">
        <v>2.44</v>
      </c>
      <c r="D61" s="1">
        <v>1690.14</v>
      </c>
      <c r="E61" s="1">
        <v>629.14</v>
      </c>
      <c r="F61" s="1">
        <v>8195.6299999999992</v>
      </c>
      <c r="G61" s="1">
        <f t="shared" ref="G61:G68" si="45">F61/3600</f>
        <v>2.2765638888888886</v>
      </c>
      <c r="H61" s="1">
        <v>578.20000000000005</v>
      </c>
      <c r="I61" s="1">
        <f t="shared" ref="I61:I67" si="46">H61+F61+E61+D61+C61</f>
        <v>11095.55</v>
      </c>
      <c r="J61" s="1">
        <f t="shared" si="42"/>
        <v>8773.83</v>
      </c>
      <c r="K61" s="1">
        <f t="shared" ref="K61:K67" si="47">J61/3600</f>
        <v>2.4371749999999999</v>
      </c>
      <c r="L61" s="1">
        <f t="shared" si="43"/>
        <v>1.9104510574537896</v>
      </c>
      <c r="M61" s="1">
        <f t="shared" si="44"/>
        <v>1.8881434903571188</v>
      </c>
    </row>
    <row r="62" spans="1:13" x14ac:dyDescent="0.3">
      <c r="B62" s="2">
        <v>4</v>
      </c>
      <c r="C62" s="1">
        <v>2.92</v>
      </c>
      <c r="D62" s="1">
        <v>843.28</v>
      </c>
      <c r="E62" s="1">
        <v>513.42999999999995</v>
      </c>
      <c r="F62" s="1">
        <v>4406.3900000000003</v>
      </c>
      <c r="G62" s="1">
        <f t="shared" si="45"/>
        <v>1.2239972222222224</v>
      </c>
      <c r="H62" s="1">
        <v>450.56</v>
      </c>
      <c r="I62" s="1">
        <f t="shared" si="46"/>
        <v>6216.5800000000008</v>
      </c>
      <c r="J62" s="1">
        <f t="shared" si="42"/>
        <v>4856.9500000000007</v>
      </c>
      <c r="K62" s="1">
        <f t="shared" si="47"/>
        <v>1.3491527777777781</v>
      </c>
      <c r="L62" s="1">
        <f t="shared" si="43"/>
        <v>3.553328234677366</v>
      </c>
      <c r="M62" s="1">
        <f t="shared" si="44"/>
        <v>3.4108339595836887</v>
      </c>
    </row>
    <row r="63" spans="1:13" x14ac:dyDescent="0.3">
      <c r="B63" s="2">
        <v>6</v>
      </c>
      <c r="C63" s="1">
        <v>2.61</v>
      </c>
      <c r="D63" s="1">
        <v>806.88</v>
      </c>
      <c r="E63" s="1">
        <v>420.27</v>
      </c>
      <c r="F63" s="1">
        <v>2978.16</v>
      </c>
      <c r="G63" s="1">
        <f t="shared" si="45"/>
        <v>0.82726666666666659</v>
      </c>
      <c r="H63" s="1">
        <v>391.95</v>
      </c>
      <c r="I63" s="1">
        <v>1605.52</v>
      </c>
      <c r="J63" s="1">
        <f t="shared" si="42"/>
        <v>3370.1099999999997</v>
      </c>
      <c r="K63" s="1">
        <f t="shared" ref="K63" si="48">J63/3600</f>
        <v>0.93614166666666654</v>
      </c>
      <c r="L63" s="1">
        <f t="shared" si="43"/>
        <v>5.257390469283048</v>
      </c>
      <c r="M63" s="1">
        <f t="shared" si="44"/>
        <v>4.9156407357623344</v>
      </c>
    </row>
    <row r="64" spans="1:13" x14ac:dyDescent="0.3">
      <c r="B64" s="2">
        <v>8</v>
      </c>
      <c r="C64" s="1">
        <v>3.05</v>
      </c>
      <c r="D64" s="1">
        <v>133.83000000000001</v>
      </c>
      <c r="E64" s="1">
        <v>931.09</v>
      </c>
      <c r="F64" s="1">
        <v>2627.1</v>
      </c>
      <c r="G64" s="1">
        <f t="shared" si="45"/>
        <v>0.72975000000000001</v>
      </c>
      <c r="H64" s="1">
        <v>438.51</v>
      </c>
      <c r="I64" s="1">
        <f t="shared" si="46"/>
        <v>4133.58</v>
      </c>
      <c r="J64" s="1">
        <f t="shared" si="42"/>
        <v>3065.6099999999997</v>
      </c>
      <c r="K64" s="1">
        <f t="shared" si="47"/>
        <v>0.8515583333333332</v>
      </c>
      <c r="L64" s="1">
        <f t="shared" si="43"/>
        <v>5.9599368124547984</v>
      </c>
      <c r="M64" s="1">
        <f t="shared" si="44"/>
        <v>5.4039000394701224</v>
      </c>
    </row>
    <row r="65" spans="2:13" x14ac:dyDescent="0.3">
      <c r="B65" s="2">
        <v>12</v>
      </c>
      <c r="C65" s="1">
        <v>3.18</v>
      </c>
      <c r="D65" s="1">
        <v>142.63999999999999</v>
      </c>
      <c r="E65" s="1">
        <v>1311.93</v>
      </c>
      <c r="F65" s="1">
        <v>2565.46</v>
      </c>
      <c r="G65" s="1">
        <f t="shared" si="45"/>
        <v>0.71262777777777775</v>
      </c>
      <c r="H65" s="1">
        <v>453.25</v>
      </c>
      <c r="I65" s="1">
        <f t="shared" ref="I65" si="49">H65+F65+E65+D65+C65</f>
        <v>4476.4600000000009</v>
      </c>
      <c r="J65" s="1">
        <f t="shared" si="42"/>
        <v>3018.71</v>
      </c>
      <c r="K65" s="1">
        <f t="shared" ref="K65" si="50">J65/3600</f>
        <v>0.83853055555555556</v>
      </c>
      <c r="L65" s="1">
        <f t="shared" si="43"/>
        <v>6.1031355000662648</v>
      </c>
      <c r="M65" s="1">
        <f t="shared" si="44"/>
        <v>5.4878573960400301</v>
      </c>
    </row>
    <row r="66" spans="2:13" x14ac:dyDescent="0.3">
      <c r="B66" s="2">
        <v>16</v>
      </c>
      <c r="C66" s="1">
        <v>3.27</v>
      </c>
      <c r="D66" s="1">
        <v>152</v>
      </c>
      <c r="E66" s="1">
        <v>1252.6300000000001</v>
      </c>
      <c r="F66" s="1">
        <v>1982.7</v>
      </c>
      <c r="G66" s="1">
        <f t="shared" si="45"/>
        <v>0.55074999999999996</v>
      </c>
      <c r="H66" s="1">
        <v>494.36</v>
      </c>
      <c r="I66" s="1">
        <f t="shared" si="46"/>
        <v>3884.96</v>
      </c>
      <c r="J66" s="1">
        <f t="shared" si="42"/>
        <v>2477.06</v>
      </c>
      <c r="K66" s="1">
        <f t="shared" si="47"/>
        <v>0.6880722222222222</v>
      </c>
      <c r="L66" s="1">
        <f t="shared" si="43"/>
        <v>7.8969839108286681</v>
      </c>
      <c r="M66" s="1">
        <f t="shared" si="44"/>
        <v>6.6878678756267513</v>
      </c>
    </row>
    <row r="67" spans="2:13" x14ac:dyDescent="0.3">
      <c r="B67" s="2">
        <v>20</v>
      </c>
      <c r="C67" s="1">
        <v>3.07</v>
      </c>
      <c r="D67" s="1">
        <v>140.57</v>
      </c>
      <c r="E67" s="1">
        <v>1007.92</v>
      </c>
      <c r="F67" s="1">
        <v>1638.19</v>
      </c>
      <c r="G67" s="1">
        <f t="shared" si="45"/>
        <v>0.45505277777777781</v>
      </c>
      <c r="H67" s="1">
        <v>430.65</v>
      </c>
      <c r="I67" s="1">
        <f t="shared" si="46"/>
        <v>3220.4000000000005</v>
      </c>
      <c r="J67" s="1">
        <f t="shared" si="42"/>
        <v>2068.84</v>
      </c>
      <c r="K67" s="1">
        <f t="shared" si="47"/>
        <v>0.57467777777777784</v>
      </c>
      <c r="L67" s="1">
        <f t="shared" si="43"/>
        <v>9.5577130857836998</v>
      </c>
      <c r="M67" s="1">
        <f t="shared" si="44"/>
        <v>8.007506622068405</v>
      </c>
    </row>
    <row r="68" spans="2:13" x14ac:dyDescent="0.3">
      <c r="B68" s="2">
        <v>24</v>
      </c>
      <c r="C68" s="1">
        <v>2.76</v>
      </c>
      <c r="D68" s="1">
        <v>160.74</v>
      </c>
      <c r="E68" s="1">
        <v>1439.48</v>
      </c>
      <c r="F68" s="1">
        <v>1579.11</v>
      </c>
      <c r="G68" s="1">
        <f t="shared" si="45"/>
        <v>0.43864166666666665</v>
      </c>
      <c r="H68" s="1">
        <v>490.03</v>
      </c>
      <c r="I68" s="1">
        <f t="shared" ref="I68" si="51">H68+F68+E68+D68+C68</f>
        <v>3672.12</v>
      </c>
      <c r="J68" s="1">
        <f t="shared" ref="J68" si="52">H68+F68</f>
        <v>2069.14</v>
      </c>
      <c r="K68" s="1">
        <f t="shared" ref="K68" si="53">J68/3600</f>
        <v>0.57476111111111106</v>
      </c>
      <c r="L68" s="1">
        <f t="shared" si="43"/>
        <v>9.9153003907264221</v>
      </c>
      <c r="M68" s="1">
        <f t="shared" si="44"/>
        <v>8.0063456315184087</v>
      </c>
    </row>
    <row r="70" spans="2:13" x14ac:dyDescent="0.3">
      <c r="D70" s="1" t="s">
        <v>126</v>
      </c>
      <c r="E70" s="3">
        <f>2.1/1760</f>
        <v>1.1931818181818183E-3</v>
      </c>
      <c r="G70" s="1" t="s">
        <v>130</v>
      </c>
      <c r="H70" s="1">
        <v>1760</v>
      </c>
    </row>
    <row r="71" spans="2:13" x14ac:dyDescent="0.3">
      <c r="D71" s="1" t="s">
        <v>127</v>
      </c>
      <c r="E71" s="3">
        <v>2.1999999999999999E-2</v>
      </c>
      <c r="G71" s="1" t="s">
        <v>128</v>
      </c>
      <c r="H71" s="1">
        <v>0.05</v>
      </c>
    </row>
    <row r="72" spans="2:13" x14ac:dyDescent="0.3">
      <c r="D72" s="1" t="s">
        <v>128</v>
      </c>
      <c r="E72" s="1">
        <v>0.05</v>
      </c>
      <c r="G72" s="1" t="s">
        <v>131</v>
      </c>
      <c r="H72" s="1">
        <v>6000</v>
      </c>
      <c r="L72" s="1">
        <f>14/51</f>
        <v>0.27450980392156865</v>
      </c>
    </row>
    <row r="73" spans="2:13" x14ac:dyDescent="0.3">
      <c r="D73" s="1" t="s">
        <v>129</v>
      </c>
      <c r="E73" s="1">
        <f>E71*E72/E70</f>
        <v>0.92190476190476189</v>
      </c>
      <c r="G73" s="1" t="s">
        <v>132</v>
      </c>
      <c r="H73" s="3">
        <f>H72/H71*H70</f>
        <v>211200000</v>
      </c>
      <c r="L73" s="1">
        <v>0.34146341463414637</v>
      </c>
    </row>
    <row r="75" spans="2:13" x14ac:dyDescent="0.3">
      <c r="D75" s="1" t="s">
        <v>134</v>
      </c>
      <c r="E75" s="3">
        <f>E70/2</f>
        <v>5.9659090909090914E-4</v>
      </c>
      <c r="H75" s="3"/>
    </row>
    <row r="76" spans="2:13" x14ac:dyDescent="0.3">
      <c r="D76" s="1" t="s">
        <v>133</v>
      </c>
      <c r="E76" s="3">
        <f>E71*E72/2</f>
        <v>5.5000000000000003E-4</v>
      </c>
      <c r="H76" s="3"/>
    </row>
    <row r="77" spans="2:13" x14ac:dyDescent="0.3">
      <c r="H77" s="3"/>
    </row>
    <row r="83" spans="1:3" x14ac:dyDescent="0.3">
      <c r="A83"/>
      <c r="C83"/>
    </row>
    <row r="84" spans="1:3" x14ac:dyDescent="0.3">
      <c r="A84"/>
      <c r="C84"/>
    </row>
    <row r="105" spans="1:8" x14ac:dyDescent="0.3">
      <c r="A105"/>
      <c r="C105"/>
      <c r="D105"/>
      <c r="E105"/>
      <c r="F105"/>
      <c r="G105"/>
      <c r="H105"/>
    </row>
    <row r="106" spans="1:8" x14ac:dyDescent="0.3">
      <c r="A106"/>
      <c r="C106"/>
      <c r="D106"/>
      <c r="E106"/>
      <c r="F106"/>
      <c r="G106"/>
      <c r="H106"/>
    </row>
    <row r="107" spans="1:8" x14ac:dyDescent="0.3">
      <c r="A107"/>
      <c r="C107"/>
      <c r="D107"/>
      <c r="E107"/>
      <c r="F107"/>
      <c r="G107"/>
      <c r="H107"/>
    </row>
    <row r="108" spans="1:8" x14ac:dyDescent="0.3">
      <c r="A108"/>
      <c r="C108"/>
      <c r="D108"/>
      <c r="E108"/>
      <c r="F108"/>
      <c r="G108"/>
      <c r="H108"/>
    </row>
    <row r="109" spans="1:8" x14ac:dyDescent="0.3">
      <c r="A109"/>
      <c r="C109"/>
      <c r="D109"/>
      <c r="E109"/>
      <c r="F109"/>
      <c r="G109"/>
      <c r="H109"/>
    </row>
    <row r="110" spans="1:8" x14ac:dyDescent="0.3">
      <c r="A110"/>
      <c r="C110"/>
      <c r="D110"/>
      <c r="E110"/>
      <c r="F110"/>
      <c r="G110"/>
      <c r="H110"/>
    </row>
    <row r="111" spans="1:8" x14ac:dyDescent="0.3">
      <c r="A111"/>
      <c r="C111"/>
      <c r="D111"/>
      <c r="E111"/>
      <c r="F111"/>
      <c r="G111"/>
      <c r="H111"/>
    </row>
    <row r="112" spans="1:8" x14ac:dyDescent="0.3">
      <c r="A112"/>
      <c r="C112"/>
      <c r="D112"/>
      <c r="E112"/>
      <c r="F112"/>
      <c r="G112"/>
      <c r="H112"/>
    </row>
    <row r="113" spans="1:8" x14ac:dyDescent="0.3">
      <c r="A113"/>
      <c r="C113"/>
      <c r="D113"/>
      <c r="E113"/>
      <c r="F113"/>
      <c r="G113"/>
      <c r="H11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I18"/>
  <sheetViews>
    <sheetView topLeftCell="A13" workbookViewId="0">
      <selection activeCell="I18" sqref="I18"/>
    </sheetView>
  </sheetViews>
  <sheetFormatPr baseColWidth="10" defaultColWidth="8.88671875" defaultRowHeight="14.4" x14ac:dyDescent="0.3"/>
  <cols>
    <col min="4" max="4" width="10.109375" bestFit="1" customWidth="1"/>
  </cols>
  <sheetData>
    <row r="8" spans="2:9" x14ac:dyDescent="0.3">
      <c r="B8">
        <v>320</v>
      </c>
      <c r="C8">
        <v>86.18</v>
      </c>
      <c r="D8" s="5">
        <f>C8*B8</f>
        <v>27577.600000000002</v>
      </c>
    </row>
    <row r="9" spans="2:9" x14ac:dyDescent="0.3">
      <c r="B9">
        <v>200</v>
      </c>
      <c r="C9">
        <v>57.15</v>
      </c>
      <c r="D9" s="5">
        <f>C9*B9</f>
        <v>11430</v>
      </c>
    </row>
    <row r="10" spans="2:9" x14ac:dyDescent="0.3">
      <c r="D10" s="5">
        <f>D9+D8</f>
        <v>39007.600000000006</v>
      </c>
    </row>
    <row r="14" spans="2:9" x14ac:dyDescent="0.3">
      <c r="F14">
        <v>0.7</v>
      </c>
      <c r="G14">
        <v>0.9</v>
      </c>
      <c r="I14">
        <f>(1+I15)*0.7</f>
        <v>0.79999999999999993</v>
      </c>
    </row>
    <row r="15" spans="2:9" x14ac:dyDescent="0.3">
      <c r="F15">
        <f>(F14/0.7-1)</f>
        <v>0</v>
      </c>
      <c r="G15">
        <f>(G14/0.7-1)</f>
        <v>0.28571428571428581</v>
      </c>
      <c r="I15">
        <f>F15+G15/2</f>
        <v>0.1428571428571429</v>
      </c>
    </row>
    <row r="16" spans="2:9" x14ac:dyDescent="0.3">
      <c r="E16" t="s">
        <v>137</v>
      </c>
      <c r="F16">
        <f>1/(1+F14)</f>
        <v>0.58823529411764708</v>
      </c>
      <c r="G16">
        <f>1/(1+G14)</f>
        <v>0.52631578947368418</v>
      </c>
      <c r="H16">
        <f>F16+G16</f>
        <v>1.1145510835913313</v>
      </c>
      <c r="I16">
        <f>1/(1+I14)</f>
        <v>0.55555555555555558</v>
      </c>
    </row>
    <row r="17" spans="5:9" x14ac:dyDescent="0.3">
      <c r="E17" t="s">
        <v>138</v>
      </c>
      <c r="F17">
        <f>1-F16</f>
        <v>0.41176470588235292</v>
      </c>
      <c r="G17">
        <f>1-G16</f>
        <v>0.47368421052631582</v>
      </c>
      <c r="H17">
        <f>F17+G17</f>
        <v>0.88544891640866874</v>
      </c>
      <c r="I17">
        <f>1-I16</f>
        <v>0.44444444444444442</v>
      </c>
    </row>
    <row r="18" spans="5:9" x14ac:dyDescent="0.3">
      <c r="E18" t="s">
        <v>139</v>
      </c>
      <c r="F18">
        <f>F17/F16</f>
        <v>0.7</v>
      </c>
      <c r="G18">
        <f t="shared" ref="G18:I18" si="0">G17/G16</f>
        <v>0.90000000000000013</v>
      </c>
      <c r="H18">
        <f t="shared" si="0"/>
        <v>0.79444444444444451</v>
      </c>
      <c r="I18">
        <f t="shared" si="0"/>
        <v>0.79999999999999993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Charlton</dc:creator>
  <cp:lastModifiedBy>Laurin</cp:lastModifiedBy>
  <dcterms:created xsi:type="dcterms:W3CDTF">2014-04-01T05:26:32Z</dcterms:created>
  <dcterms:modified xsi:type="dcterms:W3CDTF">2015-01-17T15:28:08Z</dcterms:modified>
</cp:coreProperties>
</file>