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s\phast3-trunk\src\phast\"/>
    </mc:Choice>
  </mc:AlternateContent>
  <bookViews>
    <workbookView xWindow="0" yWindow="0" windowWidth="12336" windowHeight="895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2" l="1"/>
  <c r="H23" i="2"/>
  <c r="I23" i="2" s="1"/>
  <c r="H22" i="2"/>
  <c r="I22" i="2" s="1"/>
  <c r="O15" i="1"/>
  <c r="O16" i="1"/>
  <c r="O17" i="1"/>
  <c r="O18" i="1"/>
  <c r="O19" i="1"/>
  <c r="O20" i="1"/>
  <c r="O21" i="1"/>
  <c r="O14" i="1"/>
  <c r="O4" i="1"/>
  <c r="O5" i="1"/>
  <c r="O6" i="1"/>
  <c r="O7" i="1"/>
  <c r="O8" i="1"/>
  <c r="O9" i="1"/>
  <c r="O10" i="1"/>
  <c r="O11" i="1"/>
  <c r="O3" i="1"/>
  <c r="J21" i="1"/>
  <c r="M21" i="1" s="1"/>
  <c r="K21" i="1"/>
  <c r="I21" i="1"/>
  <c r="L21" i="1" s="1"/>
  <c r="F21" i="1"/>
  <c r="J20" i="1"/>
  <c r="M20" i="1"/>
  <c r="K20" i="1"/>
  <c r="I20" i="1"/>
  <c r="L20" i="1"/>
  <c r="F20" i="1"/>
  <c r="I18" i="1" l="1"/>
  <c r="Q35" i="1"/>
  <c r="N27" i="1"/>
  <c r="N28" i="1"/>
  <c r="N29" i="1"/>
  <c r="N30" i="1"/>
  <c r="N31" i="1"/>
  <c r="N32" i="1"/>
  <c r="N26" i="1"/>
  <c r="N6" i="1"/>
  <c r="N7" i="1"/>
  <c r="N8" i="1"/>
  <c r="N9" i="1"/>
  <c r="N10" i="1"/>
  <c r="N11" i="1"/>
  <c r="N5" i="1"/>
  <c r="A6" i="1"/>
  <c r="A7" i="1"/>
  <c r="A8" i="1"/>
  <c r="A9" i="1"/>
  <c r="A10" i="1"/>
  <c r="A11" i="1"/>
  <c r="A5" i="1"/>
  <c r="M28" i="1"/>
  <c r="M29" i="1"/>
  <c r="M30" i="1"/>
  <c r="M31" i="1"/>
  <c r="M32" i="1"/>
  <c r="M7" i="1"/>
  <c r="M8" i="1"/>
  <c r="M9" i="1"/>
  <c r="M10" i="1"/>
  <c r="M11" i="1"/>
  <c r="K50" i="1"/>
  <c r="K49" i="1"/>
  <c r="K45" i="1"/>
  <c r="K46" i="1"/>
  <c r="K47" i="1"/>
  <c r="K48" i="1"/>
  <c r="F32" i="1" l="1"/>
  <c r="K32" i="1" s="1"/>
  <c r="I31" i="1"/>
  <c r="L31" i="1" s="1"/>
  <c r="O48" i="1"/>
  <c r="P46" i="1"/>
  <c r="O46" i="1"/>
  <c r="J43" i="1"/>
  <c r="I43" i="1"/>
  <c r="F43" i="1"/>
  <c r="K43" i="1" s="1"/>
  <c r="K42" i="1"/>
  <c r="J42" i="1"/>
  <c r="I42" i="1"/>
  <c r="F42" i="1"/>
  <c r="K41" i="1"/>
  <c r="J41" i="1"/>
  <c r="I41" i="1"/>
  <c r="L41" i="1" s="1"/>
  <c r="F41" i="1"/>
  <c r="K40" i="1"/>
  <c r="J40" i="1"/>
  <c r="I40" i="1"/>
  <c r="F40" i="1"/>
  <c r="K39" i="1"/>
  <c r="J39" i="1"/>
  <c r="I39" i="1"/>
  <c r="F39" i="1"/>
  <c r="K38" i="1"/>
  <c r="J38" i="1"/>
  <c r="I38" i="1"/>
  <c r="F38" i="1"/>
  <c r="K37" i="1"/>
  <c r="J37" i="1"/>
  <c r="I37" i="1"/>
  <c r="F37" i="1"/>
  <c r="K36" i="1"/>
  <c r="J36" i="1"/>
  <c r="I36" i="1"/>
  <c r="F36" i="1"/>
  <c r="K35" i="1"/>
  <c r="J35" i="1"/>
  <c r="M36" i="1" s="1"/>
  <c r="I35" i="1"/>
  <c r="L37" i="1" s="1"/>
  <c r="F35" i="1"/>
  <c r="J32" i="1"/>
  <c r="I32" i="1"/>
  <c r="K31" i="1"/>
  <c r="J31" i="1"/>
  <c r="F31" i="1"/>
  <c r="K30" i="1"/>
  <c r="J30" i="1"/>
  <c r="I30" i="1"/>
  <c r="F30" i="1"/>
  <c r="K29" i="1"/>
  <c r="J29" i="1"/>
  <c r="I29" i="1"/>
  <c r="F29" i="1"/>
  <c r="K28" i="1"/>
  <c r="J28" i="1"/>
  <c r="I28" i="1"/>
  <c r="F28" i="1"/>
  <c r="K27" i="1"/>
  <c r="J27" i="1"/>
  <c r="I27" i="1"/>
  <c r="F27" i="1"/>
  <c r="K26" i="1"/>
  <c r="J26" i="1"/>
  <c r="I26" i="1"/>
  <c r="F26" i="1"/>
  <c r="K25" i="1"/>
  <c r="J25" i="1"/>
  <c r="I25" i="1"/>
  <c r="F25" i="1"/>
  <c r="K24" i="1"/>
  <c r="J24" i="1"/>
  <c r="M27" i="1" s="1"/>
  <c r="I24" i="1"/>
  <c r="F24" i="1"/>
  <c r="L42" i="1" l="1"/>
  <c r="M35" i="1"/>
  <c r="L43" i="1"/>
  <c r="L35" i="1"/>
  <c r="L38" i="1"/>
  <c r="M38" i="1"/>
  <c r="L39" i="1"/>
  <c r="L36" i="1"/>
  <c r="M39" i="1"/>
  <c r="M40" i="1"/>
  <c r="M41" i="1"/>
  <c r="M42" i="1"/>
  <c r="M43" i="1"/>
  <c r="N40" i="1"/>
  <c r="N41" i="1"/>
  <c r="N42" i="1"/>
  <c r="N43" i="1"/>
  <c r="N38" i="1"/>
  <c r="N37" i="1"/>
  <c r="N39" i="1"/>
  <c r="M37" i="1"/>
  <c r="L40" i="1"/>
  <c r="L32" i="1"/>
  <c r="L30" i="1"/>
  <c r="L27" i="1"/>
  <c r="M26" i="1"/>
  <c r="L28" i="1"/>
  <c r="L25" i="1"/>
  <c r="M24" i="1"/>
  <c r="M25" i="1"/>
  <c r="L26" i="1"/>
  <c r="L29" i="1"/>
  <c r="L24" i="1"/>
  <c r="L19" i="1"/>
  <c r="M19" i="1"/>
  <c r="K19" i="1"/>
  <c r="J19" i="1"/>
  <c r="I19" i="1"/>
  <c r="F15" i="1"/>
  <c r="F16" i="1"/>
  <c r="F17" i="1"/>
  <c r="F18" i="1"/>
  <c r="F19" i="1"/>
  <c r="F14" i="1"/>
  <c r="F11" i="1" l="1"/>
  <c r="F4" i="1" l="1"/>
  <c r="F5" i="1"/>
  <c r="F6" i="1"/>
  <c r="F7" i="1"/>
  <c r="F8" i="1"/>
  <c r="F9" i="1"/>
  <c r="F10" i="1"/>
  <c r="K4" i="1"/>
  <c r="K5" i="1"/>
  <c r="K6" i="1"/>
  <c r="K7" i="1"/>
  <c r="K8" i="1"/>
  <c r="K9" i="1"/>
  <c r="K10" i="1"/>
  <c r="K3" i="1"/>
  <c r="F3" i="1"/>
  <c r="K18" i="1"/>
  <c r="L18" i="1"/>
  <c r="J18" i="1"/>
  <c r="M18" i="1" s="1"/>
  <c r="I17" i="1"/>
  <c r="I16" i="1"/>
  <c r="L16" i="1" s="1"/>
  <c r="I15" i="1"/>
  <c r="L15" i="1" s="1"/>
  <c r="M14" i="1"/>
  <c r="L14" i="1"/>
  <c r="I14" i="1"/>
  <c r="K17" i="1"/>
  <c r="J17" i="1"/>
  <c r="M17" i="1" s="1"/>
  <c r="L17" i="1"/>
  <c r="K16" i="1"/>
  <c r="J16" i="1"/>
  <c r="M16" i="1" s="1"/>
  <c r="K15" i="1"/>
  <c r="J15" i="1"/>
  <c r="M15" i="1" s="1"/>
  <c r="K14" i="1"/>
  <c r="J14" i="1"/>
  <c r="I5" i="1"/>
  <c r="L5" i="1" s="1"/>
  <c r="J5" i="1"/>
  <c r="M5" i="1"/>
  <c r="I6" i="1"/>
  <c r="L6" i="1" s="1"/>
  <c r="J6" i="1"/>
  <c r="M6" i="1" s="1"/>
  <c r="I7" i="1"/>
  <c r="J7" i="1"/>
  <c r="L7" i="1"/>
  <c r="I8" i="1"/>
  <c r="J8" i="1"/>
  <c r="L8" i="1"/>
  <c r="I9" i="1"/>
  <c r="L9" i="1" s="1"/>
  <c r="J9" i="1"/>
  <c r="I10" i="1"/>
  <c r="L10" i="1" s="1"/>
  <c r="J10" i="1"/>
  <c r="I11" i="1"/>
  <c r="L11" i="1" s="1"/>
  <c r="J11" i="1"/>
  <c r="K11" i="1"/>
  <c r="I4" i="1"/>
  <c r="J4" i="1"/>
  <c r="L4" i="1"/>
  <c r="M4" i="1"/>
  <c r="M3" i="1"/>
  <c r="L3" i="1"/>
  <c r="J3" i="1"/>
  <c r="I3" i="1"/>
</calcChain>
</file>

<file path=xl/sharedStrings.xml><?xml version="1.0" encoding="utf-8"?>
<sst xmlns="http://schemas.openxmlformats.org/spreadsheetml/2006/main" count="55" uniqueCount="19">
  <si>
    <t>Easy 1D</t>
  </si>
  <si>
    <t>MPI</t>
  </si>
  <si>
    <t>Flow</t>
  </si>
  <si>
    <t>Transport</t>
  </si>
  <si>
    <t>Flow/Tran
 Messages</t>
  </si>
  <si>
    <t>Chem</t>
  </si>
  <si>
    <t>Chem
Messages</t>
  </si>
  <si>
    <t>Chem w/o
Messages</t>
  </si>
  <si>
    <t>Chem w
Messages</t>
  </si>
  <si>
    <t>Total Time</t>
  </si>
  <si>
    <t>Chem w/o speedup</t>
  </si>
  <si>
    <t>Chem w speedup</t>
  </si>
  <si>
    <t>OpenMP</t>
  </si>
  <si>
    <r>
      <rPr>
        <sz val="12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transport</t>
    </r>
  </si>
  <si>
    <t>Medium 1D</t>
  </si>
  <si>
    <t>Hard 1D</t>
  </si>
  <si>
    <t>Standard matrix multiply:</t>
  </si>
  <si>
    <t>seconds</t>
  </si>
  <si>
    <t>Normalized chem w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</si>
</sst>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with messages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MPI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</c:numCache>
            </c:numRef>
          </c:xVal>
          <c:yVal>
            <c:numRef>
              <c:f>Sheet1!$M$3:$M$11</c:f>
              <c:numCache>
                <c:formatCode>0.00</c:formatCode>
                <c:ptCount val="9"/>
                <c:pt idx="0">
                  <c:v>1</c:v>
                </c:pt>
                <c:pt idx="1">
                  <c:v>1.9396612348687736</c:v>
                </c:pt>
                <c:pt idx="2">
                  <c:v>3.6771851094448227</c:v>
                </c:pt>
                <c:pt idx="3">
                  <c:v>7.2257712622469237</c:v>
                </c:pt>
                <c:pt idx="4">
                  <c:v>13.212239382000583</c:v>
                </c:pt>
                <c:pt idx="5">
                  <c:v>23.973228965014165</c:v>
                </c:pt>
                <c:pt idx="6">
                  <c:v>32.993968646227508</c:v>
                </c:pt>
                <c:pt idx="7">
                  <c:v>50.675961949043987</c:v>
                </c:pt>
                <c:pt idx="8">
                  <c:v>50.158362487966379</c:v>
                </c:pt>
              </c:numCache>
            </c:numRef>
          </c:yVal>
          <c:smooth val="0"/>
        </c:ser>
        <c:ser>
          <c:idx val="0"/>
          <c:order val="1"/>
          <c:tx>
            <c:v>OpenMP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17</c:v>
                </c:pt>
                <c:pt idx="6">
                  <c:v>32</c:v>
                </c:pt>
                <c:pt idx="7">
                  <c:v>64</c:v>
                </c:pt>
              </c:numCache>
            </c:numRef>
          </c:xVal>
          <c:yVal>
            <c:numRef>
              <c:f>Sheet1!$M$14:$M$21</c:f>
              <c:numCache>
                <c:formatCode>0.00</c:formatCode>
                <c:ptCount val="8"/>
                <c:pt idx="0">
                  <c:v>1</c:v>
                </c:pt>
                <c:pt idx="1">
                  <c:v>1.9101723961404795</c:v>
                </c:pt>
                <c:pt idx="2">
                  <c:v>3.6717779257890553</c:v>
                </c:pt>
                <c:pt idx="3">
                  <c:v>6.1842408855165587</c:v>
                </c:pt>
                <c:pt idx="4">
                  <c:v>8.3073861338394046</c:v>
                </c:pt>
                <c:pt idx="5">
                  <c:v>2.192155854657702</c:v>
                </c:pt>
                <c:pt idx="6">
                  <c:v>2.6429873182802353</c:v>
                </c:pt>
                <c:pt idx="7">
                  <c:v>1.3094867230381249</c:v>
                </c:pt>
              </c:numCache>
            </c:numRef>
          </c:yVal>
          <c:smooth val="0"/>
        </c:ser>
        <c:ser>
          <c:idx val="1"/>
          <c:order val="2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6038768"/>
        <c:axId val="-476038224"/>
      </c:scatterChart>
      <c:valAx>
        <c:axId val="-476038768"/>
        <c:scaling>
          <c:logBase val="2"/>
          <c:orientation val="minMax"/>
          <c:max val="25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038224"/>
        <c:crosses val="autoZero"/>
        <c:crossBetween val="midCat"/>
      </c:valAx>
      <c:valAx>
        <c:axId val="-4760382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03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with messages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yVal>
          <c:smooth val="0"/>
        </c:ser>
        <c:ser>
          <c:idx val="5"/>
          <c:order val="1"/>
          <c:tx>
            <c:v>Easy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Sheet1!$N$5:$N$11</c:f>
              <c:numCache>
                <c:formatCode>0.00</c:formatCode>
                <c:ptCount val="7"/>
                <c:pt idx="0">
                  <c:v>1</c:v>
                </c:pt>
                <c:pt idx="1">
                  <c:v>1.9650278806165029</c:v>
                </c:pt>
                <c:pt idx="2">
                  <c:v>3.5930308071967993</c:v>
                </c:pt>
                <c:pt idx="3">
                  <c:v>6.5194512246443903</c:v>
                </c:pt>
                <c:pt idx="4">
                  <c:v>8.9726156459958322</c:v>
                </c:pt>
                <c:pt idx="5">
                  <c:v>13.781183280352995</c:v>
                </c:pt>
                <c:pt idx="6">
                  <c:v>13.640423583554441</c:v>
                </c:pt>
              </c:numCache>
            </c:numRef>
          </c:yVal>
          <c:smooth val="0"/>
        </c:ser>
        <c:ser>
          <c:idx val="0"/>
          <c:order val="2"/>
          <c:tx>
            <c:v>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Sheet1!$B$26:$B$32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Sheet1!$N$26:$N$32</c:f>
              <c:numCache>
                <c:formatCode>0.00</c:formatCode>
                <c:ptCount val="7"/>
                <c:pt idx="0">
                  <c:v>1</c:v>
                </c:pt>
                <c:pt idx="1">
                  <c:v>1.8314352724510956</c:v>
                </c:pt>
                <c:pt idx="2">
                  <c:v>3.210475032551241</c:v>
                </c:pt>
                <c:pt idx="3">
                  <c:v>5.4475729519038305</c:v>
                </c:pt>
                <c:pt idx="4">
                  <c:v>8.4998424779811597</c:v>
                </c:pt>
                <c:pt idx="5">
                  <c:v>12.180760573701841</c:v>
                </c:pt>
                <c:pt idx="6">
                  <c:v>11.81877051417978</c:v>
                </c:pt>
              </c:numCache>
            </c:numRef>
          </c:yVal>
          <c:smooth val="0"/>
        </c:ser>
        <c:ser>
          <c:idx val="2"/>
          <c:order val="3"/>
          <c:tx>
            <c:v>Hard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Sheet1!$B$37:$B$43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Sheet1!$N$37:$N$43</c:f>
              <c:numCache>
                <c:formatCode>0.00</c:formatCode>
                <c:ptCount val="7"/>
                <c:pt idx="0">
                  <c:v>1</c:v>
                </c:pt>
                <c:pt idx="1">
                  <c:v>1.8629820144077587</c:v>
                </c:pt>
                <c:pt idx="2">
                  <c:v>3.3375761511239097</c:v>
                </c:pt>
                <c:pt idx="3">
                  <c:v>5.7368456370209451</c:v>
                </c:pt>
                <c:pt idx="4">
                  <c:v>9.6499884303024484</c:v>
                </c:pt>
                <c:pt idx="5">
                  <c:v>15.79272948384415</c:v>
                </c:pt>
                <c:pt idx="6">
                  <c:v>17.841318562832598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16146240"/>
        <c:axId val="-516145152"/>
      </c:scatterChart>
      <c:valAx>
        <c:axId val="-516146240"/>
        <c:scaling>
          <c:logBase val="2"/>
          <c:orientation val="minMax"/>
          <c:max val="256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6145152"/>
        <c:crosses val="autoZero"/>
        <c:crossBetween val="midCat"/>
      </c:valAx>
      <c:valAx>
        <c:axId val="-5161451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61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</xdr:row>
      <xdr:rowOff>60960</xdr:rowOff>
    </xdr:from>
    <xdr:to>
      <xdr:col>21</xdr:col>
      <xdr:colOff>365760</xdr:colOff>
      <xdr:row>12</xdr:row>
      <xdr:rowOff>426720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243840</xdr:colOff>
      <xdr:row>13</xdr:row>
      <xdr:rowOff>144780</xdr:rowOff>
    </xdr:from>
    <xdr:to>
      <xdr:col>23</xdr:col>
      <xdr:colOff>487680</xdr:colOff>
      <xdr:row>28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19" workbookViewId="0">
      <selection activeCell="O10" sqref="O10"/>
    </sheetView>
  </sheetViews>
  <sheetFormatPr defaultRowHeight="14.4" x14ac:dyDescent="0.3"/>
  <cols>
    <col min="1" max="1" width="10.33203125" customWidth="1"/>
    <col min="5" max="6" width="9.5546875" customWidth="1"/>
    <col min="7" max="7" width="9.5546875" bestFit="1" customWidth="1"/>
    <col min="9" max="9" width="9.77734375" customWidth="1"/>
    <col min="10" max="12" width="9.44140625" customWidth="1"/>
    <col min="15" max="15" width="11.21875" customWidth="1"/>
  </cols>
  <sheetData>
    <row r="1" spans="1:17" x14ac:dyDescent="0.3">
      <c r="A1" t="s">
        <v>16</v>
      </c>
      <c r="D1">
        <v>8.81</v>
      </c>
      <c r="E1" t="s">
        <v>17</v>
      </c>
    </row>
    <row r="2" spans="1:17" ht="57.6" x14ac:dyDescent="0.3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s="1" t="s">
        <v>13</v>
      </c>
      <c r="G2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O2" s="1" t="s">
        <v>18</v>
      </c>
    </row>
    <row r="3" spans="1:17" x14ac:dyDescent="0.3">
      <c r="B3">
        <v>1</v>
      </c>
      <c r="C3" s="2">
        <v>4.0999999999999996</v>
      </c>
      <c r="D3" s="2">
        <v>2694.46</v>
      </c>
      <c r="E3" s="2">
        <v>22.93</v>
      </c>
      <c r="F3" s="2">
        <f>E3+D3</f>
        <v>2717.39</v>
      </c>
      <c r="G3" s="2">
        <v>41617.19</v>
      </c>
      <c r="H3" s="2">
        <v>1106.7</v>
      </c>
      <c r="I3" s="2">
        <f>G3</f>
        <v>41617.19</v>
      </c>
      <c r="J3" s="2">
        <f>H3+G3</f>
        <v>42723.89</v>
      </c>
      <c r="K3" s="2">
        <f>H3+G3+E3+D3+C3</f>
        <v>45445.38</v>
      </c>
      <c r="L3" s="2">
        <f>$I$3/I3</f>
        <v>1</v>
      </c>
      <c r="M3" s="2">
        <f>$J$3/J3</f>
        <v>1</v>
      </c>
      <c r="O3">
        <f>J3/8.81</f>
        <v>4849.4767309875142</v>
      </c>
    </row>
    <row r="4" spans="1:17" x14ac:dyDescent="0.3">
      <c r="B4">
        <v>2</v>
      </c>
      <c r="C4" s="2">
        <v>3.98</v>
      </c>
      <c r="D4" s="2">
        <v>1337</v>
      </c>
      <c r="E4" s="2">
        <v>388.16</v>
      </c>
      <c r="F4" s="2">
        <f t="shared" ref="F4:F10" si="0">E4+D4</f>
        <v>1725.16</v>
      </c>
      <c r="G4" s="2">
        <v>21398.61</v>
      </c>
      <c r="H4" s="2">
        <v>627.86</v>
      </c>
      <c r="I4" s="2">
        <f>G4</f>
        <v>21398.61</v>
      </c>
      <c r="J4" s="2">
        <f>H4+G4</f>
        <v>22026.47</v>
      </c>
      <c r="K4" s="2">
        <f t="shared" ref="K4:K10" si="1">H4+G4+E4+D4+C4</f>
        <v>23755.61</v>
      </c>
      <c r="L4" s="2">
        <f>$I$3/I4</f>
        <v>1.9448548293557386</v>
      </c>
      <c r="M4" s="2">
        <f>$J$3/J4</f>
        <v>1.9396612348687736</v>
      </c>
      <c r="O4">
        <f t="shared" ref="O4:O11" si="2">J4/8.81</f>
        <v>2500.1668558456299</v>
      </c>
    </row>
    <row r="5" spans="1:17" x14ac:dyDescent="0.3">
      <c r="A5">
        <f>B5/$B$5</f>
        <v>1</v>
      </c>
      <c r="B5">
        <v>4</v>
      </c>
      <c r="C5" s="2">
        <v>4.3899999999999997</v>
      </c>
      <c r="D5" s="2">
        <v>566.05999999999995</v>
      </c>
      <c r="E5" s="2">
        <v>487.95</v>
      </c>
      <c r="F5" s="2">
        <f t="shared" si="0"/>
        <v>1054.01</v>
      </c>
      <c r="G5" s="2">
        <v>11174.78</v>
      </c>
      <c r="H5" s="2">
        <v>443.86</v>
      </c>
      <c r="I5" s="2">
        <f t="shared" ref="I5:I11" si="3">G5</f>
        <v>11174.78</v>
      </c>
      <c r="J5" s="2">
        <f t="shared" ref="J5:J11" si="4">H5+G5</f>
        <v>11618.640000000001</v>
      </c>
      <c r="K5" s="2">
        <f t="shared" si="1"/>
        <v>12677.04</v>
      </c>
      <c r="L5" s="2">
        <f t="shared" ref="L5:L11" si="5">$I$3/I5</f>
        <v>3.724206651048164</v>
      </c>
      <c r="M5" s="2">
        <f t="shared" ref="M5:M10" si="6">$J$3/J5</f>
        <v>3.6771851094448227</v>
      </c>
      <c r="N5" s="2">
        <f>$J$5/J5</f>
        <v>1</v>
      </c>
      <c r="O5">
        <f t="shared" si="2"/>
        <v>1318.8013620885358</v>
      </c>
    </row>
    <row r="6" spans="1:17" x14ac:dyDescent="0.3">
      <c r="A6">
        <f t="shared" ref="A6:A11" si="7">B6/$B$5</f>
        <v>2</v>
      </c>
      <c r="B6">
        <v>8</v>
      </c>
      <c r="C6" s="2">
        <v>4</v>
      </c>
      <c r="D6" s="2">
        <v>87.74</v>
      </c>
      <c r="E6" s="2">
        <v>598.04999999999995</v>
      </c>
      <c r="F6" s="2">
        <f t="shared" si="0"/>
        <v>685.79</v>
      </c>
      <c r="G6" s="2">
        <v>5598.69</v>
      </c>
      <c r="H6" s="2">
        <v>314.02</v>
      </c>
      <c r="I6" s="2">
        <f t="shared" si="3"/>
        <v>5598.69</v>
      </c>
      <c r="J6" s="2">
        <f t="shared" si="4"/>
        <v>5912.7099999999991</v>
      </c>
      <c r="K6" s="2">
        <f t="shared" si="1"/>
        <v>6602.4999999999991</v>
      </c>
      <c r="L6" s="2">
        <f t="shared" si="5"/>
        <v>7.4333799513814851</v>
      </c>
      <c r="M6" s="2">
        <f t="shared" si="6"/>
        <v>7.2257712622469237</v>
      </c>
      <c r="N6" s="2">
        <f t="shared" ref="N6:N11" si="8">$J$5/J6</f>
        <v>1.9650278806165029</v>
      </c>
      <c r="O6">
        <f t="shared" si="2"/>
        <v>671.13620885357534</v>
      </c>
    </row>
    <row r="7" spans="1:17" x14ac:dyDescent="0.3">
      <c r="A7">
        <f t="shared" si="7"/>
        <v>4</v>
      </c>
      <c r="B7">
        <v>16</v>
      </c>
      <c r="C7" s="2">
        <v>5.63</v>
      </c>
      <c r="D7" s="2">
        <v>124.82</v>
      </c>
      <c r="E7" s="2">
        <v>596.51</v>
      </c>
      <c r="F7" s="2">
        <f t="shared" si="0"/>
        <v>721.32999999999993</v>
      </c>
      <c r="G7" s="2">
        <v>2925.42</v>
      </c>
      <c r="H7" s="2">
        <v>308.24</v>
      </c>
      <c r="I7" s="2">
        <f t="shared" si="3"/>
        <v>2925.42</v>
      </c>
      <c r="J7" s="2">
        <f t="shared" si="4"/>
        <v>3233.66</v>
      </c>
      <c r="K7" s="2">
        <f t="shared" si="1"/>
        <v>3960.6200000000003</v>
      </c>
      <c r="L7" s="2">
        <f t="shared" si="5"/>
        <v>14.226056429504141</v>
      </c>
      <c r="M7" s="2">
        <f t="shared" si="6"/>
        <v>13.212239382000583</v>
      </c>
      <c r="N7" s="2">
        <f t="shared" si="8"/>
        <v>3.5930308071967993</v>
      </c>
      <c r="O7">
        <f t="shared" si="2"/>
        <v>367.04426787741198</v>
      </c>
    </row>
    <row r="8" spans="1:17" x14ac:dyDescent="0.3">
      <c r="A8">
        <f t="shared" si="7"/>
        <v>8</v>
      </c>
      <c r="B8">
        <v>32</v>
      </c>
      <c r="C8" s="2">
        <v>1.92</v>
      </c>
      <c r="D8" s="2">
        <v>181.37</v>
      </c>
      <c r="E8" s="2">
        <v>551.03</v>
      </c>
      <c r="F8" s="2">
        <f t="shared" si="0"/>
        <v>732.4</v>
      </c>
      <c r="G8" s="2">
        <v>1561.23</v>
      </c>
      <c r="H8" s="2">
        <v>220.92</v>
      </c>
      <c r="I8" s="2">
        <f t="shared" si="3"/>
        <v>1561.23</v>
      </c>
      <c r="J8" s="2">
        <f t="shared" si="4"/>
        <v>1782.15</v>
      </c>
      <c r="K8" s="2">
        <f t="shared" si="1"/>
        <v>2516.4700000000003</v>
      </c>
      <c r="L8" s="2">
        <f t="shared" si="5"/>
        <v>26.656668139864081</v>
      </c>
      <c r="M8" s="2">
        <f t="shared" si="6"/>
        <v>23.973228965014165</v>
      </c>
      <c r="N8" s="2">
        <f t="shared" si="8"/>
        <v>6.5194512246443903</v>
      </c>
      <c r="O8">
        <f t="shared" si="2"/>
        <v>202.28717366628831</v>
      </c>
    </row>
    <row r="9" spans="1:17" x14ac:dyDescent="0.3">
      <c r="A9">
        <f t="shared" si="7"/>
        <v>16</v>
      </c>
      <c r="B9">
        <v>64</v>
      </c>
      <c r="C9" s="2">
        <v>1.1399999999999999</v>
      </c>
      <c r="D9" s="2">
        <v>326.85000000000002</v>
      </c>
      <c r="E9" s="2">
        <v>550.83000000000004</v>
      </c>
      <c r="F9" s="2">
        <f t="shared" si="0"/>
        <v>877.68000000000006</v>
      </c>
      <c r="G9" s="2">
        <v>1032.0999999999999</v>
      </c>
      <c r="H9" s="2">
        <v>262.8</v>
      </c>
      <c r="I9" s="2">
        <f t="shared" si="3"/>
        <v>1032.0999999999999</v>
      </c>
      <c r="J9" s="2">
        <f t="shared" si="4"/>
        <v>1294.8999999999999</v>
      </c>
      <c r="K9" s="2">
        <f t="shared" si="1"/>
        <v>2173.7199999999998</v>
      </c>
      <c r="L9" s="2">
        <f t="shared" si="5"/>
        <v>40.322827245421962</v>
      </c>
      <c r="M9" s="2">
        <f t="shared" si="6"/>
        <v>32.993968646227508</v>
      </c>
      <c r="N9" s="2">
        <f t="shared" si="8"/>
        <v>8.9726156459958322</v>
      </c>
      <c r="O9">
        <f t="shared" si="2"/>
        <v>146.98070374574345</v>
      </c>
    </row>
    <row r="10" spans="1:17" x14ac:dyDescent="0.3">
      <c r="A10">
        <f t="shared" si="7"/>
        <v>32</v>
      </c>
      <c r="B10">
        <v>128</v>
      </c>
      <c r="C10" s="2">
        <v>1.06</v>
      </c>
      <c r="D10" s="2">
        <v>61.5</v>
      </c>
      <c r="E10" s="2">
        <v>530.94000000000005</v>
      </c>
      <c r="F10" s="2">
        <f t="shared" si="0"/>
        <v>592.44000000000005</v>
      </c>
      <c r="G10" s="2">
        <v>565.16999999999996</v>
      </c>
      <c r="H10" s="2">
        <v>277.91000000000003</v>
      </c>
      <c r="I10" s="2">
        <f t="shared" si="3"/>
        <v>565.16999999999996</v>
      </c>
      <c r="J10" s="2">
        <f t="shared" si="4"/>
        <v>843.07999999999993</v>
      </c>
      <c r="K10" s="2">
        <f t="shared" si="1"/>
        <v>1436.58</v>
      </c>
      <c r="L10" s="2">
        <f t="shared" si="5"/>
        <v>73.636587221543977</v>
      </c>
      <c r="M10" s="2">
        <f t="shared" si="6"/>
        <v>50.675961949043987</v>
      </c>
      <c r="N10" s="2">
        <f t="shared" si="8"/>
        <v>13.781183280352995</v>
      </c>
      <c r="O10">
        <f t="shared" si="2"/>
        <v>95.695800227014743</v>
      </c>
    </row>
    <row r="11" spans="1:17" x14ac:dyDescent="0.3">
      <c r="A11">
        <f t="shared" si="7"/>
        <v>48</v>
      </c>
      <c r="B11">
        <v>192</v>
      </c>
      <c r="C11" s="2">
        <v>1.68</v>
      </c>
      <c r="D11" s="2">
        <v>48.21</v>
      </c>
      <c r="E11" s="2">
        <v>587.71</v>
      </c>
      <c r="F11" s="2">
        <f t="shared" ref="F11" si="9">E11+D11</f>
        <v>635.92000000000007</v>
      </c>
      <c r="G11" s="2">
        <v>499</v>
      </c>
      <c r="H11" s="2">
        <v>352.78</v>
      </c>
      <c r="I11" s="2">
        <f t="shared" si="3"/>
        <v>499</v>
      </c>
      <c r="J11" s="2">
        <f t="shared" si="4"/>
        <v>851.78</v>
      </c>
      <c r="K11" s="2">
        <f t="shared" ref="K11" si="10">SUM(C11:H11)</f>
        <v>2125.3000000000002</v>
      </c>
      <c r="L11" s="2">
        <f t="shared" si="5"/>
        <v>83.401182364729465</v>
      </c>
      <c r="M11" s="2">
        <f>$J$3/J11</f>
        <v>50.158362487966379</v>
      </c>
      <c r="N11" s="2">
        <f t="shared" si="8"/>
        <v>13.640423583554441</v>
      </c>
      <c r="O11">
        <f t="shared" si="2"/>
        <v>96.683314415436996</v>
      </c>
    </row>
    <row r="13" spans="1:17" ht="43.2" x14ac:dyDescent="0.3">
      <c r="A13" t="s">
        <v>0</v>
      </c>
      <c r="B13" t="s">
        <v>12</v>
      </c>
      <c r="C13" t="s">
        <v>2</v>
      </c>
      <c r="D13" t="s">
        <v>3</v>
      </c>
      <c r="E13" s="1" t="s">
        <v>4</v>
      </c>
      <c r="F13" s="1" t="s">
        <v>13</v>
      </c>
      <c r="G13" t="s">
        <v>5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10</v>
      </c>
      <c r="M13" s="1" t="s">
        <v>11</v>
      </c>
    </row>
    <row r="14" spans="1:17" x14ac:dyDescent="0.3">
      <c r="B14">
        <v>1</v>
      </c>
      <c r="C14" s="2">
        <v>3.25</v>
      </c>
      <c r="D14" s="2">
        <v>3790.75</v>
      </c>
      <c r="E14" s="2">
        <v>24.38</v>
      </c>
      <c r="F14" s="2">
        <f>E14+D14</f>
        <v>3815.13</v>
      </c>
      <c r="G14" s="2">
        <v>41304.5</v>
      </c>
      <c r="H14" s="2">
        <v>1108</v>
      </c>
      <c r="I14" s="2">
        <f t="shared" ref="I14:I21" si="11">G14</f>
        <v>41304.5</v>
      </c>
      <c r="J14" s="2">
        <f>H14+G14</f>
        <v>42412.5</v>
      </c>
      <c r="K14" s="2">
        <f>SUM(C14:H14)</f>
        <v>50046.01</v>
      </c>
      <c r="L14" s="2">
        <f>$I$14/I14</f>
        <v>1</v>
      </c>
      <c r="M14" s="2">
        <f>$J$14/J14</f>
        <v>1</v>
      </c>
      <c r="O14">
        <f>J14/8.81</f>
        <v>4814.1316685584561</v>
      </c>
    </row>
    <row r="15" spans="1:17" x14ac:dyDescent="0.3">
      <c r="B15">
        <v>2</v>
      </c>
      <c r="C15" s="2">
        <v>2.5</v>
      </c>
      <c r="D15" s="2">
        <v>2399.63</v>
      </c>
      <c r="E15" s="2">
        <v>17.63</v>
      </c>
      <c r="F15" s="2">
        <f t="shared" ref="F15:F21" si="12">E15+D15</f>
        <v>2417.2600000000002</v>
      </c>
      <c r="G15" s="2">
        <v>21521.13</v>
      </c>
      <c r="H15" s="2">
        <v>845.38</v>
      </c>
      <c r="I15" s="2">
        <f t="shared" si="11"/>
        <v>21521.13</v>
      </c>
      <c r="J15" s="2">
        <f>H15+G15</f>
        <v>22366.510000000002</v>
      </c>
      <c r="K15" s="2">
        <f>SUM(C15:H15)</f>
        <v>27203.530000000002</v>
      </c>
      <c r="L15" s="2">
        <f>$I$3/I15</f>
        <v>1.9337827521138529</v>
      </c>
      <c r="M15" s="2">
        <f t="shared" ref="M15:M18" si="13">$J$3/J15</f>
        <v>1.9101723961404795</v>
      </c>
      <c r="O15">
        <f t="shared" ref="O15:O21" si="14">J15/8.81</f>
        <v>2538.7639046538025</v>
      </c>
      <c r="P15" s="3"/>
    </row>
    <row r="16" spans="1:17" x14ac:dyDescent="0.3">
      <c r="B16">
        <v>4</v>
      </c>
      <c r="C16" s="2">
        <v>1.5</v>
      </c>
      <c r="D16" s="2">
        <v>1533.38</v>
      </c>
      <c r="E16" s="2">
        <v>19.63</v>
      </c>
      <c r="F16" s="2">
        <f t="shared" si="12"/>
        <v>1553.0100000000002</v>
      </c>
      <c r="G16" s="2">
        <v>10877.25</v>
      </c>
      <c r="H16" s="2">
        <v>758.5</v>
      </c>
      <c r="I16" s="2">
        <f t="shared" si="11"/>
        <v>10877.25</v>
      </c>
      <c r="J16" s="2">
        <f t="shared" ref="J16:J21" si="15">H16+G16</f>
        <v>11635.75</v>
      </c>
      <c r="K16" s="2">
        <f t="shared" ref="K16:K17" si="16">SUM(C16:H16)</f>
        <v>14743.27</v>
      </c>
      <c r="L16" s="2">
        <f t="shared" ref="L16:L17" si="17">$I$3/I16</f>
        <v>3.8260764439541246</v>
      </c>
      <c r="M16" s="2">
        <f t="shared" si="13"/>
        <v>3.6717779257890553</v>
      </c>
      <c r="O16">
        <f t="shared" si="14"/>
        <v>1320.743473325766</v>
      </c>
      <c r="Q16" s="3"/>
    </row>
    <row r="17" spans="1:15" x14ac:dyDescent="0.3">
      <c r="B17">
        <v>8</v>
      </c>
      <c r="C17" s="2">
        <v>8.75</v>
      </c>
      <c r="D17" s="2">
        <v>1976.38</v>
      </c>
      <c r="E17" s="2">
        <v>67.63</v>
      </c>
      <c r="F17" s="2">
        <f t="shared" si="12"/>
        <v>2044.0100000000002</v>
      </c>
      <c r="G17" s="2">
        <v>5946.63</v>
      </c>
      <c r="H17" s="2">
        <v>961.88</v>
      </c>
      <c r="I17" s="2">
        <f t="shared" si="11"/>
        <v>5946.63</v>
      </c>
      <c r="J17" s="2">
        <f t="shared" si="15"/>
        <v>6908.51</v>
      </c>
      <c r="K17" s="2">
        <f t="shared" si="16"/>
        <v>11005.28</v>
      </c>
      <c r="L17" s="2">
        <f t="shared" si="17"/>
        <v>6.9984495420095083</v>
      </c>
      <c r="M17" s="2">
        <f t="shared" si="13"/>
        <v>6.1842408855165587</v>
      </c>
      <c r="O17">
        <f t="shared" si="14"/>
        <v>784.16685584562993</v>
      </c>
    </row>
    <row r="18" spans="1:15" x14ac:dyDescent="0.3">
      <c r="B18">
        <v>16</v>
      </c>
      <c r="C18" s="2">
        <v>2.44</v>
      </c>
      <c r="D18" s="2">
        <v>1426.63</v>
      </c>
      <c r="E18" s="2">
        <v>33.22</v>
      </c>
      <c r="F18" s="2">
        <f t="shared" si="12"/>
        <v>1459.8500000000001</v>
      </c>
      <c r="G18" s="2">
        <v>3442.97</v>
      </c>
      <c r="H18" s="2">
        <v>1699.91</v>
      </c>
      <c r="I18" s="2">
        <f t="shared" si="11"/>
        <v>3442.97</v>
      </c>
      <c r="J18" s="2">
        <f t="shared" si="15"/>
        <v>5142.88</v>
      </c>
      <c r="K18" s="2">
        <f>SUM(C18:H18)</f>
        <v>8065.02</v>
      </c>
      <c r="L18" s="2">
        <f>$I$3/I18</f>
        <v>12.087584265909957</v>
      </c>
      <c r="M18" s="2">
        <f t="shared" si="13"/>
        <v>8.3073861338394046</v>
      </c>
      <c r="O18">
        <f t="shared" si="14"/>
        <v>583.75482406356412</v>
      </c>
    </row>
    <row r="19" spans="1:15" x14ac:dyDescent="0.3">
      <c r="B19">
        <v>17</v>
      </c>
      <c r="C19" s="2">
        <v>3.69</v>
      </c>
      <c r="D19" s="2">
        <v>6538.38</v>
      </c>
      <c r="E19" s="2">
        <v>33.380000000000003</v>
      </c>
      <c r="F19" s="2">
        <f t="shared" si="12"/>
        <v>6571.76</v>
      </c>
      <c r="G19" s="2">
        <v>11432</v>
      </c>
      <c r="H19" s="2">
        <v>8057.44</v>
      </c>
      <c r="I19" s="2">
        <f t="shared" si="11"/>
        <v>11432</v>
      </c>
      <c r="J19" s="2">
        <f t="shared" si="15"/>
        <v>19489.439999999999</v>
      </c>
      <c r="K19" s="2">
        <f>SUM(C19:H19)</f>
        <v>32636.649999999998</v>
      </c>
      <c r="L19" s="2">
        <f>$I$3/I19</f>
        <v>3.6404120013995804</v>
      </c>
      <c r="M19" s="2">
        <f t="shared" ref="M19:M21" si="18">$J$3/J19</f>
        <v>2.192155854657702</v>
      </c>
      <c r="O19">
        <f t="shared" si="14"/>
        <v>2212.1952326901246</v>
      </c>
    </row>
    <row r="20" spans="1:15" x14ac:dyDescent="0.3">
      <c r="B20">
        <v>32</v>
      </c>
      <c r="C20" s="2">
        <v>4</v>
      </c>
      <c r="D20" s="2">
        <v>6687.75</v>
      </c>
      <c r="E20" s="2">
        <v>43.13</v>
      </c>
      <c r="F20" s="2">
        <f t="shared" si="12"/>
        <v>6730.88</v>
      </c>
      <c r="G20" s="2">
        <v>7414.25</v>
      </c>
      <c r="H20" s="2">
        <v>8750.75</v>
      </c>
      <c r="I20" s="2">
        <f t="shared" si="11"/>
        <v>7414.25</v>
      </c>
      <c r="J20" s="2">
        <f t="shared" si="15"/>
        <v>16165</v>
      </c>
      <c r="K20" s="2">
        <f>SUM(C20:H20)</f>
        <v>29630.760000000002</v>
      </c>
      <c r="L20" s="2">
        <f>$I$3/I20</f>
        <v>5.6131355160670333</v>
      </c>
      <c r="M20" s="2">
        <f t="shared" si="18"/>
        <v>2.6429873182802353</v>
      </c>
      <c r="O20">
        <f t="shared" si="14"/>
        <v>1834.8467650397274</v>
      </c>
    </row>
    <row r="21" spans="1:15" x14ac:dyDescent="0.3">
      <c r="B21">
        <v>64</v>
      </c>
      <c r="C21" s="2">
        <v>10.63</v>
      </c>
      <c r="D21" s="2">
        <v>10673.88</v>
      </c>
      <c r="E21" s="2">
        <v>105.63</v>
      </c>
      <c r="F21" s="2">
        <f t="shared" si="12"/>
        <v>10779.509999999998</v>
      </c>
      <c r="G21" s="2">
        <v>11745.56</v>
      </c>
      <c r="H21" s="2">
        <v>20880.88</v>
      </c>
      <c r="I21" s="2">
        <f t="shared" si="11"/>
        <v>11745.56</v>
      </c>
      <c r="J21" s="2">
        <f t="shared" si="15"/>
        <v>32626.440000000002</v>
      </c>
      <c r="K21" s="2">
        <f>SUM(C21:H21)</f>
        <v>54196.09</v>
      </c>
      <c r="L21" s="2">
        <f>$I$3/I21</f>
        <v>3.5432273982679416</v>
      </c>
      <c r="M21" s="2">
        <f t="shared" si="18"/>
        <v>1.3094867230381249</v>
      </c>
      <c r="O21">
        <f t="shared" si="14"/>
        <v>3703.3416572077185</v>
      </c>
    </row>
    <row r="22" spans="1:15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ht="43.2" x14ac:dyDescent="0.3">
      <c r="A23" t="s">
        <v>14</v>
      </c>
      <c r="B23" t="s">
        <v>1</v>
      </c>
      <c r="C23" t="s">
        <v>2</v>
      </c>
      <c r="D23" t="s">
        <v>3</v>
      </c>
      <c r="E23" s="1" t="s">
        <v>4</v>
      </c>
      <c r="F23" s="1" t="s">
        <v>13</v>
      </c>
      <c r="G23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 t="s">
        <v>10</v>
      </c>
      <c r="M23" s="1" t="s">
        <v>11</v>
      </c>
    </row>
    <row r="24" spans="1:15" x14ac:dyDescent="0.3">
      <c r="B24">
        <v>1</v>
      </c>
      <c r="C24" s="2">
        <v>3.78</v>
      </c>
      <c r="D24" s="2">
        <v>2630.7</v>
      </c>
      <c r="E24" s="2">
        <v>19.899999999999999</v>
      </c>
      <c r="F24" s="2">
        <f>E24+D24</f>
        <v>2650.6</v>
      </c>
      <c r="G24" s="2">
        <v>65326.559999999998</v>
      </c>
      <c r="H24" s="2">
        <v>1117.6199999999999</v>
      </c>
      <c r="I24" s="2">
        <f>G24</f>
        <v>65326.559999999998</v>
      </c>
      <c r="J24" s="2">
        <f>H24+G24</f>
        <v>66444.179999999993</v>
      </c>
      <c r="K24" s="2">
        <f>H24+G24+E24+D24+C24</f>
        <v>69098.559999999983</v>
      </c>
      <c r="L24" s="2">
        <f>$I$24/I24</f>
        <v>1</v>
      </c>
      <c r="M24" s="2">
        <f>$J$24/J24</f>
        <v>1</v>
      </c>
    </row>
    <row r="25" spans="1:15" x14ac:dyDescent="0.3">
      <c r="B25">
        <v>2</v>
      </c>
      <c r="C25" s="2">
        <v>4.49</v>
      </c>
      <c r="D25" s="2">
        <v>1316.61</v>
      </c>
      <c r="E25" s="2">
        <v>349.21</v>
      </c>
      <c r="F25" s="2">
        <f t="shared" ref="F25:F32" si="19">E25+D25</f>
        <v>1665.82</v>
      </c>
      <c r="G25" s="2">
        <v>34024.86</v>
      </c>
      <c r="H25" s="2">
        <v>675.71</v>
      </c>
      <c r="I25" s="2">
        <f>G25</f>
        <v>34024.86</v>
      </c>
      <c r="J25" s="2">
        <f>H25+G25</f>
        <v>34700.57</v>
      </c>
      <c r="K25" s="2">
        <f t="shared" ref="K25:K31" si="20">H25+G25+E25+D25+C25</f>
        <v>36370.879999999997</v>
      </c>
      <c r="L25" s="2">
        <f t="shared" ref="L25:L32" si="21">$I$24/I25</f>
        <v>1.9199655781096527</v>
      </c>
      <c r="M25" s="2">
        <f t="shared" ref="M25:M32" si="22">$J$24/J25</f>
        <v>1.9147864141712945</v>
      </c>
    </row>
    <row r="26" spans="1:15" x14ac:dyDescent="0.3">
      <c r="B26">
        <v>4</v>
      </c>
      <c r="C26" s="2">
        <v>4.5599999999999996</v>
      </c>
      <c r="D26" s="2">
        <v>553.30999999999995</v>
      </c>
      <c r="E26" s="2">
        <v>476.04</v>
      </c>
      <c r="F26" s="2">
        <f t="shared" si="19"/>
        <v>1029.3499999999999</v>
      </c>
      <c r="G26" s="2">
        <v>18121.14</v>
      </c>
      <c r="H26" s="2">
        <v>494.96</v>
      </c>
      <c r="I26" s="2">
        <f t="shared" ref="I26:I32" si="23">G26</f>
        <v>18121.14</v>
      </c>
      <c r="J26" s="2">
        <f t="shared" ref="J26:J32" si="24">H26+G26</f>
        <v>18616.099999999999</v>
      </c>
      <c r="K26" s="2">
        <f t="shared" si="20"/>
        <v>19650.010000000002</v>
      </c>
      <c r="L26" s="2">
        <f t="shared" si="21"/>
        <v>3.6049917389303321</v>
      </c>
      <c r="M26" s="2">
        <f t="shared" si="22"/>
        <v>3.5691782919086168</v>
      </c>
      <c r="N26" s="2">
        <f>$J$26/J26</f>
        <v>1</v>
      </c>
    </row>
    <row r="27" spans="1:15" x14ac:dyDescent="0.3">
      <c r="B27">
        <v>8</v>
      </c>
      <c r="C27" s="2">
        <v>4.59</v>
      </c>
      <c r="D27" s="2">
        <v>89.4</v>
      </c>
      <c r="E27" s="2">
        <v>609.38</v>
      </c>
      <c r="F27" s="2">
        <f t="shared" si="19"/>
        <v>698.78</v>
      </c>
      <c r="G27" s="2">
        <v>9847.83</v>
      </c>
      <c r="H27" s="2">
        <v>316.93</v>
      </c>
      <c r="I27" s="2">
        <f t="shared" si="23"/>
        <v>9847.83</v>
      </c>
      <c r="J27" s="2">
        <f t="shared" si="24"/>
        <v>10164.76</v>
      </c>
      <c r="K27" s="2">
        <f t="shared" si="20"/>
        <v>10868.13</v>
      </c>
      <c r="L27" s="2">
        <f t="shared" si="21"/>
        <v>6.633599483337953</v>
      </c>
      <c r="M27" s="2">
        <f t="shared" si="22"/>
        <v>6.5367190174681928</v>
      </c>
      <c r="N27" s="2">
        <f t="shared" ref="N27:N32" si="25">$J$26/J27</f>
        <v>1.8314352724510956</v>
      </c>
    </row>
    <row r="28" spans="1:15" x14ac:dyDescent="0.3">
      <c r="B28">
        <v>16</v>
      </c>
      <c r="C28" s="2">
        <v>5.63</v>
      </c>
      <c r="D28" s="2">
        <v>121.17</v>
      </c>
      <c r="E28" s="2">
        <v>610.03</v>
      </c>
      <c r="F28" s="2">
        <f t="shared" si="19"/>
        <v>731.19999999999993</v>
      </c>
      <c r="G28" s="2">
        <v>5489.39</v>
      </c>
      <c r="H28" s="2">
        <v>309.16000000000003</v>
      </c>
      <c r="I28" s="2">
        <f t="shared" si="23"/>
        <v>5489.39</v>
      </c>
      <c r="J28" s="2">
        <f t="shared" si="24"/>
        <v>5798.55</v>
      </c>
      <c r="K28" s="2">
        <f t="shared" si="20"/>
        <v>6535.38</v>
      </c>
      <c r="L28" s="2">
        <f t="shared" si="21"/>
        <v>11.90051353611239</v>
      </c>
      <c r="M28" s="2">
        <f t="shared" si="22"/>
        <v>11.458757792896499</v>
      </c>
      <c r="N28" s="2">
        <f t="shared" si="25"/>
        <v>3.210475032551241</v>
      </c>
    </row>
    <row r="29" spans="1:15" x14ac:dyDescent="0.3">
      <c r="B29">
        <v>32</v>
      </c>
      <c r="C29" s="2">
        <v>3.31</v>
      </c>
      <c r="D29" s="2">
        <v>191.77</v>
      </c>
      <c r="E29" s="2">
        <v>572.22</v>
      </c>
      <c r="F29" s="2">
        <f t="shared" si="19"/>
        <v>763.99</v>
      </c>
      <c r="G29" s="2">
        <v>3196.4</v>
      </c>
      <c r="H29" s="2">
        <v>220.92</v>
      </c>
      <c r="I29" s="2">
        <f t="shared" si="23"/>
        <v>3196.4</v>
      </c>
      <c r="J29" s="2">
        <f t="shared" si="24"/>
        <v>3417.32</v>
      </c>
      <c r="K29" s="2">
        <f t="shared" si="20"/>
        <v>4184.6200000000008</v>
      </c>
      <c r="L29" s="2">
        <f t="shared" si="21"/>
        <v>20.437542235014391</v>
      </c>
      <c r="M29" s="2">
        <f t="shared" si="22"/>
        <v>19.443359123523695</v>
      </c>
      <c r="N29" s="2">
        <f t="shared" si="25"/>
        <v>5.4475729519038305</v>
      </c>
    </row>
    <row r="30" spans="1:15" x14ac:dyDescent="0.3">
      <c r="B30">
        <v>64</v>
      </c>
      <c r="C30" s="2">
        <v>1</v>
      </c>
      <c r="D30" s="2">
        <v>356.63</v>
      </c>
      <c r="E30" s="2">
        <v>531.79</v>
      </c>
      <c r="F30" s="2">
        <f t="shared" si="19"/>
        <v>888.42</v>
      </c>
      <c r="G30" s="2">
        <v>1917.8</v>
      </c>
      <c r="H30" s="2">
        <v>272.37</v>
      </c>
      <c r="I30" s="2">
        <f t="shared" si="23"/>
        <v>1917.8</v>
      </c>
      <c r="J30" s="2">
        <f t="shared" si="24"/>
        <v>2190.17</v>
      </c>
      <c r="K30" s="2">
        <f t="shared" si="20"/>
        <v>3079.59</v>
      </c>
      <c r="L30" s="2">
        <f t="shared" si="21"/>
        <v>34.063280842632182</v>
      </c>
      <c r="M30" s="2">
        <f t="shared" si="22"/>
        <v>30.337453257053102</v>
      </c>
      <c r="N30" s="2">
        <f t="shared" si="25"/>
        <v>8.4998424779811597</v>
      </c>
    </row>
    <row r="31" spans="1:15" x14ac:dyDescent="0.3">
      <c r="B31">
        <v>128</v>
      </c>
      <c r="C31" s="2">
        <v>1.36</v>
      </c>
      <c r="D31" s="2">
        <v>51.01</v>
      </c>
      <c r="E31" s="2">
        <v>549.41999999999996</v>
      </c>
      <c r="F31" s="2">
        <f t="shared" si="19"/>
        <v>600.42999999999995</v>
      </c>
      <c r="G31" s="2">
        <v>1210.3800000000001</v>
      </c>
      <c r="H31" s="2">
        <v>317.94</v>
      </c>
      <c r="I31" s="2">
        <f t="shared" si="23"/>
        <v>1210.3800000000001</v>
      </c>
      <c r="J31" s="2">
        <f t="shared" si="24"/>
        <v>1528.3200000000002</v>
      </c>
      <c r="K31" s="2">
        <f t="shared" si="20"/>
        <v>2130.1100000000006</v>
      </c>
      <c r="L31" s="2">
        <f t="shared" si="21"/>
        <v>53.971942695682344</v>
      </c>
      <c r="M31" s="2">
        <f t="shared" si="22"/>
        <v>43.475306218592955</v>
      </c>
      <c r="N31" s="2">
        <f t="shared" si="25"/>
        <v>12.180760573701841</v>
      </c>
    </row>
    <row r="32" spans="1:15" x14ac:dyDescent="0.3">
      <c r="B32">
        <v>192</v>
      </c>
      <c r="C32" s="2">
        <v>1.57</v>
      </c>
      <c r="D32" s="2">
        <v>46.28</v>
      </c>
      <c r="E32" s="2">
        <v>676.9</v>
      </c>
      <c r="F32" s="2">
        <f t="shared" si="19"/>
        <v>723.18</v>
      </c>
      <c r="G32" s="2">
        <v>1083.78</v>
      </c>
      <c r="H32" s="2">
        <v>491.35</v>
      </c>
      <c r="I32" s="2">
        <f t="shared" si="23"/>
        <v>1083.78</v>
      </c>
      <c r="J32" s="2">
        <f t="shared" si="24"/>
        <v>1575.13</v>
      </c>
      <c r="K32" s="2">
        <f t="shared" ref="K32" si="26">SUM(C32:H32)</f>
        <v>3023.06</v>
      </c>
      <c r="L32" s="2">
        <f t="shared" si="21"/>
        <v>60.276587499307979</v>
      </c>
      <c r="M32" s="2">
        <f t="shared" si="22"/>
        <v>42.183299156260112</v>
      </c>
      <c r="N32" s="2">
        <f t="shared" si="25"/>
        <v>11.81877051417978</v>
      </c>
    </row>
    <row r="34" spans="1:17" ht="30" x14ac:dyDescent="0.3">
      <c r="A34" t="s">
        <v>15</v>
      </c>
      <c r="B34" t="s">
        <v>1</v>
      </c>
      <c r="C34" t="s">
        <v>2</v>
      </c>
      <c r="D34" t="s">
        <v>3</v>
      </c>
      <c r="E34" s="1" t="s">
        <v>4</v>
      </c>
      <c r="F34" s="1" t="s">
        <v>13</v>
      </c>
      <c r="G34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</row>
    <row r="35" spans="1:17" x14ac:dyDescent="0.3">
      <c r="B35">
        <v>1</v>
      </c>
      <c r="C35" s="2"/>
      <c r="D35" s="2"/>
      <c r="E35" s="2"/>
      <c r="F35" s="2">
        <f>E35+D35</f>
        <v>0</v>
      </c>
      <c r="G35" s="2"/>
      <c r="H35" s="2"/>
      <c r="I35" s="2">
        <f>G35</f>
        <v>0</v>
      </c>
      <c r="J35" s="2">
        <f>H35+G35</f>
        <v>0</v>
      </c>
      <c r="K35" s="2">
        <f>H35+G35+E35+D35+C35</f>
        <v>0</v>
      </c>
      <c r="L35" s="2" t="e">
        <f>$I$35/I35</f>
        <v>#DIV/0!</v>
      </c>
      <c r="M35" s="2" t="e">
        <f>$J$35/J35</f>
        <v>#DIV/0!</v>
      </c>
      <c r="Q35">
        <f>25000/3600</f>
        <v>6.9444444444444446</v>
      </c>
    </row>
    <row r="36" spans="1:17" x14ac:dyDescent="0.3">
      <c r="B36">
        <v>2</v>
      </c>
      <c r="C36" s="2"/>
      <c r="D36" s="2"/>
      <c r="E36" s="2"/>
      <c r="F36" s="2">
        <f t="shared" ref="F36:F43" si="27">E36+D36</f>
        <v>0</v>
      </c>
      <c r="G36" s="2"/>
      <c r="H36" s="2"/>
      <c r="I36" s="2">
        <f>G36</f>
        <v>0</v>
      </c>
      <c r="J36" s="2">
        <f>H36+G36</f>
        <v>0</v>
      </c>
      <c r="K36" s="2">
        <f t="shared" ref="K36:K42" si="28">H36+G36+E36+D36+C36</f>
        <v>0</v>
      </c>
      <c r="L36" s="2" t="e">
        <f t="shared" ref="L36:L43" si="29">$I$35/I36</f>
        <v>#DIV/0!</v>
      </c>
      <c r="M36" s="2" t="e">
        <f t="shared" ref="M36:M43" si="30">$J$35/J36</f>
        <v>#DIV/0!</v>
      </c>
    </row>
    <row r="37" spans="1:17" x14ac:dyDescent="0.3">
      <c r="B37">
        <v>4</v>
      </c>
      <c r="C37" s="2">
        <v>4.5199999999999996</v>
      </c>
      <c r="D37" s="2">
        <v>1029.98</v>
      </c>
      <c r="E37" s="2">
        <v>60.19</v>
      </c>
      <c r="F37" s="2">
        <f t="shared" si="27"/>
        <v>1090.17</v>
      </c>
      <c r="G37" s="2">
        <v>101981.5</v>
      </c>
      <c r="H37" s="2">
        <v>609.65</v>
      </c>
      <c r="I37" s="2">
        <f t="shared" ref="I37:I43" si="31">G37</f>
        <v>101981.5</v>
      </c>
      <c r="J37" s="2">
        <f t="shared" ref="J37:J43" si="32">H37+G37</f>
        <v>102591.15</v>
      </c>
      <c r="K37" s="2">
        <f t="shared" si="28"/>
        <v>103685.84</v>
      </c>
      <c r="L37" s="2">
        <f t="shared" si="29"/>
        <v>0</v>
      </c>
      <c r="M37" s="2">
        <f t="shared" si="30"/>
        <v>0</v>
      </c>
      <c r="N37" s="2">
        <f>$J$37/J37</f>
        <v>1</v>
      </c>
    </row>
    <row r="38" spans="1:17" x14ac:dyDescent="0.3">
      <c r="B38">
        <v>8</v>
      </c>
      <c r="C38" s="2">
        <v>4.45</v>
      </c>
      <c r="D38" s="2">
        <v>688.32</v>
      </c>
      <c r="E38" s="2">
        <v>76.66</v>
      </c>
      <c r="F38" s="2">
        <f t="shared" si="27"/>
        <v>764.98</v>
      </c>
      <c r="G38" s="2">
        <v>54552.514999999999</v>
      </c>
      <c r="H38" s="2">
        <v>515.73</v>
      </c>
      <c r="I38" s="2">
        <f t="shared" si="31"/>
        <v>54552.514999999999</v>
      </c>
      <c r="J38" s="2">
        <f t="shared" si="32"/>
        <v>55068.245000000003</v>
      </c>
      <c r="K38" s="2">
        <f t="shared" si="28"/>
        <v>55837.675000000003</v>
      </c>
      <c r="L38" s="2">
        <f t="shared" si="29"/>
        <v>0</v>
      </c>
      <c r="M38" s="2">
        <f t="shared" si="30"/>
        <v>0</v>
      </c>
      <c r="N38" s="2">
        <f t="shared" ref="N38:N43" si="33">$J$37/J38</f>
        <v>1.8629820144077587</v>
      </c>
    </row>
    <row r="39" spans="1:17" x14ac:dyDescent="0.3">
      <c r="B39">
        <v>16</v>
      </c>
      <c r="C39" s="2">
        <v>4.58</v>
      </c>
      <c r="D39" s="2">
        <v>156.6</v>
      </c>
      <c r="E39" s="2">
        <v>608.84</v>
      </c>
      <c r="F39" s="2">
        <f t="shared" si="27"/>
        <v>765.44</v>
      </c>
      <c r="G39" s="2">
        <v>30366.98</v>
      </c>
      <c r="H39" s="2">
        <v>371.24</v>
      </c>
      <c r="I39" s="2">
        <f t="shared" si="31"/>
        <v>30366.98</v>
      </c>
      <c r="J39" s="2">
        <f t="shared" si="32"/>
        <v>30738.22</v>
      </c>
      <c r="K39" s="2">
        <f t="shared" si="28"/>
        <v>31508.240000000002</v>
      </c>
      <c r="L39" s="2">
        <f t="shared" si="29"/>
        <v>0</v>
      </c>
      <c r="M39" s="2">
        <f t="shared" si="30"/>
        <v>0</v>
      </c>
      <c r="N39" s="2">
        <f t="shared" si="33"/>
        <v>3.3375761511239097</v>
      </c>
    </row>
    <row r="40" spans="1:17" x14ac:dyDescent="0.3">
      <c r="B40">
        <v>32</v>
      </c>
      <c r="C40" s="2">
        <v>4.8099999999999996</v>
      </c>
      <c r="D40" s="2">
        <v>215.26</v>
      </c>
      <c r="E40" s="2">
        <v>597.63</v>
      </c>
      <c r="F40" s="2">
        <f t="shared" si="27"/>
        <v>812.89</v>
      </c>
      <c r="G40" s="2">
        <v>17569.5</v>
      </c>
      <c r="H40" s="2">
        <v>313.35000000000002</v>
      </c>
      <c r="I40" s="2">
        <f t="shared" si="31"/>
        <v>17569.5</v>
      </c>
      <c r="J40" s="2">
        <f t="shared" si="32"/>
        <v>17882.849999999999</v>
      </c>
      <c r="K40" s="2">
        <f t="shared" si="28"/>
        <v>18700.55</v>
      </c>
      <c r="L40" s="2">
        <f t="shared" si="29"/>
        <v>0</v>
      </c>
      <c r="M40" s="2">
        <f t="shared" si="30"/>
        <v>0</v>
      </c>
      <c r="N40" s="2">
        <f t="shared" si="33"/>
        <v>5.7368456370209451</v>
      </c>
    </row>
    <row r="41" spans="1:17" x14ac:dyDescent="0.3">
      <c r="B41">
        <v>64</v>
      </c>
      <c r="C41" s="2">
        <v>2.75</v>
      </c>
      <c r="D41" s="2">
        <v>402.8</v>
      </c>
      <c r="E41" s="2">
        <v>560.17999999999995</v>
      </c>
      <c r="F41" s="2">
        <f t="shared" si="27"/>
        <v>962.98</v>
      </c>
      <c r="G41" s="2">
        <v>10321.89</v>
      </c>
      <c r="H41" s="2">
        <v>309.33</v>
      </c>
      <c r="I41" s="2">
        <f t="shared" si="31"/>
        <v>10321.89</v>
      </c>
      <c r="J41" s="2">
        <f t="shared" si="32"/>
        <v>10631.22</v>
      </c>
      <c r="K41" s="2">
        <f t="shared" si="28"/>
        <v>11596.949999999999</v>
      </c>
      <c r="L41" s="2">
        <f t="shared" si="29"/>
        <v>0</v>
      </c>
      <c r="M41" s="2">
        <f t="shared" si="30"/>
        <v>0</v>
      </c>
      <c r="N41" s="2">
        <f t="shared" si="33"/>
        <v>9.6499884303024484</v>
      </c>
    </row>
    <row r="42" spans="1:17" x14ac:dyDescent="0.3">
      <c r="B42">
        <v>128</v>
      </c>
      <c r="C42" s="2">
        <v>1.28</v>
      </c>
      <c r="D42" s="2">
        <v>86.49</v>
      </c>
      <c r="E42" s="2">
        <v>558.38</v>
      </c>
      <c r="F42" s="2">
        <f t="shared" si="27"/>
        <v>644.87</v>
      </c>
      <c r="G42" s="2">
        <v>6139.34</v>
      </c>
      <c r="H42" s="2">
        <v>356.76</v>
      </c>
      <c r="I42" s="2">
        <f t="shared" si="31"/>
        <v>6139.34</v>
      </c>
      <c r="J42" s="2">
        <f t="shared" si="32"/>
        <v>6496.1</v>
      </c>
      <c r="K42" s="2">
        <f t="shared" si="28"/>
        <v>7142.25</v>
      </c>
      <c r="L42" s="2">
        <f t="shared" si="29"/>
        <v>0</v>
      </c>
      <c r="M42" s="2">
        <f t="shared" si="30"/>
        <v>0</v>
      </c>
      <c r="N42" s="2">
        <f t="shared" si="33"/>
        <v>15.79272948384415</v>
      </c>
    </row>
    <row r="43" spans="1:17" x14ac:dyDescent="0.3">
      <c r="B43">
        <v>192</v>
      </c>
      <c r="C43" s="2">
        <v>2.06</v>
      </c>
      <c r="D43" s="2">
        <v>163.91</v>
      </c>
      <c r="E43" s="2">
        <v>735.52</v>
      </c>
      <c r="F43" s="2">
        <f t="shared" si="27"/>
        <v>899.43</v>
      </c>
      <c r="G43" s="2">
        <v>5033.28</v>
      </c>
      <c r="H43" s="2">
        <v>716.92</v>
      </c>
      <c r="I43" s="2">
        <f t="shared" si="31"/>
        <v>5033.28</v>
      </c>
      <c r="J43" s="2">
        <f t="shared" si="32"/>
        <v>5750.2</v>
      </c>
      <c r="K43" s="2">
        <f t="shared" ref="K43" si="34">SUM(C43:H43)</f>
        <v>7551.12</v>
      </c>
      <c r="L43" s="2">
        <f t="shared" si="29"/>
        <v>0</v>
      </c>
      <c r="M43" s="2">
        <f t="shared" si="30"/>
        <v>0</v>
      </c>
      <c r="N43" s="2">
        <f t="shared" si="33"/>
        <v>17.841318562832598</v>
      </c>
    </row>
    <row r="45" spans="1:17" x14ac:dyDescent="0.3">
      <c r="B45">
        <v>8</v>
      </c>
      <c r="K45">
        <f>2*K46</f>
        <v>25.768888888888888</v>
      </c>
    </row>
    <row r="46" spans="1:17" x14ac:dyDescent="0.3">
      <c r="B46">
        <v>16</v>
      </c>
      <c r="K46">
        <f>2*K47</f>
        <v>12.884444444444444</v>
      </c>
      <c r="O46">
        <f>141/210</f>
        <v>0.67142857142857137</v>
      </c>
      <c r="P46">
        <f>O46*1917</f>
        <v>1287.1285714285714</v>
      </c>
    </row>
    <row r="47" spans="1:17" x14ac:dyDescent="0.3">
      <c r="B47">
        <v>32</v>
      </c>
      <c r="K47">
        <f>2*K48</f>
        <v>6.4422222222222221</v>
      </c>
    </row>
    <row r="48" spans="1:17" x14ac:dyDescent="0.3">
      <c r="B48">
        <v>64</v>
      </c>
      <c r="K48" s="2">
        <f>11596/3600</f>
        <v>3.221111111111111</v>
      </c>
      <c r="O48">
        <f>585/882</f>
        <v>0.66326530612244894</v>
      </c>
    </row>
    <row r="49" spans="2:11" x14ac:dyDescent="0.3">
      <c r="B49">
        <v>128</v>
      </c>
      <c r="K49">
        <f>0.5*K48</f>
        <v>1.6105555555555555</v>
      </c>
    </row>
    <row r="50" spans="2:11" x14ac:dyDescent="0.3">
      <c r="B50">
        <v>192</v>
      </c>
      <c r="K50">
        <f>K49*128/192</f>
        <v>1.0737037037037036</v>
      </c>
    </row>
  </sheetData>
  <pageMargins left="0.7" right="0.7" top="0.75" bottom="0.75" header="0.3" footer="0.3"/>
  <pageSetup orientation="portrait" horizontalDpi="300" verticalDpi="300" r:id="rId1"/>
  <ignoredErrors>
    <ignoredError sqref="K11 K14:K1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2:J25"/>
  <sheetViews>
    <sheetView workbookViewId="0">
      <selection activeCell="J26" sqref="J26"/>
    </sheetView>
  </sheetViews>
  <sheetFormatPr defaultRowHeight="14.4" x14ac:dyDescent="0.3"/>
  <sheetData>
    <row r="22" spans="8:10" x14ac:dyDescent="0.3">
      <c r="H22">
        <f>0.1*1*2</f>
        <v>0.2</v>
      </c>
      <c r="I22">
        <f>LOG10(H22)</f>
        <v>-0.69897000433601875</v>
      </c>
    </row>
    <row r="23" spans="8:10" x14ac:dyDescent="0.3">
      <c r="H23">
        <f>0.1*10*2</f>
        <v>2</v>
      </c>
      <c r="I23">
        <f>LOG10(H23)</f>
        <v>0.3010299956639812</v>
      </c>
    </row>
    <row r="25" spans="8:10" x14ac:dyDescent="0.3">
      <c r="J25">
        <f>1760/192</f>
        <v>9.1666666666666661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Parkhurst, David L.</dc:creator>
  <cp:lastModifiedBy>Parkhurst, David L.</cp:lastModifiedBy>
  <dcterms:created xsi:type="dcterms:W3CDTF">2015-04-06T16:00:28Z</dcterms:created>
  <dcterms:modified xsi:type="dcterms:W3CDTF">2015-05-07T00:46:56Z</dcterms:modified>
</cp:coreProperties>
</file>