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New folder\term\"/>
    </mc:Choice>
  </mc:AlternateContent>
  <xr:revisionPtr revIDLastSave="0" documentId="13_ncr:1_{C65E9EC4-BF35-4F69-86C9-BE7A824B283A}" xr6:coauthVersionLast="47" xr6:coauthVersionMax="47" xr10:uidLastSave="{00000000-0000-0000-0000-000000000000}"/>
  <bookViews>
    <workbookView xWindow="-120" yWindow="-120" windowWidth="20730" windowHeight="11160" tabRatio="450" xr2:uid="{00000000-000D-0000-FFFF-FFFF00000000}"/>
  </bookViews>
  <sheets>
    <sheet name="ASSUMPTIONS " sheetId="2" r:id="rId1"/>
    <sheet name="SENSITIVITY ANALYSIS " sheetId="21" r:id="rId2"/>
    <sheet name="MORTALITY  " sheetId="18" r:id="rId3"/>
    <sheet name="ASSURANCES, ANNUITIES " sheetId="9" r:id="rId4"/>
    <sheet name="DECREMENT TABLE " sheetId="8" r:id="rId5"/>
    <sheet name="female decrement table " sheetId="23" r:id="rId6"/>
    <sheet name="LOAN SCHEDULE" sheetId="17" r:id="rId7"/>
    <sheet name="male decrement table " sheetId="24" r:id="rId8"/>
    <sheet name="PROFIT TESTING " sheetId="11" r:id="rId9"/>
    <sheet name="DISABILITY RATES " sheetId="4" r:id="rId10"/>
    <sheet name="CRITICAL ILLNESS RATES " sheetId="5" r:id="rId11"/>
    <sheet name="SAMPLE OF PREMIUMS " sheetId="25" r:id="rId12"/>
  </sheets>
  <externalReferences>
    <externalReference r:id="rId13"/>
  </externalReferences>
  <definedNames>
    <definedName name="ad">#REF!</definedName>
    <definedName name="d">'ASSURANCES, ANNUITIES '!$E$1</definedName>
    <definedName name="i" localSheetId="2">'MORTALITY  '!$B$1</definedName>
    <definedName name="i">'[1]MORTALITY '!$B$1</definedName>
    <definedName name="ii">'MORTALITY  '!$B$1</definedName>
    <definedName name="iii">'MORTALITY  '!$B$1</definedName>
    <definedName name="int">'MORTALITY  '!$B$1</definedName>
    <definedName name="interest">'PROFIT TESTING '!$B$6</definedName>
    <definedName name="mpp">'PROFIT TESTING '!#REF!</definedName>
    <definedName name="pp">'PROFIT TESTING '!#REF!</definedName>
    <definedName name="rdr">'PROFIT TESTING '!#REF!</definedName>
    <definedName name="SA">'ASSURANCES, ANNUITIES '!$E$2</definedName>
    <definedName name="valuevx">42.314159</definedName>
    <definedName name="vertex42_copyright" hidden="1">"© 2015-2020 Vertex42 LLC"</definedName>
    <definedName name="vertex42_id" hidden="1">"retirement-calculator.xlsx"</definedName>
    <definedName name="vertex42_title" hidden="1">"Retirement Calculator"</definedName>
    <definedName name="v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1" l="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12" i="11"/>
  <c r="J9" i="2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I21" i="2"/>
  <c r="J14" i="2"/>
  <c r="J13" i="2"/>
  <c r="J12" i="2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8" i="2"/>
  <c r="J2" i="8" l="1"/>
  <c r="P5" i="18" l="1"/>
  <c r="C5" i="18"/>
  <c r="E5" i="18" s="1"/>
  <c r="R5" i="18" l="1"/>
  <c r="P6" i="18"/>
  <c r="R6" i="18" s="1"/>
  <c r="C6" i="18"/>
  <c r="D5" i="18" l="1"/>
  <c r="E6" i="18"/>
  <c r="C7" i="18"/>
  <c r="E7" i="18" s="1"/>
  <c r="P7" i="18"/>
  <c r="R7" i="18" s="1"/>
  <c r="Q5" i="18"/>
  <c r="T5" i="18" s="1"/>
  <c r="G5" i="18"/>
  <c r="P8" i="18" l="1"/>
  <c r="Q6" i="18"/>
  <c r="T6" i="18" s="1"/>
  <c r="C8" i="18"/>
  <c r="D6" i="18"/>
  <c r="G6" i="18" s="1"/>
  <c r="Q7" i="18" l="1"/>
  <c r="T7" i="18" s="1"/>
  <c r="R8" i="18"/>
  <c r="D7" i="18"/>
  <c r="G7" i="18" s="1"/>
  <c r="E8" i="18"/>
  <c r="C9" i="18"/>
  <c r="E9" i="18" s="1"/>
  <c r="P9" i="18"/>
  <c r="R9" i="18" s="1"/>
  <c r="P10" i="18" l="1"/>
  <c r="R10" i="18" s="1"/>
  <c r="C10" i="18"/>
  <c r="Q8" i="18"/>
  <c r="T8" i="18" s="1"/>
  <c r="D8" i="18"/>
  <c r="G8" i="18" s="1"/>
  <c r="D9" i="18" l="1"/>
  <c r="G9" i="18" s="1"/>
  <c r="E10" i="18"/>
  <c r="P11" i="18"/>
  <c r="C11" i="18"/>
  <c r="Q9" i="18"/>
  <c r="T9" i="18" s="1"/>
  <c r="Q10" i="18" l="1"/>
  <c r="T10" i="18" s="1"/>
  <c r="R11" i="18"/>
  <c r="D10" i="18"/>
  <c r="G10" i="18" s="1"/>
  <c r="E11" i="18"/>
  <c r="C12" i="18"/>
  <c r="P12" i="18"/>
  <c r="Q11" i="18" l="1"/>
  <c r="T11" i="18" s="1"/>
  <c r="R12" i="18"/>
  <c r="D11" i="18"/>
  <c r="G11" i="18" s="1"/>
  <c r="E12" i="18"/>
  <c r="P13" i="18"/>
  <c r="R13" i="18" s="1"/>
  <c r="C13" i="18"/>
  <c r="E13" i="18" s="1"/>
  <c r="C14" i="18" l="1"/>
  <c r="E14" i="18" s="1"/>
  <c r="P14" i="18"/>
  <c r="D12" i="18"/>
  <c r="G12" i="18" s="1"/>
  <c r="Q12" i="18"/>
  <c r="T12" i="18" s="1"/>
  <c r="Q13" i="18" l="1"/>
  <c r="T13" i="18" s="1"/>
  <c r="R14" i="18"/>
  <c r="C15" i="18"/>
  <c r="P15" i="18"/>
  <c r="D13" i="18"/>
  <c r="G13" i="18" s="1"/>
  <c r="Q14" i="18" l="1"/>
  <c r="T14" i="18" s="1"/>
  <c r="R15" i="18"/>
  <c r="D14" i="18"/>
  <c r="G14" i="18" s="1"/>
  <c r="E15" i="18"/>
  <c r="P16" i="18"/>
  <c r="R16" i="18" s="1"/>
  <c r="C16" i="18"/>
  <c r="E16" i="18" s="1"/>
  <c r="C17" i="18" l="1"/>
  <c r="E17" i="18" s="1"/>
  <c r="P17" i="18"/>
  <c r="D15" i="18"/>
  <c r="G15" i="18" s="1"/>
  <c r="Q15" i="18"/>
  <c r="T15" i="18" s="1"/>
  <c r="Q16" i="18" l="1"/>
  <c r="T16" i="18" s="1"/>
  <c r="R17" i="18"/>
  <c r="C18" i="18"/>
  <c r="E18" i="18" s="1"/>
  <c r="P18" i="18"/>
  <c r="R18" i="18" s="1"/>
  <c r="D16" i="18"/>
  <c r="G16" i="18" s="1"/>
  <c r="P19" i="18" l="1"/>
  <c r="R19" i="18" s="1"/>
  <c r="C19" i="18"/>
  <c r="Q17" i="18"/>
  <c r="T17" i="18" s="1"/>
  <c r="D17" i="18"/>
  <c r="G17" i="18" s="1"/>
  <c r="D18" i="18" l="1"/>
  <c r="G18" i="18" s="1"/>
  <c r="E19" i="18"/>
  <c r="P20" i="18"/>
  <c r="C20" i="18"/>
  <c r="E20" i="18" s="1"/>
  <c r="Q18" i="18"/>
  <c r="T18" i="18" s="1"/>
  <c r="Q19" i="18" l="1"/>
  <c r="T19" i="18" s="1"/>
  <c r="R20" i="18"/>
  <c r="C21" i="18"/>
  <c r="D19" i="18"/>
  <c r="G19" i="18" s="1"/>
  <c r="P21" i="18"/>
  <c r="Q20" i="18" l="1"/>
  <c r="T20" i="18" s="1"/>
  <c r="R21" i="18"/>
  <c r="D20" i="18"/>
  <c r="G20" i="18" s="1"/>
  <c r="E21" i="18"/>
  <c r="P22" i="18"/>
  <c r="R22" i="18" s="1"/>
  <c r="C22" i="18"/>
  <c r="E22" i="18" s="1"/>
  <c r="P23" i="18" l="1"/>
  <c r="C23" i="18"/>
  <c r="E23" i="18" s="1"/>
  <c r="D21" i="18"/>
  <c r="G21" i="18" s="1"/>
  <c r="Q21" i="18"/>
  <c r="T21" i="18" s="1"/>
  <c r="Q22" i="18" l="1"/>
  <c r="T22" i="18" s="1"/>
  <c r="R23" i="18"/>
  <c r="C24" i="18"/>
  <c r="D22" i="18"/>
  <c r="G22" i="18" s="1"/>
  <c r="P24" i="18"/>
  <c r="R24" i="18" s="1"/>
  <c r="D23" i="18" l="1"/>
  <c r="G23" i="18" s="1"/>
  <c r="E24" i="18"/>
  <c r="P25" i="18"/>
  <c r="Q23" i="18"/>
  <c r="T23" i="18" s="1"/>
  <c r="C25" i="18"/>
  <c r="E25" i="18" s="1"/>
  <c r="Q24" i="18" l="1"/>
  <c r="T24" i="18" s="1"/>
  <c r="R25" i="18"/>
  <c r="D24" i="18"/>
  <c r="G24" i="18" s="1"/>
  <c r="C26" i="18"/>
  <c r="E26" i="18" s="1"/>
  <c r="P26" i="18"/>
  <c r="Q25" i="18" l="1"/>
  <c r="T25" i="18" s="1"/>
  <c r="R26" i="18"/>
  <c r="C27" i="18"/>
  <c r="E27" i="18" s="1"/>
  <c r="P27" i="18"/>
  <c r="R27" i="18" s="1"/>
  <c r="D25" i="18"/>
  <c r="G25" i="18" s="1"/>
  <c r="P28" i="18" l="1"/>
  <c r="C28" i="18"/>
  <c r="E28" i="18" s="1"/>
  <c r="Q26" i="18"/>
  <c r="T26" i="18" s="1"/>
  <c r="D26" i="18"/>
  <c r="G26" i="18" s="1"/>
  <c r="Q27" i="18" l="1"/>
  <c r="T27" i="18" s="1"/>
  <c r="R28" i="18"/>
  <c r="C29" i="18"/>
  <c r="D27" i="18"/>
  <c r="G27" i="18" s="1"/>
  <c r="P29" i="18"/>
  <c r="Q28" i="18" l="1"/>
  <c r="T28" i="18" s="1"/>
  <c r="R29" i="18"/>
  <c r="D28" i="18"/>
  <c r="G28" i="18" s="1"/>
  <c r="E29" i="18"/>
  <c r="P30" i="18"/>
  <c r="R30" i="18" s="1"/>
  <c r="C30" i="18"/>
  <c r="E30" i="18" s="1"/>
  <c r="C31" i="18" l="1"/>
  <c r="P31" i="18"/>
  <c r="D29" i="18"/>
  <c r="G29" i="18" s="1"/>
  <c r="Q29" i="18"/>
  <c r="T29" i="18" s="1"/>
  <c r="Q30" i="18" l="1"/>
  <c r="T30" i="18" s="1"/>
  <c r="R31" i="18"/>
  <c r="D30" i="18"/>
  <c r="G30" i="18" s="1"/>
  <c r="E31" i="18"/>
  <c r="P32" i="18"/>
  <c r="C32" i="18"/>
  <c r="Q31" i="18" l="1"/>
  <c r="T31" i="18" s="1"/>
  <c r="R32" i="18"/>
  <c r="D31" i="18"/>
  <c r="G31" i="18" s="1"/>
  <c r="E32" i="18"/>
  <c r="C33" i="18"/>
  <c r="P33" i="18"/>
  <c r="Q32" i="18" l="1"/>
  <c r="T32" i="18" s="1"/>
  <c r="R33" i="18"/>
  <c r="D32" i="18"/>
  <c r="G32" i="18" s="1"/>
  <c r="E33" i="18"/>
  <c r="P34" i="18"/>
  <c r="C34" i="18"/>
  <c r="E34" i="18" s="1"/>
  <c r="Q33" i="18" l="1"/>
  <c r="T33" i="18" s="1"/>
  <c r="R34" i="18"/>
  <c r="C35" i="18"/>
  <c r="D33" i="18"/>
  <c r="G33" i="18" s="1"/>
  <c r="P35" i="18"/>
  <c r="R35" i="18" s="1"/>
  <c r="D34" i="18" l="1"/>
  <c r="G34" i="18" s="1"/>
  <c r="E35" i="18"/>
  <c r="P36" i="18"/>
  <c r="Q34" i="18"/>
  <c r="T34" i="18" s="1"/>
  <c r="C36" i="18"/>
  <c r="Q35" i="18" l="1"/>
  <c r="T35" i="18" s="1"/>
  <c r="R36" i="18"/>
  <c r="D35" i="18"/>
  <c r="G35" i="18" s="1"/>
  <c r="E36" i="18"/>
  <c r="C37" i="18"/>
  <c r="P37" i="18"/>
  <c r="R37" i="18" s="1"/>
  <c r="D36" i="18" l="1"/>
  <c r="G36" i="18" s="1"/>
  <c r="E37" i="18"/>
  <c r="P38" i="18"/>
  <c r="Q36" i="18"/>
  <c r="T36" i="18" s="1"/>
  <c r="C38" i="18"/>
  <c r="E38" i="18" s="1"/>
  <c r="Q37" i="18" l="1"/>
  <c r="T37" i="18" s="1"/>
  <c r="R38" i="18"/>
  <c r="C39" i="18"/>
  <c r="D37" i="18"/>
  <c r="G37" i="18" s="1"/>
  <c r="P39" i="18"/>
  <c r="Q38" i="18" l="1"/>
  <c r="T38" i="18" s="1"/>
  <c r="R39" i="18"/>
  <c r="D38" i="18"/>
  <c r="G38" i="18" s="1"/>
  <c r="E39" i="18"/>
  <c r="P40" i="18"/>
  <c r="C40" i="18"/>
  <c r="E40" i="18" s="1"/>
  <c r="Q39" i="18" l="1"/>
  <c r="T39" i="18" s="1"/>
  <c r="R40" i="18"/>
  <c r="C41" i="18"/>
  <c r="D39" i="18"/>
  <c r="G39" i="18" s="1"/>
  <c r="P41" i="18"/>
  <c r="R41" i="18" s="1"/>
  <c r="D40" i="18" l="1"/>
  <c r="G40" i="18" s="1"/>
  <c r="E41" i="18"/>
  <c r="P42" i="18"/>
  <c r="R42" i="18" s="1"/>
  <c r="Q40" i="18"/>
  <c r="T40" i="18" s="1"/>
  <c r="C42" i="18"/>
  <c r="E42" i="18" s="1"/>
  <c r="D41" i="18" l="1"/>
  <c r="G41" i="18" s="1"/>
  <c r="P43" i="18"/>
  <c r="R43" i="18" s="1"/>
  <c r="C43" i="18"/>
  <c r="Q41" i="18"/>
  <c r="T41" i="18" s="1"/>
  <c r="D42" i="18" l="1"/>
  <c r="G42" i="18" s="1"/>
  <c r="E43" i="18"/>
  <c r="P44" i="18"/>
  <c r="R44" i="18" s="1"/>
  <c r="C44" i="18"/>
  <c r="Q42" i="18"/>
  <c r="T42" i="18" s="1"/>
  <c r="D43" i="18" l="1"/>
  <c r="G43" i="18" s="1"/>
  <c r="E44" i="18"/>
  <c r="P45" i="18"/>
  <c r="C45" i="18"/>
  <c r="Q43" i="18"/>
  <c r="T43" i="18" s="1"/>
  <c r="Q44" i="18" l="1"/>
  <c r="T44" i="18" s="1"/>
  <c r="R45" i="18"/>
  <c r="D44" i="18"/>
  <c r="G44" i="18" s="1"/>
  <c r="E45" i="18"/>
  <c r="C46" i="18"/>
  <c r="E46" i="18" s="1"/>
  <c r="P46" i="18"/>
  <c r="Q45" i="18" l="1"/>
  <c r="T45" i="18" s="1"/>
  <c r="R46" i="18"/>
  <c r="C47" i="18"/>
  <c r="P47" i="18"/>
  <c r="D45" i="18"/>
  <c r="G45" i="18" s="1"/>
  <c r="Q46" i="18" l="1"/>
  <c r="T46" i="18" s="1"/>
  <c r="R47" i="18"/>
  <c r="D46" i="18"/>
  <c r="G46" i="18" s="1"/>
  <c r="E47" i="18"/>
  <c r="P48" i="18"/>
  <c r="C48" i="18"/>
  <c r="E48" i="18" s="1"/>
  <c r="Q47" i="18" l="1"/>
  <c r="T47" i="18" s="1"/>
  <c r="R48" i="18"/>
  <c r="C49" i="18"/>
  <c r="D47" i="18"/>
  <c r="G47" i="18" s="1"/>
  <c r="P49" i="18"/>
  <c r="Q48" i="18" l="1"/>
  <c r="T48" i="18" s="1"/>
  <c r="R49" i="18"/>
  <c r="D48" i="18"/>
  <c r="G48" i="18" s="1"/>
  <c r="E49" i="18"/>
  <c r="P50" i="18"/>
  <c r="R50" i="18" s="1"/>
  <c r="C50" i="18"/>
  <c r="E50" i="18" s="1"/>
  <c r="C51" i="18" l="1"/>
  <c r="E51" i="18" s="1"/>
  <c r="P51" i="18"/>
  <c r="R51" i="18" s="1"/>
  <c r="D49" i="18"/>
  <c r="G49" i="18" s="1"/>
  <c r="Q49" i="18"/>
  <c r="T49" i="18" s="1"/>
  <c r="D50" i="18" l="1"/>
  <c r="G50" i="18" s="1"/>
  <c r="P52" i="18"/>
  <c r="Q50" i="18"/>
  <c r="T50" i="18" s="1"/>
  <c r="C52" i="18"/>
  <c r="E52" i="18" s="1"/>
  <c r="Q51" i="18" l="1"/>
  <c r="T51" i="18" s="1"/>
  <c r="R52" i="18"/>
  <c r="D51" i="18"/>
  <c r="G51" i="18" s="1"/>
  <c r="C53" i="18"/>
  <c r="E53" i="18" s="1"/>
  <c r="P53" i="18"/>
  <c r="Q52" i="18" l="1"/>
  <c r="T52" i="18" s="1"/>
  <c r="R53" i="18"/>
  <c r="D52" i="18"/>
  <c r="G52" i="18" s="1"/>
  <c r="C54" i="18"/>
  <c r="E54" i="18" s="1"/>
  <c r="P54" i="18"/>
  <c r="Q53" i="18" l="1"/>
  <c r="T53" i="18" s="1"/>
  <c r="R54" i="18"/>
  <c r="D53" i="18"/>
  <c r="G53" i="18" s="1"/>
  <c r="P55" i="18"/>
  <c r="R55" i="18" s="1"/>
  <c r="C55" i="18"/>
  <c r="Q54" i="18" l="1"/>
  <c r="T54" i="18" s="1"/>
  <c r="D54" i="18"/>
  <c r="G54" i="18" s="1"/>
  <c r="E55" i="18"/>
  <c r="C56" i="18"/>
  <c r="E56" i="18" s="1"/>
  <c r="P56" i="18"/>
  <c r="Q55" i="18" l="1"/>
  <c r="T55" i="18" s="1"/>
  <c r="R56" i="18"/>
  <c r="D55" i="18"/>
  <c r="G55" i="18" s="1"/>
  <c r="C57" i="18"/>
  <c r="E57" i="18" s="1"/>
  <c r="P57" i="18"/>
  <c r="Q56" i="18" l="1"/>
  <c r="T56" i="18" s="1"/>
  <c r="R57" i="18"/>
  <c r="D56" i="18"/>
  <c r="G56" i="18" s="1"/>
  <c r="P58" i="18"/>
  <c r="C58" i="18"/>
  <c r="Q57" i="18" l="1"/>
  <c r="T57" i="18" s="1"/>
  <c r="R58" i="18"/>
  <c r="D57" i="18"/>
  <c r="G57" i="18" s="1"/>
  <c r="E58" i="18"/>
  <c r="P59" i="18"/>
  <c r="C59" i="18"/>
  <c r="Q58" i="18" l="1"/>
  <c r="T58" i="18" s="1"/>
  <c r="R59" i="18"/>
  <c r="D58" i="18"/>
  <c r="G58" i="18" s="1"/>
  <c r="E59" i="18"/>
  <c r="P60" i="18"/>
  <c r="C60" i="18"/>
  <c r="Q59" i="18" l="1"/>
  <c r="T59" i="18" s="1"/>
  <c r="R60" i="18"/>
  <c r="D59" i="18"/>
  <c r="G59" i="18" s="1"/>
  <c r="E60" i="18"/>
  <c r="C61" i="18"/>
  <c r="E61" i="18" s="1"/>
  <c r="P61" i="18"/>
  <c r="Q60" i="18" l="1"/>
  <c r="T60" i="18" s="1"/>
  <c r="R61" i="18"/>
  <c r="D60" i="18"/>
  <c r="G60" i="18" s="1"/>
  <c r="C62" i="18"/>
  <c r="E62" i="18" s="1"/>
  <c r="P62" i="18"/>
  <c r="Q61" i="18" l="1"/>
  <c r="T61" i="18" s="1"/>
  <c r="R62" i="18"/>
  <c r="D61" i="18"/>
  <c r="G61" i="18" s="1"/>
  <c r="P63" i="18"/>
  <c r="C63" i="18"/>
  <c r="E63" i="18" s="1"/>
  <c r="Q62" i="18" l="1"/>
  <c r="T62" i="18" s="1"/>
  <c r="R63" i="18"/>
  <c r="D62" i="18"/>
  <c r="G62" i="18" s="1"/>
  <c r="C64" i="18"/>
  <c r="E64" i="18" s="1"/>
  <c r="P64" i="18"/>
  <c r="Q63" i="18" l="1"/>
  <c r="T63" i="18" s="1"/>
  <c r="R64" i="18"/>
  <c r="D63" i="18"/>
  <c r="G63" i="18" s="1"/>
  <c r="C65" i="18"/>
  <c r="E65" i="18" s="1"/>
  <c r="P65" i="18"/>
  <c r="R65" i="18" s="1"/>
  <c r="Q64" i="18"/>
  <c r="T64" i="18" s="1"/>
  <c r="D64" i="18" l="1"/>
  <c r="G64" i="18" s="1"/>
  <c r="P66" i="18"/>
  <c r="C66" i="18"/>
  <c r="E66" i="18" s="1"/>
  <c r="Q65" i="18" l="1"/>
  <c r="T65" i="18" s="1"/>
  <c r="R66" i="18"/>
  <c r="D65" i="18"/>
  <c r="G65" i="18" s="1"/>
  <c r="C67" i="18"/>
  <c r="E67" i="18" s="1"/>
  <c r="P67" i="18"/>
  <c r="Q66" i="18" l="1"/>
  <c r="T66" i="18" s="1"/>
  <c r="R67" i="18"/>
  <c r="D66" i="18"/>
  <c r="G66" i="18" s="1"/>
  <c r="C68" i="18"/>
  <c r="E68" i="18" s="1"/>
  <c r="P68" i="18"/>
  <c r="Q67" i="18" l="1"/>
  <c r="T67" i="18" s="1"/>
  <c r="R68" i="18"/>
  <c r="D67" i="18"/>
  <c r="G67" i="18" s="1"/>
  <c r="P69" i="18"/>
  <c r="R69" i="18" s="1"/>
  <c r="C69" i="18"/>
  <c r="Q68" i="18" l="1"/>
  <c r="T68" i="18" s="1"/>
  <c r="D68" i="18"/>
  <c r="G68" i="18" s="1"/>
  <c r="E69" i="18"/>
  <c r="P70" i="18"/>
  <c r="C70" i="18"/>
  <c r="Q69" i="18" l="1"/>
  <c r="T69" i="18" s="1"/>
  <c r="R70" i="18"/>
  <c r="D69" i="18"/>
  <c r="G69" i="18" s="1"/>
  <c r="E70" i="18"/>
  <c r="C71" i="18"/>
  <c r="E71" i="18" s="1"/>
  <c r="P71" i="18"/>
  <c r="Q70" i="18" l="1"/>
  <c r="T70" i="18" s="1"/>
  <c r="R71" i="18"/>
  <c r="D70" i="18"/>
  <c r="G70" i="18" s="1"/>
  <c r="C72" i="18"/>
  <c r="E72" i="18" s="1"/>
  <c r="P72" i="18"/>
  <c r="Q71" i="18" l="1"/>
  <c r="T71" i="18" s="1"/>
  <c r="R72" i="18"/>
  <c r="D71" i="18"/>
  <c r="G71" i="18" s="1"/>
  <c r="C73" i="18"/>
  <c r="E73" i="18" s="1"/>
  <c r="P73" i="18"/>
  <c r="Q72" i="18" l="1"/>
  <c r="T72" i="18" s="1"/>
  <c r="R73" i="18"/>
  <c r="D72" i="18"/>
  <c r="G72" i="18" s="1"/>
  <c r="C74" i="18"/>
  <c r="E74" i="18" s="1"/>
  <c r="P74" i="18"/>
  <c r="Q73" i="18" l="1"/>
  <c r="T73" i="18" s="1"/>
  <c r="R74" i="18"/>
  <c r="D73" i="18"/>
  <c r="G73" i="18" s="1"/>
  <c r="P75" i="18"/>
  <c r="R75" i="18" s="1"/>
  <c r="C75" i="18"/>
  <c r="E75" i="18" s="1"/>
  <c r="Q74" i="18" l="1"/>
  <c r="T74" i="18" s="1"/>
  <c r="D74" i="18"/>
  <c r="G74" i="18" s="1"/>
  <c r="C76" i="18"/>
  <c r="E76" i="18" s="1"/>
  <c r="D75" i="18"/>
  <c r="G75" i="18" s="1"/>
  <c r="P76" i="18"/>
  <c r="R76" i="18" s="1"/>
  <c r="P77" i="18" l="1"/>
  <c r="C77" i="18"/>
  <c r="E77" i="18" s="1"/>
  <c r="Q75" i="18"/>
  <c r="T75" i="18" s="1"/>
  <c r="Q76" i="18" l="1"/>
  <c r="T76" i="18" s="1"/>
  <c r="R77" i="18"/>
  <c r="D76" i="18"/>
  <c r="G76" i="18" s="1"/>
  <c r="C78" i="18"/>
  <c r="E78" i="18" s="1"/>
  <c r="P78" i="18"/>
  <c r="R78" i="18" s="1"/>
  <c r="D77" i="18" l="1"/>
  <c r="G77" i="18" s="1"/>
  <c r="P79" i="18"/>
  <c r="R79" i="18" s="1"/>
  <c r="Q77" i="18"/>
  <c r="T77" i="18" s="1"/>
  <c r="C79" i="18"/>
  <c r="E79" i="18" s="1"/>
  <c r="C80" i="18" l="1"/>
  <c r="E80" i="18" s="1"/>
  <c r="D78" i="18"/>
  <c r="G78" i="18" s="1"/>
  <c r="P80" i="18"/>
  <c r="R80" i="18" s="1"/>
  <c r="Q78" i="18"/>
  <c r="T78" i="18" s="1"/>
  <c r="P81" i="18" l="1"/>
  <c r="R81" i="18" s="1"/>
  <c r="Q79" i="18"/>
  <c r="T79" i="18" s="1"/>
  <c r="C81" i="18"/>
  <c r="E81" i="18" s="1"/>
  <c r="D79" i="18"/>
  <c r="G79" i="18" s="1"/>
  <c r="C82" i="18" l="1"/>
  <c r="E82" i="18" s="1"/>
  <c r="D80" i="18"/>
  <c r="G80" i="18" s="1"/>
  <c r="P82" i="18"/>
  <c r="R82" i="18" s="1"/>
  <c r="Q80" i="18"/>
  <c r="T80" i="18" s="1"/>
  <c r="P83" i="18" l="1"/>
  <c r="R83" i="18" s="1"/>
  <c r="Q81" i="18"/>
  <c r="T81" i="18" s="1"/>
  <c r="C83" i="18"/>
  <c r="E83" i="18" s="1"/>
  <c r="D81" i="18"/>
  <c r="G81" i="18" s="1"/>
  <c r="C84" i="18" l="1"/>
  <c r="E84" i="18" s="1"/>
  <c r="D82" i="18"/>
  <c r="G82" i="18" s="1"/>
  <c r="P84" i="18"/>
  <c r="R84" i="18" s="1"/>
  <c r="Q82" i="18"/>
  <c r="T82" i="18" s="1"/>
  <c r="P85" i="18" l="1"/>
  <c r="R85" i="18" s="1"/>
  <c r="Q83" i="18"/>
  <c r="T83" i="18" s="1"/>
  <c r="C85" i="18"/>
  <c r="E85" i="18" s="1"/>
  <c r="D83" i="18"/>
  <c r="G83" i="18" s="1"/>
  <c r="C86" i="18" l="1"/>
  <c r="E86" i="18" s="1"/>
  <c r="D84" i="18"/>
  <c r="G84" i="18" s="1"/>
  <c r="P86" i="18"/>
  <c r="R86" i="18" s="1"/>
  <c r="Q84" i="18"/>
  <c r="T84" i="18" s="1"/>
  <c r="P87" i="18" l="1"/>
  <c r="R87" i="18" s="1"/>
  <c r="Q85" i="18"/>
  <c r="T85" i="18" s="1"/>
  <c r="C87" i="18"/>
  <c r="E87" i="18" s="1"/>
  <c r="D85" i="18"/>
  <c r="G85" i="18" s="1"/>
  <c r="K87" i="18" l="1"/>
  <c r="K5" i="18"/>
  <c r="K7" i="18"/>
  <c r="K9" i="18"/>
  <c r="K6" i="18"/>
  <c r="K8" i="18"/>
  <c r="K10" i="18"/>
  <c r="K11" i="18"/>
  <c r="K13" i="18"/>
  <c r="K12" i="18"/>
  <c r="K14" i="18"/>
  <c r="K16" i="18"/>
  <c r="K17" i="18"/>
  <c r="K18" i="18"/>
  <c r="K15" i="18"/>
  <c r="K20" i="18"/>
  <c r="K22" i="18"/>
  <c r="K23" i="18"/>
  <c r="K19" i="18"/>
  <c r="K21" i="18"/>
  <c r="K25" i="18"/>
  <c r="K26" i="18"/>
  <c r="K27" i="18"/>
  <c r="K24" i="18"/>
  <c r="K30" i="18"/>
  <c r="K28" i="18"/>
  <c r="K32" i="18"/>
  <c r="K31" i="18"/>
  <c r="K34" i="18"/>
  <c r="K29" i="18"/>
  <c r="K36" i="18"/>
  <c r="K35" i="18"/>
  <c r="K33" i="18"/>
  <c r="K38" i="18"/>
  <c r="K37" i="18"/>
  <c r="K40" i="18"/>
  <c r="K42" i="18"/>
  <c r="K39" i="18"/>
  <c r="K41" i="18"/>
  <c r="K44" i="18"/>
  <c r="K46" i="18"/>
  <c r="K43" i="18"/>
  <c r="K45" i="18"/>
  <c r="K48" i="18"/>
  <c r="K51" i="18"/>
  <c r="K47" i="18"/>
  <c r="K50" i="18"/>
  <c r="K52" i="18"/>
  <c r="K49" i="18"/>
  <c r="K53" i="18"/>
  <c r="K56" i="18"/>
  <c r="K54" i="18"/>
  <c r="K57" i="18"/>
  <c r="K55" i="18"/>
  <c r="K59" i="18"/>
  <c r="K58" i="18"/>
  <c r="K61" i="18"/>
  <c r="K62" i="18"/>
  <c r="K64" i="18"/>
  <c r="K63" i="18"/>
  <c r="K60" i="18"/>
  <c r="K65" i="18"/>
  <c r="K66" i="18"/>
  <c r="K67" i="18"/>
  <c r="K71" i="18"/>
  <c r="K70" i="18"/>
  <c r="K69" i="18"/>
  <c r="K72" i="18"/>
  <c r="K68" i="18"/>
  <c r="K73" i="18"/>
  <c r="K74" i="18"/>
  <c r="K75" i="18"/>
  <c r="K76" i="18"/>
  <c r="K77" i="18"/>
  <c r="K78" i="18"/>
  <c r="K79" i="18"/>
  <c r="K80" i="18"/>
  <c r="K81" i="18"/>
  <c r="K82" i="18"/>
  <c r="K83" i="18"/>
  <c r="S83" i="18"/>
  <c r="X87" i="18"/>
  <c r="X5" i="18"/>
  <c r="X6" i="18"/>
  <c r="X7" i="18"/>
  <c r="X9" i="18"/>
  <c r="X8" i="18"/>
  <c r="X10" i="18"/>
  <c r="X11" i="18"/>
  <c r="X12" i="18"/>
  <c r="X13" i="18"/>
  <c r="X14" i="18"/>
  <c r="X15" i="18"/>
  <c r="X16" i="18"/>
  <c r="X17" i="18"/>
  <c r="X18" i="18"/>
  <c r="X19" i="18"/>
  <c r="X22" i="18"/>
  <c r="X20" i="18"/>
  <c r="X21" i="18"/>
  <c r="X24" i="18"/>
  <c r="X23" i="18"/>
  <c r="X26" i="18"/>
  <c r="X27" i="18"/>
  <c r="X25" i="18"/>
  <c r="X28" i="18"/>
  <c r="X29" i="18"/>
  <c r="X30" i="18"/>
  <c r="X32" i="18"/>
  <c r="X31" i="18"/>
  <c r="X35" i="18"/>
  <c r="X33" i="18"/>
  <c r="X34" i="18"/>
  <c r="X37" i="18"/>
  <c r="X36" i="18"/>
  <c r="X38" i="18"/>
  <c r="X39" i="18"/>
  <c r="X40" i="18"/>
  <c r="X41" i="18"/>
  <c r="X43" i="18"/>
  <c r="X42" i="18"/>
  <c r="X46" i="18"/>
  <c r="X45" i="18"/>
  <c r="X44" i="18"/>
  <c r="X48" i="18"/>
  <c r="X47" i="18"/>
  <c r="X49" i="18"/>
  <c r="X50" i="18"/>
  <c r="X51" i="18"/>
  <c r="X53" i="18"/>
  <c r="X55" i="18"/>
  <c r="X52" i="18"/>
  <c r="X54" i="18"/>
  <c r="X57" i="18"/>
  <c r="X56" i="18"/>
  <c r="X59" i="18"/>
  <c r="X58" i="18"/>
  <c r="X60" i="18"/>
  <c r="X62" i="18"/>
  <c r="X61" i="18"/>
  <c r="X63" i="18"/>
  <c r="X65" i="18"/>
  <c r="X64" i="18"/>
  <c r="X66" i="18"/>
  <c r="X68" i="18"/>
  <c r="X67" i="18"/>
  <c r="X69" i="18"/>
  <c r="X71" i="18"/>
  <c r="X70" i="18"/>
  <c r="X73" i="18"/>
  <c r="X75" i="18"/>
  <c r="X72" i="18"/>
  <c r="X74" i="18"/>
  <c r="X78" i="18"/>
  <c r="X76" i="18"/>
  <c r="X77" i="18"/>
  <c r="X79" i="18"/>
  <c r="X80" i="18"/>
  <c r="X81" i="18"/>
  <c r="X85" i="18"/>
  <c r="X82" i="18"/>
  <c r="X84" i="18"/>
  <c r="X83" i="18"/>
  <c r="K86" i="18"/>
  <c r="K85" i="18"/>
  <c r="K84" i="18"/>
  <c r="X86" i="18"/>
  <c r="S84" i="18"/>
  <c r="S87" i="18"/>
  <c r="S6" i="18"/>
  <c r="S9" i="18"/>
  <c r="S7" i="18"/>
  <c r="S10" i="18"/>
  <c r="S13" i="18"/>
  <c r="S8" i="18"/>
  <c r="S12" i="18"/>
  <c r="S11" i="18"/>
  <c r="S16" i="18"/>
  <c r="S15" i="18"/>
  <c r="S14" i="18"/>
  <c r="S19" i="18"/>
  <c r="S18" i="18"/>
  <c r="S17" i="18"/>
  <c r="S22" i="18"/>
  <c r="S21" i="18"/>
  <c r="S20" i="18"/>
  <c r="S24" i="18"/>
  <c r="S23" i="18"/>
  <c r="S25" i="18"/>
  <c r="S26" i="18"/>
  <c r="S27" i="18"/>
  <c r="S30" i="18"/>
  <c r="S29" i="18"/>
  <c r="S28" i="18"/>
  <c r="S31" i="18"/>
  <c r="S32" i="18"/>
  <c r="S37" i="18"/>
  <c r="S35" i="18"/>
  <c r="S33" i="18"/>
  <c r="S34" i="18"/>
  <c r="S39" i="18"/>
  <c r="S41" i="18"/>
  <c r="S38" i="18"/>
  <c r="S36" i="18"/>
  <c r="S42" i="18"/>
  <c r="S40" i="18"/>
  <c r="S44" i="18"/>
  <c r="S43" i="18"/>
  <c r="S45" i="18"/>
  <c r="S46" i="18"/>
  <c r="S47" i="18"/>
  <c r="S48" i="18"/>
  <c r="S49" i="18"/>
  <c r="S50" i="18"/>
  <c r="S51" i="18"/>
  <c r="S53" i="18"/>
  <c r="S55" i="18"/>
  <c r="S52" i="18"/>
  <c r="S57" i="18"/>
  <c r="S56" i="18"/>
  <c r="S54" i="18"/>
  <c r="S58" i="18"/>
  <c r="S60" i="18"/>
  <c r="S61" i="18"/>
  <c r="S59" i="18"/>
  <c r="S62" i="18"/>
  <c r="S63" i="18"/>
  <c r="S65" i="18"/>
  <c r="S64" i="18"/>
  <c r="S66" i="18"/>
  <c r="S67" i="18"/>
  <c r="S69" i="18"/>
  <c r="S70" i="18"/>
  <c r="S68" i="18"/>
  <c r="S71" i="18"/>
  <c r="S73" i="18"/>
  <c r="S74" i="18"/>
  <c r="S72" i="18"/>
  <c r="S75" i="18"/>
  <c r="S76" i="18"/>
  <c r="S77" i="18"/>
  <c r="S78" i="18"/>
  <c r="S79" i="18"/>
  <c r="S80" i="18"/>
  <c r="S81" i="18"/>
  <c r="S86" i="18"/>
  <c r="S85" i="18"/>
  <c r="S82" i="18"/>
  <c r="D87" i="18"/>
  <c r="G87" i="18" s="1"/>
  <c r="F85" i="18"/>
  <c r="D86" i="18"/>
  <c r="G86" i="18" s="1"/>
  <c r="Q87" i="18"/>
  <c r="Q86" i="18"/>
  <c r="T86" i="18" s="1"/>
  <c r="T87" i="18" l="1"/>
  <c r="U84" i="18" s="1"/>
  <c r="Y84" i="18" s="1"/>
  <c r="H84" i="18"/>
  <c r="L84" i="18" s="1"/>
  <c r="U85" i="18"/>
  <c r="Y85" i="18" s="1"/>
  <c r="F86" i="18"/>
  <c r="H85" i="18"/>
  <c r="L85" i="18" s="1"/>
  <c r="U86" i="18"/>
  <c r="Y86" i="18" s="1"/>
  <c r="U83" i="18"/>
  <c r="Y83" i="18" s="1"/>
  <c r="U7" i="18"/>
  <c r="Y7" i="18" s="1"/>
  <c r="U5" i="18"/>
  <c r="Y5" i="18" s="1"/>
  <c r="U6" i="18"/>
  <c r="Y6" i="18" s="1"/>
  <c r="U9" i="18"/>
  <c r="Y9" i="18" s="1"/>
  <c r="U10" i="18"/>
  <c r="Y10" i="18" s="1"/>
  <c r="U11" i="18"/>
  <c r="Y11" i="18" s="1"/>
  <c r="U14" i="18"/>
  <c r="Y14" i="18" s="1"/>
  <c r="U16" i="18"/>
  <c r="Y16" i="18" s="1"/>
  <c r="U12" i="18"/>
  <c r="Y12" i="18" s="1"/>
  <c r="U15" i="18"/>
  <c r="Y15" i="18" s="1"/>
  <c r="U18" i="18"/>
  <c r="Y18" i="18" s="1"/>
  <c r="U17" i="18"/>
  <c r="Y17" i="18" s="1"/>
  <c r="U20" i="18"/>
  <c r="Y20" i="18" s="1"/>
  <c r="U21" i="18"/>
  <c r="Y21" i="18" s="1"/>
  <c r="U24" i="18"/>
  <c r="Y24" i="18" s="1"/>
  <c r="U25" i="18"/>
  <c r="Y25" i="18" s="1"/>
  <c r="U27" i="18"/>
  <c r="Y27" i="18" s="1"/>
  <c r="U28" i="18"/>
  <c r="Y28" i="18" s="1"/>
  <c r="U30" i="18"/>
  <c r="Y30" i="18" s="1"/>
  <c r="U29" i="18"/>
  <c r="Y29" i="18" s="1"/>
  <c r="U31" i="18"/>
  <c r="Y31" i="18" s="1"/>
  <c r="U32" i="18"/>
  <c r="Y32" i="18" s="1"/>
  <c r="U33" i="18"/>
  <c r="Y33" i="18" s="1"/>
  <c r="U34" i="18"/>
  <c r="Y34" i="18" s="1"/>
  <c r="U35" i="18"/>
  <c r="Y35" i="18" s="1"/>
  <c r="U36" i="18"/>
  <c r="Y36" i="18" s="1"/>
  <c r="U39" i="18"/>
  <c r="Y39" i="18" s="1"/>
  <c r="U37" i="18"/>
  <c r="Y37" i="18" s="1"/>
  <c r="U38" i="18"/>
  <c r="Y38" i="18" s="1"/>
  <c r="U41" i="18"/>
  <c r="Y41" i="18" s="1"/>
  <c r="U42" i="18"/>
  <c r="Y42" i="18" s="1"/>
  <c r="U40" i="18"/>
  <c r="Y40" i="18" s="1"/>
  <c r="U44" i="18"/>
  <c r="Y44" i="18" s="1"/>
  <c r="U43" i="18"/>
  <c r="Y43" i="18" s="1"/>
  <c r="U45" i="18"/>
  <c r="Y45" i="18" s="1"/>
  <c r="U46" i="18"/>
  <c r="Y46" i="18" s="1"/>
  <c r="U47" i="18"/>
  <c r="Y47" i="18" s="1"/>
  <c r="U48" i="18"/>
  <c r="Y48" i="18" s="1"/>
  <c r="U50" i="18"/>
  <c r="Y50" i="18" s="1"/>
  <c r="U51" i="18"/>
  <c r="Y51" i="18" s="1"/>
  <c r="U49" i="18"/>
  <c r="Y49" i="18" s="1"/>
  <c r="U54" i="18"/>
  <c r="Y54" i="18" s="1"/>
  <c r="U52" i="18"/>
  <c r="Y52" i="18" s="1"/>
  <c r="U53" i="18"/>
  <c r="Y53" i="18" s="1"/>
  <c r="U58" i="18"/>
  <c r="Y58" i="18" s="1"/>
  <c r="U55" i="18"/>
  <c r="Y55" i="18" s="1"/>
  <c r="U56" i="18"/>
  <c r="Y56" i="18" s="1"/>
  <c r="U57" i="18"/>
  <c r="Y57" i="18" s="1"/>
  <c r="U60" i="18"/>
  <c r="Y60" i="18" s="1"/>
  <c r="U64" i="18"/>
  <c r="Y64" i="18" s="1"/>
  <c r="U62" i="18"/>
  <c r="Y62" i="18" s="1"/>
  <c r="U59" i="18"/>
  <c r="Y59" i="18" s="1"/>
  <c r="U63" i="18"/>
  <c r="Y63" i="18" s="1"/>
  <c r="U61" i="18"/>
  <c r="Y61" i="18" s="1"/>
  <c r="U65" i="18"/>
  <c r="Y65" i="18" s="1"/>
  <c r="U66" i="18"/>
  <c r="Y66" i="18" s="1"/>
  <c r="U67" i="18"/>
  <c r="Y67" i="18" s="1"/>
  <c r="U69" i="18"/>
  <c r="Y69" i="18" s="1"/>
  <c r="U68" i="18"/>
  <c r="Y68" i="18" s="1"/>
  <c r="U70" i="18"/>
  <c r="Y70" i="18" s="1"/>
  <c r="U73" i="18"/>
  <c r="Y73" i="18" s="1"/>
  <c r="U71" i="18"/>
  <c r="Y71" i="18" s="1"/>
  <c r="U72" i="18"/>
  <c r="Y72" i="18" s="1"/>
  <c r="U76" i="18"/>
  <c r="Y76" i="18" s="1"/>
  <c r="U74" i="18"/>
  <c r="Y74" i="18" s="1"/>
  <c r="U75" i="18"/>
  <c r="Y75" i="18" s="1"/>
  <c r="U78" i="18"/>
  <c r="Y78" i="18" s="1"/>
  <c r="U77" i="18"/>
  <c r="Y77" i="18" s="1"/>
  <c r="U80" i="18"/>
  <c r="Y80" i="18" s="1"/>
  <c r="U79" i="18"/>
  <c r="Y79" i="18" s="1"/>
  <c r="U81" i="18"/>
  <c r="Y81" i="18" s="1"/>
  <c r="F87" i="18"/>
  <c r="J87" i="18" s="1"/>
  <c r="F7" i="18"/>
  <c r="F5" i="18"/>
  <c r="F6" i="18"/>
  <c r="F8" i="18"/>
  <c r="F10" i="18"/>
  <c r="F9" i="18"/>
  <c r="F11" i="18"/>
  <c r="F14" i="18"/>
  <c r="F12" i="18"/>
  <c r="F13" i="18"/>
  <c r="F16" i="18"/>
  <c r="F15" i="18"/>
  <c r="F18" i="18"/>
  <c r="F19" i="18"/>
  <c r="F20" i="18"/>
  <c r="F17" i="18"/>
  <c r="F21" i="18"/>
  <c r="F22" i="18"/>
  <c r="F23" i="18"/>
  <c r="F25" i="18"/>
  <c r="F24" i="18"/>
  <c r="F28" i="18"/>
  <c r="F27" i="18"/>
  <c r="F26" i="18"/>
  <c r="F29" i="18"/>
  <c r="F30" i="18"/>
  <c r="F32" i="18"/>
  <c r="F31" i="18"/>
  <c r="F35" i="18"/>
  <c r="F33" i="18"/>
  <c r="F36" i="18"/>
  <c r="F34" i="18"/>
  <c r="F37" i="18"/>
  <c r="F38" i="18"/>
  <c r="F39" i="18"/>
  <c r="F40" i="18"/>
  <c r="F41" i="18"/>
  <c r="F42" i="18"/>
  <c r="F43" i="18"/>
  <c r="F44" i="18"/>
  <c r="F45" i="18"/>
  <c r="F47" i="18"/>
  <c r="F46" i="18"/>
  <c r="F48" i="18"/>
  <c r="F50" i="18"/>
  <c r="F49" i="18"/>
  <c r="F52" i="18"/>
  <c r="F53" i="18"/>
  <c r="F51" i="18"/>
  <c r="F56" i="18"/>
  <c r="F57" i="18"/>
  <c r="F54" i="18"/>
  <c r="F58" i="18"/>
  <c r="F55" i="18"/>
  <c r="F59" i="18"/>
  <c r="F61" i="18"/>
  <c r="F60" i="18"/>
  <c r="F65" i="18"/>
  <c r="F62" i="18"/>
  <c r="F63" i="18"/>
  <c r="F64" i="18"/>
  <c r="F67" i="18"/>
  <c r="F66" i="18"/>
  <c r="F68" i="18"/>
  <c r="F69" i="18"/>
  <c r="F70" i="18"/>
  <c r="F71" i="18"/>
  <c r="F74" i="18"/>
  <c r="F75" i="18"/>
  <c r="F72" i="18"/>
  <c r="F73" i="18"/>
  <c r="F78" i="18"/>
  <c r="F76" i="18"/>
  <c r="F77" i="18"/>
  <c r="F79" i="18"/>
  <c r="F80" i="18"/>
  <c r="F81" i="18"/>
  <c r="F82" i="18"/>
  <c r="F84" i="18"/>
  <c r="U82" i="18"/>
  <c r="Y82" i="18" s="1"/>
  <c r="F83" i="18"/>
  <c r="W87" i="18"/>
  <c r="S5" i="18"/>
  <c r="W85" i="18"/>
  <c r="H86" i="18"/>
  <c r="L86" i="18" s="1"/>
  <c r="H82" i="18"/>
  <c r="L82" i="18" s="1"/>
  <c r="H81" i="18"/>
  <c r="L81" i="18" s="1"/>
  <c r="H83" i="18"/>
  <c r="L83" i="18" s="1"/>
  <c r="H87" i="18"/>
  <c r="H5" i="18"/>
  <c r="L5" i="18" s="1"/>
  <c r="H6" i="18"/>
  <c r="L6" i="18" s="1"/>
  <c r="H10" i="18"/>
  <c r="L10" i="18" s="1"/>
  <c r="H7" i="18"/>
  <c r="L7" i="18" s="1"/>
  <c r="H9" i="18"/>
  <c r="L9" i="18" s="1"/>
  <c r="H8" i="18"/>
  <c r="L8" i="18" s="1"/>
  <c r="H11" i="18"/>
  <c r="L11" i="18" s="1"/>
  <c r="H14" i="18"/>
  <c r="L14" i="18" s="1"/>
  <c r="H12" i="18"/>
  <c r="L12" i="18" s="1"/>
  <c r="H13" i="18"/>
  <c r="L13" i="18" s="1"/>
  <c r="H15" i="18"/>
  <c r="L15" i="18" s="1"/>
  <c r="H16" i="18"/>
  <c r="L16" i="18" s="1"/>
  <c r="H17" i="18"/>
  <c r="L17" i="18" s="1"/>
  <c r="H18" i="18"/>
  <c r="L18" i="18" s="1"/>
  <c r="H20" i="18"/>
  <c r="L20" i="18" s="1"/>
  <c r="H22" i="18"/>
  <c r="L22" i="18" s="1"/>
  <c r="H19" i="18"/>
  <c r="L19" i="18" s="1"/>
  <c r="H21" i="18"/>
  <c r="L21" i="18" s="1"/>
  <c r="H23" i="18"/>
  <c r="L23" i="18" s="1"/>
  <c r="H24" i="18"/>
  <c r="L24" i="18" s="1"/>
  <c r="H25" i="18"/>
  <c r="L25" i="18" s="1"/>
  <c r="H26" i="18"/>
  <c r="L26" i="18" s="1"/>
  <c r="H28" i="18"/>
  <c r="L28" i="18" s="1"/>
  <c r="H27" i="18"/>
  <c r="L27" i="18" s="1"/>
  <c r="H30" i="18"/>
  <c r="L30" i="18" s="1"/>
  <c r="H29" i="18"/>
  <c r="L29" i="18" s="1"/>
  <c r="H31" i="18"/>
  <c r="L31" i="18" s="1"/>
  <c r="H32" i="18"/>
  <c r="L32" i="18" s="1"/>
  <c r="H34" i="18"/>
  <c r="L34" i="18" s="1"/>
  <c r="H33" i="18"/>
  <c r="L33" i="18" s="1"/>
  <c r="H35" i="18"/>
  <c r="L35" i="18" s="1"/>
  <c r="H36" i="18"/>
  <c r="L36" i="18" s="1"/>
  <c r="H40" i="18"/>
  <c r="L40" i="18" s="1"/>
  <c r="H38" i="18"/>
  <c r="L38" i="18" s="1"/>
  <c r="H37" i="18"/>
  <c r="L37" i="18" s="1"/>
  <c r="H39" i="18"/>
  <c r="L39" i="18" s="1"/>
  <c r="H41" i="18"/>
  <c r="L41" i="18" s="1"/>
  <c r="H42" i="18"/>
  <c r="L42" i="18" s="1"/>
  <c r="H43" i="18"/>
  <c r="L43" i="18" s="1"/>
  <c r="H44" i="18"/>
  <c r="L44" i="18" s="1"/>
  <c r="H46" i="18"/>
  <c r="L46" i="18" s="1"/>
  <c r="H48" i="18"/>
  <c r="L48" i="18" s="1"/>
  <c r="H45" i="18"/>
  <c r="L45" i="18" s="1"/>
  <c r="H47" i="18"/>
  <c r="L47" i="18" s="1"/>
  <c r="H50" i="18"/>
  <c r="L50" i="18" s="1"/>
  <c r="H51" i="18"/>
  <c r="L51" i="18" s="1"/>
  <c r="H49" i="18"/>
  <c r="L49" i="18" s="1"/>
  <c r="H52" i="18"/>
  <c r="L52" i="18" s="1"/>
  <c r="H54" i="18"/>
  <c r="L54" i="18" s="1"/>
  <c r="H53" i="18"/>
  <c r="L53" i="18" s="1"/>
  <c r="H56" i="18"/>
  <c r="L56" i="18" s="1"/>
  <c r="H55" i="18"/>
  <c r="L55" i="18" s="1"/>
  <c r="H58" i="18"/>
  <c r="L58" i="18" s="1"/>
  <c r="H57" i="18"/>
  <c r="L57" i="18" s="1"/>
  <c r="H60" i="18"/>
  <c r="L60" i="18" s="1"/>
  <c r="H59" i="18"/>
  <c r="L59" i="18" s="1"/>
  <c r="H61" i="18"/>
  <c r="L61" i="18" s="1"/>
  <c r="H64" i="18"/>
  <c r="L64" i="18" s="1"/>
  <c r="H66" i="18"/>
  <c r="L66" i="18" s="1"/>
  <c r="H62" i="18"/>
  <c r="L62" i="18" s="1"/>
  <c r="H63" i="18"/>
  <c r="L63" i="18" s="1"/>
  <c r="H65" i="18"/>
  <c r="L65" i="18" s="1"/>
  <c r="H67" i="18"/>
  <c r="L67" i="18" s="1"/>
  <c r="H68" i="18"/>
  <c r="L68" i="18" s="1"/>
  <c r="H69" i="18"/>
  <c r="L69" i="18" s="1"/>
  <c r="H70" i="18"/>
  <c r="L70" i="18" s="1"/>
  <c r="H71" i="18"/>
  <c r="L71" i="18" s="1"/>
  <c r="H72" i="18"/>
  <c r="L72" i="18" s="1"/>
  <c r="H73" i="18"/>
  <c r="L73" i="18" s="1"/>
  <c r="H75" i="18"/>
  <c r="L75" i="18" s="1"/>
  <c r="H76" i="18"/>
  <c r="L76" i="18" s="1"/>
  <c r="H74" i="18"/>
  <c r="L74" i="18" s="1"/>
  <c r="H78" i="18"/>
  <c r="L78" i="18" s="1"/>
  <c r="H79" i="18"/>
  <c r="L79" i="18" s="1"/>
  <c r="H77" i="18"/>
  <c r="L77" i="18" s="1"/>
  <c r="H80" i="18"/>
  <c r="L80" i="18" s="1"/>
  <c r="I87" i="18" l="1"/>
  <c r="L87" i="18"/>
  <c r="U26" i="18"/>
  <c r="Y26" i="18" s="1"/>
  <c r="U23" i="18"/>
  <c r="Y23" i="18" s="1"/>
  <c r="U22" i="18"/>
  <c r="Y22" i="18" s="1"/>
  <c r="U19" i="18"/>
  <c r="Y19" i="18" s="1"/>
  <c r="U13" i="18"/>
  <c r="Y13" i="18" s="1"/>
  <c r="U8" i="18"/>
  <c r="Y8" i="18" s="1"/>
  <c r="U87" i="18"/>
  <c r="V56" i="18" s="1"/>
  <c r="J84" i="18"/>
  <c r="I80" i="18"/>
  <c r="W86" i="18"/>
  <c r="I81" i="18"/>
  <c r="J86" i="18"/>
  <c r="J85" i="18"/>
  <c r="I79" i="18"/>
  <c r="I75" i="18"/>
  <c r="I70" i="18"/>
  <c r="I65" i="18"/>
  <c r="I64" i="18"/>
  <c r="I57" i="18"/>
  <c r="I53" i="18"/>
  <c r="I51" i="18"/>
  <c r="I48" i="18"/>
  <c r="I42" i="18"/>
  <c r="I38" i="18"/>
  <c r="I33" i="18"/>
  <c r="I29" i="18"/>
  <c r="I26" i="18"/>
  <c r="I24" i="18"/>
  <c r="I22" i="18"/>
  <c r="I13" i="18"/>
  <c r="I8" i="18"/>
  <c r="I6" i="18"/>
  <c r="I86" i="18"/>
  <c r="W78" i="18"/>
  <c r="W75" i="18"/>
  <c r="W70" i="18"/>
  <c r="W69" i="18"/>
  <c r="W65" i="18"/>
  <c r="W55" i="18"/>
  <c r="W53" i="18"/>
  <c r="W49" i="18"/>
  <c r="W48" i="18"/>
  <c r="W43" i="18"/>
  <c r="W39" i="18"/>
  <c r="W35" i="18"/>
  <c r="W29" i="18"/>
  <c r="W24" i="18"/>
  <c r="W21" i="18"/>
  <c r="W18" i="18"/>
  <c r="W13" i="18"/>
  <c r="W9" i="18"/>
  <c r="W6" i="18"/>
  <c r="I85" i="18"/>
  <c r="J79" i="18"/>
  <c r="J73" i="18"/>
  <c r="J69" i="18"/>
  <c r="J64" i="18"/>
  <c r="J60" i="18"/>
  <c r="J58" i="18"/>
  <c r="J57" i="18"/>
  <c r="J52" i="18"/>
  <c r="J45" i="18"/>
  <c r="J43" i="18"/>
  <c r="J39" i="18"/>
  <c r="J35" i="18"/>
  <c r="J29" i="18"/>
  <c r="J24" i="18"/>
  <c r="J21" i="18"/>
  <c r="J18" i="18"/>
  <c r="J12" i="18"/>
  <c r="J11" i="18"/>
  <c r="J6" i="18"/>
  <c r="V72" i="18"/>
  <c r="V42" i="18"/>
  <c r="I74" i="18"/>
  <c r="I72" i="18"/>
  <c r="I68" i="18"/>
  <c r="I62" i="18"/>
  <c r="I59" i="18"/>
  <c r="I55" i="18"/>
  <c r="I52" i="18"/>
  <c r="I47" i="18"/>
  <c r="I44" i="18"/>
  <c r="I39" i="18"/>
  <c r="I36" i="18"/>
  <c r="I32" i="18"/>
  <c r="I27" i="18"/>
  <c r="I21" i="18"/>
  <c r="I18" i="18"/>
  <c r="I16" i="18"/>
  <c r="I14" i="18"/>
  <c r="I7" i="18"/>
  <c r="W77" i="18"/>
  <c r="W73" i="18"/>
  <c r="W66" i="18"/>
  <c r="W64" i="18"/>
  <c r="W59" i="18"/>
  <c r="W61" i="18"/>
  <c r="W56" i="18"/>
  <c r="W50" i="18"/>
  <c r="W44" i="18"/>
  <c r="W41" i="18"/>
  <c r="W37" i="18"/>
  <c r="W34" i="18"/>
  <c r="W31" i="18"/>
  <c r="W27" i="18"/>
  <c r="W22" i="18"/>
  <c r="W19" i="18"/>
  <c r="W15" i="18"/>
  <c r="W10" i="18"/>
  <c r="W5" i="18"/>
  <c r="W84" i="18"/>
  <c r="J81" i="18"/>
  <c r="J76" i="18"/>
  <c r="J75" i="18"/>
  <c r="J71" i="18"/>
  <c r="J66" i="18"/>
  <c r="J62" i="18"/>
  <c r="J59" i="18"/>
  <c r="J51" i="18"/>
  <c r="J50" i="18"/>
  <c r="J46" i="18"/>
  <c r="J41" i="18"/>
  <c r="J37" i="18"/>
  <c r="J36" i="18"/>
  <c r="J32" i="18"/>
  <c r="J27" i="18"/>
  <c r="J23" i="18"/>
  <c r="J20" i="18"/>
  <c r="J16" i="18"/>
  <c r="J10" i="18"/>
  <c r="J7" i="18"/>
  <c r="V65" i="18"/>
  <c r="V35" i="18"/>
  <c r="I77" i="18"/>
  <c r="I78" i="18"/>
  <c r="I76" i="18"/>
  <c r="I73" i="18"/>
  <c r="I71" i="18"/>
  <c r="I69" i="18"/>
  <c r="I67" i="18"/>
  <c r="I63" i="18"/>
  <c r="I66" i="18"/>
  <c r="I61" i="18"/>
  <c r="I60" i="18"/>
  <c r="I58" i="18"/>
  <c r="I56" i="18"/>
  <c r="I54" i="18"/>
  <c r="I49" i="18"/>
  <c r="I50" i="18"/>
  <c r="I45" i="18"/>
  <c r="I46" i="18"/>
  <c r="I43" i="18"/>
  <c r="I41" i="18"/>
  <c r="I37" i="18"/>
  <c r="I40" i="18"/>
  <c r="I35" i="18"/>
  <c r="I34" i="18"/>
  <c r="I31" i="18"/>
  <c r="I30" i="18"/>
  <c r="I28" i="18"/>
  <c r="I25" i="18"/>
  <c r="I23" i="18"/>
  <c r="I19" i="18"/>
  <c r="I20" i="18"/>
  <c r="I17" i="18"/>
  <c r="I15" i="18"/>
  <c r="I12" i="18"/>
  <c r="I11" i="18"/>
  <c r="I9" i="18"/>
  <c r="I10" i="18"/>
  <c r="I5" i="18"/>
  <c r="I83" i="18"/>
  <c r="I82" i="18"/>
  <c r="W81" i="18"/>
  <c r="W80" i="18"/>
  <c r="W79" i="18"/>
  <c r="W76" i="18"/>
  <c r="W74" i="18"/>
  <c r="W72" i="18"/>
  <c r="W68" i="18"/>
  <c r="W71" i="18"/>
  <c r="W67" i="18"/>
  <c r="W63" i="18"/>
  <c r="W62" i="18"/>
  <c r="W58" i="18"/>
  <c r="W60" i="18"/>
  <c r="W57" i="18"/>
  <c r="W54" i="18"/>
  <c r="W51" i="18"/>
  <c r="W52" i="18"/>
  <c r="W47" i="18"/>
  <c r="W45" i="18"/>
  <c r="W46" i="18"/>
  <c r="W42" i="18"/>
  <c r="W40" i="18"/>
  <c r="W36" i="18"/>
  <c r="W38" i="18"/>
  <c r="W33" i="18"/>
  <c r="W30" i="18"/>
  <c r="W32" i="18"/>
  <c r="W28" i="18"/>
  <c r="W26" i="18"/>
  <c r="W25" i="18"/>
  <c r="W23" i="18"/>
  <c r="W20" i="18"/>
  <c r="W17" i="18"/>
  <c r="W16" i="18"/>
  <c r="W14" i="18"/>
  <c r="W12" i="18"/>
  <c r="W8" i="18"/>
  <c r="W11" i="18"/>
  <c r="W7" i="18"/>
  <c r="J83" i="18"/>
  <c r="W82" i="18"/>
  <c r="I84" i="18"/>
  <c r="J82" i="18"/>
  <c r="J80" i="18"/>
  <c r="J77" i="18"/>
  <c r="J78" i="18"/>
  <c r="J72" i="18"/>
  <c r="J74" i="18"/>
  <c r="J70" i="18"/>
  <c r="J68" i="18"/>
  <c r="J67" i="18"/>
  <c r="J63" i="18"/>
  <c r="J65" i="18"/>
  <c r="J61" i="18"/>
  <c r="J55" i="18"/>
  <c r="J54" i="18"/>
  <c r="J56" i="18"/>
  <c r="J53" i="18"/>
  <c r="J49" i="18"/>
  <c r="J48" i="18"/>
  <c r="J47" i="18"/>
  <c r="J44" i="18"/>
  <c r="J42" i="18"/>
  <c r="J40" i="18"/>
  <c r="J38" i="18"/>
  <c r="J34" i="18"/>
  <c r="J33" i="18"/>
  <c r="J31" i="18"/>
  <c r="J30" i="18"/>
  <c r="J26" i="18"/>
  <c r="J28" i="18"/>
  <c r="J25" i="18"/>
  <c r="J22" i="18"/>
  <c r="J17" i="18"/>
  <c r="J19" i="18"/>
  <c r="J15" i="18"/>
  <c r="J13" i="18"/>
  <c r="J14" i="18"/>
  <c r="J9" i="18"/>
  <c r="J8" i="18"/>
  <c r="J5" i="18"/>
  <c r="V66" i="18"/>
  <c r="V51" i="18"/>
  <c r="V34" i="18"/>
  <c r="V86" i="18"/>
  <c r="W83" i="18"/>
  <c r="V84" i="18"/>
  <c r="V27" i="18" l="1"/>
  <c r="V40" i="18"/>
  <c r="V57" i="18"/>
  <c r="V76" i="18"/>
  <c r="V25" i="18"/>
  <c r="V47" i="18"/>
  <c r="V81" i="18"/>
  <c r="V87" i="18"/>
  <c r="Y87" i="18"/>
  <c r="V22" i="18"/>
  <c r="V24" i="18"/>
  <c r="V26" i="18"/>
  <c r="V36" i="18"/>
  <c r="V43" i="18"/>
  <c r="V54" i="18"/>
  <c r="V64" i="18"/>
  <c r="V69" i="18"/>
  <c r="V75" i="18"/>
  <c r="V33" i="18"/>
  <c r="V44" i="18"/>
  <c r="V60" i="18"/>
  <c r="V74" i="18"/>
  <c r="V31" i="18"/>
  <c r="V52" i="18"/>
  <c r="V67" i="18"/>
  <c r="V14" i="18"/>
  <c r="V18" i="18"/>
  <c r="V20" i="18"/>
  <c r="V5" i="18"/>
  <c r="V6" i="18"/>
  <c r="V29" i="18"/>
  <c r="V46" i="18"/>
  <c r="V59" i="18"/>
  <c r="V12" i="18"/>
  <c r="V28" i="18"/>
  <c r="V39" i="18"/>
  <c r="V49" i="18"/>
  <c r="V68" i="18"/>
  <c r="V45" i="18"/>
  <c r="V62" i="18"/>
  <c r="V78" i="18"/>
  <c r="V10" i="18"/>
  <c r="V21" i="18"/>
  <c r="V37" i="18"/>
  <c r="V53" i="18"/>
  <c r="V70" i="18"/>
  <c r="V77" i="18"/>
  <c r="V85" i="18"/>
  <c r="V16" i="18"/>
  <c r="V23" i="18"/>
  <c r="V32" i="18"/>
  <c r="V41" i="18"/>
  <c r="V48" i="18"/>
  <c r="V55" i="18"/>
  <c r="V61" i="18"/>
  <c r="V71" i="18"/>
  <c r="V79" i="18"/>
  <c r="V30" i="18"/>
  <c r="V38" i="18"/>
  <c r="V58" i="18"/>
  <c r="V73" i="18"/>
  <c r="V50" i="18"/>
  <c r="V63" i="18"/>
  <c r="V80" i="18"/>
  <c r="V8" i="18"/>
  <c r="V19" i="18"/>
  <c r="V9" i="18"/>
  <c r="V15" i="18"/>
  <c r="V11" i="18"/>
  <c r="V17" i="18"/>
  <c r="V13" i="18"/>
  <c r="V7" i="18"/>
  <c r="V83" i="18"/>
  <c r="V82" i="18"/>
  <c r="E5" i="8"/>
  <c r="H5" i="8" s="1"/>
  <c r="K5" i="17"/>
  <c r="G5" i="8" l="1"/>
  <c r="F5" i="8"/>
  <c r="E6" i="8"/>
  <c r="H6" i="8" s="1"/>
  <c r="M5" i="2"/>
  <c r="F6" i="9" s="1"/>
  <c r="E7" i="8" l="1"/>
  <c r="H7" i="8" s="1"/>
  <c r="H6" i="9"/>
  <c r="G6" i="9"/>
  <c r="E6" i="9"/>
  <c r="G6" i="8"/>
  <c r="F6" i="8"/>
  <c r="D6" i="9"/>
  <c r="G7" i="8" l="1"/>
  <c r="E8" i="8"/>
  <c r="H8" i="8" s="1"/>
  <c r="F7" i="8"/>
  <c r="M6" i="2"/>
  <c r="N5" i="2"/>
  <c r="G8" i="8" l="1"/>
  <c r="F8" i="8"/>
  <c r="E9" i="8"/>
  <c r="H9" i="8" s="1"/>
  <c r="H7" i="9"/>
  <c r="F7" i="9"/>
  <c r="E7" i="9"/>
  <c r="G7" i="9"/>
  <c r="D7" i="9"/>
  <c r="N6" i="2"/>
  <c r="N7" i="2" s="1"/>
  <c r="J6" i="9"/>
  <c r="M7" i="2"/>
  <c r="F9" i="8" l="1"/>
  <c r="G9" i="8"/>
  <c r="E10" i="8"/>
  <c r="H10" i="8" s="1"/>
  <c r="H8" i="9"/>
  <c r="G8" i="9"/>
  <c r="F8" i="9"/>
  <c r="E8" i="9"/>
  <c r="J7" i="9"/>
  <c r="D8" i="9"/>
  <c r="N8" i="2"/>
  <c r="M8" i="2"/>
  <c r="G10" i="8" l="1"/>
  <c r="F10" i="8"/>
  <c r="E11" i="8"/>
  <c r="H11" i="8" s="1"/>
  <c r="F9" i="9"/>
  <c r="E9" i="9"/>
  <c r="H9" i="9"/>
  <c r="G9" i="9"/>
  <c r="J8" i="9"/>
  <c r="D9" i="9"/>
  <c r="N9" i="2"/>
  <c r="M9" i="2"/>
  <c r="V6" i="9"/>
  <c r="W6" i="9" s="1"/>
  <c r="X6" i="9" s="1"/>
  <c r="X7" i="9" s="1"/>
  <c r="K4" i="17"/>
  <c r="G11" i="8" l="1"/>
  <c r="F11" i="8"/>
  <c r="E12" i="8"/>
  <c r="H12" i="8" s="1"/>
  <c r="J9" i="9"/>
  <c r="H10" i="9"/>
  <c r="G10" i="9"/>
  <c r="F10" i="9"/>
  <c r="E10" i="9"/>
  <c r="D10" i="9"/>
  <c r="N10" i="2"/>
  <c r="M10" i="2"/>
  <c r="E13" i="8" l="1"/>
  <c r="H13" i="8" s="1"/>
  <c r="F12" i="8"/>
  <c r="G12" i="8"/>
  <c r="J10" i="9"/>
  <c r="H11" i="9"/>
  <c r="F11" i="9"/>
  <c r="E11" i="9"/>
  <c r="G11" i="9"/>
  <c r="D11" i="9"/>
  <c r="N11" i="2"/>
  <c r="M11" i="2"/>
  <c r="H5" i="17"/>
  <c r="K8" i="17"/>
  <c r="K9" i="17" s="1"/>
  <c r="Q16" i="9" l="1"/>
  <c r="Q18" i="9"/>
  <c r="Q20" i="9"/>
  <c r="Q22" i="9"/>
  <c r="Q24" i="9"/>
  <c r="Q26" i="9"/>
  <c r="Q28" i="9"/>
  <c r="Q30" i="9"/>
  <c r="Q32" i="9"/>
  <c r="Q34" i="9"/>
  <c r="Q36" i="9"/>
  <c r="Q38" i="9"/>
  <c r="Q40" i="9"/>
  <c r="Q17" i="9"/>
  <c r="Q19" i="9"/>
  <c r="Q21" i="9"/>
  <c r="Q23" i="9"/>
  <c r="Q25" i="9"/>
  <c r="Q27" i="9"/>
  <c r="Q29" i="9"/>
  <c r="Q31" i="9"/>
  <c r="Q33" i="9"/>
  <c r="Q37" i="9"/>
  <c r="Q41" i="9"/>
  <c r="Q35" i="9"/>
  <c r="Q39" i="9"/>
  <c r="L12" i="11"/>
  <c r="N12" i="11"/>
  <c r="F13" i="8"/>
  <c r="G13" i="8"/>
  <c r="E14" i="8"/>
  <c r="H14" i="8" s="1"/>
  <c r="J11" i="9"/>
  <c r="H12" i="9"/>
  <c r="G12" i="9"/>
  <c r="F12" i="9"/>
  <c r="E12" i="9"/>
  <c r="D12" i="9"/>
  <c r="N12" i="2"/>
  <c r="M12" i="2"/>
  <c r="K11" i="17"/>
  <c r="D6" i="17"/>
  <c r="A13" i="11"/>
  <c r="L13" i="11" l="1"/>
  <c r="E15" i="8"/>
  <c r="G14" i="8"/>
  <c r="F14" i="8"/>
  <c r="J12" i="9"/>
  <c r="F13" i="9"/>
  <c r="E13" i="9"/>
  <c r="H13" i="9"/>
  <c r="G13" i="9"/>
  <c r="F6" i="17"/>
  <c r="A14" i="11"/>
  <c r="D13" i="9"/>
  <c r="N13" i="2"/>
  <c r="M13" i="2"/>
  <c r="G6" i="17"/>
  <c r="H6" i="17" s="1"/>
  <c r="E6" i="17"/>
  <c r="D7" i="17"/>
  <c r="L14" i="11" l="1"/>
  <c r="G15" i="8"/>
  <c r="E16" i="8"/>
  <c r="F15" i="8"/>
  <c r="J13" i="9"/>
  <c r="H14" i="9"/>
  <c r="G14" i="9"/>
  <c r="F14" i="9"/>
  <c r="E14" i="9"/>
  <c r="A15" i="11"/>
  <c r="D14" i="9"/>
  <c r="N14" i="2"/>
  <c r="M14" i="2"/>
  <c r="G7" i="17"/>
  <c r="H7" i="17" s="1"/>
  <c r="F7" i="17"/>
  <c r="E7" i="17"/>
  <c r="D8" i="17"/>
  <c r="L15" i="11" l="1"/>
  <c r="F16" i="8"/>
  <c r="E17" i="8"/>
  <c r="G16" i="8"/>
  <c r="J14" i="9"/>
  <c r="H15" i="9"/>
  <c r="F15" i="9"/>
  <c r="E15" i="9"/>
  <c r="G15" i="9"/>
  <c r="A16" i="11"/>
  <c r="D15" i="9"/>
  <c r="N15" i="2"/>
  <c r="M15" i="2"/>
  <c r="G8" i="17"/>
  <c r="H8" i="17" s="1"/>
  <c r="F8" i="17"/>
  <c r="E8" i="17"/>
  <c r="D9" i="17"/>
  <c r="L16" i="11" l="1"/>
  <c r="G17" i="8"/>
  <c r="F17" i="8"/>
  <c r="E18" i="8"/>
  <c r="H16" i="9"/>
  <c r="G16" i="9"/>
  <c r="F16" i="9"/>
  <c r="E16" i="9"/>
  <c r="J15" i="9"/>
  <c r="A17" i="11"/>
  <c r="D16" i="9"/>
  <c r="N16" i="2"/>
  <c r="M16" i="2"/>
  <c r="D10" i="17"/>
  <c r="G9" i="17"/>
  <c r="H9" i="17" s="1"/>
  <c r="F9" i="17"/>
  <c r="E9" i="17"/>
  <c r="I2" i="8"/>
  <c r="K5" i="8" l="1"/>
  <c r="K7" i="8"/>
  <c r="K9" i="8"/>
  <c r="K11" i="8"/>
  <c r="K13" i="8"/>
  <c r="K6" i="8"/>
  <c r="K8" i="8"/>
  <c r="K10" i="8"/>
  <c r="K12" i="8"/>
  <c r="K14" i="8"/>
  <c r="I5" i="8"/>
  <c r="F12" i="11" s="1"/>
  <c r="J5" i="8"/>
  <c r="G12" i="11" s="1"/>
  <c r="I6" i="8"/>
  <c r="F13" i="11" s="1"/>
  <c r="J6" i="8"/>
  <c r="G13" i="11" s="1"/>
  <c r="I7" i="8"/>
  <c r="F14" i="11" s="1"/>
  <c r="J7" i="8"/>
  <c r="G14" i="11" s="1"/>
  <c r="I8" i="8"/>
  <c r="F15" i="11" s="1"/>
  <c r="J8" i="8"/>
  <c r="G15" i="11" s="1"/>
  <c r="J9" i="8"/>
  <c r="I9" i="8"/>
  <c r="F16" i="11" s="1"/>
  <c r="I10" i="8"/>
  <c r="F17" i="11" s="1"/>
  <c r="J10" i="8"/>
  <c r="I11" i="8"/>
  <c r="J11" i="8"/>
  <c r="I12" i="8"/>
  <c r="J12" i="8"/>
  <c r="I13" i="8"/>
  <c r="J13" i="8"/>
  <c r="I14" i="8"/>
  <c r="J14" i="8"/>
  <c r="L17" i="11"/>
  <c r="E13" i="11"/>
  <c r="E19" i="8"/>
  <c r="F18" i="8"/>
  <c r="G18" i="8"/>
  <c r="F17" i="9"/>
  <c r="E17" i="9"/>
  <c r="H17" i="9"/>
  <c r="G17" i="9"/>
  <c r="J16" i="9"/>
  <c r="A18" i="11"/>
  <c r="D17" i="9"/>
  <c r="N17" i="2"/>
  <c r="M17" i="2"/>
  <c r="F10" i="17"/>
  <c r="G10" i="17"/>
  <c r="H10" i="17" s="1"/>
  <c r="E10" i="17"/>
  <c r="D11" i="17"/>
  <c r="E14" i="11" l="1"/>
  <c r="E12" i="11"/>
  <c r="F18" i="11"/>
  <c r="E15" i="11"/>
  <c r="E16" i="11"/>
  <c r="L18" i="11"/>
  <c r="G16" i="11"/>
  <c r="G19" i="8"/>
  <c r="L16" i="8"/>
  <c r="L17" i="8"/>
  <c r="L11" i="8"/>
  <c r="L14" i="8"/>
  <c r="L15" i="8"/>
  <c r="E20" i="8"/>
  <c r="F19" i="8"/>
  <c r="L12" i="8"/>
  <c r="L7" i="8"/>
  <c r="L8" i="8"/>
  <c r="L10" i="8"/>
  <c r="L13" i="8"/>
  <c r="L9" i="8"/>
  <c r="L6" i="8"/>
  <c r="L5" i="8"/>
  <c r="M6" i="8" s="1"/>
  <c r="H18" i="9"/>
  <c r="G18" i="9"/>
  <c r="F18" i="9"/>
  <c r="E18" i="9"/>
  <c r="J17" i="9"/>
  <c r="A19" i="11"/>
  <c r="F19" i="11" s="1"/>
  <c r="D18" i="9"/>
  <c r="N18" i="2"/>
  <c r="M18" i="2"/>
  <c r="G11" i="17"/>
  <c r="H11" i="17" s="1"/>
  <c r="E17" i="11" s="1"/>
  <c r="F11" i="17"/>
  <c r="E11" i="17"/>
  <c r="D12" i="17"/>
  <c r="F20" i="8" l="1"/>
  <c r="E21" i="8"/>
  <c r="L19" i="11"/>
  <c r="G17" i="11"/>
  <c r="G20" i="8"/>
  <c r="L18" i="8"/>
  <c r="M7" i="8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J18" i="9"/>
  <c r="H19" i="9"/>
  <c r="F19" i="9"/>
  <c r="E19" i="9"/>
  <c r="G19" i="9"/>
  <c r="G21" i="8"/>
  <c r="A20" i="11"/>
  <c r="D19" i="9"/>
  <c r="N19" i="2"/>
  <c r="M19" i="2"/>
  <c r="G12" i="17"/>
  <c r="H12" i="17" s="1"/>
  <c r="F12" i="17"/>
  <c r="E12" i="17"/>
  <c r="D13" i="17"/>
  <c r="F20" i="11" l="1"/>
  <c r="E18" i="11"/>
  <c r="F21" i="8"/>
  <c r="E22" i="8"/>
  <c r="L19" i="8"/>
  <c r="G18" i="11"/>
  <c r="L20" i="11"/>
  <c r="M19" i="8"/>
  <c r="H20" i="9"/>
  <c r="G20" i="9"/>
  <c r="F20" i="9"/>
  <c r="E20" i="9"/>
  <c r="J19" i="9"/>
  <c r="E23" i="8"/>
  <c r="F22" i="8"/>
  <c r="A21" i="11"/>
  <c r="D20" i="9"/>
  <c r="N20" i="2"/>
  <c r="M20" i="2"/>
  <c r="G13" i="17"/>
  <c r="H13" i="17" s="1"/>
  <c r="F13" i="17"/>
  <c r="E13" i="17"/>
  <c r="D14" i="17"/>
  <c r="F21" i="11" l="1"/>
  <c r="E19" i="11"/>
  <c r="G22" i="8"/>
  <c r="M20" i="8"/>
  <c r="G19" i="11"/>
  <c r="L20" i="8"/>
  <c r="L21" i="11"/>
  <c r="L21" i="8"/>
  <c r="F21" i="9"/>
  <c r="E21" i="9"/>
  <c r="H21" i="9"/>
  <c r="G21" i="9"/>
  <c r="E24" i="8"/>
  <c r="G23" i="8"/>
  <c r="F23" i="8"/>
  <c r="J20" i="9"/>
  <c r="A22" i="11"/>
  <c r="D21" i="9"/>
  <c r="N21" i="2"/>
  <c r="M21" i="2"/>
  <c r="F14" i="17"/>
  <c r="G14" i="17"/>
  <c r="H14" i="17" s="1"/>
  <c r="E14" i="17"/>
  <c r="D15" i="17"/>
  <c r="J22" i="11" l="1"/>
  <c r="F22" i="11"/>
  <c r="B22" i="11"/>
  <c r="E20" i="11"/>
  <c r="D22" i="11"/>
  <c r="C22" i="11"/>
  <c r="M21" i="8"/>
  <c r="L22" i="11"/>
  <c r="L22" i="8"/>
  <c r="M22" i="8"/>
  <c r="J21" i="9"/>
  <c r="H22" i="9"/>
  <c r="G22" i="9"/>
  <c r="F22" i="9"/>
  <c r="E22" i="9"/>
  <c r="E25" i="8"/>
  <c r="G24" i="8"/>
  <c r="F24" i="8"/>
  <c r="A23" i="11"/>
  <c r="D22" i="9"/>
  <c r="N22" i="2"/>
  <c r="M22" i="2"/>
  <c r="G20" i="11"/>
  <c r="G15" i="17"/>
  <c r="H15" i="17" s="1"/>
  <c r="F15" i="17"/>
  <c r="E15" i="17"/>
  <c r="D16" i="17"/>
  <c r="B23" i="11" l="1"/>
  <c r="F23" i="11"/>
  <c r="J23" i="11"/>
  <c r="E21" i="11"/>
  <c r="D23" i="11"/>
  <c r="C23" i="11"/>
  <c r="L23" i="11"/>
  <c r="L23" i="8"/>
  <c r="M23" i="8"/>
  <c r="H23" i="9"/>
  <c r="F23" i="9"/>
  <c r="E23" i="9"/>
  <c r="G23" i="9"/>
  <c r="G25" i="8"/>
  <c r="F25" i="8"/>
  <c r="E26" i="8"/>
  <c r="J22" i="9"/>
  <c r="A24" i="11"/>
  <c r="D23" i="9"/>
  <c r="N23" i="2"/>
  <c r="M23" i="2"/>
  <c r="G21" i="11"/>
  <c r="G16" i="17"/>
  <c r="H16" i="17" s="1"/>
  <c r="E22" i="11" s="1"/>
  <c r="F16" i="17"/>
  <c r="E16" i="17"/>
  <c r="D17" i="17"/>
  <c r="J24" i="11" l="1"/>
  <c r="F24" i="11"/>
  <c r="B24" i="11"/>
  <c r="D24" i="11"/>
  <c r="C24" i="11"/>
  <c r="L24" i="11"/>
  <c r="L24" i="8"/>
  <c r="G26" i="8"/>
  <c r="M24" i="8"/>
  <c r="J23" i="9"/>
  <c r="H24" i="9"/>
  <c r="G24" i="9"/>
  <c r="F24" i="9"/>
  <c r="E24" i="9"/>
  <c r="F26" i="8"/>
  <c r="E27" i="8"/>
  <c r="A25" i="11"/>
  <c r="D24" i="9"/>
  <c r="N24" i="2"/>
  <c r="M24" i="2"/>
  <c r="G22" i="11"/>
  <c r="G17" i="17"/>
  <c r="H17" i="17" s="1"/>
  <c r="E23" i="11" s="1"/>
  <c r="F17" i="17"/>
  <c r="E17" i="17"/>
  <c r="D18" i="17"/>
  <c r="B25" i="11" l="1"/>
  <c r="J25" i="11"/>
  <c r="F25" i="11"/>
  <c r="D25" i="11"/>
  <c r="C25" i="11"/>
  <c r="L25" i="11"/>
  <c r="M25" i="8"/>
  <c r="L25" i="8"/>
  <c r="G27" i="8"/>
  <c r="F25" i="9"/>
  <c r="E25" i="9"/>
  <c r="H25" i="9"/>
  <c r="G25" i="9"/>
  <c r="F27" i="8"/>
  <c r="E28" i="8"/>
  <c r="J24" i="9"/>
  <c r="A26" i="11"/>
  <c r="D25" i="9"/>
  <c r="N25" i="2"/>
  <c r="M25" i="2"/>
  <c r="G23" i="11"/>
  <c r="F18" i="17"/>
  <c r="G18" i="17"/>
  <c r="H18" i="17" s="1"/>
  <c r="E24" i="11" s="1"/>
  <c r="E18" i="17"/>
  <c r="D19" i="17"/>
  <c r="J26" i="11" l="1"/>
  <c r="F26" i="11"/>
  <c r="B26" i="11"/>
  <c r="D26" i="11"/>
  <c r="C26" i="11"/>
  <c r="L26" i="11"/>
  <c r="M26" i="8"/>
  <c r="L26" i="8"/>
  <c r="G28" i="8"/>
  <c r="H26" i="9"/>
  <c r="G26" i="9"/>
  <c r="F26" i="9"/>
  <c r="E26" i="9"/>
  <c r="F28" i="8"/>
  <c r="E29" i="8"/>
  <c r="J25" i="9"/>
  <c r="A27" i="11"/>
  <c r="D26" i="9"/>
  <c r="M26" i="2"/>
  <c r="N26" i="2"/>
  <c r="G24" i="11"/>
  <c r="G19" i="17"/>
  <c r="H19" i="17" s="1"/>
  <c r="E25" i="11" s="1"/>
  <c r="F19" i="17"/>
  <c r="E19" i="17"/>
  <c r="D20" i="17"/>
  <c r="B27" i="11" l="1"/>
  <c r="F27" i="11"/>
  <c r="J27" i="11"/>
  <c r="D27" i="11"/>
  <c r="C27" i="11"/>
  <c r="L27" i="11"/>
  <c r="M27" i="8"/>
  <c r="L27" i="8"/>
  <c r="G29" i="8"/>
  <c r="H27" i="9"/>
  <c r="F27" i="9"/>
  <c r="E27" i="9"/>
  <c r="G27" i="9"/>
  <c r="E30" i="8"/>
  <c r="F29" i="8"/>
  <c r="A28" i="11"/>
  <c r="D27" i="9"/>
  <c r="N27" i="2"/>
  <c r="J26" i="9"/>
  <c r="M27" i="2"/>
  <c r="G25" i="11"/>
  <c r="G20" i="17"/>
  <c r="H20" i="17" s="1"/>
  <c r="E26" i="11" s="1"/>
  <c r="F20" i="17"/>
  <c r="E20" i="17"/>
  <c r="D21" i="17"/>
  <c r="J28" i="11" l="1"/>
  <c r="F28" i="11"/>
  <c r="B28" i="11"/>
  <c r="D28" i="11"/>
  <c r="C28" i="11"/>
  <c r="M28" i="8"/>
  <c r="L28" i="11"/>
  <c r="L28" i="8"/>
  <c r="M29" i="8" s="1"/>
  <c r="G30" i="8"/>
  <c r="J27" i="9"/>
  <c r="H28" i="9"/>
  <c r="G28" i="9"/>
  <c r="F28" i="9"/>
  <c r="E28" i="9"/>
  <c r="E31" i="8"/>
  <c r="F30" i="8"/>
  <c r="A29" i="11"/>
  <c r="D28" i="9"/>
  <c r="N28" i="2"/>
  <c r="M28" i="2"/>
  <c r="G26" i="11"/>
  <c r="G21" i="17"/>
  <c r="H21" i="17" s="1"/>
  <c r="E27" i="11" s="1"/>
  <c r="F21" i="17"/>
  <c r="E21" i="17"/>
  <c r="D22" i="17"/>
  <c r="B29" i="11" l="1"/>
  <c r="J29" i="11"/>
  <c r="F29" i="11"/>
  <c r="D29" i="11"/>
  <c r="C29" i="11"/>
  <c r="L29" i="11"/>
  <c r="L29" i="8"/>
  <c r="M30" i="8" s="1"/>
  <c r="G31" i="8"/>
  <c r="J28" i="9"/>
  <c r="F29" i="9"/>
  <c r="E29" i="9"/>
  <c r="H29" i="9"/>
  <c r="G29" i="9"/>
  <c r="F31" i="8"/>
  <c r="E32" i="8"/>
  <c r="A30" i="11"/>
  <c r="D29" i="9"/>
  <c r="N29" i="2"/>
  <c r="M29" i="2"/>
  <c r="G27" i="11"/>
  <c r="F22" i="17"/>
  <c r="G22" i="17"/>
  <c r="H22" i="17" s="1"/>
  <c r="E28" i="11" s="1"/>
  <c r="E22" i="17"/>
  <c r="D23" i="17"/>
  <c r="J30" i="11" l="1"/>
  <c r="F30" i="11"/>
  <c r="B30" i="11"/>
  <c r="D30" i="11"/>
  <c r="C30" i="11"/>
  <c r="L30" i="11"/>
  <c r="L30" i="8"/>
  <c r="M31" i="8" s="1"/>
  <c r="G32" i="8"/>
  <c r="J29" i="9"/>
  <c r="H30" i="9"/>
  <c r="G30" i="9"/>
  <c r="F30" i="9"/>
  <c r="E30" i="9"/>
  <c r="F32" i="8"/>
  <c r="E33" i="8"/>
  <c r="A31" i="11"/>
  <c r="D30" i="9"/>
  <c r="N30" i="2"/>
  <c r="M30" i="2"/>
  <c r="G28" i="11"/>
  <c r="G23" i="17"/>
  <c r="H23" i="17" s="1"/>
  <c r="E29" i="11" s="1"/>
  <c r="F23" i="17"/>
  <c r="E23" i="17"/>
  <c r="D24" i="17"/>
  <c r="B31" i="11" l="1"/>
  <c r="F31" i="11"/>
  <c r="J31" i="11"/>
  <c r="D31" i="11"/>
  <c r="C31" i="11"/>
  <c r="L31" i="11"/>
  <c r="L31" i="8"/>
  <c r="M32" i="8" s="1"/>
  <c r="G33" i="8"/>
  <c r="H31" i="9"/>
  <c r="F31" i="9"/>
  <c r="E31" i="9"/>
  <c r="G31" i="9"/>
  <c r="E34" i="8"/>
  <c r="F33" i="8"/>
  <c r="A32" i="11"/>
  <c r="D31" i="9"/>
  <c r="J30" i="9"/>
  <c r="N31" i="2"/>
  <c r="M31" i="2"/>
  <c r="G29" i="11"/>
  <c r="G24" i="17"/>
  <c r="H24" i="17" s="1"/>
  <c r="E30" i="11" s="1"/>
  <c r="F24" i="17"/>
  <c r="E24" i="17"/>
  <c r="D25" i="17"/>
  <c r="J32" i="11" l="1"/>
  <c r="F32" i="11"/>
  <c r="B32" i="11"/>
  <c r="D32" i="11"/>
  <c r="C32" i="11"/>
  <c r="L32" i="11"/>
  <c r="L32" i="8"/>
  <c r="L33" i="8"/>
  <c r="G34" i="8"/>
  <c r="H32" i="9"/>
  <c r="G32" i="9"/>
  <c r="F32" i="9"/>
  <c r="E32" i="9"/>
  <c r="M33" i="8"/>
  <c r="F34" i="8"/>
  <c r="E35" i="8"/>
  <c r="J31" i="9"/>
  <c r="A33" i="11"/>
  <c r="D32" i="9"/>
  <c r="N32" i="2"/>
  <c r="M32" i="2"/>
  <c r="G30" i="11"/>
  <c r="G25" i="17"/>
  <c r="H25" i="17" s="1"/>
  <c r="E31" i="11" s="1"/>
  <c r="F25" i="17"/>
  <c r="E25" i="17"/>
  <c r="D26" i="17"/>
  <c r="B33" i="11" l="1"/>
  <c r="J33" i="11"/>
  <c r="F33" i="11"/>
  <c r="D33" i="11"/>
  <c r="C33" i="11"/>
  <c r="L33" i="11"/>
  <c r="L34" i="8"/>
  <c r="G35" i="8"/>
  <c r="J32" i="9"/>
  <c r="F33" i="9"/>
  <c r="E33" i="9"/>
  <c r="H33" i="9"/>
  <c r="G33" i="9"/>
  <c r="M34" i="8"/>
  <c r="F35" i="8"/>
  <c r="E36" i="8"/>
  <c r="A34" i="11"/>
  <c r="D33" i="9"/>
  <c r="N33" i="2"/>
  <c r="M33" i="2"/>
  <c r="G31" i="11"/>
  <c r="F26" i="17"/>
  <c r="G26" i="17"/>
  <c r="H26" i="17" s="1"/>
  <c r="E32" i="11" s="1"/>
  <c r="E26" i="17"/>
  <c r="D27" i="17"/>
  <c r="J34" i="11" l="1"/>
  <c r="F34" i="11"/>
  <c r="B34" i="11"/>
  <c r="D34" i="11"/>
  <c r="C34" i="11"/>
  <c r="L34" i="11"/>
  <c r="G36" i="8"/>
  <c r="J33" i="9"/>
  <c r="H34" i="9"/>
  <c r="G34" i="9"/>
  <c r="F34" i="9"/>
  <c r="E34" i="9"/>
  <c r="M34" i="2"/>
  <c r="D35" i="9" s="1"/>
  <c r="M35" i="8"/>
  <c r="F36" i="8"/>
  <c r="E37" i="8"/>
  <c r="A35" i="11"/>
  <c r="D34" i="9"/>
  <c r="N34" i="2"/>
  <c r="G32" i="11"/>
  <c r="G27" i="17"/>
  <c r="H27" i="17" s="1"/>
  <c r="E33" i="11" s="1"/>
  <c r="F27" i="17"/>
  <c r="E27" i="17"/>
  <c r="D28" i="17"/>
  <c r="B35" i="11" l="1"/>
  <c r="F35" i="11"/>
  <c r="J35" i="11"/>
  <c r="D35" i="11"/>
  <c r="C35" i="11"/>
  <c r="L35" i="11"/>
  <c r="L35" i="8"/>
  <c r="M36" i="8" s="1"/>
  <c r="G37" i="8"/>
  <c r="M35" i="2"/>
  <c r="M36" i="2" s="1"/>
  <c r="H35" i="9"/>
  <c r="F35" i="9"/>
  <c r="E35" i="9"/>
  <c r="G35" i="9"/>
  <c r="J35" i="9"/>
  <c r="E38" i="8"/>
  <c r="F37" i="8"/>
  <c r="J34" i="9"/>
  <c r="A36" i="11"/>
  <c r="N35" i="2"/>
  <c r="G33" i="11"/>
  <c r="G28" i="17"/>
  <c r="H28" i="17" s="1"/>
  <c r="E34" i="11" s="1"/>
  <c r="F28" i="17"/>
  <c r="E28" i="17"/>
  <c r="D29" i="17"/>
  <c r="J36" i="11" l="1"/>
  <c r="F36" i="11"/>
  <c r="B36" i="11"/>
  <c r="D36" i="11"/>
  <c r="C36" i="11"/>
  <c r="L36" i="8"/>
  <c r="M37" i="8" s="1"/>
  <c r="L36" i="11"/>
  <c r="G38" i="8"/>
  <c r="F36" i="9"/>
  <c r="G36" i="9"/>
  <c r="D36" i="9"/>
  <c r="E36" i="9"/>
  <c r="H36" i="9"/>
  <c r="F37" i="9"/>
  <c r="E37" i="9"/>
  <c r="H37" i="9"/>
  <c r="G37" i="9"/>
  <c r="M37" i="2"/>
  <c r="D37" i="9"/>
  <c r="F38" i="8"/>
  <c r="E39" i="8"/>
  <c r="E40" i="8" s="1"/>
  <c r="A37" i="11"/>
  <c r="N36" i="2"/>
  <c r="G34" i="11"/>
  <c r="G29" i="17"/>
  <c r="H29" i="17" s="1"/>
  <c r="E35" i="11" s="1"/>
  <c r="F29" i="17"/>
  <c r="E29" i="17"/>
  <c r="D30" i="17"/>
  <c r="B37" i="11" l="1"/>
  <c r="J37" i="11"/>
  <c r="F37" i="11"/>
  <c r="D37" i="11"/>
  <c r="C37" i="11"/>
  <c r="G40" i="8"/>
  <c r="F40" i="8"/>
  <c r="E41" i="8"/>
  <c r="L37" i="8"/>
  <c r="L37" i="11"/>
  <c r="L38" i="8"/>
  <c r="G39" i="8"/>
  <c r="J36" i="9"/>
  <c r="H38" i="9"/>
  <c r="G38" i="9"/>
  <c r="F38" i="9"/>
  <c r="E38" i="9"/>
  <c r="J37" i="9"/>
  <c r="D38" i="9"/>
  <c r="M38" i="2"/>
  <c r="M38" i="8"/>
  <c r="F39" i="8"/>
  <c r="A38" i="11"/>
  <c r="N37" i="2"/>
  <c r="G35" i="11"/>
  <c r="F30" i="17"/>
  <c r="G30" i="17"/>
  <c r="H30" i="17" s="1"/>
  <c r="E36" i="11" s="1"/>
  <c r="E30" i="17"/>
  <c r="D31" i="17"/>
  <c r="J38" i="11" l="1"/>
  <c r="F38" i="11"/>
  <c r="B38" i="11"/>
  <c r="D38" i="11"/>
  <c r="C38" i="11"/>
  <c r="E42" i="8"/>
  <c r="G41" i="8"/>
  <c r="F41" i="8"/>
  <c r="L40" i="8"/>
  <c r="L38" i="11"/>
  <c r="L39" i="8"/>
  <c r="H39" i="9"/>
  <c r="F39" i="9"/>
  <c r="E39" i="9"/>
  <c r="G39" i="9"/>
  <c r="J38" i="9"/>
  <c r="D39" i="9"/>
  <c r="M39" i="2"/>
  <c r="M39" i="8"/>
  <c r="A39" i="11"/>
  <c r="N38" i="2"/>
  <c r="G36" i="11"/>
  <c r="G31" i="17"/>
  <c r="H31" i="17" s="1"/>
  <c r="E37" i="11" s="1"/>
  <c r="F31" i="17"/>
  <c r="E31" i="17"/>
  <c r="D32" i="17"/>
  <c r="B39" i="11" l="1"/>
  <c r="F39" i="11"/>
  <c r="J39" i="11"/>
  <c r="D39" i="11"/>
  <c r="C39" i="11"/>
  <c r="L41" i="8"/>
  <c r="E43" i="8"/>
  <c r="G42" i="8"/>
  <c r="F42" i="8"/>
  <c r="M40" i="8"/>
  <c r="M41" i="8" s="1"/>
  <c r="L39" i="11"/>
  <c r="H40" i="9"/>
  <c r="G40" i="9"/>
  <c r="F40" i="9"/>
  <c r="E40" i="9"/>
  <c r="M40" i="2"/>
  <c r="D40" i="9"/>
  <c r="J39" i="9"/>
  <c r="A40" i="11"/>
  <c r="N39" i="2"/>
  <c r="G37" i="11"/>
  <c r="G32" i="17"/>
  <c r="H32" i="17" s="1"/>
  <c r="E38" i="11" s="1"/>
  <c r="F32" i="17"/>
  <c r="E32" i="17"/>
  <c r="D33" i="17"/>
  <c r="J40" i="11" l="1"/>
  <c r="F40" i="11"/>
  <c r="B40" i="11"/>
  <c r="D40" i="11"/>
  <c r="C40" i="11"/>
  <c r="M42" i="8"/>
  <c r="L42" i="8"/>
  <c r="E44" i="8"/>
  <c r="G43" i="8"/>
  <c r="F43" i="8"/>
  <c r="L40" i="11"/>
  <c r="F41" i="9"/>
  <c r="E41" i="9"/>
  <c r="H41" i="9"/>
  <c r="G41" i="9"/>
  <c r="J40" i="9"/>
  <c r="D41" i="9"/>
  <c r="M41" i="2"/>
  <c r="A41" i="11"/>
  <c r="N40" i="2"/>
  <c r="G38" i="11"/>
  <c r="G33" i="17"/>
  <c r="H33" i="17" s="1"/>
  <c r="E39" i="11" s="1"/>
  <c r="F33" i="17"/>
  <c r="E33" i="17"/>
  <c r="D34" i="17"/>
  <c r="B41" i="11" l="1"/>
  <c r="J41" i="11"/>
  <c r="F41" i="11"/>
  <c r="D41" i="11"/>
  <c r="C41" i="11"/>
  <c r="L43" i="8"/>
  <c r="E45" i="8"/>
  <c r="G44" i="8"/>
  <c r="F44" i="8"/>
  <c r="M43" i="8"/>
  <c r="M44" i="8" s="1"/>
  <c r="L41" i="11"/>
  <c r="H42" i="9"/>
  <c r="G42" i="9"/>
  <c r="F42" i="9"/>
  <c r="E42" i="9"/>
  <c r="J41" i="9"/>
  <c r="M42" i="2"/>
  <c r="D42" i="9"/>
  <c r="A42" i="11"/>
  <c r="N41" i="2"/>
  <c r="G39" i="11"/>
  <c r="F34" i="17"/>
  <c r="G34" i="17"/>
  <c r="H34" i="17" s="1"/>
  <c r="E40" i="11" s="1"/>
  <c r="E34" i="17"/>
  <c r="D35" i="17"/>
  <c r="J42" i="11" l="1"/>
  <c r="F42" i="11"/>
  <c r="B42" i="11"/>
  <c r="D42" i="11"/>
  <c r="C42" i="11"/>
  <c r="E46" i="8"/>
  <c r="G45" i="8"/>
  <c r="F45" i="8"/>
  <c r="L44" i="8"/>
  <c r="M45" i="8" s="1"/>
  <c r="L42" i="11"/>
  <c r="H43" i="9"/>
  <c r="F43" i="9"/>
  <c r="E43" i="9"/>
  <c r="G43" i="9"/>
  <c r="J42" i="9"/>
  <c r="D43" i="9"/>
  <c r="M43" i="2"/>
  <c r="A43" i="11"/>
  <c r="N42" i="2"/>
  <c r="G40" i="11"/>
  <c r="G35" i="17"/>
  <c r="H35" i="17" s="1"/>
  <c r="E41" i="11" s="1"/>
  <c r="F35" i="17"/>
  <c r="E35" i="17"/>
  <c r="D36" i="17"/>
  <c r="B43" i="11" l="1"/>
  <c r="F43" i="11"/>
  <c r="J43" i="11"/>
  <c r="D43" i="11"/>
  <c r="C43" i="11"/>
  <c r="E47" i="8"/>
  <c r="G46" i="8"/>
  <c r="F46" i="8"/>
  <c r="L45" i="8"/>
  <c r="M46" i="8" s="1"/>
  <c r="L43" i="11"/>
  <c r="H44" i="9"/>
  <c r="G44" i="9"/>
  <c r="F44" i="9"/>
  <c r="E44" i="9"/>
  <c r="D44" i="9"/>
  <c r="M44" i="2"/>
  <c r="J43" i="9"/>
  <c r="A44" i="11"/>
  <c r="N43" i="2"/>
  <c r="G41" i="11"/>
  <c r="G36" i="17"/>
  <c r="H36" i="17" s="1"/>
  <c r="F36" i="17"/>
  <c r="E36" i="17"/>
  <c r="D37" i="17"/>
  <c r="J44" i="11" l="1"/>
  <c r="F44" i="11"/>
  <c r="B44" i="11"/>
  <c r="D44" i="11"/>
  <c r="C44" i="11"/>
  <c r="G47" i="8"/>
  <c r="F47" i="8"/>
  <c r="L46" i="8"/>
  <c r="M47" i="8" s="1"/>
  <c r="E42" i="11"/>
  <c r="L44" i="11"/>
  <c r="F45" i="9"/>
  <c r="E45" i="9"/>
  <c r="H45" i="9"/>
  <c r="G45" i="9"/>
  <c r="J44" i="9"/>
  <c r="M45" i="2"/>
  <c r="D45" i="9"/>
  <c r="A45" i="11"/>
  <c r="G42" i="11"/>
  <c r="N44" i="2"/>
  <c r="G37" i="17"/>
  <c r="H37" i="17" s="1"/>
  <c r="F37" i="17"/>
  <c r="E37" i="17"/>
  <c r="D38" i="17"/>
  <c r="B45" i="11" l="1"/>
  <c r="J45" i="11"/>
  <c r="F45" i="11"/>
  <c r="C45" i="11"/>
  <c r="D45" i="11"/>
  <c r="L47" i="8"/>
  <c r="E43" i="11"/>
  <c r="L45" i="11"/>
  <c r="H46" i="9"/>
  <c r="G46" i="9"/>
  <c r="F46" i="9"/>
  <c r="E46" i="9"/>
  <c r="J45" i="9"/>
  <c r="M46" i="2"/>
  <c r="D46" i="9"/>
  <c r="A46" i="11"/>
  <c r="G43" i="11"/>
  <c r="N45" i="2"/>
  <c r="F38" i="17"/>
  <c r="G38" i="17"/>
  <c r="H38" i="17" s="1"/>
  <c r="D39" i="17"/>
  <c r="E38" i="17"/>
  <c r="J46" i="11" l="1"/>
  <c r="F46" i="11"/>
  <c r="B46" i="11"/>
  <c r="D46" i="11"/>
  <c r="C46" i="11"/>
  <c r="E44" i="11"/>
  <c r="L46" i="11"/>
  <c r="H47" i="9"/>
  <c r="F47" i="9"/>
  <c r="E47" i="9"/>
  <c r="G47" i="9"/>
  <c r="J46" i="9"/>
  <c r="M47" i="2"/>
  <c r="D47" i="9"/>
  <c r="G44" i="11"/>
  <c r="N46" i="2"/>
  <c r="G39" i="17"/>
  <c r="H39" i="17" s="1"/>
  <c r="F39" i="17"/>
  <c r="D40" i="17"/>
  <c r="E39" i="17"/>
  <c r="E45" i="11" l="1"/>
  <c r="H48" i="9"/>
  <c r="G48" i="9"/>
  <c r="F48" i="9"/>
  <c r="E48" i="9"/>
  <c r="J47" i="9"/>
  <c r="M48" i="2"/>
  <c r="D48" i="9"/>
  <c r="G45" i="11"/>
  <c r="N47" i="2"/>
  <c r="G40" i="17"/>
  <c r="H40" i="17" s="1"/>
  <c r="F40" i="17"/>
  <c r="D41" i="17"/>
  <c r="E40" i="17"/>
  <c r="E46" i="11" l="1"/>
  <c r="F49" i="9"/>
  <c r="E49" i="9"/>
  <c r="H49" i="9"/>
  <c r="G49" i="9"/>
  <c r="M49" i="2"/>
  <c r="D49" i="9"/>
  <c r="J48" i="9"/>
  <c r="G46" i="11"/>
  <c r="N48" i="2"/>
  <c r="G41" i="17"/>
  <c r="H41" i="17" s="1"/>
  <c r="F41" i="17"/>
  <c r="D42" i="17"/>
  <c r="E41" i="17"/>
  <c r="L6" i="9" l="1"/>
  <c r="L36" i="9"/>
  <c r="L31" i="9"/>
  <c r="L32" i="9"/>
  <c r="L38" i="9"/>
  <c r="L39" i="9"/>
  <c r="L40" i="9"/>
  <c r="L33" i="9"/>
  <c r="L34" i="9"/>
  <c r="L37" i="9"/>
  <c r="L29" i="9"/>
  <c r="L41" i="9"/>
  <c r="L42" i="9"/>
  <c r="L43" i="9"/>
  <c r="L44" i="9"/>
  <c r="L45" i="9"/>
  <c r="L46" i="9"/>
  <c r="L48" i="9"/>
  <c r="L47" i="9"/>
  <c r="H50" i="9"/>
  <c r="G50" i="9"/>
  <c r="F50" i="9"/>
  <c r="E50" i="9"/>
  <c r="M50" i="2"/>
  <c r="D50" i="9"/>
  <c r="J49" i="9"/>
  <c r="O49" i="9" s="1"/>
  <c r="N49" i="2"/>
  <c r="F42" i="17"/>
  <c r="G42" i="17"/>
  <c r="H42" i="17" s="1"/>
  <c r="D43" i="17"/>
  <c r="E42" i="17"/>
  <c r="K49" i="9" l="1"/>
  <c r="L49" i="9"/>
  <c r="H51" i="9"/>
  <c r="F51" i="9"/>
  <c r="E51" i="9"/>
  <c r="G51" i="9"/>
  <c r="J50" i="9"/>
  <c r="L50" i="9" s="1"/>
  <c r="D51" i="9"/>
  <c r="N50" i="2"/>
  <c r="G43" i="17"/>
  <c r="H43" i="17" s="1"/>
  <c r="F43" i="17"/>
  <c r="D44" i="17"/>
  <c r="E43" i="17"/>
  <c r="O50" i="9" l="1"/>
  <c r="K50" i="9"/>
  <c r="J51" i="9"/>
  <c r="O51" i="9" s="1"/>
  <c r="N51" i="2"/>
  <c r="G44" i="17"/>
  <c r="H44" i="17" s="1"/>
  <c r="F44" i="17"/>
  <c r="D45" i="17"/>
  <c r="E44" i="17"/>
  <c r="K51" i="9" l="1"/>
  <c r="L51" i="9"/>
  <c r="N52" i="2"/>
  <c r="G45" i="17"/>
  <c r="H45" i="17" s="1"/>
  <c r="F45" i="17"/>
  <c r="D46" i="17"/>
  <c r="E45" i="17"/>
  <c r="N53" i="2" l="1"/>
  <c r="F46" i="17"/>
  <c r="G46" i="17"/>
  <c r="H46" i="17" s="1"/>
  <c r="D47" i="17"/>
  <c r="E46" i="17"/>
  <c r="N54" i="2" l="1"/>
  <c r="G47" i="17"/>
  <c r="H47" i="17" s="1"/>
  <c r="F47" i="17"/>
  <c r="D48" i="17"/>
  <c r="E47" i="17"/>
  <c r="N55" i="2" l="1"/>
  <c r="G48" i="17"/>
  <c r="H48" i="17" s="1"/>
  <c r="F48" i="17"/>
  <c r="D49" i="17"/>
  <c r="E48" i="17"/>
  <c r="N56" i="2" l="1"/>
  <c r="G49" i="17"/>
  <c r="H49" i="17" s="1"/>
  <c r="F49" i="17"/>
  <c r="D50" i="17"/>
  <c r="E49" i="17"/>
  <c r="N57" i="2" l="1"/>
  <c r="F50" i="17"/>
  <c r="G50" i="17"/>
  <c r="H50" i="17" s="1"/>
  <c r="D51" i="17"/>
  <c r="E50" i="17"/>
  <c r="N58" i="2" l="1"/>
  <c r="G51" i="17"/>
  <c r="H51" i="17" s="1"/>
  <c r="F51" i="17"/>
  <c r="D52" i="17"/>
  <c r="E51" i="17"/>
  <c r="N59" i="2" l="1"/>
  <c r="G52" i="17"/>
  <c r="H52" i="17" s="1"/>
  <c r="F52" i="17"/>
  <c r="D53" i="17"/>
  <c r="E52" i="17"/>
  <c r="N60" i="2" l="1"/>
  <c r="G53" i="17"/>
  <c r="H53" i="17" s="1"/>
  <c r="F53" i="17"/>
  <c r="D54" i="17"/>
  <c r="E53" i="17"/>
  <c r="F54" i="17" l="1"/>
  <c r="G54" i="17"/>
  <c r="H54" i="17" s="1"/>
  <c r="D55" i="17"/>
  <c r="E54" i="17"/>
  <c r="G55" i="17" l="1"/>
  <c r="H55" i="17" s="1"/>
  <c r="F55" i="17"/>
  <c r="D56" i="17"/>
  <c r="E55" i="17"/>
  <c r="G56" i="17" l="1"/>
  <c r="H56" i="17" s="1"/>
  <c r="F56" i="17"/>
  <c r="D57" i="17"/>
  <c r="E56" i="17"/>
  <c r="G57" i="17" l="1"/>
  <c r="F57" i="17"/>
  <c r="H57" i="17"/>
  <c r="D58" i="17"/>
  <c r="E57" i="17"/>
  <c r="F58" i="17" l="1"/>
  <c r="G58" i="17"/>
  <c r="H58" i="17" s="1"/>
  <c r="D59" i="17"/>
  <c r="E58" i="17"/>
  <c r="G59" i="17" l="1"/>
  <c r="H59" i="17" s="1"/>
  <c r="F59" i="17"/>
  <c r="D60" i="17"/>
  <c r="E59" i="17"/>
  <c r="G60" i="17" l="1"/>
  <c r="H60" i="17" s="1"/>
  <c r="F60" i="17"/>
  <c r="D61" i="17"/>
  <c r="E60" i="17"/>
  <c r="G61" i="17" l="1"/>
  <c r="F61" i="17"/>
  <c r="H61" i="17"/>
  <c r="D62" i="17"/>
  <c r="E61" i="17"/>
  <c r="F62" i="17" l="1"/>
  <c r="G62" i="17"/>
  <c r="H62" i="17" s="1"/>
  <c r="D63" i="17"/>
  <c r="E62" i="17"/>
  <c r="G63" i="17" l="1"/>
  <c r="H63" i="17" s="1"/>
  <c r="F63" i="17"/>
  <c r="D64" i="17"/>
  <c r="E63" i="17"/>
  <c r="G64" i="17" l="1"/>
  <c r="H64" i="17" s="1"/>
  <c r="F64" i="17"/>
  <c r="D65" i="17"/>
  <c r="E64" i="17"/>
  <c r="G65" i="17" l="1"/>
  <c r="F65" i="17"/>
  <c r="H65" i="17"/>
  <c r="D66" i="17"/>
  <c r="E65" i="17"/>
  <c r="F66" i="17" l="1"/>
  <c r="G66" i="17"/>
  <c r="H66" i="17" s="1"/>
  <c r="D67" i="17"/>
  <c r="E66" i="17"/>
  <c r="G67" i="17" l="1"/>
  <c r="H67" i="17" s="1"/>
  <c r="F67" i="17"/>
  <c r="D68" i="17"/>
  <c r="E67" i="17"/>
  <c r="G68" i="17" l="1"/>
  <c r="H68" i="17" s="1"/>
  <c r="F68" i="17"/>
  <c r="D69" i="17"/>
  <c r="E68" i="17"/>
  <c r="G69" i="17" l="1"/>
  <c r="F69" i="17"/>
  <c r="H69" i="17"/>
  <c r="D70" i="17"/>
  <c r="E69" i="17"/>
  <c r="F70" i="17" l="1"/>
  <c r="G70" i="17"/>
  <c r="H70" i="17" s="1"/>
  <c r="D71" i="17"/>
  <c r="E70" i="17"/>
  <c r="G71" i="17" l="1"/>
  <c r="H71" i="17" s="1"/>
  <c r="F71" i="17"/>
  <c r="D72" i="17"/>
  <c r="E71" i="17"/>
  <c r="G72" i="17" l="1"/>
  <c r="H72" i="17" s="1"/>
  <c r="F72" i="17"/>
  <c r="D73" i="17"/>
  <c r="E72" i="17"/>
  <c r="G73" i="17" l="1"/>
  <c r="F73" i="17"/>
  <c r="H73" i="17"/>
  <c r="D74" i="17"/>
  <c r="E73" i="17"/>
  <c r="F74" i="17" l="1"/>
  <c r="G74" i="17"/>
  <c r="H74" i="17" s="1"/>
  <c r="D75" i="17"/>
  <c r="E74" i="17"/>
  <c r="G75" i="17" l="1"/>
  <c r="H75" i="17" s="1"/>
  <c r="F75" i="17"/>
  <c r="D76" i="17"/>
  <c r="E75" i="17"/>
  <c r="G76" i="17" l="1"/>
  <c r="H76" i="17" s="1"/>
  <c r="F76" i="17"/>
  <c r="D77" i="17"/>
  <c r="E76" i="17"/>
  <c r="G77" i="17" l="1"/>
  <c r="F77" i="17"/>
  <c r="H77" i="17"/>
  <c r="D78" i="17"/>
  <c r="E77" i="17"/>
  <c r="F78" i="17" l="1"/>
  <c r="G78" i="17"/>
  <c r="H78" i="17" s="1"/>
  <c r="D79" i="17"/>
  <c r="E78" i="17"/>
  <c r="G79" i="17" l="1"/>
  <c r="H79" i="17" s="1"/>
  <c r="F79" i="17"/>
  <c r="D80" i="17"/>
  <c r="E79" i="17"/>
  <c r="I6" i="9" l="1"/>
  <c r="I8" i="9"/>
  <c r="I7" i="9"/>
  <c r="I9" i="9"/>
  <c r="I10" i="9"/>
  <c r="I11" i="9"/>
  <c r="I12" i="9"/>
  <c r="I14" i="9"/>
  <c r="I13" i="9"/>
  <c r="I16" i="9"/>
  <c r="I15" i="9"/>
  <c r="I17" i="9"/>
  <c r="I18" i="9"/>
  <c r="I19" i="9"/>
  <c r="I20" i="9"/>
  <c r="I21" i="9"/>
  <c r="I22" i="9"/>
  <c r="I23" i="9"/>
  <c r="I25" i="9"/>
  <c r="I24" i="9"/>
  <c r="I26" i="9"/>
  <c r="I28" i="9"/>
  <c r="I27" i="9"/>
  <c r="I29" i="9"/>
  <c r="I31" i="9"/>
  <c r="I30" i="9"/>
  <c r="I32" i="9"/>
  <c r="I34" i="9"/>
  <c r="I33" i="9"/>
  <c r="I35" i="9"/>
  <c r="I36" i="9"/>
  <c r="I38" i="9"/>
  <c r="I37" i="9"/>
  <c r="I39" i="9"/>
  <c r="I40" i="9"/>
  <c r="I41" i="9"/>
  <c r="I43" i="9"/>
  <c r="I42" i="9"/>
  <c r="I44" i="9"/>
  <c r="I45" i="9"/>
  <c r="I46" i="9"/>
  <c r="I48" i="9"/>
  <c r="I47" i="9"/>
  <c r="I51" i="9"/>
  <c r="L35" i="9" s="1"/>
  <c r="I49" i="9"/>
  <c r="I50" i="9"/>
  <c r="M50" i="9" s="1"/>
  <c r="G80" i="17"/>
  <c r="H80" i="17" s="1"/>
  <c r="F80" i="17"/>
  <c r="D81" i="17"/>
  <c r="E80" i="17"/>
  <c r="M49" i="9" l="1"/>
  <c r="K41" i="9"/>
  <c r="K42" i="9"/>
  <c r="M42" i="9" s="1"/>
  <c r="K43" i="9"/>
  <c r="K44" i="9"/>
  <c r="M44" i="9" s="1"/>
  <c r="K45" i="9"/>
  <c r="M45" i="9" s="1"/>
  <c r="K46" i="9"/>
  <c r="K47" i="9"/>
  <c r="K48" i="9"/>
  <c r="M48" i="9" s="1"/>
  <c r="M47" i="9"/>
  <c r="M46" i="9"/>
  <c r="M43" i="9"/>
  <c r="L25" i="9"/>
  <c r="L24" i="9"/>
  <c r="L22" i="9"/>
  <c r="L26" i="9"/>
  <c r="L23" i="9"/>
  <c r="L21" i="9"/>
  <c r="L27" i="9"/>
  <c r="L19" i="9"/>
  <c r="L30" i="9"/>
  <c r="L28" i="9"/>
  <c r="L7" i="9"/>
  <c r="L9" i="9"/>
  <c r="L8" i="9"/>
  <c r="L10" i="9"/>
  <c r="L11" i="9"/>
  <c r="L12" i="9"/>
  <c r="L15" i="9"/>
  <c r="L13" i="9"/>
  <c r="L14" i="9"/>
  <c r="L17" i="9"/>
  <c r="L18" i="9"/>
  <c r="L16" i="9"/>
  <c r="L20" i="9"/>
  <c r="K6" i="9"/>
  <c r="K7" i="9"/>
  <c r="K9" i="9"/>
  <c r="K10" i="9"/>
  <c r="K8" i="9"/>
  <c r="K11" i="9"/>
  <c r="K13" i="9"/>
  <c r="K12" i="9"/>
  <c r="K14" i="9"/>
  <c r="K15" i="9"/>
  <c r="K17" i="9"/>
  <c r="K18" i="9"/>
  <c r="K16" i="9"/>
  <c r="K21" i="9"/>
  <c r="K20" i="9"/>
  <c r="K22" i="9"/>
  <c r="K19" i="9"/>
  <c r="K23" i="9"/>
  <c r="K25" i="9"/>
  <c r="K24" i="9"/>
  <c r="K26" i="9"/>
  <c r="K27" i="9"/>
  <c r="K28" i="9"/>
  <c r="K29" i="9"/>
  <c r="K30" i="9"/>
  <c r="K31" i="9"/>
  <c r="K32" i="9"/>
  <c r="K34" i="9"/>
  <c r="K33" i="9"/>
  <c r="K36" i="9"/>
  <c r="K35" i="9"/>
  <c r="K37" i="9"/>
  <c r="K38" i="9"/>
  <c r="K40" i="9"/>
  <c r="M40" i="9" s="1"/>
  <c r="K39" i="9"/>
  <c r="M51" i="9"/>
  <c r="M41" i="9"/>
  <c r="N49" i="9"/>
  <c r="N47" i="9"/>
  <c r="N46" i="9"/>
  <c r="N43" i="9"/>
  <c r="N41" i="9"/>
  <c r="N37" i="9"/>
  <c r="N38" i="9"/>
  <c r="N40" i="9"/>
  <c r="N51" i="9"/>
  <c r="P51" i="9" s="1"/>
  <c r="N50" i="9"/>
  <c r="P50" i="9" s="1"/>
  <c r="N48" i="9"/>
  <c r="N45" i="9"/>
  <c r="N42" i="9"/>
  <c r="N44" i="9"/>
  <c r="N36" i="9"/>
  <c r="N39" i="9"/>
  <c r="N35" i="9"/>
  <c r="G81" i="17"/>
  <c r="F81" i="17"/>
  <c r="H81" i="17"/>
  <c r="D82" i="17"/>
  <c r="E81" i="17"/>
  <c r="P49" i="9" l="1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7" i="9"/>
  <c r="P37" i="9" s="1"/>
  <c r="O36" i="9"/>
  <c r="P36" i="9" s="1"/>
  <c r="O38" i="9"/>
  <c r="O39" i="9"/>
  <c r="P39" i="9" s="1"/>
  <c r="O40" i="9"/>
  <c r="P40" i="9" s="1"/>
  <c r="O41" i="9"/>
  <c r="P41" i="9" s="1"/>
  <c r="O42" i="9"/>
  <c r="P42" i="9" s="1"/>
  <c r="O43" i="9"/>
  <c r="P43" i="9" s="1"/>
  <c r="O44" i="9"/>
  <c r="P44" i="9" s="1"/>
  <c r="O45" i="9"/>
  <c r="P45" i="9" s="1"/>
  <c r="O46" i="9"/>
  <c r="P46" i="9" s="1"/>
  <c r="O47" i="9"/>
  <c r="P47" i="9" s="1"/>
  <c r="O48" i="9"/>
  <c r="P48" i="9" s="1"/>
  <c r="P35" i="9"/>
  <c r="P38" i="9"/>
  <c r="N8" i="9"/>
  <c r="N10" i="9"/>
  <c r="N12" i="9"/>
  <c r="N14" i="9"/>
  <c r="N16" i="9"/>
  <c r="O12" i="9" s="1"/>
  <c r="N18" i="9"/>
  <c r="N20" i="9"/>
  <c r="N22" i="9"/>
  <c r="N24" i="9"/>
  <c r="N26" i="9"/>
  <c r="N28" i="9"/>
  <c r="N30" i="9"/>
  <c r="N32" i="9"/>
  <c r="N34" i="9"/>
  <c r="N7" i="9"/>
  <c r="N9" i="9"/>
  <c r="N11" i="9"/>
  <c r="N13" i="9"/>
  <c r="N15" i="9"/>
  <c r="N17" i="9"/>
  <c r="N19" i="9"/>
  <c r="N21" i="9"/>
  <c r="N23" i="9"/>
  <c r="N25" i="9"/>
  <c r="N27" i="9"/>
  <c r="N29" i="9"/>
  <c r="N31" i="9"/>
  <c r="N33" i="9"/>
  <c r="F82" i="17"/>
  <c r="G82" i="17"/>
  <c r="H82" i="17" s="1"/>
  <c r="D83" i="17"/>
  <c r="E82" i="17"/>
  <c r="O15" i="9" l="1"/>
  <c r="P15" i="9" s="1"/>
  <c r="O13" i="9"/>
  <c r="P13" i="9" s="1"/>
  <c r="O11" i="9"/>
  <c r="O14" i="9"/>
  <c r="P14" i="9" s="1"/>
  <c r="O7" i="9"/>
  <c r="P7" i="9" s="1"/>
  <c r="O9" i="9"/>
  <c r="P9" i="9" s="1"/>
  <c r="O8" i="9"/>
  <c r="O10" i="9"/>
  <c r="P10" i="9" s="1"/>
  <c r="P30" i="9"/>
  <c r="P27" i="9"/>
  <c r="P28" i="9"/>
  <c r="P29" i="9"/>
  <c r="P34" i="9"/>
  <c r="P33" i="9"/>
  <c r="P32" i="9"/>
  <c r="P31" i="9"/>
  <c r="P26" i="9"/>
  <c r="P25" i="9"/>
  <c r="P22" i="9"/>
  <c r="P12" i="9"/>
  <c r="P8" i="9"/>
  <c r="P24" i="9"/>
  <c r="P20" i="9"/>
  <c r="P17" i="9"/>
  <c r="P23" i="9"/>
  <c r="P18" i="9"/>
  <c r="P16" i="9"/>
  <c r="P19" i="9"/>
  <c r="P21" i="9"/>
  <c r="P11" i="9"/>
  <c r="M38" i="9"/>
  <c r="M37" i="9"/>
  <c r="M39" i="9"/>
  <c r="M35" i="9"/>
  <c r="M36" i="9"/>
  <c r="N6" i="9"/>
  <c r="O6" i="9" s="1"/>
  <c r="G83" i="17"/>
  <c r="H83" i="17" s="1"/>
  <c r="F83" i="17"/>
  <c r="D84" i="17"/>
  <c r="E83" i="17"/>
  <c r="G84" i="17" l="1"/>
  <c r="H84" i="17" s="1"/>
  <c r="F84" i="17"/>
  <c r="D85" i="17"/>
  <c r="E84" i="17"/>
  <c r="G85" i="17" l="1"/>
  <c r="F85" i="17"/>
  <c r="H85" i="17"/>
  <c r="D86" i="17"/>
  <c r="E85" i="17"/>
  <c r="F86" i="17" l="1"/>
  <c r="G86" i="17"/>
  <c r="H86" i="17" s="1"/>
  <c r="D87" i="17"/>
  <c r="E86" i="17"/>
  <c r="G87" i="17" l="1"/>
  <c r="H87" i="17" s="1"/>
  <c r="F87" i="17"/>
  <c r="D88" i="17"/>
  <c r="E87" i="17"/>
  <c r="G88" i="17" l="1"/>
  <c r="H88" i="17" s="1"/>
  <c r="F88" i="17"/>
  <c r="D89" i="17"/>
  <c r="E88" i="17"/>
  <c r="G89" i="17" l="1"/>
  <c r="H89" i="17" s="1"/>
  <c r="F89" i="17"/>
  <c r="D90" i="17"/>
  <c r="E89" i="17"/>
  <c r="F90" i="17" l="1"/>
  <c r="G90" i="17"/>
  <c r="H90" i="17" s="1"/>
  <c r="D91" i="17"/>
  <c r="E90" i="17"/>
  <c r="G91" i="17" l="1"/>
  <c r="H91" i="17" s="1"/>
  <c r="F91" i="17"/>
  <c r="D92" i="17"/>
  <c r="E91" i="17"/>
  <c r="G92" i="17" l="1"/>
  <c r="H92" i="17" s="1"/>
  <c r="F92" i="17"/>
  <c r="D93" i="17"/>
  <c r="E92" i="17"/>
  <c r="G93" i="17" l="1"/>
  <c r="H93" i="17" s="1"/>
  <c r="F93" i="17"/>
  <c r="D94" i="17"/>
  <c r="E93" i="17"/>
  <c r="F94" i="17" l="1"/>
  <c r="G94" i="17"/>
  <c r="H94" i="17" s="1"/>
  <c r="D95" i="17"/>
  <c r="E94" i="17"/>
  <c r="G95" i="17" l="1"/>
  <c r="H95" i="17" s="1"/>
  <c r="F95" i="17"/>
  <c r="D96" i="17"/>
  <c r="E95" i="17"/>
  <c r="M28" i="9" l="1"/>
  <c r="M27" i="9"/>
  <c r="M29" i="9"/>
  <c r="M30" i="9"/>
  <c r="M31" i="9"/>
  <c r="M32" i="9"/>
  <c r="M33" i="9"/>
  <c r="M34" i="9"/>
  <c r="G96" i="17"/>
  <c r="H96" i="17" s="1"/>
  <c r="F96" i="17"/>
  <c r="D97" i="17"/>
  <c r="E96" i="17"/>
  <c r="P6" i="9" l="1"/>
  <c r="G97" i="17"/>
  <c r="H97" i="17" s="1"/>
  <c r="F97" i="17"/>
  <c r="D98" i="17"/>
  <c r="E97" i="17"/>
  <c r="M14" i="9" l="1"/>
  <c r="M12" i="9"/>
  <c r="M9" i="9"/>
  <c r="M20" i="9"/>
  <c r="M17" i="9"/>
  <c r="M10" i="9"/>
  <c r="M8" i="9"/>
  <c r="M6" i="9"/>
  <c r="J11" i="2" s="1"/>
  <c r="M24" i="9"/>
  <c r="M19" i="9"/>
  <c r="M23" i="9"/>
  <c r="M22" i="9"/>
  <c r="M16" i="9"/>
  <c r="M15" i="9"/>
  <c r="M13" i="9"/>
  <c r="M11" i="9"/>
  <c r="M7" i="9"/>
  <c r="M25" i="9"/>
  <c r="M21" i="9"/>
  <c r="M18" i="9"/>
  <c r="M26" i="9"/>
  <c r="F98" i="17"/>
  <c r="G98" i="17"/>
  <c r="H98" i="17" s="1"/>
  <c r="D99" i="17"/>
  <c r="E98" i="17"/>
  <c r="J10" i="2" l="1"/>
  <c r="Q11" i="9"/>
  <c r="Q10" i="9"/>
  <c r="Q14" i="9"/>
  <c r="Q8" i="9"/>
  <c r="Q15" i="9"/>
  <c r="Q7" i="9"/>
  <c r="Q12" i="9"/>
  <c r="Q9" i="9"/>
  <c r="Q13" i="9"/>
  <c r="I34" i="11"/>
  <c r="I30" i="11"/>
  <c r="I12" i="11"/>
  <c r="G99" i="17"/>
  <c r="H99" i="17" s="1"/>
  <c r="F99" i="17"/>
  <c r="D100" i="17"/>
  <c r="E99" i="17"/>
  <c r="B13" i="11" l="1"/>
  <c r="C13" i="11" s="1"/>
  <c r="B15" i="11"/>
  <c r="B17" i="11"/>
  <c r="B19" i="11"/>
  <c r="B21" i="11"/>
  <c r="B12" i="11"/>
  <c r="B14" i="11"/>
  <c r="B16" i="11"/>
  <c r="B18" i="11"/>
  <c r="B20" i="11"/>
  <c r="C12" i="11"/>
  <c r="I17" i="11"/>
  <c r="I14" i="11"/>
  <c r="I19" i="11"/>
  <c r="I15" i="11"/>
  <c r="I13" i="11"/>
  <c r="I18" i="11"/>
  <c r="I16" i="11"/>
  <c r="I29" i="11"/>
  <c r="I25" i="11"/>
  <c r="I21" i="11"/>
  <c r="I46" i="11"/>
  <c r="I42" i="11"/>
  <c r="I22" i="11"/>
  <c r="I26" i="11"/>
  <c r="I39" i="11"/>
  <c r="I33" i="11"/>
  <c r="I41" i="11"/>
  <c r="I37" i="11"/>
  <c r="I23" i="11"/>
  <c r="I44" i="11"/>
  <c r="I45" i="11"/>
  <c r="I38" i="11"/>
  <c r="I40" i="11"/>
  <c r="I31" i="11"/>
  <c r="I43" i="11"/>
  <c r="I27" i="11"/>
  <c r="I32" i="11"/>
  <c r="I24" i="11"/>
  <c r="I20" i="11"/>
  <c r="I28" i="11"/>
  <c r="I35" i="11"/>
  <c r="I36" i="11"/>
  <c r="O32" i="11"/>
  <c r="O33" i="11"/>
  <c r="O34" i="11"/>
  <c r="O35" i="11"/>
  <c r="O36" i="11"/>
  <c r="O22" i="11"/>
  <c r="O23" i="11"/>
  <c r="O24" i="11"/>
  <c r="O25" i="11"/>
  <c r="O26" i="11"/>
  <c r="O27" i="11"/>
  <c r="O28" i="11"/>
  <c r="O29" i="11"/>
  <c r="O30" i="11"/>
  <c r="O31" i="11"/>
  <c r="G100" i="17"/>
  <c r="H100" i="17" s="1"/>
  <c r="F100" i="17"/>
  <c r="D101" i="17"/>
  <c r="E100" i="17"/>
  <c r="C14" i="11" l="1"/>
  <c r="O21" i="11"/>
  <c r="C21" i="11"/>
  <c r="O19" i="11"/>
  <c r="C19" i="11"/>
  <c r="O17" i="11"/>
  <c r="C17" i="11"/>
  <c r="O15" i="11"/>
  <c r="C15" i="11"/>
  <c r="O13" i="11"/>
  <c r="O20" i="11"/>
  <c r="C20" i="11"/>
  <c r="D20" i="11" s="1"/>
  <c r="O18" i="11"/>
  <c r="C18" i="11"/>
  <c r="D18" i="11" s="1"/>
  <c r="O16" i="11"/>
  <c r="C16" i="11"/>
  <c r="D16" i="11" s="1"/>
  <c r="O14" i="11"/>
  <c r="D12" i="11"/>
  <c r="J12" i="11" s="1"/>
  <c r="O45" i="11"/>
  <c r="O44" i="11"/>
  <c r="O43" i="11"/>
  <c r="O46" i="11"/>
  <c r="O42" i="11"/>
  <c r="O41" i="11"/>
  <c r="O37" i="11"/>
  <c r="O40" i="11"/>
  <c r="O39" i="11"/>
  <c r="O38" i="11"/>
  <c r="G101" i="17"/>
  <c r="H101" i="17" s="1"/>
  <c r="F101" i="17"/>
  <c r="D102" i="17"/>
  <c r="E101" i="17"/>
  <c r="J18" i="11" l="1"/>
  <c r="J16" i="11"/>
  <c r="J20" i="11"/>
  <c r="D13" i="11"/>
  <c r="J13" i="11" s="1"/>
  <c r="D15" i="11"/>
  <c r="J15" i="11" s="1"/>
  <c r="D17" i="11"/>
  <c r="J17" i="11" s="1"/>
  <c r="D19" i="11"/>
  <c r="J19" i="11" s="1"/>
  <c r="D21" i="11"/>
  <c r="J21" i="11" s="1"/>
  <c r="F102" i="17"/>
  <c r="G102" i="17"/>
  <c r="H102" i="17" s="1"/>
  <c r="D103" i="17"/>
  <c r="E102" i="17"/>
  <c r="G103" i="17" l="1"/>
  <c r="H103" i="17" s="1"/>
  <c r="F103" i="17"/>
  <c r="D104" i="17"/>
  <c r="E103" i="17"/>
  <c r="O12" i="11" l="1"/>
  <c r="G104" i="17"/>
  <c r="H104" i="17" s="1"/>
  <c r="F104" i="17"/>
  <c r="D105" i="17"/>
  <c r="E104" i="17"/>
  <c r="K16" i="11" l="1"/>
  <c r="M16" i="11" s="1"/>
  <c r="K13" i="11"/>
  <c r="M13" i="11" s="1"/>
  <c r="K17" i="11"/>
  <c r="M17" i="11" s="1"/>
  <c r="K12" i="11"/>
  <c r="M12" i="11" s="1"/>
  <c r="K19" i="11"/>
  <c r="M19" i="11" s="1"/>
  <c r="K15" i="11"/>
  <c r="M15" i="11" s="1"/>
  <c r="K18" i="11"/>
  <c r="M18" i="11" s="1"/>
  <c r="J4" i="11"/>
  <c r="G105" i="17"/>
  <c r="H105" i="17" s="1"/>
  <c r="F105" i="17"/>
  <c r="D106" i="17"/>
  <c r="E105" i="17"/>
  <c r="K34" i="11" l="1"/>
  <c r="M34" i="11" s="1"/>
  <c r="K40" i="11"/>
  <c r="M40" i="11" s="1"/>
  <c r="K46" i="11"/>
  <c r="M46" i="11" s="1"/>
  <c r="K20" i="11"/>
  <c r="M20" i="11" s="1"/>
  <c r="K43" i="11"/>
  <c r="M43" i="11" s="1"/>
  <c r="K44" i="11"/>
  <c r="M44" i="11" s="1"/>
  <c r="K36" i="11"/>
  <c r="M36" i="11" s="1"/>
  <c r="K45" i="11"/>
  <c r="M45" i="11" s="1"/>
  <c r="K37" i="11"/>
  <c r="M37" i="11" s="1"/>
  <c r="K23" i="11"/>
  <c r="M23" i="11" s="1"/>
  <c r="K35" i="11"/>
  <c r="M35" i="11" s="1"/>
  <c r="K38" i="11"/>
  <c r="M38" i="11" s="1"/>
  <c r="K21" i="11"/>
  <c r="M21" i="11" s="1"/>
  <c r="K39" i="11"/>
  <c r="M39" i="11" s="1"/>
  <c r="K32" i="11"/>
  <c r="M32" i="11" s="1"/>
  <c r="K28" i="11"/>
  <c r="M28" i="11" s="1"/>
  <c r="K30" i="11"/>
  <c r="M30" i="11" s="1"/>
  <c r="K25" i="11"/>
  <c r="M25" i="11" s="1"/>
  <c r="K29" i="11"/>
  <c r="M29" i="11" s="1"/>
  <c r="F106" i="17"/>
  <c r="G106" i="17"/>
  <c r="H106" i="17" s="1"/>
  <c r="D107" i="17"/>
  <c r="E106" i="17"/>
  <c r="K41" i="11" l="1"/>
  <c r="M41" i="11" s="1"/>
  <c r="K22" i="11"/>
  <c r="M22" i="11" s="1"/>
  <c r="K42" i="11"/>
  <c r="M42" i="11" s="1"/>
  <c r="K27" i="11"/>
  <c r="M27" i="11" s="1"/>
  <c r="K24" i="11"/>
  <c r="M24" i="11" s="1"/>
  <c r="K31" i="11"/>
  <c r="M31" i="11" s="1"/>
  <c r="K33" i="11"/>
  <c r="M33" i="11" s="1"/>
  <c r="K26" i="11"/>
  <c r="M26" i="11" s="1"/>
  <c r="G107" i="17"/>
  <c r="H107" i="17" s="1"/>
  <c r="F107" i="17"/>
  <c r="D108" i="17"/>
  <c r="E107" i="17"/>
  <c r="G108" i="17" l="1"/>
  <c r="H108" i="17" s="1"/>
  <c r="F108" i="17"/>
  <c r="D109" i="17"/>
  <c r="E108" i="17"/>
  <c r="G109" i="17" l="1"/>
  <c r="H109" i="17" s="1"/>
  <c r="F109" i="17"/>
  <c r="D110" i="17"/>
  <c r="E109" i="17"/>
  <c r="F110" i="17" l="1"/>
  <c r="G110" i="17"/>
  <c r="H110" i="17" s="1"/>
  <c r="D111" i="17"/>
  <c r="E110" i="17"/>
  <c r="G111" i="17" l="1"/>
  <c r="H111" i="17" s="1"/>
  <c r="F111" i="17"/>
  <c r="D112" i="17"/>
  <c r="E111" i="17"/>
  <c r="G112" i="17" l="1"/>
  <c r="H112" i="17" s="1"/>
  <c r="F112" i="17"/>
  <c r="D113" i="17"/>
  <c r="E112" i="17"/>
  <c r="G113" i="17" l="1"/>
  <c r="H113" i="17" s="1"/>
  <c r="F113" i="17"/>
  <c r="D114" i="17"/>
  <c r="E113" i="17"/>
  <c r="F114" i="17" l="1"/>
  <c r="G114" i="17"/>
  <c r="H114" i="17" s="1"/>
  <c r="D115" i="17"/>
  <c r="E114" i="17"/>
  <c r="G115" i="17" l="1"/>
  <c r="H115" i="17" s="1"/>
  <c r="F115" i="17"/>
  <c r="D116" i="17"/>
  <c r="E115" i="17"/>
  <c r="G116" i="17" l="1"/>
  <c r="H116" i="17"/>
  <c r="F116" i="17"/>
  <c r="D117" i="17"/>
  <c r="E116" i="17"/>
  <c r="G117" i="17" l="1"/>
  <c r="H117" i="17" s="1"/>
  <c r="F117" i="17"/>
  <c r="D118" i="17"/>
  <c r="E117" i="17"/>
  <c r="F118" i="17" l="1"/>
  <c r="G118" i="17"/>
  <c r="H118" i="17" s="1"/>
  <c r="D119" i="17"/>
  <c r="E118" i="17"/>
  <c r="G119" i="17" l="1"/>
  <c r="H119" i="17" s="1"/>
  <c r="F119" i="17"/>
  <c r="D120" i="17"/>
  <c r="E119" i="17"/>
  <c r="G120" i="17" l="1"/>
  <c r="H120" i="17"/>
  <c r="F120" i="17"/>
  <c r="D121" i="17"/>
  <c r="E120" i="17"/>
  <c r="G121" i="17" l="1"/>
  <c r="H121" i="17" s="1"/>
  <c r="F121" i="17"/>
  <c r="D122" i="17"/>
  <c r="E121" i="17"/>
  <c r="F122" i="17" l="1"/>
  <c r="G122" i="17"/>
  <c r="H122" i="17" s="1"/>
  <c r="D123" i="17"/>
  <c r="E122" i="17"/>
  <c r="G123" i="17" l="1"/>
  <c r="H123" i="17" s="1"/>
  <c r="F123" i="17"/>
  <c r="D124" i="17"/>
  <c r="E123" i="17"/>
  <c r="G124" i="17" l="1"/>
  <c r="H124" i="17"/>
  <c r="F124" i="17"/>
  <c r="D125" i="17"/>
  <c r="E124" i="17"/>
  <c r="G125" i="17" l="1"/>
  <c r="H125" i="17" s="1"/>
  <c r="F125" i="17"/>
  <c r="D126" i="17"/>
  <c r="E125" i="17"/>
  <c r="H126" i="17" l="1"/>
  <c r="F126" i="17"/>
  <c r="G126" i="17"/>
  <c r="D127" i="17"/>
  <c r="E126" i="17"/>
  <c r="H127" i="17" l="1"/>
  <c r="G127" i="17"/>
  <c r="F127" i="17"/>
  <c r="D128" i="17"/>
  <c r="E127" i="17"/>
  <c r="G128" i="17" l="1"/>
  <c r="H128" i="17"/>
  <c r="F128" i="17"/>
  <c r="E128" i="17"/>
  <c r="D14" i="11"/>
  <c r="J14" i="11" s="1"/>
  <c r="K14" i="11" l="1"/>
  <c r="M14" i="11" s="1"/>
  <c r="J3" i="11" s="1"/>
  <c r="J5" i="11" s="1"/>
  <c r="J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Clarity Tumwebaze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Loan amount:
The minimum loan amount insured is 2 million 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Age:
age should be between 18 and 50
</t>
        </r>
      </text>
    </comment>
    <comment ref="J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loan term:
should be between 3 and 35 years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cover to expiry
This shouldn't exceed 55 
</t>
        </r>
      </text>
    </comment>
    <comment ref="I10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insuring the whole loan amount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Clarity Tumwebaze</author>
  </authors>
  <commentList>
    <comment ref="E1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Death benefit:
The loan outstanding and last expense
 multiplied by the dependent probability of death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Death benefit to the beneficiaries:
the remaining balance  of the sum assured after paying off the loan is given to the beneficiaries 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lumpsum paid on disability 
</t>
        </r>
      </text>
    </comment>
    <comment ref="H12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 xml:space="preserve">Critical illnes cost:
This is 50% of the loan outstanding multiplied by the depedent probability of critical illness 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<sst xmlns="http://schemas.openxmlformats.org/spreadsheetml/2006/main" count="182" uniqueCount="134">
  <si>
    <t xml:space="preserve">ASSUMPTIONS </t>
  </si>
  <si>
    <t xml:space="preserve">AMOUNT </t>
  </si>
  <si>
    <t xml:space="preserve">Radix </t>
  </si>
  <si>
    <t xml:space="preserve">Sum assured </t>
  </si>
  <si>
    <t xml:space="preserve">Premium </t>
  </si>
  <si>
    <t xml:space="preserve">Interest rate </t>
  </si>
  <si>
    <t xml:space="preserve">Risk discount rate </t>
  </si>
  <si>
    <t>Initial commission expenses</t>
  </si>
  <si>
    <t xml:space="preserve">Mortality </t>
  </si>
  <si>
    <t xml:space="preserve">second year commission expense </t>
  </si>
  <si>
    <t>subsequent commmission expenses</t>
  </si>
  <si>
    <t xml:space="preserve">Initial management expenses </t>
  </si>
  <si>
    <t xml:space="preserve">Second year managemnt expense </t>
  </si>
  <si>
    <t xml:space="preserve">sunsequent management expenses </t>
  </si>
  <si>
    <t>MALES</t>
  </si>
  <si>
    <t>Age x</t>
  </si>
  <si>
    <t>Graduated Rates(qx)</t>
  </si>
  <si>
    <t>FEMALES</t>
  </si>
  <si>
    <t>age x</t>
  </si>
  <si>
    <t>disability rates</t>
  </si>
  <si>
    <t>critical illness rates</t>
  </si>
  <si>
    <t xml:space="preserve">DECREMENT TABLE </t>
  </si>
  <si>
    <r>
      <t>q</t>
    </r>
    <r>
      <rPr>
        <b/>
        <vertAlign val="superscript"/>
        <sz val="11"/>
        <rFont val="Segoe UI"/>
        <family val="2"/>
      </rPr>
      <t>d</t>
    </r>
    <r>
      <rPr>
        <b/>
        <vertAlign val="subscript"/>
        <sz val="11"/>
        <rFont val="Segoe UI"/>
        <family val="2"/>
      </rPr>
      <t>x</t>
    </r>
  </si>
  <si>
    <r>
      <t>q</t>
    </r>
    <r>
      <rPr>
        <b/>
        <vertAlign val="superscript"/>
        <sz val="11"/>
        <rFont val="Segoe UI"/>
        <family val="2"/>
      </rPr>
      <t>b</t>
    </r>
    <r>
      <rPr>
        <b/>
        <vertAlign val="subscript"/>
        <sz val="11"/>
        <rFont val="Segoe UI"/>
        <family val="2"/>
      </rPr>
      <t>x</t>
    </r>
  </si>
  <si>
    <r>
      <t>aq</t>
    </r>
    <r>
      <rPr>
        <b/>
        <vertAlign val="superscript"/>
        <sz val="11"/>
        <rFont val="Segoe UI"/>
        <family val="2"/>
      </rPr>
      <t>d</t>
    </r>
    <r>
      <rPr>
        <b/>
        <vertAlign val="subscript"/>
        <sz val="11"/>
        <rFont val="Segoe UI"/>
        <family val="2"/>
      </rPr>
      <t>x</t>
    </r>
  </si>
  <si>
    <r>
      <t>aq</t>
    </r>
    <r>
      <rPr>
        <b/>
        <vertAlign val="superscript"/>
        <sz val="11"/>
        <rFont val="Segoe UI"/>
        <family val="2"/>
      </rPr>
      <t>b</t>
    </r>
    <r>
      <rPr>
        <b/>
        <vertAlign val="subscript"/>
        <sz val="11"/>
        <rFont val="Segoe UI"/>
        <family val="2"/>
      </rPr>
      <t>x</t>
    </r>
  </si>
  <si>
    <r>
      <t>ap</t>
    </r>
    <r>
      <rPr>
        <b/>
        <vertAlign val="subscript"/>
        <sz val="11"/>
        <rFont val="Segoe UI"/>
        <family val="2"/>
      </rPr>
      <t>x</t>
    </r>
  </si>
  <si>
    <r>
      <rPr>
        <b/>
        <vertAlign val="subscript"/>
        <sz val="11"/>
        <rFont val="Segoe UI"/>
        <family val="2"/>
      </rPr>
      <t>t-1</t>
    </r>
    <r>
      <rPr>
        <b/>
        <sz val="11"/>
        <rFont val="Segoe UI"/>
        <family val="2"/>
      </rPr>
      <t>ap</t>
    </r>
    <r>
      <rPr>
        <b/>
        <vertAlign val="subscript"/>
        <sz val="11"/>
        <rFont val="Segoe UI"/>
        <family val="2"/>
      </rPr>
      <t>x</t>
    </r>
  </si>
  <si>
    <r>
      <rPr>
        <b/>
        <sz val="11"/>
        <color theme="1"/>
        <rFont val="Times New Roman"/>
        <family val="1"/>
      </rPr>
      <t>ye</t>
    </r>
    <r>
      <rPr>
        <b/>
        <sz val="11"/>
        <color theme="1"/>
        <rFont val="Segoe UI"/>
        <family val="2"/>
      </rPr>
      <t>ar t</t>
    </r>
  </si>
  <si>
    <t>X</t>
  </si>
  <si>
    <t>n</t>
  </si>
  <si>
    <t xml:space="preserve">Policy term </t>
  </si>
  <si>
    <t xml:space="preserve">Term of the loan </t>
  </si>
  <si>
    <t xml:space="preserve">Expenses </t>
  </si>
  <si>
    <t>Interest</t>
  </si>
  <si>
    <t xml:space="preserve">Disability cost </t>
  </si>
  <si>
    <t xml:space="preserve">Discounted Premiums </t>
  </si>
  <si>
    <r>
      <t>Discount v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</si>
  <si>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r>
      <t>Discount V</t>
    </r>
    <r>
      <rPr>
        <b/>
        <vertAlign val="superscript"/>
        <sz val="11"/>
        <color theme="1"/>
        <rFont val="Calibri"/>
        <family val="2"/>
        <scheme val="minor"/>
      </rPr>
      <t>t-1</t>
    </r>
  </si>
  <si>
    <t xml:space="preserve">Discounted profit </t>
  </si>
  <si>
    <t xml:space="preserve">Initial expenses </t>
  </si>
  <si>
    <t xml:space="preserve">Profit Signature </t>
  </si>
  <si>
    <t>Profit</t>
  </si>
  <si>
    <t xml:space="preserve">Time t </t>
  </si>
  <si>
    <t>LOAN ARMOTIZATION</t>
  </si>
  <si>
    <t>Payment</t>
  </si>
  <si>
    <t>Principal</t>
  </si>
  <si>
    <t xml:space="preserve">Balance </t>
  </si>
  <si>
    <t>INPUT</t>
  </si>
  <si>
    <t>Oringinal amount(principal)</t>
  </si>
  <si>
    <t>Loan Term(years)</t>
  </si>
  <si>
    <t>Number of periods in a year</t>
  </si>
  <si>
    <t xml:space="preserve">Total number of periods </t>
  </si>
  <si>
    <t xml:space="preserve">Frequency in a year </t>
  </si>
  <si>
    <t>Monthly</t>
  </si>
  <si>
    <t>Annually</t>
  </si>
  <si>
    <t>installment</t>
  </si>
  <si>
    <t xml:space="preserve">Period/Time </t>
  </si>
  <si>
    <t>Outstanding loan death cost</t>
  </si>
  <si>
    <t>Gender</t>
  </si>
  <si>
    <t>Age</t>
  </si>
  <si>
    <t>Loan Term</t>
  </si>
  <si>
    <t xml:space="preserve">Initial loan amount </t>
  </si>
  <si>
    <t>Cover up to(expiry)</t>
  </si>
  <si>
    <t xml:space="preserve">age through out the term </t>
  </si>
  <si>
    <t xml:space="preserve">progressing term </t>
  </si>
  <si>
    <t>Ax</t>
  </si>
  <si>
    <t>Ax+n</t>
  </si>
  <si>
    <t>t</t>
  </si>
  <si>
    <t xml:space="preserve">Renewal expenses </t>
  </si>
  <si>
    <t xml:space="preserve"> </t>
  </si>
  <si>
    <t xml:space="preserve">Loan interest </t>
  </si>
  <si>
    <t>dx</t>
  </si>
  <si>
    <t>Nx</t>
  </si>
  <si>
    <t>Cx</t>
  </si>
  <si>
    <t>Mx</t>
  </si>
  <si>
    <t>Rx</t>
  </si>
  <si>
    <t>Sx</t>
  </si>
  <si>
    <t xml:space="preserve">Net premium </t>
  </si>
  <si>
    <t xml:space="preserve">lx </t>
  </si>
  <si>
    <t xml:space="preserve">dx </t>
  </si>
  <si>
    <t>Dx</t>
  </si>
  <si>
    <t>lx</t>
  </si>
  <si>
    <t xml:space="preserve">t-1 V RESERVE AT THE START OF THE YEAR  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</si>
  <si>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</si>
  <si>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</si>
  <si>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</si>
  <si>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ä</t>
    </r>
    <r>
      <rPr>
        <b/>
        <vertAlign val="subscript"/>
        <sz val="12"/>
        <rFont val="Calibri"/>
        <family val="2"/>
        <scheme val="minor"/>
      </rPr>
      <t>x:n]</t>
    </r>
  </si>
  <si>
    <r>
      <t>A</t>
    </r>
    <r>
      <rPr>
        <b/>
        <vertAlign val="subscript"/>
        <sz val="12"/>
        <rFont val="Calibri"/>
        <family val="2"/>
        <scheme val="minor"/>
      </rPr>
      <t>x</t>
    </r>
    <r>
      <rPr>
        <b/>
        <vertAlign val="superscript"/>
        <sz val="12"/>
        <rFont val="Calibri"/>
        <family val="2"/>
        <scheme val="minor"/>
      </rPr>
      <t>1</t>
    </r>
    <r>
      <rPr>
        <b/>
        <vertAlign val="subscript"/>
        <sz val="12"/>
        <rFont val="Calibri"/>
        <family val="2"/>
        <scheme val="minor"/>
      </rPr>
      <t>:n]</t>
    </r>
  </si>
  <si>
    <r>
      <t>D</t>
    </r>
    <r>
      <rPr>
        <b/>
        <vertAlign val="subscript"/>
        <sz val="14"/>
        <rFont val="Calibri"/>
        <family val="2"/>
        <scheme val="minor"/>
      </rPr>
      <t>x+n</t>
    </r>
  </si>
  <si>
    <r>
      <t>ä</t>
    </r>
    <r>
      <rPr>
        <b/>
        <vertAlign val="subscript"/>
        <sz val="14"/>
        <rFont val="Calibri"/>
        <family val="2"/>
        <scheme val="minor"/>
      </rPr>
      <t>x+n</t>
    </r>
  </si>
  <si>
    <r>
      <t>ä</t>
    </r>
    <r>
      <rPr>
        <b/>
        <vertAlign val="subscript"/>
        <sz val="14"/>
        <rFont val="Calibri"/>
        <family val="2"/>
        <scheme val="minor"/>
      </rPr>
      <t>x</t>
    </r>
  </si>
  <si>
    <t>Cost of increase in provisions</t>
  </si>
  <si>
    <t>interest</t>
  </si>
  <si>
    <t xml:space="preserve">Profit Margin </t>
  </si>
  <si>
    <t xml:space="preserve">NPV of profits </t>
  </si>
  <si>
    <t xml:space="preserve">Npv of premiums </t>
  </si>
  <si>
    <r>
      <t>q</t>
    </r>
    <r>
      <rPr>
        <b/>
        <vertAlign val="superscript"/>
        <sz val="11"/>
        <color theme="1"/>
        <rFont val="Segoe UI"/>
        <family val="2"/>
      </rPr>
      <t>C</t>
    </r>
    <r>
      <rPr>
        <b/>
        <vertAlign val="subscript"/>
        <sz val="11"/>
        <rFont val="Segoe UI"/>
        <family val="2"/>
      </rPr>
      <t>x</t>
    </r>
  </si>
  <si>
    <r>
      <t>aq</t>
    </r>
    <r>
      <rPr>
        <b/>
        <vertAlign val="superscript"/>
        <sz val="11"/>
        <color theme="1"/>
        <rFont val="Segoe UI"/>
        <family val="2"/>
      </rPr>
      <t>C</t>
    </r>
    <r>
      <rPr>
        <b/>
        <vertAlign val="subscript"/>
        <sz val="11"/>
        <rFont val="Segoe UI"/>
        <family val="2"/>
      </rPr>
      <t>x</t>
    </r>
  </si>
  <si>
    <t xml:space="preserve">Critical illness cost </t>
  </si>
  <si>
    <t xml:space="preserve">50% of the loan outstanding </t>
  </si>
  <si>
    <t xml:space="preserve">Critical illness </t>
  </si>
  <si>
    <t>MALE</t>
  </si>
  <si>
    <t xml:space="preserve">PROFIT MARGIN </t>
  </si>
  <si>
    <t xml:space="preserve">VARIATION IN PROFIT DUE TO CHANGE IN EXPENSE </t>
  </si>
  <si>
    <t>0%(ORIGINAL)</t>
  </si>
  <si>
    <t xml:space="preserve">INTEREST RATE </t>
  </si>
  <si>
    <t xml:space="preserve">5% DECREASE </t>
  </si>
  <si>
    <t xml:space="preserve">5% INCREASE </t>
  </si>
  <si>
    <t xml:space="preserve">Considering a 30 year old taking out a loan of 70 million for 10 years </t>
  </si>
  <si>
    <t xml:space="preserve">RISK DISCOUNT RATE </t>
  </si>
  <si>
    <t xml:space="preserve">INTEREST RATE ON LOAN </t>
  </si>
  <si>
    <t xml:space="preserve">CRITICAL ILLNESS BENEFIT RATE </t>
  </si>
  <si>
    <t xml:space="preserve">20% DECREASE </t>
  </si>
  <si>
    <t xml:space="preserve">20% INCREASE </t>
  </si>
  <si>
    <t xml:space="preserve">VARIATION IN PROFIT DUE TO CHANGE IN INTEREST RATE </t>
  </si>
  <si>
    <t xml:space="preserve">VARIATION IN PROFIT DUE TO CHANGE IN INTEREST RATE ON LOAN </t>
  </si>
  <si>
    <t>VARIATION IN PROFIT DUE TO CHANGE IN RISK DISCOUNT RATE</t>
  </si>
  <si>
    <t xml:space="preserve">kenyan tables </t>
  </si>
  <si>
    <t xml:space="preserve">Last Expense </t>
  </si>
  <si>
    <t>qdx</t>
  </si>
  <si>
    <t>qbx</t>
  </si>
  <si>
    <t>qCx</t>
  </si>
  <si>
    <t>aqdx</t>
  </si>
  <si>
    <t>aqbx</t>
  </si>
  <si>
    <t>aqCx</t>
  </si>
  <si>
    <t>apx</t>
  </si>
  <si>
    <t>t-1apx</t>
  </si>
  <si>
    <t xml:space="preserve">Second year expenses </t>
  </si>
  <si>
    <t xml:space="preserve">Premium for the loan </t>
  </si>
  <si>
    <t xml:space="preserve">Annual Premium for the term  life </t>
  </si>
  <si>
    <t xml:space="preserve">Death benefit to beneficiaries   </t>
  </si>
  <si>
    <t>ANNUAL PREMIUMS FOR ALL AGES AND TERMS PER UGX 10,000,000 SUM ASSURED FOR MALES</t>
  </si>
  <si>
    <t>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</si>
</sst>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00"/>
    <numFmt numFmtId="165" formatCode="0.000"/>
    <numFmt numFmtId="166" formatCode="0.0000"/>
    <numFmt numFmtId="167" formatCode="0.00000"/>
    <numFmt numFmtId="168" formatCode="#,##0.000000"/>
    <numFmt numFmtId="169" formatCode="#,##0.00000"/>
    <numFmt numFmtId="170" formatCode="0.000%"/>
    <numFmt numFmtId="171" formatCode="_(* #,##0_);_(* \(#,##0\);_(* &quot;-&quot;??_);_(@_)"/>
    <numFmt numFmtId="172" formatCode="0.0000000"/>
    <numFmt numFmtId="173" formatCode="_(* #,##0.0000_);_(* \(#,##0.0000\);_(* &quot;-&quot;??_);_(@_)"/>
    <numFmt numFmtId="174" formatCode="_(* #,##0.00000_);_(* \(#,##0.00000\);_(* &quot;-&quot;??_);_(@_)"/>
    <numFmt numFmtId="175" formatCode="_-* #,##0.00000_-;\-* #,##0.00000_-;_-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vertAlign val="superscript"/>
      <sz val="11"/>
      <name val="Segoe UI"/>
      <family val="2"/>
    </font>
    <font>
      <b/>
      <vertAlign val="subscript"/>
      <sz val="11"/>
      <name val="Segoe UI"/>
      <family val="2"/>
    </font>
    <font>
      <b/>
      <sz val="11"/>
      <name val="Segoe UI"/>
      <family val="2"/>
    </font>
    <font>
      <b/>
      <sz val="11"/>
      <color theme="1"/>
      <name val="Times New Roman"/>
      <family val="1"/>
    </font>
    <font>
      <b/>
      <sz val="11"/>
      <color theme="1"/>
      <name val="Segoe UI"/>
      <family val="1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perscript"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89">
    <xf numFmtId="0" fontId="0" fillId="0" borderId="0" xfId="0"/>
    <xf numFmtId="9" fontId="0" fillId="0" borderId="0" xfId="0" applyNumberFormat="1"/>
    <xf numFmtId="0" fontId="0" fillId="0" borderId="1" xfId="0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0" fontId="7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40" fontId="0" fillId="0" borderId="0" xfId="0" applyNumberFormat="1"/>
    <xf numFmtId="40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68" fontId="0" fillId="0" borderId="1" xfId="0" applyNumberFormat="1" applyBorder="1"/>
    <xf numFmtId="3" fontId="0" fillId="0" borderId="1" xfId="1" applyNumberFormat="1" applyFont="1" applyBorder="1"/>
    <xf numFmtId="43" fontId="0" fillId="0" borderId="0" xfId="2" applyFont="1"/>
    <xf numFmtId="43" fontId="0" fillId="0" borderId="0" xfId="0" applyNumberFormat="1"/>
    <xf numFmtId="4" fontId="0" fillId="0" borderId="0" xfId="0" applyNumberFormat="1"/>
    <xf numFmtId="0" fontId="1" fillId="0" borderId="1" xfId="0" applyFont="1" applyFill="1" applyBorder="1"/>
    <xf numFmtId="0" fontId="12" fillId="0" borderId="1" xfId="0" applyFont="1" applyBorder="1" applyAlignment="1">
      <alignment horizontal="center"/>
    </xf>
    <xf numFmtId="0" fontId="0" fillId="0" borderId="2" xfId="0" applyBorder="1"/>
    <xf numFmtId="170" fontId="0" fillId="0" borderId="0" xfId="1" applyNumberFormat="1" applyFont="1"/>
    <xf numFmtId="43" fontId="0" fillId="0" borderId="1" xfId="0" applyNumberFormat="1" applyBorder="1"/>
    <xf numFmtId="9" fontId="0" fillId="0" borderId="1" xfId="1" applyFont="1" applyBorder="1"/>
    <xf numFmtId="164" fontId="0" fillId="0" borderId="0" xfId="0" applyNumberFormat="1" applyBorder="1"/>
    <xf numFmtId="3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0" fontId="10" fillId="0" borderId="1" xfId="3" applyBorder="1"/>
    <xf numFmtId="0" fontId="10" fillId="0" borderId="0" xfId="3"/>
    <xf numFmtId="9" fontId="10" fillId="0" borderId="0" xfId="3" applyNumberFormat="1"/>
    <xf numFmtId="0" fontId="1" fillId="0" borderId="1" xfId="3" applyFont="1" applyBorder="1"/>
    <xf numFmtId="167" fontId="10" fillId="0" borderId="1" xfId="3" applyNumberFormat="1" applyBorder="1"/>
    <xf numFmtId="3" fontId="10" fillId="0" borderId="1" xfId="3" applyNumberFormat="1" applyBorder="1"/>
    <xf numFmtId="1" fontId="10" fillId="0" borderId="1" xfId="3" applyNumberFormat="1" applyBorder="1"/>
    <xf numFmtId="171" fontId="0" fillId="0" borderId="1" xfId="4" applyNumberFormat="1" applyFont="1" applyBorder="1"/>
    <xf numFmtId="171" fontId="0" fillId="0" borderId="0" xfId="4" applyNumberFormat="1" applyFont="1"/>
    <xf numFmtId="171" fontId="0" fillId="0" borderId="1" xfId="0" applyNumberFormat="1" applyBorder="1"/>
    <xf numFmtId="9" fontId="0" fillId="0" borderId="1" xfId="3" applyNumberFormat="1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0" fillId="0" borderId="1" xfId="0" applyNumberFormat="1" applyBorder="1"/>
    <xf numFmtId="0" fontId="8" fillId="0" borderId="0" xfId="0" applyFont="1" applyBorder="1" applyAlignment="1"/>
    <xf numFmtId="0" fontId="1" fillId="0" borderId="1" xfId="0" applyFont="1" applyBorder="1" applyAlignment="1">
      <alignment horizontal="center" wrapText="1"/>
    </xf>
    <xf numFmtId="9" fontId="0" fillId="0" borderId="0" xfId="0" applyNumberFormat="1" applyBorder="1"/>
    <xf numFmtId="171" fontId="10" fillId="0" borderId="1" xfId="2" applyNumberFormat="1" applyBorder="1"/>
    <xf numFmtId="0" fontId="0" fillId="0" borderId="1" xfId="3" applyFont="1" applyBorder="1"/>
    <xf numFmtId="172" fontId="0" fillId="0" borderId="1" xfId="0" applyNumberFormat="1" applyBorder="1"/>
    <xf numFmtId="0" fontId="0" fillId="0" borderId="0" xfId="0" applyNumberFormat="1" applyBorder="1"/>
    <xf numFmtId="0" fontId="0" fillId="0" borderId="0" xfId="0" applyAlignment="1">
      <alignment wrapText="1"/>
    </xf>
    <xf numFmtId="10" fontId="0" fillId="0" borderId="1" xfId="0" applyNumberFormat="1" applyBorder="1"/>
    <xf numFmtId="170" fontId="0" fillId="0" borderId="1" xfId="1" applyNumberFormat="1" applyFont="1" applyBorder="1"/>
    <xf numFmtId="170" fontId="0" fillId="0" borderId="1" xfId="0" applyNumberFormat="1" applyBorder="1"/>
    <xf numFmtId="0" fontId="0" fillId="0" borderId="0" xfId="0" applyFont="1"/>
    <xf numFmtId="170" fontId="0" fillId="0" borderId="1" xfId="0" applyNumberFormat="1" applyFont="1" applyBorder="1"/>
    <xf numFmtId="173" fontId="0" fillId="0" borderId="0" xfId="4" applyNumberFormat="1" applyFont="1"/>
    <xf numFmtId="174" fontId="0" fillId="0" borderId="0" xfId="4" applyNumberFormat="1" applyFont="1"/>
    <xf numFmtId="175" fontId="10" fillId="0" borderId="0" xfId="3" applyNumberFormat="1"/>
    <xf numFmtId="0" fontId="1" fillId="0" borderId="1" xfId="0" applyFont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1" xfId="3" applyFont="1" applyBorder="1" applyAlignment="1">
      <alignment horizontal="center"/>
    </xf>
    <xf numFmtId="0" fontId="13" fillId="0" borderId="1" xfId="3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1" fontId="0" fillId="0" borderId="1" xfId="2" applyNumberFormat="1" applyFont="1" applyBorder="1"/>
  </cellXfs>
  <cellStyles count="5">
    <cellStyle name="Comma" xfId="2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OneDrive/Desktop/New%20folder/New%20folder/retirement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  (2)"/>
      <sheetName val="Retirement"/>
      <sheetName val="Help"/>
      <sheetName val="©"/>
      <sheetName val="MORTALITY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0.04</v>
          </cell>
        </row>
        <row r="3">
          <cell r="A3" t="str">
            <v>MALES</v>
          </cell>
          <cell r="L3" t="str">
            <v>FEMALES</v>
          </cell>
        </row>
        <row r="4">
          <cell r="A4" t="str">
            <v>Age x</v>
          </cell>
          <cell r="B4" t="str">
            <v>Graduated Rates(qx)</v>
          </cell>
          <cell r="L4" t="str">
            <v>Age x</v>
          </cell>
          <cell r="M4" t="str">
            <v>Graduated Rates(qx)</v>
          </cell>
        </row>
        <row r="5">
          <cell r="A5">
            <v>18</v>
          </cell>
          <cell r="B5">
            <v>8.9700000000000001E-4</v>
          </cell>
          <cell r="L5">
            <v>18</v>
          </cell>
          <cell r="M5">
            <v>1.227E-3</v>
          </cell>
        </row>
        <row r="6">
          <cell r="A6">
            <v>19</v>
          </cell>
          <cell r="B6">
            <v>1.111E-3</v>
          </cell>
          <cell r="L6">
            <v>19</v>
          </cell>
          <cell r="M6">
            <v>1.359E-3</v>
          </cell>
        </row>
        <row r="7">
          <cell r="A7">
            <v>20</v>
          </cell>
          <cell r="B7">
            <v>1.3110000000000001E-3</v>
          </cell>
          <cell r="L7">
            <v>20</v>
          </cell>
          <cell r="M7">
            <v>1.48E-3</v>
          </cell>
        </row>
        <row r="8">
          <cell r="A8">
            <v>21</v>
          </cell>
          <cell r="B8">
            <v>1.4940000000000001E-3</v>
          </cell>
          <cell r="L8">
            <v>21</v>
          </cell>
          <cell r="M8">
            <v>1.5870000000000001E-3</v>
          </cell>
        </row>
        <row r="9">
          <cell r="A9">
            <v>22</v>
          </cell>
          <cell r="B9">
            <v>1.655E-3</v>
          </cell>
          <cell r="L9">
            <v>22</v>
          </cell>
          <cell r="M9">
            <v>1.676E-3</v>
          </cell>
        </row>
        <row r="10">
          <cell r="A10">
            <v>23</v>
          </cell>
          <cell r="B10">
            <v>1.7899999999999999E-3</v>
          </cell>
          <cell r="L10">
            <v>23</v>
          </cell>
          <cell r="M10">
            <v>1.743E-3</v>
          </cell>
        </row>
        <row r="11">
          <cell r="A11">
            <v>24</v>
          </cell>
          <cell r="B11">
            <v>1.8940000000000001E-3</v>
          </cell>
          <cell r="L11">
            <v>24</v>
          </cell>
          <cell r="M11">
            <v>1.786E-3</v>
          </cell>
        </row>
        <row r="12">
          <cell r="A12">
            <v>25</v>
          </cell>
          <cell r="B12">
            <v>1.9629999999999999E-3</v>
          </cell>
          <cell r="L12">
            <v>25</v>
          </cell>
          <cell r="M12">
            <v>1.8010000000000001E-3</v>
          </cell>
        </row>
        <row r="13">
          <cell r="A13">
            <v>26</v>
          </cell>
          <cell r="B13">
            <v>1.9940000000000001E-3</v>
          </cell>
          <cell r="L13">
            <v>26</v>
          </cell>
          <cell r="M13">
            <v>1.7849999999999999E-3</v>
          </cell>
        </row>
        <row r="14">
          <cell r="A14">
            <v>27</v>
          </cell>
          <cell r="B14">
            <v>1.9940000000000001E-3</v>
          </cell>
          <cell r="L14">
            <v>27</v>
          </cell>
          <cell r="M14">
            <v>1.7440000000000001E-3</v>
          </cell>
        </row>
        <row r="15">
          <cell r="A15">
            <v>28</v>
          </cell>
          <cell r="B15">
            <v>1.9710000000000001E-3</v>
          </cell>
          <cell r="L15">
            <v>28</v>
          </cell>
          <cell r="M15">
            <v>1.684E-3</v>
          </cell>
        </row>
        <row r="16">
          <cell r="A16">
            <v>29</v>
          </cell>
          <cell r="B16">
            <v>1.9319999999999999E-3</v>
          </cell>
          <cell r="L16">
            <v>29</v>
          </cell>
          <cell r="M16">
            <v>1.6119999999999999E-3</v>
          </cell>
        </row>
        <row r="17">
          <cell r="A17">
            <v>30</v>
          </cell>
          <cell r="B17">
            <v>1.8860000000000001E-3</v>
          </cell>
          <cell r="L17">
            <v>30</v>
          </cell>
          <cell r="M17">
            <v>1.534E-3</v>
          </cell>
        </row>
        <row r="18">
          <cell r="A18">
            <v>31</v>
          </cell>
          <cell r="B18">
            <v>1.8400000000000001E-3</v>
          </cell>
          <cell r="L18">
            <v>31</v>
          </cell>
          <cell r="M18">
            <v>1.456E-3</v>
          </cell>
        </row>
        <row r="19">
          <cell r="A19">
            <v>32</v>
          </cell>
          <cell r="B19">
            <v>1.8029999999999999E-3</v>
          </cell>
          <cell r="L19">
            <v>32</v>
          </cell>
          <cell r="M19">
            <v>1.3860000000000001E-3</v>
          </cell>
        </row>
        <row r="20">
          <cell r="A20">
            <v>33</v>
          </cell>
          <cell r="B20">
            <v>1.7819999999999999E-3</v>
          </cell>
          <cell r="L20">
            <v>33</v>
          </cell>
          <cell r="M20">
            <v>1.33E-3</v>
          </cell>
        </row>
        <row r="21">
          <cell r="A21">
            <v>34</v>
          </cell>
          <cell r="B21">
            <v>1.787E-3</v>
          </cell>
          <cell r="L21">
            <v>34</v>
          </cell>
          <cell r="M21">
            <v>1.294E-3</v>
          </cell>
        </row>
        <row r="22">
          <cell r="A22">
            <v>35</v>
          </cell>
          <cell r="B22">
            <v>1.8209999999999999E-3</v>
          </cell>
          <cell r="L22">
            <v>35</v>
          </cell>
          <cell r="M22">
            <v>1.2830000000000001E-3</v>
          </cell>
        </row>
        <row r="23">
          <cell r="A23">
            <v>36</v>
          </cell>
          <cell r="B23">
            <v>1.884E-3</v>
          </cell>
          <cell r="L23">
            <v>36</v>
          </cell>
          <cell r="M23">
            <v>1.2960000000000001E-3</v>
          </cell>
        </row>
        <row r="24">
          <cell r="A24">
            <v>37</v>
          </cell>
          <cell r="B24">
            <v>1.97E-3</v>
          </cell>
          <cell r="L24">
            <v>37</v>
          </cell>
          <cell r="M24">
            <v>1.33E-3</v>
          </cell>
        </row>
        <row r="25">
          <cell r="A25">
            <v>38</v>
          </cell>
          <cell r="B25">
            <v>2.0739999999999999E-3</v>
          </cell>
          <cell r="L25">
            <v>38</v>
          </cell>
          <cell r="M25">
            <v>1.3810000000000001E-3</v>
          </cell>
        </row>
        <row r="26">
          <cell r="A26">
            <v>39</v>
          </cell>
          <cell r="B26">
            <v>2.1930000000000001E-3</v>
          </cell>
          <cell r="L26">
            <v>39</v>
          </cell>
          <cell r="M26">
            <v>1.4469999999999999E-3</v>
          </cell>
        </row>
        <row r="27">
          <cell r="A27">
            <v>40</v>
          </cell>
          <cell r="B27">
            <v>2.32E-3</v>
          </cell>
          <cell r="L27">
            <v>40</v>
          </cell>
          <cell r="M27">
            <v>1.524E-3</v>
          </cell>
        </row>
        <row r="28">
          <cell r="A28">
            <v>41</v>
          </cell>
          <cell r="B28">
            <v>2.4520000000000002E-3</v>
          </cell>
          <cell r="L28">
            <v>41</v>
          </cell>
          <cell r="M28">
            <v>1.6100000000000001E-3</v>
          </cell>
        </row>
        <row r="29">
          <cell r="A29">
            <v>42</v>
          </cell>
          <cell r="B29">
            <v>2.5829999999999998E-3</v>
          </cell>
          <cell r="L29">
            <v>42</v>
          </cell>
          <cell r="M29">
            <v>1.701E-3</v>
          </cell>
        </row>
        <row r="30">
          <cell r="A30">
            <v>43</v>
          </cell>
          <cell r="B30">
            <v>2.709E-3</v>
          </cell>
          <cell r="L30">
            <v>43</v>
          </cell>
          <cell r="M30">
            <v>1.7930000000000001E-3</v>
          </cell>
        </row>
        <row r="31">
          <cell r="A31">
            <v>44</v>
          </cell>
          <cell r="B31">
            <v>2.8270000000000001E-3</v>
          </cell>
          <cell r="L31">
            <v>44</v>
          </cell>
          <cell r="M31">
            <v>1.885E-3</v>
          </cell>
        </row>
        <row r="32">
          <cell r="A32">
            <v>45</v>
          </cell>
          <cell r="B32">
            <v>2.9350000000000001E-3</v>
          </cell>
          <cell r="L32">
            <v>45</v>
          </cell>
          <cell r="M32">
            <v>2.1229999999999999E-3</v>
          </cell>
        </row>
        <row r="33">
          <cell r="A33">
            <v>46</v>
          </cell>
          <cell r="B33">
            <v>3.0360000000000001E-3</v>
          </cell>
          <cell r="L33">
            <v>46</v>
          </cell>
          <cell r="M33">
            <v>2.3479999999999998E-3</v>
          </cell>
        </row>
        <row r="34">
          <cell r="A34">
            <v>47</v>
          </cell>
          <cell r="B34">
            <v>3.1310000000000001E-3</v>
          </cell>
          <cell r="L34">
            <v>47</v>
          </cell>
          <cell r="M34">
            <v>2.5969999999999999E-3</v>
          </cell>
        </row>
        <row r="35">
          <cell r="A35">
            <v>48</v>
          </cell>
          <cell r="B35">
            <v>3.2200000000000002E-3</v>
          </cell>
          <cell r="L35">
            <v>48</v>
          </cell>
          <cell r="M35">
            <v>2.8730000000000001E-3</v>
          </cell>
        </row>
        <row r="36">
          <cell r="A36">
            <v>49</v>
          </cell>
          <cell r="B36">
            <v>3.3050000000000002E-3</v>
          </cell>
          <cell r="L36">
            <v>49</v>
          </cell>
          <cell r="M36">
            <v>3.1779999999999998E-3</v>
          </cell>
        </row>
        <row r="37">
          <cell r="A37">
            <v>50</v>
          </cell>
          <cell r="B37">
            <v>3.3860000000000001E-3</v>
          </cell>
          <cell r="L37">
            <v>50</v>
          </cell>
          <cell r="M37">
            <v>3.5149999999999999E-3</v>
          </cell>
        </row>
        <row r="38">
          <cell r="A38">
            <v>51</v>
          </cell>
          <cell r="B38">
            <v>3.4659999999999999E-3</v>
          </cell>
          <cell r="L38">
            <v>51</v>
          </cell>
          <cell r="M38">
            <v>3.888E-3</v>
          </cell>
        </row>
        <row r="39">
          <cell r="A39">
            <v>52</v>
          </cell>
          <cell r="B39">
            <v>3.5439999999999998E-3</v>
          </cell>
          <cell r="L39">
            <v>52</v>
          </cell>
          <cell r="M39">
            <v>4.3010000000000001E-3</v>
          </cell>
        </row>
        <row r="40">
          <cell r="A40">
            <v>53</v>
          </cell>
          <cell r="B40">
            <v>3.6219999999999998E-3</v>
          </cell>
          <cell r="L40">
            <v>53</v>
          </cell>
          <cell r="M40">
            <v>4.7569999999999999E-3</v>
          </cell>
        </row>
        <row r="41">
          <cell r="A41">
            <v>54</v>
          </cell>
          <cell r="B41">
            <v>3.7000000000000002E-3</v>
          </cell>
          <cell r="L41">
            <v>54</v>
          </cell>
          <cell r="M41">
            <v>5.2610000000000001E-3</v>
          </cell>
        </row>
        <row r="42">
          <cell r="A42">
            <v>55</v>
          </cell>
          <cell r="B42">
            <v>3.7780000000000001E-3</v>
          </cell>
          <cell r="L42">
            <v>55</v>
          </cell>
          <cell r="M42">
            <v>5.8190000000000004E-3</v>
          </cell>
        </row>
        <row r="43">
          <cell r="A43">
            <v>56</v>
          </cell>
          <cell r="B43">
            <v>4.1710000000000002E-3</v>
          </cell>
          <cell r="L43">
            <v>56</v>
          </cell>
          <cell r="M43">
            <v>6.4359999999999999E-3</v>
          </cell>
        </row>
        <row r="44">
          <cell r="A44">
            <v>57</v>
          </cell>
          <cell r="B44">
            <v>4.6969999999999998E-3</v>
          </cell>
          <cell r="L44">
            <v>57</v>
          </cell>
          <cell r="M44">
            <v>7.1180000000000002E-3</v>
          </cell>
        </row>
        <row r="45">
          <cell r="A45">
            <v>58</v>
          </cell>
          <cell r="B45">
            <v>5.2880000000000002E-3</v>
          </cell>
          <cell r="L45">
            <v>58</v>
          </cell>
          <cell r="M45">
            <v>7.8709999999999995E-3</v>
          </cell>
        </row>
        <row r="46">
          <cell r="A46">
            <v>59</v>
          </cell>
          <cell r="B46">
            <v>5.9540000000000001E-3</v>
          </cell>
          <cell r="L46">
            <v>59</v>
          </cell>
          <cell r="M46">
            <v>8.7049999999999992E-3</v>
          </cell>
        </row>
        <row r="47">
          <cell r="A47">
            <v>60</v>
          </cell>
          <cell r="B47">
            <v>6.7039999999999999E-3</v>
          </cell>
          <cell r="L47">
            <v>60</v>
          </cell>
          <cell r="M47">
            <v>9.6259999999999991E-3</v>
          </cell>
        </row>
        <row r="48">
          <cell r="A48">
            <v>61</v>
          </cell>
          <cell r="B48">
            <v>7.5469999999999999E-3</v>
          </cell>
          <cell r="L48">
            <v>61</v>
          </cell>
          <cell r="M48">
            <v>1.0644000000000001E-2</v>
          </cell>
        </row>
        <row r="49">
          <cell r="A49">
            <v>62</v>
          </cell>
          <cell r="B49">
            <v>8.4960000000000001E-3</v>
          </cell>
          <cell r="L49">
            <v>62</v>
          </cell>
          <cell r="M49">
            <v>1.1768000000000001E-2</v>
          </cell>
        </row>
        <row r="50">
          <cell r="A50">
            <v>63</v>
          </cell>
          <cell r="B50">
            <v>9.5630000000000003E-3</v>
          </cell>
          <cell r="L50">
            <v>63</v>
          </cell>
          <cell r="M50">
            <v>1.3011999999999999E-2</v>
          </cell>
        </row>
        <row r="51">
          <cell r="A51">
            <v>64</v>
          </cell>
          <cell r="B51">
            <v>1.0763999999999999E-2</v>
          </cell>
          <cell r="L51">
            <v>64</v>
          </cell>
          <cell r="M51">
            <v>1.4385E-2</v>
          </cell>
        </row>
        <row r="52">
          <cell r="A52">
            <v>65</v>
          </cell>
          <cell r="B52">
            <v>1.2116E-2</v>
          </cell>
          <cell r="L52">
            <v>65</v>
          </cell>
          <cell r="M52">
            <v>1.5901999999999999E-2</v>
          </cell>
        </row>
        <row r="53">
          <cell r="A53">
            <v>66</v>
          </cell>
          <cell r="B53">
            <v>1.3635E-2</v>
          </cell>
          <cell r="L53">
            <v>66</v>
          </cell>
          <cell r="M53">
            <v>1.7578E-2</v>
          </cell>
        </row>
        <row r="54">
          <cell r="A54">
            <v>67</v>
          </cell>
          <cell r="B54">
            <v>1.5343000000000001E-2</v>
          </cell>
          <cell r="L54">
            <v>67</v>
          </cell>
          <cell r="M54">
            <v>1.9428000000000001E-2</v>
          </cell>
        </row>
        <row r="55">
          <cell r="A55">
            <v>68</v>
          </cell>
          <cell r="B55">
            <v>1.7264000000000002E-2</v>
          </cell>
          <cell r="L55">
            <v>68</v>
          </cell>
          <cell r="M55">
            <v>2.1472000000000002E-2</v>
          </cell>
        </row>
        <row r="56">
          <cell r="A56">
            <v>69</v>
          </cell>
          <cell r="B56">
            <v>1.9422999999999999E-2</v>
          </cell>
          <cell r="L56">
            <v>69</v>
          </cell>
          <cell r="M56">
            <v>2.3727000000000002E-2</v>
          </cell>
        </row>
        <row r="57">
          <cell r="A57">
            <v>70</v>
          </cell>
          <cell r="B57">
            <v>2.1849E-2</v>
          </cell>
          <cell r="L57">
            <v>70</v>
          </cell>
          <cell r="M57">
            <v>2.6216E-2</v>
          </cell>
        </row>
        <row r="58">
          <cell r="A58">
            <v>71</v>
          </cell>
          <cell r="B58">
            <v>2.4573000000000001E-2</v>
          </cell>
          <cell r="L58">
            <v>71</v>
          </cell>
          <cell r="M58">
            <v>2.8962999999999999E-2</v>
          </cell>
        </row>
        <row r="59">
          <cell r="A59">
            <v>72</v>
          </cell>
          <cell r="B59">
            <v>2.7633000000000001E-2</v>
          </cell>
          <cell r="L59">
            <v>72</v>
          </cell>
          <cell r="M59">
            <v>3.1992E-2</v>
          </cell>
        </row>
        <row r="60">
          <cell r="A60">
            <v>73</v>
          </cell>
          <cell r="B60">
            <v>3.1067999999999998E-2</v>
          </cell>
          <cell r="L60">
            <v>73</v>
          </cell>
          <cell r="M60">
            <v>3.5333000000000003E-2</v>
          </cell>
        </row>
        <row r="61">
          <cell r="A61">
            <v>74</v>
          </cell>
          <cell r="B61">
            <v>3.4922000000000002E-2</v>
          </cell>
          <cell r="L61">
            <v>74</v>
          </cell>
          <cell r="M61">
            <v>3.9015000000000001E-2</v>
          </cell>
        </row>
        <row r="62">
          <cell r="A62">
            <v>75</v>
          </cell>
          <cell r="B62">
            <v>3.9244000000000001E-2</v>
          </cell>
          <cell r="L62">
            <v>75</v>
          </cell>
          <cell r="M62">
            <v>4.3073E-2</v>
          </cell>
        </row>
        <row r="63">
          <cell r="A63">
            <v>76</v>
          </cell>
          <cell r="B63">
            <v>4.4089000000000003E-2</v>
          </cell>
          <cell r="L63">
            <v>76</v>
          </cell>
          <cell r="M63">
            <v>4.7541E-2</v>
          </cell>
        </row>
        <row r="64">
          <cell r="A64">
            <v>77</v>
          </cell>
          <cell r="B64">
            <v>4.9515999999999998E-2</v>
          </cell>
          <cell r="L64">
            <v>77</v>
          </cell>
          <cell r="M64">
            <v>5.2461000000000001E-2</v>
          </cell>
        </row>
        <row r="65">
          <cell r="A65">
            <v>78</v>
          </cell>
          <cell r="B65">
            <v>5.5592000000000003E-2</v>
          </cell>
          <cell r="L65">
            <v>78</v>
          </cell>
          <cell r="M65">
            <v>5.7874000000000002E-2</v>
          </cell>
        </row>
        <row r="66">
          <cell r="A66">
            <v>79</v>
          </cell>
          <cell r="B66">
            <v>6.2387999999999999E-2</v>
          </cell>
          <cell r="L66">
            <v>79</v>
          </cell>
          <cell r="M66">
            <v>6.3826999999999995E-2</v>
          </cell>
        </row>
        <row r="67">
          <cell r="A67">
            <v>80</v>
          </cell>
          <cell r="B67">
            <v>6.9984000000000005E-2</v>
          </cell>
          <cell r="L67">
            <v>80</v>
          </cell>
          <cell r="M67">
            <v>7.0368E-2</v>
          </cell>
        </row>
        <row r="68">
          <cell r="A68">
            <v>81</v>
          </cell>
          <cell r="B68">
            <v>7.8465999999999994E-2</v>
          </cell>
          <cell r="L68">
            <v>81</v>
          </cell>
          <cell r="M68">
            <v>7.7551999999999996E-2</v>
          </cell>
        </row>
        <row r="69">
          <cell r="A69">
            <v>82</v>
          </cell>
          <cell r="B69">
            <v>8.7926000000000004E-2</v>
          </cell>
          <cell r="L69">
            <v>82</v>
          </cell>
          <cell r="M69">
            <v>8.5434999999999997E-2</v>
          </cell>
        </row>
        <row r="70">
          <cell r="A70">
            <v>83</v>
          </cell>
          <cell r="B70">
            <v>9.8464999999999997E-2</v>
          </cell>
          <cell r="L70">
            <v>83</v>
          </cell>
          <cell r="M70">
            <v>9.4077999999999995E-2</v>
          </cell>
        </row>
        <row r="71">
          <cell r="A71">
            <v>84</v>
          </cell>
          <cell r="B71">
            <v>0.11018799999999999</v>
          </cell>
          <cell r="L71">
            <v>84</v>
          </cell>
          <cell r="M71">
            <v>0.103544</v>
          </cell>
        </row>
        <row r="72">
          <cell r="A72">
            <v>85</v>
          </cell>
          <cell r="B72">
            <v>0.12321</v>
          </cell>
          <cell r="L72">
            <v>85</v>
          </cell>
          <cell r="M72">
            <v>0.113902</v>
          </cell>
        </row>
        <row r="73">
          <cell r="A73">
            <v>86</v>
          </cell>
          <cell r="B73">
            <v>0.13764799999999999</v>
          </cell>
          <cell r="L73">
            <v>86</v>
          </cell>
          <cell r="M73">
            <v>0.125221</v>
          </cell>
        </row>
        <row r="74">
          <cell r="A74">
            <v>87</v>
          </cell>
          <cell r="B74">
            <v>0.15362400000000001</v>
          </cell>
          <cell r="L74">
            <v>87</v>
          </cell>
          <cell r="M74">
            <v>0.137576</v>
          </cell>
        </row>
        <row r="75">
          <cell r="A75">
            <v>88</v>
          </cell>
          <cell r="B75">
            <v>0.171264</v>
          </cell>
          <cell r="L75">
            <v>88</v>
          </cell>
          <cell r="M75">
            <v>0.15104000000000001</v>
          </cell>
        </row>
        <row r="76">
          <cell r="A76">
            <v>89</v>
          </cell>
          <cell r="B76">
            <v>0.190692</v>
          </cell>
          <cell r="L76">
            <v>89</v>
          </cell>
          <cell r="M76">
            <v>0.16569200000000001</v>
          </cell>
        </row>
        <row r="77">
          <cell r="A77">
            <v>90</v>
          </cell>
          <cell r="B77">
            <v>0.21202799999999999</v>
          </cell>
          <cell r="L77">
            <v>90</v>
          </cell>
          <cell r="M77">
            <v>0.18160699999999999</v>
          </cell>
        </row>
        <row r="78">
          <cell r="A78">
            <v>91</v>
          </cell>
          <cell r="B78">
            <v>0.23538500000000001</v>
          </cell>
          <cell r="L78">
            <v>91</v>
          </cell>
          <cell r="M78">
            <v>0.19886000000000001</v>
          </cell>
        </row>
        <row r="79">
          <cell r="A79">
            <v>92</v>
          </cell>
          <cell r="B79">
            <v>0.26086399999999998</v>
          </cell>
          <cell r="L79">
            <v>92</v>
          </cell>
          <cell r="M79">
            <v>0.217524</v>
          </cell>
        </row>
        <row r="80">
          <cell r="A80">
            <v>93</v>
          </cell>
          <cell r="B80">
            <v>0.288545</v>
          </cell>
          <cell r="L80">
            <v>93</v>
          </cell>
          <cell r="M80">
            <v>0.23766599999999999</v>
          </cell>
        </row>
        <row r="81">
          <cell r="A81">
            <v>94</v>
          </cell>
          <cell r="B81">
            <v>0.31848199999999999</v>
          </cell>
          <cell r="L81">
            <v>94</v>
          </cell>
          <cell r="M81">
            <v>0.25934699999999999</v>
          </cell>
        </row>
        <row r="82">
          <cell r="A82">
            <v>95</v>
          </cell>
          <cell r="B82">
            <v>0.35069400000000001</v>
          </cell>
          <cell r="L82">
            <v>95</v>
          </cell>
          <cell r="M82">
            <v>0.28261399999999998</v>
          </cell>
        </row>
        <row r="83">
          <cell r="A83">
            <v>96</v>
          </cell>
          <cell r="B83">
            <v>0.385154</v>
          </cell>
          <cell r="L83">
            <v>96</v>
          </cell>
          <cell r="M83">
            <v>0.30750499999999997</v>
          </cell>
        </row>
        <row r="84">
          <cell r="A84">
            <v>97</v>
          </cell>
          <cell r="B84">
            <v>0.42178100000000002</v>
          </cell>
          <cell r="L84">
            <v>97</v>
          </cell>
          <cell r="M84">
            <v>0.33403699999999997</v>
          </cell>
        </row>
        <row r="85">
          <cell r="A85">
            <v>98</v>
          </cell>
          <cell r="B85">
            <v>0.46042699999999998</v>
          </cell>
          <cell r="L85">
            <v>98</v>
          </cell>
          <cell r="M85">
            <v>0.362207</v>
          </cell>
        </row>
        <row r="86">
          <cell r="A86">
            <v>99</v>
          </cell>
          <cell r="B86">
            <v>0.50086900000000001</v>
          </cell>
          <cell r="L86">
            <v>99</v>
          </cell>
          <cell r="M86">
            <v>0.391986</v>
          </cell>
        </row>
        <row r="87">
          <cell r="A87">
            <v>100</v>
          </cell>
          <cell r="B87">
            <v>0.54279999999999995</v>
          </cell>
          <cell r="L87">
            <v>100</v>
          </cell>
          <cell r="M87">
            <v>0.42331299999999999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N60"/>
  <sheetViews>
    <sheetView tabSelected="1" topLeftCell="E3" zoomScale="96" zoomScaleNormal="96" workbookViewId="0">
      <selection activeCell="J9" sqref="J9"/>
    </sheetView>
  </sheetViews>
  <sheetFormatPr defaultRowHeight="15" x14ac:dyDescent="0.25"/>
  <cols>
    <col min="5" max="5" width="36.85546875" customWidth="1"/>
    <col min="6" max="6" width="31.140625" customWidth="1"/>
    <col min="7" max="7" width="7.85546875" customWidth="1"/>
    <col min="8" max="8" width="8.7109375" customWidth="1"/>
    <col min="9" max="9" width="35" customWidth="1"/>
    <col min="10" max="10" width="15" customWidth="1"/>
    <col min="13" max="13" width="23.85546875" customWidth="1"/>
    <col min="14" max="14" width="16.7109375" customWidth="1"/>
  </cols>
  <sheetData>
    <row r="3" spans="5:14" x14ac:dyDescent="0.25">
      <c r="K3" s="30"/>
    </row>
    <row r="4" spans="5:14" ht="15" customHeight="1" x14ac:dyDescent="0.25">
      <c r="E4" s="77" t="s">
        <v>0</v>
      </c>
      <c r="F4" s="77" t="s">
        <v>1</v>
      </c>
      <c r="I4" s="6" t="s">
        <v>62</v>
      </c>
      <c r="J4" s="3">
        <v>70000000</v>
      </c>
      <c r="M4" s="6" t="s">
        <v>64</v>
      </c>
      <c r="N4" s="6" t="s">
        <v>65</v>
      </c>
    </row>
    <row r="5" spans="5:14" ht="15" customHeight="1" x14ac:dyDescent="0.25">
      <c r="E5" s="77"/>
      <c r="F5" s="77"/>
      <c r="I5" s="6" t="s">
        <v>59</v>
      </c>
      <c r="J5" s="2" t="s">
        <v>102</v>
      </c>
      <c r="M5" s="2">
        <f>J6</f>
        <v>30</v>
      </c>
      <c r="N5" s="2">
        <f>J7</f>
        <v>10</v>
      </c>
    </row>
    <row r="6" spans="5:14" x14ac:dyDescent="0.25">
      <c r="E6" s="6" t="s">
        <v>2</v>
      </c>
      <c r="F6" s="3">
        <v>100000</v>
      </c>
      <c r="I6" s="6" t="s">
        <v>60</v>
      </c>
      <c r="J6" s="2">
        <v>30</v>
      </c>
      <c r="M6" s="2">
        <f>M5+1</f>
        <v>31</v>
      </c>
      <c r="N6" s="2">
        <f>IFERROR(IF(N5-1&lt;=0,"",N5-1),"")</f>
        <v>9</v>
      </c>
    </row>
    <row r="7" spans="5:14" x14ac:dyDescent="0.25">
      <c r="E7" s="6" t="s">
        <v>3</v>
      </c>
      <c r="F7" s="19" t="s">
        <v>62</v>
      </c>
      <c r="I7" s="6" t="s">
        <v>61</v>
      </c>
      <c r="J7" s="2">
        <v>10</v>
      </c>
      <c r="M7" s="2">
        <f t="shared" ref="M7:M50" si="0">M6+1</f>
        <v>32</v>
      </c>
      <c r="N7" s="2">
        <f t="shared" ref="N7:N60" si="1">IFERROR(IF(N6-1&lt;=0,"",N6-1),"")</f>
        <v>8</v>
      </c>
    </row>
    <row r="8" spans="5:14" x14ac:dyDescent="0.25">
      <c r="E8" s="6" t="s">
        <v>5</v>
      </c>
      <c r="F8" s="66">
        <v>0.115</v>
      </c>
      <c r="I8" s="6" t="s">
        <v>63</v>
      </c>
      <c r="J8" s="2">
        <f>+IF(AND($J$7&lt;36,$J$6&lt;51,$J$7+$J$6&lt;56,$J$7+$J$6&gt;11),$J$7+$J$6,"")</f>
        <v>40</v>
      </c>
      <c r="M8" s="2">
        <f t="shared" si="0"/>
        <v>33</v>
      </c>
      <c r="N8" s="2">
        <f t="shared" si="1"/>
        <v>7</v>
      </c>
    </row>
    <row r="9" spans="5:14" x14ac:dyDescent="0.25">
      <c r="E9" s="6" t="s">
        <v>6</v>
      </c>
      <c r="F9" s="4">
        <v>0.09</v>
      </c>
      <c r="I9" s="6" t="s">
        <v>129</v>
      </c>
      <c r="J9" s="2">
        <f>0.25%*J4</f>
        <v>175000</v>
      </c>
      <c r="M9" s="2">
        <f t="shared" si="0"/>
        <v>34</v>
      </c>
      <c r="N9" s="2">
        <f t="shared" si="1"/>
        <v>6</v>
      </c>
    </row>
    <row r="10" spans="5:14" x14ac:dyDescent="0.25">
      <c r="E10" s="6" t="s">
        <v>8</v>
      </c>
      <c r="F10" s="19" t="s">
        <v>118</v>
      </c>
      <c r="I10" s="6" t="s">
        <v>130</v>
      </c>
      <c r="J10" s="31">
        <f>(($J$4*'ASSURANCES, ANNUITIES '!P6))/(-J13-J12+J14+'ASSURANCES, ANNUITIES '!M6-'ASSUMPTIONS '!J14*'ASSURANCES, ANNUITIES '!M6)</f>
        <v>166263.09731515663</v>
      </c>
      <c r="M10" s="2">
        <f t="shared" si="0"/>
        <v>35</v>
      </c>
      <c r="N10" s="2">
        <f t="shared" si="1"/>
        <v>5</v>
      </c>
    </row>
    <row r="11" spans="5:14" x14ac:dyDescent="0.25">
      <c r="E11" s="6" t="s">
        <v>7</v>
      </c>
      <c r="F11" s="4">
        <v>0.2</v>
      </c>
      <c r="I11" s="6" t="s">
        <v>78</v>
      </c>
      <c r="J11" s="31">
        <f>(($J$4*'ASSURANCES, ANNUITIES '!P6))/'ASSURANCES, ANNUITIES '!M6</f>
        <v>127419.9560695578</v>
      </c>
      <c r="L11" t="s">
        <v>70</v>
      </c>
      <c r="M11" s="2">
        <f t="shared" si="0"/>
        <v>36</v>
      </c>
      <c r="N11" s="2">
        <f t="shared" si="1"/>
        <v>4</v>
      </c>
    </row>
    <row r="12" spans="5:14" x14ac:dyDescent="0.25">
      <c r="E12" s="6" t="s">
        <v>9</v>
      </c>
      <c r="F12" s="4">
        <v>0.1</v>
      </c>
      <c r="I12" s="6" t="s">
        <v>40</v>
      </c>
      <c r="J12" s="32">
        <f>F11+F14</f>
        <v>0.55000000000000004</v>
      </c>
      <c r="M12" s="2">
        <f t="shared" si="0"/>
        <v>37</v>
      </c>
      <c r="N12" s="2">
        <f t="shared" si="1"/>
        <v>3</v>
      </c>
    </row>
    <row r="13" spans="5:14" x14ac:dyDescent="0.25">
      <c r="E13" s="6" t="s">
        <v>10</v>
      </c>
      <c r="F13" s="4">
        <v>0.05</v>
      </c>
      <c r="I13" s="6" t="s">
        <v>128</v>
      </c>
      <c r="J13" s="32">
        <f>F12+F15</f>
        <v>0.30000000000000004</v>
      </c>
      <c r="M13" s="2">
        <f t="shared" si="0"/>
        <v>38</v>
      </c>
      <c r="N13" s="2">
        <f t="shared" si="1"/>
        <v>2</v>
      </c>
    </row>
    <row r="14" spans="5:14" x14ac:dyDescent="0.25">
      <c r="E14" s="6" t="s">
        <v>11</v>
      </c>
      <c r="F14" s="4">
        <v>0.35</v>
      </c>
      <c r="I14" s="6" t="s">
        <v>69</v>
      </c>
      <c r="J14" s="32">
        <f>F13+F16</f>
        <v>0.15000000000000002</v>
      </c>
      <c r="M14" s="2">
        <f t="shared" si="0"/>
        <v>39</v>
      </c>
      <c r="N14" s="2">
        <f t="shared" si="1"/>
        <v>1</v>
      </c>
    </row>
    <row r="15" spans="5:14" x14ac:dyDescent="0.25">
      <c r="E15" s="6" t="s">
        <v>12</v>
      </c>
      <c r="F15" s="4">
        <v>0.2</v>
      </c>
      <c r="I15" s="27" t="s">
        <v>94</v>
      </c>
      <c r="J15" s="68">
        <f>'PROFIT TESTING '!J5</f>
        <v>0.11156657717084371</v>
      </c>
      <c r="M15" s="2">
        <f t="shared" si="0"/>
        <v>40</v>
      </c>
      <c r="N15" s="2" t="str">
        <f t="shared" si="1"/>
        <v/>
      </c>
    </row>
    <row r="16" spans="5:14" x14ac:dyDescent="0.25">
      <c r="E16" s="6" t="s">
        <v>13</v>
      </c>
      <c r="F16" s="4">
        <v>0.1</v>
      </c>
      <c r="I16" s="75"/>
      <c r="J16" s="1"/>
      <c r="M16" s="2">
        <f t="shared" si="0"/>
        <v>41</v>
      </c>
      <c r="N16" s="2" t="str">
        <f t="shared" si="1"/>
        <v/>
      </c>
    </row>
    <row r="17" spans="5:14" x14ac:dyDescent="0.25">
      <c r="E17" s="27" t="s">
        <v>31</v>
      </c>
      <c r="F17" s="19" t="s">
        <v>32</v>
      </c>
      <c r="M17" s="2">
        <f t="shared" si="0"/>
        <v>42</v>
      </c>
      <c r="N17" s="2" t="str">
        <f t="shared" si="1"/>
        <v/>
      </c>
    </row>
    <row r="18" spans="5:14" x14ac:dyDescent="0.25">
      <c r="E18" s="27" t="s">
        <v>99</v>
      </c>
      <c r="F18" s="2" t="s">
        <v>100</v>
      </c>
      <c r="M18" s="2">
        <f t="shared" si="0"/>
        <v>43</v>
      </c>
      <c r="N18" s="2" t="str">
        <f t="shared" si="1"/>
        <v/>
      </c>
    </row>
    <row r="19" spans="5:14" x14ac:dyDescent="0.25">
      <c r="M19" s="2">
        <f t="shared" si="0"/>
        <v>44</v>
      </c>
      <c r="N19" s="2" t="str">
        <f t="shared" si="1"/>
        <v/>
      </c>
    </row>
    <row r="20" spans="5:14" x14ac:dyDescent="0.25">
      <c r="M20" s="2">
        <f t="shared" si="0"/>
        <v>45</v>
      </c>
      <c r="N20" s="2" t="str">
        <f t="shared" si="1"/>
        <v/>
      </c>
    </row>
    <row r="21" spans="5:14" x14ac:dyDescent="0.25">
      <c r="I21">
        <f>0.2%</f>
        <v>2E-3</v>
      </c>
      <c r="M21" s="2">
        <f t="shared" si="0"/>
        <v>46</v>
      </c>
      <c r="N21" s="2" t="str">
        <f t="shared" si="1"/>
        <v/>
      </c>
    </row>
    <row r="22" spans="5:14" x14ac:dyDescent="0.25">
      <c r="M22" s="2">
        <f t="shared" si="0"/>
        <v>47</v>
      </c>
      <c r="N22" s="2" t="str">
        <f t="shared" si="1"/>
        <v/>
      </c>
    </row>
    <row r="23" spans="5:14" x14ac:dyDescent="0.25">
      <c r="M23" s="2">
        <f t="shared" si="0"/>
        <v>48</v>
      </c>
      <c r="N23" s="2" t="str">
        <f t="shared" si="1"/>
        <v/>
      </c>
    </row>
    <row r="24" spans="5:14" x14ac:dyDescent="0.25">
      <c r="M24" s="2">
        <f t="shared" si="0"/>
        <v>49</v>
      </c>
      <c r="N24" s="2" t="str">
        <f t="shared" si="1"/>
        <v/>
      </c>
    </row>
    <row r="25" spans="5:14" x14ac:dyDescent="0.25">
      <c r="M25" s="2">
        <f t="shared" si="0"/>
        <v>50</v>
      </c>
      <c r="N25" s="2" t="str">
        <f t="shared" si="1"/>
        <v/>
      </c>
    </row>
    <row r="26" spans="5:14" x14ac:dyDescent="0.25">
      <c r="M26" s="2">
        <f t="shared" si="0"/>
        <v>51</v>
      </c>
      <c r="N26" s="2" t="str">
        <f t="shared" si="1"/>
        <v/>
      </c>
    </row>
    <row r="27" spans="5:14" x14ac:dyDescent="0.25">
      <c r="M27" s="2">
        <f t="shared" si="0"/>
        <v>52</v>
      </c>
      <c r="N27" s="2" t="str">
        <f t="shared" si="1"/>
        <v/>
      </c>
    </row>
    <row r="28" spans="5:14" x14ac:dyDescent="0.25">
      <c r="M28" s="2">
        <f t="shared" si="0"/>
        <v>53</v>
      </c>
      <c r="N28" s="2" t="str">
        <f t="shared" si="1"/>
        <v/>
      </c>
    </row>
    <row r="29" spans="5:14" x14ac:dyDescent="0.25">
      <c r="M29" s="2">
        <f t="shared" si="0"/>
        <v>54</v>
      </c>
      <c r="N29" s="2" t="str">
        <f t="shared" si="1"/>
        <v/>
      </c>
    </row>
    <row r="30" spans="5:14" x14ac:dyDescent="0.25">
      <c r="M30" s="2">
        <f t="shared" si="0"/>
        <v>55</v>
      </c>
      <c r="N30" s="2" t="str">
        <f t="shared" si="1"/>
        <v/>
      </c>
    </row>
    <row r="31" spans="5:14" x14ac:dyDescent="0.25">
      <c r="M31" s="2">
        <f t="shared" si="0"/>
        <v>56</v>
      </c>
      <c r="N31" s="2" t="str">
        <f t="shared" si="1"/>
        <v/>
      </c>
    </row>
    <row r="32" spans="5:14" x14ac:dyDescent="0.25">
      <c r="M32" s="2">
        <f t="shared" si="0"/>
        <v>57</v>
      </c>
      <c r="N32" s="2" t="str">
        <f t="shared" si="1"/>
        <v/>
      </c>
    </row>
    <row r="33" spans="13:14" x14ac:dyDescent="0.25">
      <c r="M33" s="2">
        <f t="shared" si="0"/>
        <v>58</v>
      </c>
      <c r="N33" s="2" t="str">
        <f t="shared" si="1"/>
        <v/>
      </c>
    </row>
    <row r="34" spans="13:14" x14ac:dyDescent="0.25">
      <c r="M34" s="2">
        <f t="shared" si="0"/>
        <v>59</v>
      </c>
      <c r="N34" s="2" t="str">
        <f t="shared" si="1"/>
        <v/>
      </c>
    </row>
    <row r="35" spans="13:14" x14ac:dyDescent="0.25">
      <c r="M35" s="2">
        <f t="shared" si="0"/>
        <v>60</v>
      </c>
      <c r="N35" s="2" t="str">
        <f t="shared" si="1"/>
        <v/>
      </c>
    </row>
    <row r="36" spans="13:14" x14ac:dyDescent="0.25">
      <c r="M36" s="2">
        <f t="shared" si="0"/>
        <v>61</v>
      </c>
      <c r="N36" s="2" t="str">
        <f t="shared" si="1"/>
        <v/>
      </c>
    </row>
    <row r="37" spans="13:14" x14ac:dyDescent="0.25">
      <c r="M37" s="2">
        <f t="shared" si="0"/>
        <v>62</v>
      </c>
      <c r="N37" s="2" t="str">
        <f t="shared" si="1"/>
        <v/>
      </c>
    </row>
    <row r="38" spans="13:14" x14ac:dyDescent="0.25">
      <c r="M38" s="2">
        <f t="shared" si="0"/>
        <v>63</v>
      </c>
      <c r="N38" s="2" t="str">
        <f t="shared" si="1"/>
        <v/>
      </c>
    </row>
    <row r="39" spans="13:14" x14ac:dyDescent="0.25">
      <c r="M39" s="2">
        <f t="shared" si="0"/>
        <v>64</v>
      </c>
      <c r="N39" s="2" t="str">
        <f t="shared" si="1"/>
        <v/>
      </c>
    </row>
    <row r="40" spans="13:14" x14ac:dyDescent="0.25">
      <c r="M40" s="2">
        <f t="shared" si="0"/>
        <v>65</v>
      </c>
      <c r="N40" s="2" t="str">
        <f t="shared" si="1"/>
        <v/>
      </c>
    </row>
    <row r="41" spans="13:14" x14ac:dyDescent="0.25">
      <c r="M41" s="2">
        <f t="shared" si="0"/>
        <v>66</v>
      </c>
      <c r="N41" s="2" t="str">
        <f t="shared" si="1"/>
        <v/>
      </c>
    </row>
    <row r="42" spans="13:14" x14ac:dyDescent="0.25">
      <c r="M42" s="2">
        <f t="shared" si="0"/>
        <v>67</v>
      </c>
      <c r="N42" s="2" t="str">
        <f t="shared" si="1"/>
        <v/>
      </c>
    </row>
    <row r="43" spans="13:14" x14ac:dyDescent="0.25">
      <c r="M43" s="2">
        <f t="shared" si="0"/>
        <v>68</v>
      </c>
      <c r="N43" s="2" t="str">
        <f t="shared" si="1"/>
        <v/>
      </c>
    </row>
    <row r="44" spans="13:14" x14ac:dyDescent="0.25">
      <c r="M44" s="2">
        <f t="shared" si="0"/>
        <v>69</v>
      </c>
      <c r="N44" s="2" t="str">
        <f t="shared" si="1"/>
        <v/>
      </c>
    </row>
    <row r="45" spans="13:14" x14ac:dyDescent="0.25">
      <c r="M45" s="2">
        <f t="shared" si="0"/>
        <v>70</v>
      </c>
      <c r="N45" s="2" t="str">
        <f t="shared" si="1"/>
        <v/>
      </c>
    </row>
    <row r="46" spans="13:14" x14ac:dyDescent="0.25">
      <c r="M46" s="2">
        <f t="shared" si="0"/>
        <v>71</v>
      </c>
      <c r="N46" s="2" t="str">
        <f t="shared" si="1"/>
        <v/>
      </c>
    </row>
    <row r="47" spans="13:14" x14ac:dyDescent="0.25">
      <c r="M47" s="2">
        <f t="shared" si="0"/>
        <v>72</v>
      </c>
      <c r="N47" s="2" t="str">
        <f t="shared" si="1"/>
        <v/>
      </c>
    </row>
    <row r="48" spans="13:14" x14ac:dyDescent="0.25">
      <c r="M48" s="2">
        <f t="shared" si="0"/>
        <v>73</v>
      </c>
      <c r="N48" s="2" t="str">
        <f t="shared" si="1"/>
        <v/>
      </c>
    </row>
    <row r="49" spans="13:14" x14ac:dyDescent="0.25">
      <c r="M49" s="2">
        <f t="shared" si="0"/>
        <v>74</v>
      </c>
      <c r="N49" s="2" t="str">
        <f t="shared" si="1"/>
        <v/>
      </c>
    </row>
    <row r="50" spans="13:14" x14ac:dyDescent="0.25">
      <c r="M50" s="2">
        <f t="shared" si="0"/>
        <v>75</v>
      </c>
      <c r="N50" s="2" t="str">
        <f t="shared" si="1"/>
        <v/>
      </c>
    </row>
    <row r="51" spans="13:14" x14ac:dyDescent="0.25">
      <c r="N51" t="str">
        <f t="shared" si="1"/>
        <v/>
      </c>
    </row>
    <row r="52" spans="13:14" x14ac:dyDescent="0.25">
      <c r="N52" t="str">
        <f t="shared" si="1"/>
        <v/>
      </c>
    </row>
    <row r="53" spans="13:14" x14ac:dyDescent="0.25">
      <c r="N53" t="str">
        <f t="shared" si="1"/>
        <v/>
      </c>
    </row>
    <row r="54" spans="13:14" x14ac:dyDescent="0.25">
      <c r="N54" t="str">
        <f t="shared" si="1"/>
        <v/>
      </c>
    </row>
    <row r="55" spans="13:14" x14ac:dyDescent="0.25">
      <c r="N55" t="str">
        <f t="shared" si="1"/>
        <v/>
      </c>
    </row>
    <row r="56" spans="13:14" x14ac:dyDescent="0.25">
      <c r="N56" t="str">
        <f t="shared" si="1"/>
        <v/>
      </c>
    </row>
    <row r="57" spans="13:14" x14ac:dyDescent="0.25">
      <c r="N57" t="str">
        <f t="shared" si="1"/>
        <v/>
      </c>
    </row>
    <row r="58" spans="13:14" x14ac:dyDescent="0.25">
      <c r="N58" t="str">
        <f t="shared" si="1"/>
        <v/>
      </c>
    </row>
    <row r="59" spans="13:14" x14ac:dyDescent="0.25">
      <c r="N59" t="str">
        <f t="shared" si="1"/>
        <v/>
      </c>
    </row>
    <row r="60" spans="13:14" x14ac:dyDescent="0.25">
      <c r="N60" t="str">
        <f t="shared" si="1"/>
        <v/>
      </c>
    </row>
  </sheetData>
  <mergeCells count="2">
    <mergeCell ref="E4:E5"/>
    <mergeCell ref="F4:F5"/>
  </mergeCells>
  <dataValidations count="1">
    <dataValidation type="list" allowBlank="1" showInputMessage="1" showErrorMessage="1" sqref="J5" xr:uid="{00000000-0002-0000-0000-000000000000}">
      <formula1>"MALE,FEMALE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0"/>
  <sheetViews>
    <sheetView topLeftCell="A40" workbookViewId="0">
      <selection activeCell="C61" sqref="C61"/>
    </sheetView>
  </sheetViews>
  <sheetFormatPr defaultRowHeight="15" x14ac:dyDescent="0.25"/>
  <cols>
    <col min="1" max="1" width="14.7109375" customWidth="1"/>
    <col min="2" max="2" width="15.85546875" customWidth="1"/>
    <col min="5" max="5" width="12.42578125" customWidth="1"/>
    <col min="6" max="6" width="14.85546875" customWidth="1"/>
  </cols>
  <sheetData>
    <row r="1" spans="1:6" x14ac:dyDescent="0.25">
      <c r="A1" s="78" t="s">
        <v>14</v>
      </c>
      <c r="B1" s="78"/>
      <c r="E1" s="78" t="s">
        <v>17</v>
      </c>
      <c r="F1" s="78"/>
    </row>
    <row r="2" spans="1:6" x14ac:dyDescent="0.25">
      <c r="A2" s="6" t="s">
        <v>18</v>
      </c>
      <c r="B2" s="6" t="s">
        <v>19</v>
      </c>
      <c r="E2" s="6" t="s">
        <v>18</v>
      </c>
      <c r="F2" s="6" t="s">
        <v>19</v>
      </c>
    </row>
    <row r="3" spans="1:6" x14ac:dyDescent="0.25">
      <c r="A3" s="2">
        <v>18</v>
      </c>
      <c r="B3" s="2">
        <v>5.9400000000000002E-4</v>
      </c>
      <c r="E3" s="2">
        <v>18</v>
      </c>
      <c r="F3" s="2">
        <v>4.6500000000000003E-4</v>
      </c>
    </row>
    <row r="4" spans="1:6" x14ac:dyDescent="0.25">
      <c r="A4" s="2">
        <v>19</v>
      </c>
      <c r="B4" s="2">
        <v>5.9400000000000002E-4</v>
      </c>
      <c r="E4" s="2">
        <v>19</v>
      </c>
      <c r="F4" s="2">
        <v>4.6500000000000003E-4</v>
      </c>
    </row>
    <row r="5" spans="1:6" x14ac:dyDescent="0.25">
      <c r="A5" s="2">
        <v>20</v>
      </c>
      <c r="B5" s="2">
        <v>5.9400000000000002E-4</v>
      </c>
      <c r="E5" s="2">
        <v>20</v>
      </c>
      <c r="F5" s="2">
        <v>4.6500000000000003E-4</v>
      </c>
    </row>
    <row r="6" spans="1:6" x14ac:dyDescent="0.25">
      <c r="A6" s="2">
        <v>21</v>
      </c>
      <c r="B6" s="2">
        <v>5.9199999999999997E-4</v>
      </c>
      <c r="E6" s="2">
        <v>21</v>
      </c>
      <c r="F6" s="2">
        <v>4.6299999999999998E-4</v>
      </c>
    </row>
    <row r="7" spans="1:6" x14ac:dyDescent="0.25">
      <c r="A7" s="2">
        <v>22</v>
      </c>
      <c r="B7" s="2">
        <v>5.9000000000000003E-4</v>
      </c>
      <c r="E7" s="2">
        <v>22</v>
      </c>
      <c r="F7" s="2">
        <v>4.6099999999999998E-4</v>
      </c>
    </row>
    <row r="8" spans="1:6" x14ac:dyDescent="0.25">
      <c r="A8" s="2">
        <v>23</v>
      </c>
      <c r="B8" s="2">
        <v>5.8900000000000001E-4</v>
      </c>
      <c r="E8" s="2">
        <v>23</v>
      </c>
      <c r="F8" s="2">
        <v>4.5899999999999999E-4</v>
      </c>
    </row>
    <row r="9" spans="1:6" x14ac:dyDescent="0.25">
      <c r="A9" s="2">
        <v>24</v>
      </c>
      <c r="B9" s="2">
        <v>5.8699999999999996E-4</v>
      </c>
      <c r="E9" s="2">
        <v>24</v>
      </c>
      <c r="F9" s="2">
        <v>4.57E-4</v>
      </c>
    </row>
    <row r="10" spans="1:6" x14ac:dyDescent="0.25">
      <c r="A10" s="2">
        <v>25</v>
      </c>
      <c r="B10" s="2">
        <v>5.8600000000000004E-4</v>
      </c>
      <c r="E10" s="2">
        <v>25</v>
      </c>
      <c r="F10" s="2">
        <v>4.5600000000000003E-4</v>
      </c>
    </row>
    <row r="11" spans="1:6" x14ac:dyDescent="0.25">
      <c r="A11" s="2">
        <v>26</v>
      </c>
      <c r="B11" s="2">
        <v>5.8500000000000002E-4</v>
      </c>
      <c r="E11" s="2">
        <v>26</v>
      </c>
      <c r="F11" s="2">
        <v>4.5399999999999998E-4</v>
      </c>
    </row>
    <row r="12" spans="1:6" x14ac:dyDescent="0.25">
      <c r="A12" s="2">
        <v>27</v>
      </c>
      <c r="B12" s="2">
        <v>5.8600000000000004E-4</v>
      </c>
      <c r="E12" s="2">
        <v>27</v>
      </c>
      <c r="F12" s="2">
        <v>4.5399999999999998E-4</v>
      </c>
    </row>
    <row r="13" spans="1:6" x14ac:dyDescent="0.25">
      <c r="A13" s="2">
        <v>28</v>
      </c>
      <c r="B13" s="2">
        <v>5.8799999999999998E-4</v>
      </c>
      <c r="E13" s="2">
        <v>28</v>
      </c>
      <c r="F13" s="2">
        <v>4.55E-4</v>
      </c>
    </row>
    <row r="14" spans="1:6" x14ac:dyDescent="0.25">
      <c r="A14" s="2">
        <v>29</v>
      </c>
      <c r="B14" s="2">
        <v>5.9500000000000004E-4</v>
      </c>
      <c r="E14" s="2">
        <v>29</v>
      </c>
      <c r="F14" s="2">
        <v>4.5899999999999999E-4</v>
      </c>
    </row>
    <row r="15" spans="1:6" x14ac:dyDescent="0.25">
      <c r="A15" s="2">
        <v>30</v>
      </c>
      <c r="B15" s="2">
        <v>6.0700000000000001E-4</v>
      </c>
      <c r="E15" s="2">
        <v>30</v>
      </c>
      <c r="F15" s="2">
        <v>4.6799999999999999E-4</v>
      </c>
    </row>
    <row r="16" spans="1:6" x14ac:dyDescent="0.25">
      <c r="A16" s="2">
        <v>31</v>
      </c>
      <c r="B16" s="2">
        <v>6.2699999999999995E-4</v>
      </c>
      <c r="E16" s="2">
        <v>31</v>
      </c>
      <c r="F16" s="2">
        <v>4.8099999999999998E-4</v>
      </c>
    </row>
    <row r="17" spans="1:6" x14ac:dyDescent="0.25">
      <c r="A17" s="2">
        <v>32</v>
      </c>
      <c r="B17" s="2">
        <v>6.5399999999999996E-4</v>
      </c>
      <c r="E17" s="2">
        <v>32</v>
      </c>
      <c r="F17" s="2">
        <v>5.0100000000000003E-4</v>
      </c>
    </row>
    <row r="18" spans="1:6" x14ac:dyDescent="0.25">
      <c r="A18" s="2">
        <v>33</v>
      </c>
      <c r="B18" s="2">
        <v>6.8900000000000005E-4</v>
      </c>
      <c r="E18" s="2">
        <v>33</v>
      </c>
      <c r="F18" s="2">
        <v>5.2700000000000002E-4</v>
      </c>
    </row>
    <row r="19" spans="1:6" x14ac:dyDescent="0.25">
      <c r="A19" s="2">
        <v>34</v>
      </c>
      <c r="B19" s="2">
        <v>7.3099999999999999E-4</v>
      </c>
      <c r="E19" s="2">
        <v>34</v>
      </c>
      <c r="F19" s="2">
        <v>5.5699999999999999E-4</v>
      </c>
    </row>
    <row r="20" spans="1:6" x14ac:dyDescent="0.25">
      <c r="A20" s="2">
        <v>35</v>
      </c>
      <c r="B20" s="2">
        <v>7.7800000000000005E-4</v>
      </c>
      <c r="E20" s="2">
        <v>35</v>
      </c>
      <c r="F20" s="2">
        <v>5.9199999999999997E-4</v>
      </c>
    </row>
    <row r="21" spans="1:6" x14ac:dyDescent="0.25">
      <c r="A21" s="2">
        <v>36</v>
      </c>
      <c r="B21" s="2">
        <v>8.2899999999999998E-4</v>
      </c>
      <c r="E21" s="2">
        <v>36</v>
      </c>
      <c r="F21" s="2">
        <v>6.29E-4</v>
      </c>
    </row>
    <row r="22" spans="1:6" x14ac:dyDescent="0.25">
      <c r="A22" s="2">
        <v>37</v>
      </c>
      <c r="B22" s="2">
        <v>8.8099999999999995E-4</v>
      </c>
      <c r="E22" s="2">
        <v>37</v>
      </c>
      <c r="F22" s="2">
        <v>6.6699999999999995E-4</v>
      </c>
    </row>
    <row r="23" spans="1:6" x14ac:dyDescent="0.25">
      <c r="A23" s="2">
        <v>38</v>
      </c>
      <c r="B23" s="2">
        <v>9.3499999999999996E-4</v>
      </c>
      <c r="E23" s="2">
        <v>38</v>
      </c>
      <c r="F23" s="2">
        <v>7.0500000000000001E-4</v>
      </c>
    </row>
    <row r="24" spans="1:6" x14ac:dyDescent="0.25">
      <c r="A24" s="2">
        <v>39</v>
      </c>
      <c r="B24" s="2">
        <v>9.9099999999999991E-4</v>
      </c>
      <c r="E24" s="2">
        <v>39</v>
      </c>
      <c r="F24" s="2">
        <v>7.4600000000000003E-4</v>
      </c>
    </row>
    <row r="25" spans="1:6" x14ac:dyDescent="0.25">
      <c r="A25" s="2">
        <v>40</v>
      </c>
      <c r="B25" s="2">
        <v>1.0529999999999999E-3</v>
      </c>
      <c r="E25" s="2">
        <v>40</v>
      </c>
      <c r="F25" s="2">
        <v>7.9000000000000001E-4</v>
      </c>
    </row>
    <row r="26" spans="1:6" x14ac:dyDescent="0.25">
      <c r="A26" s="2">
        <v>41</v>
      </c>
      <c r="B26" s="2">
        <v>1.124E-3</v>
      </c>
      <c r="E26" s="2">
        <v>41</v>
      </c>
      <c r="F26" s="2">
        <v>8.4099999999999995E-4</v>
      </c>
    </row>
    <row r="27" spans="1:6" x14ac:dyDescent="0.25">
      <c r="A27" s="2">
        <v>42</v>
      </c>
      <c r="B27" s="2">
        <v>1.2080000000000001E-3</v>
      </c>
      <c r="E27" s="2">
        <v>42</v>
      </c>
      <c r="F27" s="2">
        <v>9.0200000000000002E-4</v>
      </c>
    </row>
    <row r="28" spans="1:6" x14ac:dyDescent="0.25">
      <c r="A28" s="2">
        <v>43</v>
      </c>
      <c r="B28" s="2">
        <v>1.3090000000000001E-3</v>
      </c>
      <c r="E28" s="2">
        <v>43</v>
      </c>
      <c r="F28" s="2">
        <v>9.7400000000000004E-4</v>
      </c>
    </row>
    <row r="29" spans="1:6" x14ac:dyDescent="0.25">
      <c r="A29" s="2">
        <v>44</v>
      </c>
      <c r="B29" s="2">
        <v>1.426E-3</v>
      </c>
      <c r="E29" s="2">
        <v>44</v>
      </c>
      <c r="F29" s="2">
        <v>1.0579999999999999E-3</v>
      </c>
    </row>
    <row r="30" spans="1:6" x14ac:dyDescent="0.25">
      <c r="A30" s="2">
        <v>45</v>
      </c>
      <c r="B30" s="2">
        <v>1.5590000000000001E-3</v>
      </c>
      <c r="E30" s="2">
        <v>45</v>
      </c>
      <c r="F30" s="2">
        <v>1.1540000000000001E-3</v>
      </c>
    </row>
    <row r="31" spans="1:6" x14ac:dyDescent="0.25">
      <c r="A31" s="2">
        <v>46</v>
      </c>
      <c r="B31" s="2">
        <v>1.7030000000000001E-3</v>
      </c>
      <c r="E31" s="2">
        <v>46</v>
      </c>
      <c r="F31" s="2">
        <v>1.256E-3</v>
      </c>
    </row>
    <row r="32" spans="1:6" x14ac:dyDescent="0.25">
      <c r="A32" s="2">
        <v>47</v>
      </c>
      <c r="B32" s="2">
        <v>1.853E-3</v>
      </c>
      <c r="E32" s="2">
        <v>47</v>
      </c>
      <c r="F32" s="2">
        <v>1.3630000000000001E-3</v>
      </c>
    </row>
    <row r="33" spans="1:6" x14ac:dyDescent="0.25">
      <c r="A33" s="2">
        <v>48</v>
      </c>
      <c r="B33" s="2">
        <v>2.0040000000000001E-3</v>
      </c>
      <c r="E33" s="2">
        <v>48</v>
      </c>
      <c r="F33" s="2">
        <v>1.47E-3</v>
      </c>
    </row>
    <row r="34" spans="1:6" x14ac:dyDescent="0.25">
      <c r="A34" s="2">
        <v>49</v>
      </c>
      <c r="B34" s="2">
        <v>2.153E-3</v>
      </c>
      <c r="E34" s="2">
        <v>49</v>
      </c>
      <c r="F34" s="2">
        <v>1.5740000000000001E-3</v>
      </c>
    </row>
    <row r="35" spans="1:6" x14ac:dyDescent="0.25">
      <c r="A35" s="2">
        <v>50</v>
      </c>
      <c r="B35" s="2">
        <v>2.2989999999999998E-3</v>
      </c>
      <c r="E35" s="2">
        <v>50</v>
      </c>
      <c r="F35" s="2">
        <v>1.6770000000000001E-3</v>
      </c>
    </row>
    <row r="36" spans="1:6" x14ac:dyDescent="0.25">
      <c r="A36" s="2">
        <v>51</v>
      </c>
      <c r="B36" s="2">
        <v>2.4480000000000001E-3</v>
      </c>
      <c r="E36" s="2">
        <v>51</v>
      </c>
      <c r="F36" s="2">
        <v>1.7799999999999999E-3</v>
      </c>
    </row>
    <row r="37" spans="1:6" x14ac:dyDescent="0.25">
      <c r="A37" s="2">
        <v>52</v>
      </c>
      <c r="B37" s="2">
        <v>2.604E-3</v>
      </c>
      <c r="E37" s="2">
        <v>52</v>
      </c>
      <c r="F37" s="2">
        <v>1.89E-3</v>
      </c>
    </row>
    <row r="38" spans="1:6" x14ac:dyDescent="0.25">
      <c r="A38" s="2">
        <v>53</v>
      </c>
      <c r="B38" s="2">
        <v>2.7780000000000001E-3</v>
      </c>
      <c r="E38" s="2">
        <v>53</v>
      </c>
      <c r="F38" s="2">
        <v>2.0110000000000002E-3</v>
      </c>
    </row>
    <row r="39" spans="1:6" x14ac:dyDescent="0.25">
      <c r="A39" s="2">
        <v>54</v>
      </c>
      <c r="B39" s="2">
        <v>2.98E-3</v>
      </c>
      <c r="E39" s="2">
        <v>54</v>
      </c>
      <c r="F39" s="2">
        <v>2.1519999999999998E-3</v>
      </c>
    </row>
    <row r="40" spans="1:6" x14ac:dyDescent="0.25">
      <c r="A40" s="2">
        <v>55</v>
      </c>
      <c r="B40" s="2">
        <v>3.2169999999999998E-3</v>
      </c>
      <c r="E40" s="2">
        <v>55</v>
      </c>
      <c r="F40" s="2">
        <v>2.3189999999999999E-3</v>
      </c>
    </row>
    <row r="41" spans="1:6" x14ac:dyDescent="0.25">
      <c r="A41" s="2">
        <v>56</v>
      </c>
      <c r="B41" s="2">
        <v>3.4979999999999998E-3</v>
      </c>
      <c r="E41" s="2">
        <v>56</v>
      </c>
      <c r="F41" s="2">
        <v>2.5170000000000001E-3</v>
      </c>
    </row>
    <row r="42" spans="1:6" x14ac:dyDescent="0.25">
      <c r="A42" s="2">
        <v>57</v>
      </c>
      <c r="B42" s="2">
        <v>3.8289999999999999E-3</v>
      </c>
      <c r="E42" s="2">
        <v>57</v>
      </c>
      <c r="F42" s="2">
        <v>2.751E-3</v>
      </c>
    </row>
    <row r="43" spans="1:6" x14ac:dyDescent="0.25">
      <c r="A43" s="2">
        <v>58</v>
      </c>
      <c r="B43" s="2">
        <v>4.2170000000000003E-3</v>
      </c>
      <c r="E43" s="2">
        <v>58</v>
      </c>
      <c r="F43" s="2">
        <v>3.026E-3</v>
      </c>
    </row>
    <row r="44" spans="1:6" x14ac:dyDescent="0.25">
      <c r="A44" s="2">
        <v>59</v>
      </c>
      <c r="B44" s="2">
        <v>4.6649999999999999E-3</v>
      </c>
      <c r="E44" s="2">
        <v>59</v>
      </c>
      <c r="F44" s="2">
        <v>3.3449999999999999E-3</v>
      </c>
    </row>
    <row r="45" spans="1:6" x14ac:dyDescent="0.25">
      <c r="A45" s="2">
        <v>60</v>
      </c>
      <c r="B45" s="2">
        <v>5.1770000000000002E-3</v>
      </c>
      <c r="E45" s="2">
        <v>60</v>
      </c>
      <c r="F45" s="2">
        <v>3.7100000000000002E-3</v>
      </c>
    </row>
    <row r="46" spans="1:6" x14ac:dyDescent="0.25">
      <c r="A46" s="2">
        <v>61</v>
      </c>
      <c r="B46" s="2">
        <v>5.7540000000000004E-3</v>
      </c>
      <c r="E46" s="2">
        <v>61</v>
      </c>
      <c r="F46" s="2">
        <v>4.1229999999999999E-3</v>
      </c>
    </row>
    <row r="47" spans="1:6" x14ac:dyDescent="0.25">
      <c r="A47" s="2">
        <v>62</v>
      </c>
      <c r="B47" s="2">
        <v>6.4009999999999996E-3</v>
      </c>
      <c r="E47" s="2">
        <v>62</v>
      </c>
      <c r="F47" s="2">
        <v>4.5880000000000001E-3</v>
      </c>
    </row>
    <row r="48" spans="1:6" x14ac:dyDescent="0.25">
      <c r="A48" s="2">
        <v>63</v>
      </c>
      <c r="B48" s="2">
        <v>7.1260000000000004E-3</v>
      </c>
      <c r="E48" s="2">
        <v>63</v>
      </c>
      <c r="F48" s="2">
        <v>5.1120000000000002E-3</v>
      </c>
    </row>
    <row r="49" spans="1:6" x14ac:dyDescent="0.25">
      <c r="A49" s="2">
        <v>64</v>
      </c>
      <c r="B49" s="2">
        <v>7.9410000000000001E-3</v>
      </c>
      <c r="E49" s="2">
        <v>64</v>
      </c>
      <c r="F49" s="2">
        <v>5.7039999999999999E-3</v>
      </c>
    </row>
    <row r="50" spans="1:6" x14ac:dyDescent="0.25">
      <c r="A50" s="2">
        <v>65</v>
      </c>
      <c r="B50" s="2">
        <v>8.8360000000000001E-3</v>
      </c>
      <c r="E50" s="2">
        <v>65</v>
      </c>
      <c r="F50" s="2">
        <v>6.3590000000000001E-3</v>
      </c>
    </row>
    <row r="51" spans="1:6" x14ac:dyDescent="0.25">
      <c r="A51" s="2">
        <v>66</v>
      </c>
      <c r="B51" s="2">
        <v>9.7979999999999994E-3</v>
      </c>
      <c r="E51" s="2">
        <v>66</v>
      </c>
      <c r="F51" s="2">
        <v>7.0679999999999996E-3</v>
      </c>
    </row>
    <row r="52" spans="1:6" x14ac:dyDescent="0.25">
      <c r="A52" s="2">
        <v>67</v>
      </c>
      <c r="B52" s="2">
        <v>1.0710000000000001E-2</v>
      </c>
      <c r="E52" s="2">
        <v>67</v>
      </c>
      <c r="F52" s="2">
        <v>7.7499999999999999E-3</v>
      </c>
    </row>
    <row r="53" spans="1:6" x14ac:dyDescent="0.25">
      <c r="A53" s="2">
        <v>68</v>
      </c>
      <c r="B53" s="2">
        <v>1.1619000000000001E-2</v>
      </c>
      <c r="E53" s="2">
        <v>68</v>
      </c>
      <c r="F53" s="2">
        <v>8.4390000000000003E-3</v>
      </c>
    </row>
    <row r="54" spans="1:6" x14ac:dyDescent="0.25">
      <c r="A54" s="2">
        <v>69</v>
      </c>
      <c r="B54" s="2">
        <v>1.2529999999999999E-2</v>
      </c>
      <c r="E54" s="2">
        <v>69</v>
      </c>
      <c r="F54" s="2">
        <v>9.1400000000000006E-3</v>
      </c>
    </row>
    <row r="55" spans="1:6" x14ac:dyDescent="0.25">
      <c r="A55" s="2">
        <v>70</v>
      </c>
      <c r="B55" s="2">
        <v>1.3573999999999999E-2</v>
      </c>
      <c r="E55" s="2">
        <v>70</v>
      </c>
      <c r="F55" s="2">
        <v>9.9500000000000005E-3</v>
      </c>
    </row>
    <row r="56" spans="1:6" x14ac:dyDescent="0.25">
      <c r="A56" s="2">
        <v>71</v>
      </c>
      <c r="B56" s="2">
        <v>1.4704E-2</v>
      </c>
      <c r="E56" s="2">
        <v>71</v>
      </c>
      <c r="F56" s="2">
        <v>1.0832E-2</v>
      </c>
    </row>
    <row r="57" spans="1:6" x14ac:dyDescent="0.25">
      <c r="A57" s="2">
        <v>72</v>
      </c>
      <c r="B57" s="2">
        <v>1.5928999999999999E-2</v>
      </c>
      <c r="E57" s="2">
        <v>72</v>
      </c>
      <c r="F57" s="2">
        <v>1.1793E-2</v>
      </c>
    </row>
    <row r="58" spans="1:6" x14ac:dyDescent="0.25">
      <c r="A58" s="2">
        <v>73</v>
      </c>
      <c r="B58" s="2">
        <v>1.7256000000000001E-2</v>
      </c>
      <c r="E58" s="2">
        <v>73</v>
      </c>
      <c r="F58" s="2">
        <v>1.2839E-2</v>
      </c>
    </row>
    <row r="59" spans="1:6" x14ac:dyDescent="0.25">
      <c r="A59" s="2">
        <v>74</v>
      </c>
      <c r="B59" s="2">
        <v>1.8693999999999999E-2</v>
      </c>
      <c r="E59" s="2">
        <v>74</v>
      </c>
      <c r="F59" s="2">
        <v>1.3978000000000001E-2</v>
      </c>
    </row>
    <row r="60" spans="1:6" x14ac:dyDescent="0.25">
      <c r="A60" s="2">
        <v>75</v>
      </c>
      <c r="B60" s="2">
        <v>2.0251000000000002E-2</v>
      </c>
      <c r="E60" s="2">
        <v>75</v>
      </c>
      <c r="F60" s="2">
        <v>1.5218000000000001E-2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0"/>
  <sheetViews>
    <sheetView topLeftCell="A40" workbookViewId="0">
      <selection activeCell="G55" sqref="G55"/>
    </sheetView>
  </sheetViews>
  <sheetFormatPr defaultRowHeight="15" x14ac:dyDescent="0.25"/>
  <cols>
    <col min="1" max="1" width="12" customWidth="1"/>
    <col min="2" max="2" width="18.7109375" customWidth="1"/>
    <col min="5" max="5" width="15.140625" customWidth="1"/>
    <col min="6" max="6" width="20.42578125" customWidth="1"/>
  </cols>
  <sheetData>
    <row r="1" spans="1:6" x14ac:dyDescent="0.25">
      <c r="A1" s="78" t="s">
        <v>14</v>
      </c>
      <c r="B1" s="78"/>
      <c r="E1" s="78" t="s">
        <v>17</v>
      </c>
      <c r="F1" s="78"/>
    </row>
    <row r="2" spans="1:6" x14ac:dyDescent="0.25">
      <c r="A2" s="6" t="s">
        <v>18</v>
      </c>
      <c r="B2" s="6" t="s">
        <v>20</v>
      </c>
      <c r="E2" s="6" t="s">
        <v>18</v>
      </c>
      <c r="F2" s="6" t="s">
        <v>20</v>
      </c>
    </row>
    <row r="3" spans="1:6" x14ac:dyDescent="0.25">
      <c r="A3" s="2">
        <v>18</v>
      </c>
      <c r="B3" s="2">
        <v>9.6400000000000001E-4</v>
      </c>
      <c r="E3" s="2">
        <v>18</v>
      </c>
      <c r="F3" s="2">
        <v>4.8799999999999999E-4</v>
      </c>
    </row>
    <row r="4" spans="1:6" x14ac:dyDescent="0.25">
      <c r="A4" s="2">
        <v>19</v>
      </c>
      <c r="B4" s="2">
        <v>9.6400000000000001E-4</v>
      </c>
      <c r="E4" s="2">
        <v>19</v>
      </c>
      <c r="F4" s="2">
        <v>4.8799999999999999E-4</v>
      </c>
    </row>
    <row r="5" spans="1:6" x14ac:dyDescent="0.25">
      <c r="A5" s="2">
        <v>20</v>
      </c>
      <c r="B5" s="2">
        <v>9.6400000000000001E-4</v>
      </c>
      <c r="E5" s="2">
        <v>20</v>
      </c>
      <c r="F5" s="2">
        <v>4.8799999999999999E-4</v>
      </c>
    </row>
    <row r="6" spans="1:6" x14ac:dyDescent="0.25">
      <c r="A6" s="2">
        <v>21</v>
      </c>
      <c r="B6" s="2">
        <v>1.0059999999999999E-3</v>
      </c>
      <c r="E6" s="2">
        <v>21</v>
      </c>
      <c r="F6" s="2">
        <v>5.2499999999999997E-4</v>
      </c>
    </row>
    <row r="7" spans="1:6" x14ac:dyDescent="0.25">
      <c r="A7" s="2">
        <v>22</v>
      </c>
      <c r="B7" s="2">
        <v>1.041E-3</v>
      </c>
      <c r="E7" s="2">
        <v>22</v>
      </c>
      <c r="F7" s="2">
        <v>5.5699999999999999E-4</v>
      </c>
    </row>
    <row r="8" spans="1:6" x14ac:dyDescent="0.25">
      <c r="A8" s="2">
        <v>23</v>
      </c>
      <c r="B8" s="2">
        <v>1.075E-3</v>
      </c>
      <c r="E8" s="2">
        <v>23</v>
      </c>
      <c r="F8" s="2">
        <v>6.1200000000000002E-4</v>
      </c>
    </row>
    <row r="9" spans="1:6" x14ac:dyDescent="0.25">
      <c r="A9" s="2">
        <v>24</v>
      </c>
      <c r="B9" s="2">
        <v>1.101E-3</v>
      </c>
      <c r="E9" s="2">
        <v>24</v>
      </c>
      <c r="F9" s="2">
        <v>6.5899999999999997E-4</v>
      </c>
    </row>
    <row r="10" spans="1:6" x14ac:dyDescent="0.25">
      <c r="A10" s="2">
        <v>25</v>
      </c>
      <c r="B10" s="2">
        <v>1.124E-3</v>
      </c>
      <c r="E10" s="2">
        <v>25</v>
      </c>
      <c r="F10" s="2">
        <v>7.0399999999999998E-4</v>
      </c>
    </row>
    <row r="11" spans="1:6" x14ac:dyDescent="0.25">
      <c r="A11" s="2">
        <v>26</v>
      </c>
      <c r="B11" s="2">
        <v>1.1440000000000001E-3</v>
      </c>
      <c r="E11" s="2">
        <v>26</v>
      </c>
      <c r="F11" s="2">
        <v>7.4600000000000003E-4</v>
      </c>
    </row>
    <row r="12" spans="1:6" x14ac:dyDescent="0.25">
      <c r="A12" s="2">
        <v>27</v>
      </c>
      <c r="B12" s="2">
        <v>1.16E-3</v>
      </c>
      <c r="E12" s="2">
        <v>27</v>
      </c>
      <c r="F12" s="2">
        <v>7.8700000000000005E-4</v>
      </c>
    </row>
    <row r="13" spans="1:6" x14ac:dyDescent="0.25">
      <c r="A13" s="2">
        <v>28</v>
      </c>
      <c r="B13" s="2">
        <v>1.175E-3</v>
      </c>
      <c r="E13" s="2">
        <v>28</v>
      </c>
      <c r="F13" s="2">
        <v>8.3600000000000005E-4</v>
      </c>
    </row>
    <row r="14" spans="1:6" x14ac:dyDescent="0.25">
      <c r="A14" s="2">
        <v>29</v>
      </c>
      <c r="B14" s="2">
        <v>1.191E-3</v>
      </c>
      <c r="E14" s="2">
        <v>29</v>
      </c>
      <c r="F14" s="2">
        <v>8.8199999999999997E-4</v>
      </c>
    </row>
    <row r="15" spans="1:6" x14ac:dyDescent="0.25">
      <c r="A15" s="2">
        <v>30</v>
      </c>
      <c r="B15" s="2">
        <v>1.2099999999999999E-3</v>
      </c>
      <c r="E15" s="2">
        <v>30</v>
      </c>
      <c r="F15" s="2">
        <v>9.2599999999999996E-4</v>
      </c>
    </row>
    <row r="16" spans="1:6" x14ac:dyDescent="0.25">
      <c r="A16" s="2">
        <v>31</v>
      </c>
      <c r="B16" s="2">
        <v>1.2310000000000001E-3</v>
      </c>
      <c r="E16" s="2">
        <v>31</v>
      </c>
      <c r="F16" s="2">
        <v>9.6599999999999995E-4</v>
      </c>
    </row>
    <row r="17" spans="1:6" x14ac:dyDescent="0.25">
      <c r="A17" s="2">
        <v>32</v>
      </c>
      <c r="B17" s="2">
        <v>1.253E-3</v>
      </c>
      <c r="E17" s="2">
        <v>32</v>
      </c>
      <c r="F17" s="2">
        <v>1.005E-3</v>
      </c>
    </row>
    <row r="18" spans="1:6" x14ac:dyDescent="0.25">
      <c r="A18" s="2">
        <v>33</v>
      </c>
      <c r="B18" s="2">
        <v>1.328E-3</v>
      </c>
      <c r="E18" s="2">
        <v>33</v>
      </c>
      <c r="F18" s="2">
        <v>1.0970000000000001E-3</v>
      </c>
    </row>
    <row r="19" spans="1:6" x14ac:dyDescent="0.25">
      <c r="A19" s="2">
        <v>34</v>
      </c>
      <c r="B19" s="2">
        <v>1.4059999999999999E-3</v>
      </c>
      <c r="E19" s="2">
        <v>34</v>
      </c>
      <c r="F19" s="2">
        <v>1.1869999999999999E-3</v>
      </c>
    </row>
    <row r="20" spans="1:6" x14ac:dyDescent="0.25">
      <c r="A20" s="2">
        <v>35</v>
      </c>
      <c r="B20" s="2">
        <v>1.4909999999999999E-3</v>
      </c>
      <c r="E20" s="2">
        <v>35</v>
      </c>
      <c r="F20" s="2">
        <v>1.2849999999999999E-3</v>
      </c>
    </row>
    <row r="21" spans="1:6" x14ac:dyDescent="0.25">
      <c r="A21" s="2">
        <v>36</v>
      </c>
      <c r="B21" s="2">
        <v>1.565E-3</v>
      </c>
      <c r="E21" s="2">
        <v>36</v>
      </c>
      <c r="F21" s="2">
        <v>1.3960000000000001E-3</v>
      </c>
    </row>
    <row r="22" spans="1:6" x14ac:dyDescent="0.25">
      <c r="A22" s="2">
        <v>37</v>
      </c>
      <c r="B22" s="2">
        <v>1.64E-3</v>
      </c>
      <c r="E22" s="2">
        <v>37</v>
      </c>
      <c r="F22" s="2">
        <v>1.513E-3</v>
      </c>
    </row>
    <row r="23" spans="1:6" x14ac:dyDescent="0.25">
      <c r="A23" s="2">
        <v>38</v>
      </c>
      <c r="B23" s="2">
        <v>1.7949999999999999E-3</v>
      </c>
      <c r="E23" s="2">
        <v>38</v>
      </c>
      <c r="F23" s="2">
        <v>1.688E-3</v>
      </c>
    </row>
    <row r="24" spans="1:6" x14ac:dyDescent="0.25">
      <c r="A24" s="2">
        <v>39</v>
      </c>
      <c r="B24" s="2">
        <v>1.9419999999999999E-3</v>
      </c>
      <c r="E24" s="2">
        <v>39</v>
      </c>
      <c r="F24" s="2">
        <v>1.859E-3</v>
      </c>
    </row>
    <row r="25" spans="1:6" x14ac:dyDescent="0.25">
      <c r="A25" s="2">
        <v>40</v>
      </c>
      <c r="B25" s="2">
        <v>2.0839999999999999E-3</v>
      </c>
      <c r="E25" s="2">
        <v>40</v>
      </c>
      <c r="F25" s="2">
        <v>2.0339999999999998E-3</v>
      </c>
    </row>
    <row r="26" spans="1:6" x14ac:dyDescent="0.25">
      <c r="A26" s="2">
        <v>41</v>
      </c>
      <c r="B26" s="2">
        <v>2.2309999999999999E-3</v>
      </c>
      <c r="E26" s="2">
        <v>41</v>
      </c>
      <c r="F26" s="2">
        <v>2.2079999999999999E-3</v>
      </c>
    </row>
    <row r="27" spans="1:6" x14ac:dyDescent="0.25">
      <c r="A27" s="2">
        <v>42</v>
      </c>
      <c r="B27" s="2">
        <v>2.3709999999999998E-3</v>
      </c>
      <c r="E27" s="2">
        <v>42</v>
      </c>
      <c r="F27" s="2">
        <v>2.3839999999999998E-3</v>
      </c>
    </row>
    <row r="28" spans="1:6" x14ac:dyDescent="0.25">
      <c r="A28" s="2">
        <v>43</v>
      </c>
      <c r="B28" s="2">
        <v>2.6099999999999999E-3</v>
      </c>
      <c r="E28" s="2">
        <v>43</v>
      </c>
      <c r="F28" s="2">
        <v>2.66E-3</v>
      </c>
    </row>
    <row r="29" spans="1:6" x14ac:dyDescent="0.25">
      <c r="A29" s="2">
        <v>44</v>
      </c>
      <c r="B29" s="2">
        <v>2.8340000000000001E-3</v>
      </c>
      <c r="E29" s="2">
        <v>44</v>
      </c>
      <c r="F29" s="2">
        <v>2.9329999999999998E-3</v>
      </c>
    </row>
    <row r="30" spans="1:6" x14ac:dyDescent="0.25">
      <c r="A30" s="2">
        <v>45</v>
      </c>
      <c r="B30" s="2">
        <v>3.0439999999999998E-3</v>
      </c>
      <c r="E30" s="2">
        <v>45</v>
      </c>
      <c r="F30" s="2">
        <v>3.1960000000000001E-3</v>
      </c>
    </row>
    <row r="31" spans="1:6" x14ac:dyDescent="0.25">
      <c r="A31" s="2">
        <v>46</v>
      </c>
      <c r="B31" s="2">
        <v>3.3279999999999998E-3</v>
      </c>
      <c r="E31" s="2">
        <v>46</v>
      </c>
      <c r="F31" s="2">
        <v>3.4350000000000001E-3</v>
      </c>
    </row>
    <row r="32" spans="1:6" x14ac:dyDescent="0.25">
      <c r="A32" s="2">
        <v>47</v>
      </c>
      <c r="B32" s="2">
        <v>3.6089999999999998E-3</v>
      </c>
      <c r="E32" s="2">
        <v>47</v>
      </c>
      <c r="F32" s="2">
        <v>3.6740000000000002E-3</v>
      </c>
    </row>
    <row r="33" spans="1:6" x14ac:dyDescent="0.25">
      <c r="A33" s="2">
        <v>48</v>
      </c>
      <c r="B33" s="2">
        <v>4.1120000000000002E-3</v>
      </c>
      <c r="E33" s="2">
        <v>48</v>
      </c>
      <c r="F33" s="2">
        <v>3.9719999999999998E-3</v>
      </c>
    </row>
    <row r="34" spans="1:6" x14ac:dyDescent="0.25">
      <c r="A34" s="2">
        <v>49</v>
      </c>
      <c r="B34" s="2">
        <v>4.47E-3</v>
      </c>
      <c r="E34" s="2">
        <v>49</v>
      </c>
      <c r="F34" s="2">
        <v>4.2719999999999998E-3</v>
      </c>
    </row>
    <row r="35" spans="1:6" x14ac:dyDescent="0.25">
      <c r="A35" s="2">
        <v>50</v>
      </c>
      <c r="B35" s="2">
        <v>4.9309999999999996E-3</v>
      </c>
      <c r="E35" s="2">
        <v>50</v>
      </c>
      <c r="F35" s="2">
        <v>4.5659999999999997E-3</v>
      </c>
    </row>
    <row r="36" spans="1:6" x14ac:dyDescent="0.25">
      <c r="A36" s="2">
        <v>51</v>
      </c>
      <c r="B36" s="2">
        <v>5.3530000000000001E-3</v>
      </c>
      <c r="E36" s="2">
        <v>51</v>
      </c>
      <c r="F36" s="2">
        <v>4.8609999999999999E-3</v>
      </c>
    </row>
    <row r="37" spans="1:6" x14ac:dyDescent="0.25">
      <c r="A37" s="2">
        <v>52</v>
      </c>
      <c r="B37" s="2">
        <v>5.7980000000000002E-3</v>
      </c>
      <c r="E37" s="2">
        <v>52</v>
      </c>
      <c r="F37" s="2">
        <v>5.1450000000000003E-3</v>
      </c>
    </row>
    <row r="38" spans="1:6" x14ac:dyDescent="0.25">
      <c r="A38" s="2">
        <v>53</v>
      </c>
      <c r="B38" s="2">
        <v>6.5979999999999997E-3</v>
      </c>
      <c r="E38" s="2">
        <v>53</v>
      </c>
      <c r="F38" s="2">
        <v>5.4029999999999998E-3</v>
      </c>
    </row>
    <row r="39" spans="1:6" x14ac:dyDescent="0.25">
      <c r="A39" s="2">
        <v>54</v>
      </c>
      <c r="B39" s="2">
        <v>7.4149999999999997E-3</v>
      </c>
      <c r="E39" s="2">
        <v>54</v>
      </c>
      <c r="F39" s="2">
        <v>5.6540000000000002E-3</v>
      </c>
    </row>
    <row r="40" spans="1:6" x14ac:dyDescent="0.25">
      <c r="A40" s="2">
        <v>55</v>
      </c>
      <c r="B40" s="2">
        <v>8.2179999999999996E-3</v>
      </c>
      <c r="E40" s="2">
        <v>55</v>
      </c>
      <c r="F40" s="2">
        <v>5.8910000000000004E-3</v>
      </c>
    </row>
    <row r="41" spans="1:6" x14ac:dyDescent="0.25">
      <c r="A41" s="2">
        <v>56</v>
      </c>
      <c r="B41" s="2">
        <v>8.9680000000000003E-3</v>
      </c>
      <c r="E41" s="2">
        <v>56</v>
      </c>
      <c r="F41" s="2">
        <v>6.1110000000000001E-3</v>
      </c>
    </row>
    <row r="42" spans="1:6" x14ac:dyDescent="0.25">
      <c r="A42" s="2">
        <v>57</v>
      </c>
      <c r="B42" s="2">
        <v>9.7179999999999992E-3</v>
      </c>
      <c r="E42" s="2">
        <v>57</v>
      </c>
      <c r="F42" s="2">
        <v>6.3249999999999999E-3</v>
      </c>
    </row>
    <row r="43" spans="1:6" x14ac:dyDescent="0.25">
      <c r="A43" s="2">
        <v>58</v>
      </c>
      <c r="B43" s="2">
        <v>1.0555999999999999E-2</v>
      </c>
      <c r="E43" s="2">
        <v>58</v>
      </c>
      <c r="F43" s="2">
        <v>6.6439999999999997E-3</v>
      </c>
    </row>
    <row r="44" spans="1:6" x14ac:dyDescent="0.25">
      <c r="A44" s="2">
        <v>59</v>
      </c>
      <c r="B44" s="2">
        <v>1.1395000000000001E-2</v>
      </c>
      <c r="E44" s="2">
        <v>59</v>
      </c>
      <c r="F44" s="2">
        <v>6.9810000000000002E-3</v>
      </c>
    </row>
    <row r="45" spans="1:6" x14ac:dyDescent="0.25">
      <c r="A45" s="2">
        <v>60</v>
      </c>
      <c r="B45" s="2">
        <v>1.2229E-2</v>
      </c>
      <c r="E45" s="2">
        <v>60</v>
      </c>
      <c r="F45" s="2">
        <v>7.306E-3</v>
      </c>
    </row>
    <row r="46" spans="1:6" x14ac:dyDescent="0.25">
      <c r="A46" s="2">
        <v>61</v>
      </c>
      <c r="B46" s="2">
        <v>1.3106E-2</v>
      </c>
      <c r="E46" s="2">
        <v>61</v>
      </c>
      <c r="F46" s="2">
        <v>7.633E-3</v>
      </c>
    </row>
    <row r="47" spans="1:6" x14ac:dyDescent="0.25">
      <c r="A47" s="2">
        <v>62</v>
      </c>
      <c r="B47" s="2">
        <v>1.3982E-2</v>
      </c>
      <c r="E47" s="2">
        <v>62</v>
      </c>
      <c r="F47" s="2">
        <v>7.9620000000000003E-3</v>
      </c>
    </row>
    <row r="48" spans="1:6" x14ac:dyDescent="0.25">
      <c r="A48" s="2">
        <v>63</v>
      </c>
      <c r="B48" s="2">
        <v>1.5213000000000001E-2</v>
      </c>
      <c r="E48" s="2">
        <v>63</v>
      </c>
      <c r="F48" s="2">
        <v>8.3099999999999997E-3</v>
      </c>
    </row>
    <row r="49" spans="1:6" x14ac:dyDescent="0.25">
      <c r="A49" s="2">
        <v>64</v>
      </c>
      <c r="B49" s="2">
        <v>1.6458E-2</v>
      </c>
      <c r="E49" s="2">
        <v>64</v>
      </c>
      <c r="F49" s="2">
        <v>8.6719999999999992E-3</v>
      </c>
    </row>
    <row r="50" spans="1:6" x14ac:dyDescent="0.25">
      <c r="A50" s="2">
        <v>65</v>
      </c>
      <c r="B50" s="2">
        <v>1.7639999999999999E-2</v>
      </c>
      <c r="E50" s="2">
        <v>65</v>
      </c>
      <c r="F50" s="2">
        <v>8.9980000000000008E-3</v>
      </c>
    </row>
    <row r="51" spans="1:6" x14ac:dyDescent="0.25">
      <c r="A51" s="2">
        <v>66</v>
      </c>
      <c r="B51" s="2">
        <v>1.9467000000000002E-2</v>
      </c>
      <c r="E51" s="2">
        <v>66</v>
      </c>
      <c r="F51" s="2">
        <v>9.7739999999999997E-3</v>
      </c>
    </row>
    <row r="52" spans="1:6" x14ac:dyDescent="0.25">
      <c r="A52" s="2">
        <v>67</v>
      </c>
      <c r="B52" s="2">
        <v>2.1361999999999999E-2</v>
      </c>
      <c r="E52" s="2">
        <v>67</v>
      </c>
      <c r="F52" s="2">
        <v>1.0565E-2</v>
      </c>
    </row>
    <row r="53" spans="1:6" x14ac:dyDescent="0.25">
      <c r="A53" s="2">
        <v>68</v>
      </c>
      <c r="B53" s="2">
        <v>2.3369000000000001E-2</v>
      </c>
      <c r="E53" s="2">
        <v>68</v>
      </c>
      <c r="F53" s="2">
        <v>1.158E-2</v>
      </c>
    </row>
    <row r="54" spans="1:6" x14ac:dyDescent="0.25">
      <c r="A54" s="2">
        <v>69</v>
      </c>
      <c r="B54" s="2">
        <v>2.5432E-2</v>
      </c>
      <c r="E54" s="2">
        <v>69</v>
      </c>
      <c r="F54" s="2">
        <v>1.2593999999999999E-2</v>
      </c>
    </row>
    <row r="55" spans="1:6" x14ac:dyDescent="0.25">
      <c r="A55" s="2">
        <v>70</v>
      </c>
      <c r="B55" s="2">
        <v>2.7390000000000001E-2</v>
      </c>
      <c r="E55" s="2">
        <v>70</v>
      </c>
      <c r="F55" s="2">
        <v>1.3681E-2</v>
      </c>
    </row>
    <row r="56" spans="1:6" x14ac:dyDescent="0.25">
      <c r="A56" s="2">
        <v>71</v>
      </c>
      <c r="B56" s="2">
        <v>2.9128000000000001E-2</v>
      </c>
      <c r="E56" s="2">
        <v>71</v>
      </c>
      <c r="F56" s="2">
        <v>1.4714E-2</v>
      </c>
    </row>
    <row r="57" spans="1:6" x14ac:dyDescent="0.25">
      <c r="A57" s="2">
        <v>72</v>
      </c>
      <c r="B57" s="2">
        <v>3.0963000000000001E-2</v>
      </c>
      <c r="E57" s="2">
        <v>72</v>
      </c>
      <c r="F57" s="2">
        <v>1.5789000000000001E-2</v>
      </c>
    </row>
    <row r="58" spans="1:6" x14ac:dyDescent="0.25">
      <c r="A58" s="2">
        <v>73</v>
      </c>
      <c r="B58" s="2">
        <v>3.2287000000000003E-2</v>
      </c>
      <c r="E58" s="2">
        <v>73</v>
      </c>
      <c r="F58" s="2">
        <v>1.6584000000000002E-2</v>
      </c>
    </row>
    <row r="59" spans="1:6" x14ac:dyDescent="0.25">
      <c r="A59" s="2">
        <v>74</v>
      </c>
      <c r="B59" s="2">
        <v>3.3772000000000003E-2</v>
      </c>
      <c r="E59" s="2">
        <v>74</v>
      </c>
      <c r="F59" s="2">
        <v>1.7387E-2</v>
      </c>
    </row>
    <row r="60" spans="1:6" x14ac:dyDescent="0.25">
      <c r="A60" s="2">
        <v>75</v>
      </c>
      <c r="B60" s="2">
        <v>3.5137000000000002E-2</v>
      </c>
      <c r="E60" s="2">
        <v>75</v>
      </c>
      <c r="F60" s="2">
        <v>1.8228000000000001E-2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57BC-3910-4F80-BA2E-F0478584CE62}">
  <dimension ref="B1:R87"/>
  <sheetViews>
    <sheetView workbookViewId="0">
      <selection activeCell="G5" sqref="G5"/>
    </sheetView>
  </sheetViews>
  <sheetFormatPr defaultRowHeight="15" x14ac:dyDescent="0.25"/>
  <cols>
    <col min="2" max="2" width="4.140625" bestFit="1" customWidth="1"/>
    <col min="3" max="7" width="10.5703125" bestFit="1" customWidth="1"/>
    <col min="8" max="18" width="9" bestFit="1" customWidth="1"/>
  </cols>
  <sheetData>
    <row r="1" spans="2:18" x14ac:dyDescent="0.25">
      <c r="B1" s="85" t="s">
        <v>132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7"/>
    </row>
    <row r="2" spans="2:18" x14ac:dyDescent="0.25">
      <c r="B2" s="74" t="s">
        <v>133</v>
      </c>
      <c r="C2" s="74">
        <v>5</v>
      </c>
      <c r="D2" s="74">
        <v>6</v>
      </c>
      <c r="E2" s="74">
        <v>7</v>
      </c>
      <c r="F2" s="74">
        <v>8</v>
      </c>
      <c r="G2" s="74">
        <v>9</v>
      </c>
      <c r="H2" s="74">
        <v>10</v>
      </c>
      <c r="I2" s="74">
        <v>11</v>
      </c>
      <c r="J2" s="74">
        <v>12</v>
      </c>
      <c r="K2" s="74">
        <v>13</v>
      </c>
      <c r="L2" s="74">
        <v>14</v>
      </c>
      <c r="M2" s="74">
        <v>15</v>
      </c>
      <c r="N2" s="74">
        <v>16</v>
      </c>
      <c r="O2" s="74">
        <v>17</v>
      </c>
      <c r="P2" s="74">
        <v>18</v>
      </c>
      <c r="Q2" s="74">
        <v>19</v>
      </c>
      <c r="R2" s="74">
        <v>20</v>
      </c>
    </row>
    <row r="3" spans="2:18" x14ac:dyDescent="0.25">
      <c r="B3" s="74">
        <v>18</v>
      </c>
      <c r="C3" s="88">
        <v>2515650</v>
      </c>
      <c r="D3" s="88">
        <v>1927767</v>
      </c>
      <c r="E3" s="88">
        <v>1534673</v>
      </c>
      <c r="F3" s="88">
        <v>1254475</v>
      </c>
      <c r="G3" s="88">
        <v>1045522</v>
      </c>
      <c r="H3" s="88">
        <v>884388</v>
      </c>
      <c r="I3" s="88">
        <v>756886</v>
      </c>
      <c r="J3" s="88">
        <v>653920</v>
      </c>
      <c r="K3" s="88">
        <v>569391</v>
      </c>
      <c r="L3" s="88">
        <v>499057</v>
      </c>
      <c r="M3" s="88">
        <v>439875</v>
      </c>
      <c r="N3" s="88">
        <v>389605</v>
      </c>
      <c r="O3" s="88">
        <v>346563</v>
      </c>
      <c r="P3" s="88">
        <v>309458</v>
      </c>
      <c r="Q3" s="88">
        <v>277285</v>
      </c>
      <c r="R3" s="88">
        <v>249246</v>
      </c>
    </row>
    <row r="4" spans="2:18" x14ac:dyDescent="0.25">
      <c r="B4" s="74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2:18" x14ac:dyDescent="0.25">
      <c r="B5" s="74">
        <v>19</v>
      </c>
      <c r="C5" s="88">
        <v>2517347</v>
      </c>
      <c r="D5" s="88">
        <v>1929414</v>
      </c>
      <c r="E5" s="88">
        <v>1536277</v>
      </c>
      <c r="F5" s="88">
        <v>1256037</v>
      </c>
      <c r="G5" s="88">
        <v>1047041</v>
      </c>
      <c r="H5" s="88">
        <v>885863</v>
      </c>
      <c r="I5" s="88">
        <v>758315</v>
      </c>
      <c r="J5" s="88">
        <v>655304</v>
      </c>
      <c r="K5" s="88">
        <v>570733</v>
      </c>
      <c r="L5" s="88">
        <v>500359</v>
      </c>
      <c r="M5" s="88">
        <v>441140</v>
      </c>
      <c r="N5" s="88">
        <v>390838</v>
      </c>
      <c r="O5" s="88">
        <v>347768</v>
      </c>
      <c r="P5" s="88">
        <v>310640</v>
      </c>
      <c r="Q5" s="88">
        <v>278448</v>
      </c>
      <c r="R5" s="88">
        <v>250396</v>
      </c>
    </row>
    <row r="6" spans="2:18" x14ac:dyDescent="0.25">
      <c r="B6" s="74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2:18" x14ac:dyDescent="0.25">
      <c r="B7" s="74">
        <v>20</v>
      </c>
      <c r="C7" s="88">
        <v>2518896</v>
      </c>
      <c r="D7" s="88">
        <v>1930902</v>
      </c>
      <c r="E7" s="88">
        <v>1537709</v>
      </c>
      <c r="F7" s="88">
        <v>1257415</v>
      </c>
      <c r="G7" s="88">
        <v>1048365</v>
      </c>
      <c r="H7" s="88">
        <v>887133</v>
      </c>
      <c r="I7" s="88">
        <v>759534</v>
      </c>
      <c r="J7" s="88">
        <v>656475</v>
      </c>
      <c r="K7" s="88">
        <v>571859</v>
      </c>
      <c r="L7" s="88">
        <v>501445</v>
      </c>
      <c r="M7" s="88">
        <v>442191</v>
      </c>
      <c r="N7" s="88">
        <v>391858</v>
      </c>
      <c r="O7" s="88">
        <v>348764</v>
      </c>
      <c r="P7" s="88">
        <v>311617</v>
      </c>
      <c r="Q7" s="88">
        <v>279412</v>
      </c>
      <c r="R7" s="88">
        <v>251350</v>
      </c>
    </row>
    <row r="8" spans="2:18" x14ac:dyDescent="0.25">
      <c r="B8" s="74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2:18" x14ac:dyDescent="0.25">
      <c r="B9" s="74">
        <v>21</v>
      </c>
      <c r="C9" s="88">
        <v>2520262</v>
      </c>
      <c r="D9" s="88">
        <v>1932195</v>
      </c>
      <c r="E9" s="88">
        <v>1538934</v>
      </c>
      <c r="F9" s="88">
        <v>1258575</v>
      </c>
      <c r="G9" s="88">
        <v>1049463</v>
      </c>
      <c r="H9" s="88">
        <v>888174</v>
      </c>
      <c r="I9" s="88">
        <v>760521</v>
      </c>
      <c r="J9" s="88">
        <v>657414</v>
      </c>
      <c r="K9" s="88">
        <v>572754</v>
      </c>
      <c r="L9" s="88">
        <v>502303</v>
      </c>
      <c r="M9" s="88">
        <v>443017</v>
      </c>
      <c r="N9" s="88">
        <v>392660</v>
      </c>
      <c r="O9" s="88">
        <v>349548</v>
      </c>
      <c r="P9" s="88">
        <v>312388</v>
      </c>
      <c r="Q9" s="88">
        <v>280174</v>
      </c>
      <c r="R9" s="88">
        <v>252109</v>
      </c>
    </row>
    <row r="10" spans="2:18" x14ac:dyDescent="0.25">
      <c r="B10" s="74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2:18" x14ac:dyDescent="0.25">
      <c r="B11" s="74">
        <v>22</v>
      </c>
      <c r="C11" s="88">
        <v>2521407</v>
      </c>
      <c r="D11" s="88">
        <v>1933255</v>
      </c>
      <c r="E11" s="88">
        <v>1539918</v>
      </c>
      <c r="F11" s="88">
        <v>1259489</v>
      </c>
      <c r="G11" s="88">
        <v>1050313</v>
      </c>
      <c r="H11" s="88">
        <v>888965</v>
      </c>
      <c r="I11" s="88">
        <v>761261</v>
      </c>
      <c r="J11" s="88">
        <v>658108</v>
      </c>
      <c r="K11" s="88">
        <v>573411</v>
      </c>
      <c r="L11" s="88">
        <v>502929</v>
      </c>
      <c r="M11" s="88">
        <v>443619</v>
      </c>
      <c r="N11" s="88">
        <v>393245</v>
      </c>
      <c r="O11" s="88">
        <v>350122</v>
      </c>
      <c r="P11" s="88">
        <v>312956</v>
      </c>
      <c r="Q11" s="88">
        <v>280741</v>
      </c>
      <c r="R11" s="88">
        <v>252677</v>
      </c>
    </row>
    <row r="12" spans="2:18" x14ac:dyDescent="0.25">
      <c r="B12" s="74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2:18" x14ac:dyDescent="0.25">
      <c r="B13" s="74">
        <v>23</v>
      </c>
      <c r="C13" s="88">
        <v>2522293</v>
      </c>
      <c r="D13" s="88">
        <v>1934053</v>
      </c>
      <c r="E13" s="88">
        <v>1540637</v>
      </c>
      <c r="F13" s="88">
        <v>1260139</v>
      </c>
      <c r="G13" s="88">
        <v>1050902</v>
      </c>
      <c r="H13" s="88">
        <v>889501</v>
      </c>
      <c r="I13" s="88">
        <v>761752</v>
      </c>
      <c r="J13" s="88">
        <v>658561</v>
      </c>
      <c r="K13" s="88">
        <v>573835</v>
      </c>
      <c r="L13" s="88">
        <v>503331</v>
      </c>
      <c r="M13" s="88">
        <v>444007</v>
      </c>
      <c r="N13" s="88">
        <v>393625</v>
      </c>
      <c r="O13" s="88">
        <v>350499</v>
      </c>
      <c r="P13" s="88">
        <v>313336</v>
      </c>
      <c r="Q13" s="88">
        <v>281125</v>
      </c>
      <c r="R13" s="88">
        <v>253069</v>
      </c>
    </row>
    <row r="14" spans="2:18" x14ac:dyDescent="0.25">
      <c r="B14" s="74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</row>
    <row r="15" spans="2:18" x14ac:dyDescent="0.25">
      <c r="B15" s="74">
        <v>24</v>
      </c>
      <c r="C15" s="88">
        <v>2522893</v>
      </c>
      <c r="D15" s="88">
        <v>1934568</v>
      </c>
      <c r="E15" s="88">
        <v>1541081</v>
      </c>
      <c r="F15" s="88">
        <v>1260522</v>
      </c>
      <c r="G15" s="88">
        <v>1051232</v>
      </c>
      <c r="H15" s="88">
        <v>889788</v>
      </c>
      <c r="I15" s="88">
        <v>762003</v>
      </c>
      <c r="J15" s="88">
        <v>658787</v>
      </c>
      <c r="K15" s="88">
        <v>574043</v>
      </c>
      <c r="L15" s="88">
        <v>503529</v>
      </c>
      <c r="M15" s="88">
        <v>444203</v>
      </c>
      <c r="N15" s="88">
        <v>393823</v>
      </c>
      <c r="O15" s="88">
        <v>350703</v>
      </c>
      <c r="P15" s="88">
        <v>313549</v>
      </c>
      <c r="Q15" s="88">
        <v>281351</v>
      </c>
      <c r="R15" s="88">
        <v>253308</v>
      </c>
    </row>
    <row r="16" spans="2:18" x14ac:dyDescent="0.25">
      <c r="B16" s="74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</row>
    <row r="17" spans="2:18" x14ac:dyDescent="0.25">
      <c r="B17" s="74">
        <v>25</v>
      </c>
      <c r="C17" s="88">
        <v>2523202</v>
      </c>
      <c r="D17" s="88">
        <v>1934807</v>
      </c>
      <c r="E17" s="88">
        <v>1541261</v>
      </c>
      <c r="F17" s="88">
        <v>1260653</v>
      </c>
      <c r="G17" s="88">
        <v>1051325</v>
      </c>
      <c r="H17" s="88">
        <v>889851</v>
      </c>
      <c r="I17" s="88">
        <v>762046</v>
      </c>
      <c r="J17" s="88">
        <v>658818</v>
      </c>
      <c r="K17" s="88">
        <v>574071</v>
      </c>
      <c r="L17" s="88">
        <v>503560</v>
      </c>
      <c r="M17" s="88">
        <v>444242</v>
      </c>
      <c r="N17" s="88">
        <v>393874</v>
      </c>
      <c r="O17" s="88">
        <v>350770</v>
      </c>
      <c r="P17" s="88">
        <v>313633</v>
      </c>
      <c r="Q17" s="88">
        <v>281453</v>
      </c>
      <c r="R17" s="88">
        <v>253429</v>
      </c>
    </row>
    <row r="18" spans="2:18" x14ac:dyDescent="0.25">
      <c r="B18" s="74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</row>
    <row r="19" spans="2:18" x14ac:dyDescent="0.25">
      <c r="B19" s="74">
        <v>26</v>
      </c>
      <c r="C19" s="88">
        <v>2523246</v>
      </c>
      <c r="D19" s="88">
        <v>1934800</v>
      </c>
      <c r="E19" s="88">
        <v>1541213</v>
      </c>
      <c r="F19" s="88">
        <v>1260574</v>
      </c>
      <c r="G19" s="88">
        <v>1051224</v>
      </c>
      <c r="H19" s="88">
        <v>889737</v>
      </c>
      <c r="I19" s="88">
        <v>761929</v>
      </c>
      <c r="J19" s="88">
        <v>658705</v>
      </c>
      <c r="K19" s="88">
        <v>573968</v>
      </c>
      <c r="L19" s="88">
        <v>503473</v>
      </c>
      <c r="M19" s="88">
        <v>444174</v>
      </c>
      <c r="N19" s="88">
        <v>393828</v>
      </c>
      <c r="O19" s="88">
        <v>350746</v>
      </c>
      <c r="P19" s="88">
        <v>313633</v>
      </c>
      <c r="Q19" s="88">
        <v>281477</v>
      </c>
      <c r="R19" s="88">
        <v>253476</v>
      </c>
    </row>
    <row r="20" spans="2:18" x14ac:dyDescent="0.25">
      <c r="B20" s="74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</row>
    <row r="21" spans="2:18" x14ac:dyDescent="0.25">
      <c r="B21" s="74">
        <v>27</v>
      </c>
      <c r="C21" s="88">
        <v>2523089</v>
      </c>
      <c r="D21" s="88">
        <v>1934611</v>
      </c>
      <c r="E21" s="88">
        <v>1541003</v>
      </c>
      <c r="F21" s="88">
        <v>1260351</v>
      </c>
      <c r="G21" s="88">
        <v>1050997</v>
      </c>
      <c r="H21" s="88">
        <v>889516</v>
      </c>
      <c r="I21" s="88">
        <v>761720</v>
      </c>
      <c r="J21" s="88">
        <v>658516</v>
      </c>
      <c r="K21" s="88">
        <v>573802</v>
      </c>
      <c r="L21" s="88">
        <v>503333</v>
      </c>
      <c r="M21" s="88">
        <v>444062</v>
      </c>
      <c r="N21" s="88">
        <v>393745</v>
      </c>
      <c r="O21" s="88">
        <v>350693</v>
      </c>
      <c r="P21" s="88">
        <v>313608</v>
      </c>
      <c r="Q21" s="88">
        <v>281479</v>
      </c>
      <c r="R21" s="88">
        <v>253504</v>
      </c>
    </row>
    <row r="22" spans="2:18" x14ac:dyDescent="0.25">
      <c r="B22" s="74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</row>
    <row r="23" spans="2:18" x14ac:dyDescent="0.25">
      <c r="B23" s="74">
        <v>28</v>
      </c>
      <c r="C23" s="88">
        <v>2522796</v>
      </c>
      <c r="D23" s="88">
        <v>1934309</v>
      </c>
      <c r="E23" s="88">
        <v>1540699</v>
      </c>
      <c r="F23" s="88">
        <v>1260053</v>
      </c>
      <c r="G23" s="88">
        <v>1050714</v>
      </c>
      <c r="H23" s="88">
        <v>889255</v>
      </c>
      <c r="I23" s="88">
        <v>761488</v>
      </c>
      <c r="J23" s="88">
        <v>658315</v>
      </c>
      <c r="K23" s="88">
        <v>573635</v>
      </c>
      <c r="L23" s="88">
        <v>503201</v>
      </c>
      <c r="M23" s="88">
        <v>443965</v>
      </c>
      <c r="N23" s="88">
        <v>393683</v>
      </c>
      <c r="O23" s="88">
        <v>350664</v>
      </c>
      <c r="P23" s="88">
        <v>313611</v>
      </c>
      <c r="Q23" s="88">
        <v>281511</v>
      </c>
      <c r="R23" s="88">
        <v>253563</v>
      </c>
    </row>
    <row r="24" spans="2:18" x14ac:dyDescent="0.25">
      <c r="B24" s="74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</row>
    <row r="25" spans="2:18" x14ac:dyDescent="0.25">
      <c r="B25" s="74">
        <v>29</v>
      </c>
      <c r="C25" s="88">
        <v>2522436</v>
      </c>
      <c r="D25" s="88">
        <v>1933959</v>
      </c>
      <c r="E25" s="88">
        <v>1540367</v>
      </c>
      <c r="F25" s="88">
        <v>1259748</v>
      </c>
      <c r="G25" s="88">
        <v>1050442</v>
      </c>
      <c r="H25" s="88">
        <v>889020</v>
      </c>
      <c r="I25" s="88">
        <v>761293</v>
      </c>
      <c r="J25" s="88">
        <v>658161</v>
      </c>
      <c r="K25" s="88">
        <v>573523</v>
      </c>
      <c r="L25" s="88">
        <v>503131</v>
      </c>
      <c r="M25" s="88">
        <v>443935</v>
      </c>
      <c r="N25" s="88">
        <v>393690</v>
      </c>
      <c r="O25" s="88">
        <v>350707</v>
      </c>
      <c r="P25" s="88">
        <v>313687</v>
      </c>
      <c r="Q25" s="88">
        <v>281617</v>
      </c>
      <c r="R25" s="88">
        <v>253697</v>
      </c>
    </row>
    <row r="26" spans="2:18" x14ac:dyDescent="0.25">
      <c r="B26" s="74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</row>
    <row r="27" spans="2:18" x14ac:dyDescent="0.25">
      <c r="B27" s="74">
        <v>30</v>
      </c>
      <c r="C27" s="88">
        <v>2522077</v>
      </c>
      <c r="D27" s="88">
        <v>1933632</v>
      </c>
      <c r="E27" s="88">
        <v>1540079</v>
      </c>
      <c r="F27" s="88">
        <v>1259503</v>
      </c>
      <c r="G27" s="88">
        <v>1050244</v>
      </c>
      <c r="H27" s="88">
        <v>888871</v>
      </c>
      <c r="I27" s="88">
        <v>761193</v>
      </c>
      <c r="J27" s="88">
        <v>658109</v>
      </c>
      <c r="K27" s="88">
        <v>573518</v>
      </c>
      <c r="L27" s="88">
        <v>503170</v>
      </c>
      <c r="M27" s="88">
        <v>444016</v>
      </c>
      <c r="N27" s="88">
        <v>393810</v>
      </c>
      <c r="O27" s="88">
        <v>350862</v>
      </c>
      <c r="P27" s="88">
        <v>313875</v>
      </c>
      <c r="Q27" s="88">
        <v>281836</v>
      </c>
      <c r="R27" s="88">
        <v>253943</v>
      </c>
    </row>
    <row r="28" spans="2:18" x14ac:dyDescent="0.25">
      <c r="B28" s="74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</row>
    <row r="29" spans="2:18" x14ac:dyDescent="0.25">
      <c r="B29" s="74">
        <v>31</v>
      </c>
      <c r="C29" s="88">
        <v>2521787</v>
      </c>
      <c r="D29" s="88">
        <v>1933394</v>
      </c>
      <c r="E29" s="88">
        <v>1539896</v>
      </c>
      <c r="F29" s="88">
        <v>1259377</v>
      </c>
      <c r="G29" s="88">
        <v>1050175</v>
      </c>
      <c r="H29" s="88">
        <v>888857</v>
      </c>
      <c r="I29" s="88">
        <v>761232</v>
      </c>
      <c r="J29" s="88">
        <v>658200</v>
      </c>
      <c r="K29" s="88">
        <v>573657</v>
      </c>
      <c r="L29" s="88">
        <v>503354</v>
      </c>
      <c r="M29" s="88">
        <v>444241</v>
      </c>
      <c r="N29" s="88">
        <v>394074</v>
      </c>
      <c r="O29" s="88">
        <v>351160</v>
      </c>
      <c r="P29" s="88">
        <v>314204</v>
      </c>
      <c r="Q29" s="88">
        <v>282193</v>
      </c>
      <c r="R29" s="88">
        <v>254326</v>
      </c>
    </row>
    <row r="30" spans="2:18" x14ac:dyDescent="0.25">
      <c r="B30" s="74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</row>
    <row r="31" spans="2:18" x14ac:dyDescent="0.25">
      <c r="B31" s="74">
        <v>32</v>
      </c>
      <c r="C31" s="88">
        <v>2521635</v>
      </c>
      <c r="D31" s="88">
        <v>1933308</v>
      </c>
      <c r="E31" s="88">
        <v>1539875</v>
      </c>
      <c r="F31" s="88">
        <v>1259419</v>
      </c>
      <c r="G31" s="88">
        <v>1050278</v>
      </c>
      <c r="H31" s="88">
        <v>889018</v>
      </c>
      <c r="I31" s="88">
        <v>761448</v>
      </c>
      <c r="J31" s="88">
        <v>658467</v>
      </c>
      <c r="K31" s="88">
        <v>573970</v>
      </c>
      <c r="L31" s="88">
        <v>503710</v>
      </c>
      <c r="M31" s="88">
        <v>444636</v>
      </c>
      <c r="N31" s="88">
        <v>394502</v>
      </c>
      <c r="O31" s="88">
        <v>351620</v>
      </c>
      <c r="P31" s="88">
        <v>314693</v>
      </c>
      <c r="Q31" s="88">
        <v>282707</v>
      </c>
      <c r="R31" s="88">
        <v>254864</v>
      </c>
    </row>
    <row r="32" spans="2:18" x14ac:dyDescent="0.25">
      <c r="B32" s="74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</row>
    <row r="33" spans="2:18" x14ac:dyDescent="0.25">
      <c r="B33" s="74">
        <v>33</v>
      </c>
      <c r="C33" s="88">
        <v>2521676</v>
      </c>
      <c r="D33" s="88">
        <v>1933420</v>
      </c>
      <c r="E33" s="88">
        <v>1540054</v>
      </c>
      <c r="F33" s="88">
        <v>1259662</v>
      </c>
      <c r="G33" s="88">
        <v>1050580</v>
      </c>
      <c r="H33" s="88">
        <v>889377</v>
      </c>
      <c r="I33" s="88">
        <v>761858</v>
      </c>
      <c r="J33" s="88">
        <v>658924</v>
      </c>
      <c r="K33" s="88">
        <v>574470</v>
      </c>
      <c r="L33" s="88">
        <v>504247</v>
      </c>
      <c r="M33" s="88">
        <v>445207</v>
      </c>
      <c r="N33" s="88">
        <v>395105</v>
      </c>
      <c r="O33" s="88">
        <v>352250</v>
      </c>
      <c r="P33" s="88">
        <v>315347</v>
      </c>
      <c r="Q33" s="88">
        <v>283385</v>
      </c>
      <c r="R33" s="88">
        <v>255562</v>
      </c>
    </row>
    <row r="34" spans="2:18" x14ac:dyDescent="0.25">
      <c r="B34" s="74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</row>
    <row r="35" spans="2:18" x14ac:dyDescent="0.25">
      <c r="B35" s="74">
        <v>34</v>
      </c>
      <c r="C35" s="88">
        <v>2521949</v>
      </c>
      <c r="D35" s="88">
        <v>1933759</v>
      </c>
      <c r="E35" s="88">
        <v>1540455</v>
      </c>
      <c r="F35" s="88">
        <v>1260121</v>
      </c>
      <c r="G35" s="88">
        <v>1051094</v>
      </c>
      <c r="H35" s="88">
        <v>889940</v>
      </c>
      <c r="I35" s="88">
        <v>762466</v>
      </c>
      <c r="J35" s="88">
        <v>659572</v>
      </c>
      <c r="K35" s="88">
        <v>575154</v>
      </c>
      <c r="L35" s="88">
        <v>504964</v>
      </c>
      <c r="M35" s="88">
        <v>445952</v>
      </c>
      <c r="N35" s="88">
        <v>395876</v>
      </c>
      <c r="O35" s="88">
        <v>353044</v>
      </c>
      <c r="P35" s="88">
        <v>316162</v>
      </c>
      <c r="Q35" s="88">
        <v>284219</v>
      </c>
      <c r="R35" s="88">
        <v>256413</v>
      </c>
    </row>
    <row r="36" spans="2:18" x14ac:dyDescent="0.25">
      <c r="B36" s="74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</row>
    <row r="37" spans="2:18" x14ac:dyDescent="0.25">
      <c r="B37" s="74">
        <v>35</v>
      </c>
      <c r="C37" s="88">
        <v>2522452</v>
      </c>
      <c r="D37" s="88">
        <v>1934318</v>
      </c>
      <c r="E37" s="88">
        <v>1541067</v>
      </c>
      <c r="F37" s="88">
        <v>1260782</v>
      </c>
      <c r="G37" s="88">
        <v>1051801</v>
      </c>
      <c r="H37" s="88">
        <v>890688</v>
      </c>
      <c r="I37" s="88">
        <v>763251</v>
      </c>
      <c r="J37" s="88">
        <v>660390</v>
      </c>
      <c r="K37" s="88">
        <v>576001</v>
      </c>
      <c r="L37" s="88">
        <v>505836</v>
      </c>
      <c r="M37" s="88">
        <v>446847</v>
      </c>
      <c r="N37" s="88">
        <v>396791</v>
      </c>
      <c r="O37" s="88">
        <v>353979</v>
      </c>
      <c r="P37" s="88">
        <v>317114</v>
      </c>
      <c r="Q37" s="88">
        <v>285186</v>
      </c>
      <c r="R37" s="88">
        <v>257395</v>
      </c>
    </row>
    <row r="38" spans="2:18" x14ac:dyDescent="0.25">
      <c r="B38" s="74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</row>
    <row r="39" spans="2:18" x14ac:dyDescent="0.25">
      <c r="B39" s="74">
        <v>36</v>
      </c>
      <c r="C39" s="88">
        <v>2523158</v>
      </c>
      <c r="D39" s="88">
        <v>1935067</v>
      </c>
      <c r="E39" s="88">
        <v>1541858</v>
      </c>
      <c r="F39" s="88">
        <v>1261613</v>
      </c>
      <c r="G39" s="88">
        <v>1052667</v>
      </c>
      <c r="H39" s="88">
        <v>891586</v>
      </c>
      <c r="I39" s="88">
        <v>764177</v>
      </c>
      <c r="J39" s="88">
        <v>661341</v>
      </c>
      <c r="K39" s="88">
        <v>576974</v>
      </c>
      <c r="L39" s="88">
        <v>506829</v>
      </c>
      <c r="M39" s="88">
        <v>447858</v>
      </c>
      <c r="N39" s="88">
        <v>397818</v>
      </c>
      <c r="O39" s="88">
        <v>355020</v>
      </c>
      <c r="P39" s="88">
        <v>318169</v>
      </c>
      <c r="Q39" s="88">
        <v>286254</v>
      </c>
      <c r="R39" s="88">
        <v>258475</v>
      </c>
    </row>
    <row r="40" spans="2:18" x14ac:dyDescent="0.25">
      <c r="B40" s="74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</row>
    <row r="41" spans="2:18" x14ac:dyDescent="0.25">
      <c r="B41" s="74">
        <v>37</v>
      </c>
      <c r="C41" s="88">
        <v>2524024</v>
      </c>
      <c r="D41" s="88">
        <v>1935964</v>
      </c>
      <c r="E41" s="88">
        <v>1542786</v>
      </c>
      <c r="F41" s="88">
        <v>1262570</v>
      </c>
      <c r="G41" s="88">
        <v>1053650</v>
      </c>
      <c r="H41" s="88">
        <v>892592</v>
      </c>
      <c r="I41" s="88">
        <v>765203</v>
      </c>
      <c r="J41" s="88">
        <v>662385</v>
      </c>
      <c r="K41" s="88">
        <v>578034</v>
      </c>
      <c r="L41" s="88">
        <v>507903</v>
      </c>
      <c r="M41" s="88">
        <v>448946</v>
      </c>
      <c r="N41" s="88">
        <v>398918</v>
      </c>
      <c r="O41" s="88">
        <v>356132</v>
      </c>
      <c r="P41" s="88">
        <v>319292</v>
      </c>
      <c r="Q41" s="88">
        <v>287387</v>
      </c>
      <c r="R41" s="88">
        <v>259619</v>
      </c>
    </row>
    <row r="42" spans="2:18" x14ac:dyDescent="0.25">
      <c r="B42" s="74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</row>
    <row r="43" spans="2:18" x14ac:dyDescent="0.25">
      <c r="B43" s="74">
        <v>38</v>
      </c>
      <c r="C43" s="88">
        <v>2525010</v>
      </c>
      <c r="D43" s="88">
        <v>1936968</v>
      </c>
      <c r="E43" s="88">
        <v>1543810</v>
      </c>
      <c r="F43" s="88">
        <v>1263612</v>
      </c>
      <c r="G43" s="88">
        <v>1054709</v>
      </c>
      <c r="H43" s="88">
        <v>893666</v>
      </c>
      <c r="I43" s="88">
        <v>766290</v>
      </c>
      <c r="J43" s="88">
        <v>663484</v>
      </c>
      <c r="K43" s="88">
        <v>579144</v>
      </c>
      <c r="L43" s="88">
        <v>509024</v>
      </c>
      <c r="M43" s="88">
        <v>450076</v>
      </c>
      <c r="N43" s="88">
        <v>400058</v>
      </c>
      <c r="O43" s="88">
        <v>357281</v>
      </c>
      <c r="P43" s="88">
        <v>320450</v>
      </c>
      <c r="Q43" s="88">
        <v>288555</v>
      </c>
      <c r="R43" s="88">
        <v>260804</v>
      </c>
    </row>
    <row r="44" spans="2:18" x14ac:dyDescent="0.25">
      <c r="B44" s="74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</row>
    <row r="45" spans="2:18" x14ac:dyDescent="0.25">
      <c r="B45" s="74">
        <v>39</v>
      </c>
      <c r="C45" s="88">
        <v>2526078</v>
      </c>
      <c r="D45" s="88">
        <v>1938042</v>
      </c>
      <c r="E45" s="88">
        <v>1544892</v>
      </c>
      <c r="F45" s="88">
        <v>1264703</v>
      </c>
      <c r="G45" s="88">
        <v>1055808</v>
      </c>
      <c r="H45" s="88">
        <v>894772</v>
      </c>
      <c r="I45" s="88">
        <v>767405</v>
      </c>
      <c r="J45" s="88">
        <v>664606</v>
      </c>
      <c r="K45" s="88">
        <v>580273</v>
      </c>
      <c r="L45" s="88">
        <v>510161</v>
      </c>
      <c r="M45" s="88">
        <v>451221</v>
      </c>
      <c r="N45" s="88">
        <v>401210</v>
      </c>
      <c r="O45" s="88">
        <v>358441</v>
      </c>
      <c r="P45" s="88">
        <v>321617</v>
      </c>
      <c r="Q45" s="88">
        <v>289740</v>
      </c>
      <c r="R45" s="88">
        <v>262017</v>
      </c>
    </row>
    <row r="46" spans="2:18" x14ac:dyDescent="0.25">
      <c r="B46" s="74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</row>
    <row r="47" spans="2:18" x14ac:dyDescent="0.25">
      <c r="B47" s="74">
        <v>40</v>
      </c>
      <c r="C47" s="88">
        <v>2527183</v>
      </c>
      <c r="D47" s="88">
        <v>1939141</v>
      </c>
      <c r="E47" s="88">
        <v>1545990</v>
      </c>
      <c r="F47" s="88">
        <v>1265802</v>
      </c>
      <c r="G47" s="88">
        <v>1056909</v>
      </c>
      <c r="H47" s="88">
        <v>895877</v>
      </c>
      <c r="I47" s="88">
        <v>768513</v>
      </c>
      <c r="J47" s="88">
        <v>665719</v>
      </c>
      <c r="K47" s="88">
        <v>581392</v>
      </c>
      <c r="L47" s="88">
        <v>511284</v>
      </c>
      <c r="M47" s="88">
        <v>452350</v>
      </c>
      <c r="N47" s="88">
        <v>402346</v>
      </c>
      <c r="O47" s="88">
        <v>359584</v>
      </c>
      <c r="P47" s="88">
        <v>322779</v>
      </c>
      <c r="Q47" s="88">
        <v>290931</v>
      </c>
      <c r="R47" s="88">
        <v>263249</v>
      </c>
    </row>
    <row r="48" spans="2:18" x14ac:dyDescent="0.25">
      <c r="B48" s="74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</row>
    <row r="49" spans="2:18" x14ac:dyDescent="0.25">
      <c r="B49" s="74">
        <v>41</v>
      </c>
      <c r="C49" s="88">
        <v>2528288</v>
      </c>
      <c r="D49" s="88">
        <v>1940232</v>
      </c>
      <c r="E49" s="88">
        <v>1547073</v>
      </c>
      <c r="F49" s="88">
        <v>1266881</v>
      </c>
      <c r="G49" s="88">
        <v>1057986</v>
      </c>
      <c r="H49" s="88">
        <v>896955</v>
      </c>
      <c r="I49" s="88">
        <v>769592</v>
      </c>
      <c r="J49" s="88">
        <v>666801</v>
      </c>
      <c r="K49" s="88">
        <v>582478</v>
      </c>
      <c r="L49" s="88">
        <v>512375</v>
      </c>
      <c r="M49" s="88">
        <v>453447</v>
      </c>
      <c r="N49" s="88">
        <v>403449</v>
      </c>
      <c r="O49" s="88">
        <v>360706</v>
      </c>
      <c r="P49" s="88">
        <v>323935</v>
      </c>
      <c r="Q49" s="88">
        <v>292133</v>
      </c>
      <c r="R49" s="88">
        <v>264506</v>
      </c>
    </row>
    <row r="50" spans="2:18" x14ac:dyDescent="0.25">
      <c r="B50" s="74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</row>
    <row r="51" spans="2:18" x14ac:dyDescent="0.25">
      <c r="B51" s="74">
        <v>42</v>
      </c>
      <c r="C51" s="88">
        <v>2529358</v>
      </c>
      <c r="D51" s="88">
        <v>1941282</v>
      </c>
      <c r="E51" s="88">
        <v>1548112</v>
      </c>
      <c r="F51" s="88">
        <v>1267913</v>
      </c>
      <c r="G51" s="88">
        <v>1059016</v>
      </c>
      <c r="H51" s="88">
        <v>897983</v>
      </c>
      <c r="I51" s="88">
        <v>770622</v>
      </c>
      <c r="J51" s="88">
        <v>667834</v>
      </c>
      <c r="K51" s="88">
        <v>583514</v>
      </c>
      <c r="L51" s="88">
        <v>513417</v>
      </c>
      <c r="M51" s="88">
        <v>454494</v>
      </c>
      <c r="N51" s="88">
        <v>404518</v>
      </c>
      <c r="O51" s="88">
        <v>361813</v>
      </c>
      <c r="P51" s="88">
        <v>325093</v>
      </c>
      <c r="Q51" s="88">
        <v>293353</v>
      </c>
      <c r="R51" s="88">
        <v>265797</v>
      </c>
    </row>
    <row r="52" spans="2:18" x14ac:dyDescent="0.25">
      <c r="B52" s="74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</row>
    <row r="53" spans="2:18" x14ac:dyDescent="0.25">
      <c r="B53" s="74">
        <v>43</v>
      </c>
      <c r="C53" s="88">
        <v>2530367</v>
      </c>
      <c r="D53" s="88">
        <v>1942272</v>
      </c>
      <c r="E53" s="88">
        <v>1549090</v>
      </c>
      <c r="F53" s="88">
        <v>1268885</v>
      </c>
      <c r="G53" s="88">
        <v>1059985</v>
      </c>
      <c r="H53" s="88">
        <v>898952</v>
      </c>
      <c r="I53" s="88">
        <v>771593</v>
      </c>
      <c r="J53" s="88">
        <v>668808</v>
      </c>
      <c r="K53" s="88">
        <v>584494</v>
      </c>
      <c r="L53" s="88">
        <v>514402</v>
      </c>
      <c r="M53" s="88">
        <v>455504</v>
      </c>
      <c r="N53" s="88">
        <v>405571</v>
      </c>
      <c r="O53" s="88">
        <v>362924</v>
      </c>
      <c r="P53" s="88">
        <v>326274</v>
      </c>
      <c r="Q53" s="88">
        <v>294614</v>
      </c>
      <c r="R53" s="88">
        <v>267148</v>
      </c>
    </row>
    <row r="54" spans="2:18" x14ac:dyDescent="0.25">
      <c r="B54" s="74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</row>
    <row r="55" spans="2:18" x14ac:dyDescent="0.25">
      <c r="B55" s="74">
        <v>44</v>
      </c>
      <c r="C55" s="88">
        <v>2531306</v>
      </c>
      <c r="D55" s="88">
        <v>1943193</v>
      </c>
      <c r="E55" s="88">
        <v>1550001</v>
      </c>
      <c r="F55" s="88">
        <v>1269792</v>
      </c>
      <c r="G55" s="88">
        <v>1060891</v>
      </c>
      <c r="H55" s="88">
        <v>899860</v>
      </c>
      <c r="I55" s="88">
        <v>772504</v>
      </c>
      <c r="J55" s="88">
        <v>669724</v>
      </c>
      <c r="K55" s="88">
        <v>585416</v>
      </c>
      <c r="L55" s="88">
        <v>515352</v>
      </c>
      <c r="M55" s="88">
        <v>456504</v>
      </c>
      <c r="N55" s="88">
        <v>406637</v>
      </c>
      <c r="O55" s="88">
        <v>364070</v>
      </c>
      <c r="P55" s="88">
        <v>327511</v>
      </c>
      <c r="Q55" s="88">
        <v>295952</v>
      </c>
      <c r="R55" s="88">
        <v>268594</v>
      </c>
    </row>
    <row r="56" spans="2:18" x14ac:dyDescent="0.25">
      <c r="B56" s="74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spans="2:18" x14ac:dyDescent="0.25">
      <c r="B57" s="74">
        <v>45</v>
      </c>
      <c r="C57" s="88">
        <v>2532178</v>
      </c>
      <c r="D57" s="88">
        <v>1944050</v>
      </c>
      <c r="E57" s="88">
        <v>1550851</v>
      </c>
      <c r="F57" s="88">
        <v>1270639</v>
      </c>
      <c r="G57" s="88">
        <v>1061739</v>
      </c>
      <c r="H57" s="88">
        <v>900712</v>
      </c>
      <c r="I57" s="88">
        <v>773361</v>
      </c>
      <c r="J57" s="88">
        <v>670588</v>
      </c>
      <c r="K57" s="88">
        <v>586312</v>
      </c>
      <c r="L57" s="88">
        <v>516307</v>
      </c>
      <c r="M57" s="88">
        <v>457535</v>
      </c>
      <c r="N57" s="88">
        <v>407759</v>
      </c>
      <c r="O57" s="88">
        <v>365295</v>
      </c>
      <c r="P57" s="88">
        <v>328849</v>
      </c>
      <c r="Q57" s="88">
        <v>297412</v>
      </c>
      <c r="R57" s="88">
        <v>270183</v>
      </c>
    </row>
    <row r="58" spans="2:18" x14ac:dyDescent="0.25">
      <c r="B58" s="74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spans="2:18" x14ac:dyDescent="0.25">
      <c r="B59" s="74">
        <v>46</v>
      </c>
      <c r="C59" s="88">
        <v>2532995</v>
      </c>
      <c r="D59" s="88">
        <v>1944855</v>
      </c>
      <c r="E59" s="88">
        <v>1551652</v>
      </c>
      <c r="F59" s="88">
        <v>1271440</v>
      </c>
      <c r="G59" s="88">
        <v>1062543</v>
      </c>
      <c r="H59" s="88">
        <v>901520</v>
      </c>
      <c r="I59" s="88">
        <v>774176</v>
      </c>
      <c r="J59" s="88">
        <v>671442</v>
      </c>
      <c r="K59" s="88">
        <v>587234</v>
      </c>
      <c r="L59" s="88">
        <v>517317</v>
      </c>
      <c r="M59" s="88">
        <v>458649</v>
      </c>
      <c r="N59" s="88">
        <v>408991</v>
      </c>
      <c r="O59" s="88">
        <v>366655</v>
      </c>
      <c r="P59" s="88">
        <v>330346</v>
      </c>
      <c r="Q59" s="88">
        <v>299053</v>
      </c>
      <c r="R59" s="88"/>
    </row>
    <row r="60" spans="2:18" x14ac:dyDescent="0.25">
      <c r="B60" s="74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</row>
    <row r="61" spans="2:18" x14ac:dyDescent="0.25">
      <c r="B61" s="74">
        <v>47</v>
      </c>
      <c r="C61" s="88">
        <v>2533767</v>
      </c>
      <c r="D61" s="88">
        <v>1945617</v>
      </c>
      <c r="E61" s="88">
        <v>1552411</v>
      </c>
      <c r="F61" s="88">
        <v>1272201</v>
      </c>
      <c r="G61" s="88">
        <v>1063309</v>
      </c>
      <c r="H61" s="88">
        <v>902293</v>
      </c>
      <c r="I61" s="88">
        <v>774995</v>
      </c>
      <c r="J61" s="88">
        <v>672340</v>
      </c>
      <c r="K61" s="88">
        <v>588236</v>
      </c>
      <c r="L61" s="88">
        <v>518439</v>
      </c>
      <c r="M61" s="88">
        <v>459906</v>
      </c>
      <c r="N61" s="88">
        <v>410392</v>
      </c>
      <c r="O61" s="88">
        <v>368210</v>
      </c>
      <c r="P61" s="88">
        <v>332063</v>
      </c>
      <c r="Q61" s="88"/>
      <c r="R61" s="88"/>
    </row>
    <row r="62" spans="2:18" x14ac:dyDescent="0.25">
      <c r="B62" s="74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</row>
    <row r="63" spans="2:18" x14ac:dyDescent="0.25">
      <c r="B63" s="74">
        <v>48</v>
      </c>
      <c r="C63" s="88">
        <v>2534500</v>
      </c>
      <c r="D63" s="88">
        <v>1946343</v>
      </c>
      <c r="E63" s="88">
        <v>1553137</v>
      </c>
      <c r="F63" s="88">
        <v>1272931</v>
      </c>
      <c r="G63" s="88">
        <v>1064046</v>
      </c>
      <c r="H63" s="88">
        <v>903085</v>
      </c>
      <c r="I63" s="88">
        <v>775883</v>
      </c>
      <c r="J63" s="88">
        <v>673350</v>
      </c>
      <c r="K63" s="88">
        <v>589385</v>
      </c>
      <c r="L63" s="88">
        <v>519742</v>
      </c>
      <c r="M63" s="88">
        <v>461373</v>
      </c>
      <c r="N63" s="88">
        <v>412033</v>
      </c>
      <c r="O63" s="88">
        <v>370032</v>
      </c>
      <c r="P63" s="88"/>
      <c r="Q63" s="88"/>
      <c r="R63" s="88"/>
    </row>
    <row r="64" spans="2:18" x14ac:dyDescent="0.25">
      <c r="B64" s="74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</row>
    <row r="65" spans="2:18" x14ac:dyDescent="0.25">
      <c r="B65" s="74">
        <v>49</v>
      </c>
      <c r="C65" s="88">
        <v>2535204</v>
      </c>
      <c r="D65" s="88">
        <v>1947044</v>
      </c>
      <c r="E65" s="88">
        <v>1553840</v>
      </c>
      <c r="F65" s="88">
        <v>1273640</v>
      </c>
      <c r="G65" s="88">
        <v>1064823</v>
      </c>
      <c r="H65" s="88">
        <v>903978</v>
      </c>
      <c r="I65" s="88">
        <v>776920</v>
      </c>
      <c r="J65" s="88">
        <v>674550</v>
      </c>
      <c r="K65" s="88">
        <v>590761</v>
      </c>
      <c r="L65" s="88">
        <v>521305</v>
      </c>
      <c r="M65" s="88">
        <v>463131</v>
      </c>
      <c r="N65" s="88">
        <v>413994</v>
      </c>
      <c r="O65" s="88"/>
      <c r="P65" s="88"/>
      <c r="Q65" s="88"/>
      <c r="R65" s="88"/>
    </row>
    <row r="66" spans="2:18" x14ac:dyDescent="0.25">
      <c r="B66" s="74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</row>
    <row r="67" spans="2:18" x14ac:dyDescent="0.25">
      <c r="B67" s="74">
        <v>50</v>
      </c>
      <c r="C67" s="88">
        <v>2535889</v>
      </c>
      <c r="D67" s="88">
        <v>1947727</v>
      </c>
      <c r="E67" s="88">
        <v>1554528</v>
      </c>
      <c r="F67" s="88">
        <v>1274414</v>
      </c>
      <c r="G67" s="88">
        <v>1065740</v>
      </c>
      <c r="H67" s="88">
        <v>905068</v>
      </c>
      <c r="I67" s="88">
        <v>778201</v>
      </c>
      <c r="J67" s="88">
        <v>676033</v>
      </c>
      <c r="K67" s="88">
        <v>592457</v>
      </c>
      <c r="L67" s="88">
        <v>523221</v>
      </c>
      <c r="M67" s="88">
        <v>465274</v>
      </c>
      <c r="N67" s="88"/>
      <c r="O67" s="88"/>
      <c r="P67" s="88"/>
      <c r="Q67" s="88"/>
      <c r="R67" s="88"/>
    </row>
    <row r="68" spans="2:18" x14ac:dyDescent="0.25">
      <c r="B68" s="74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</row>
    <row r="69" spans="2:18" x14ac:dyDescent="0.25">
      <c r="B69" s="74">
        <v>51</v>
      </c>
      <c r="C69" s="88">
        <v>2536565</v>
      </c>
      <c r="D69" s="88">
        <v>1948403</v>
      </c>
      <c r="E69" s="88">
        <v>1555317</v>
      </c>
      <c r="F69" s="88">
        <v>1275383</v>
      </c>
      <c r="G69" s="88">
        <v>1066918</v>
      </c>
      <c r="H69" s="88">
        <v>906471</v>
      </c>
      <c r="I69" s="88">
        <v>779838</v>
      </c>
      <c r="J69" s="88">
        <v>677912</v>
      </c>
      <c r="K69" s="88">
        <v>594584</v>
      </c>
      <c r="L69" s="88">
        <v>525601</v>
      </c>
      <c r="M69" s="88"/>
      <c r="N69" s="88"/>
      <c r="O69" s="88"/>
      <c r="P69" s="88"/>
      <c r="Q69" s="88"/>
      <c r="R69" s="88"/>
    </row>
    <row r="70" spans="2:18" x14ac:dyDescent="0.25">
      <c r="B70" s="74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spans="2:18" x14ac:dyDescent="0.25">
      <c r="B71" s="74">
        <v>52</v>
      </c>
      <c r="C71" s="88">
        <v>2537234</v>
      </c>
      <c r="D71" s="88">
        <v>1949230</v>
      </c>
      <c r="E71" s="88">
        <v>1556376</v>
      </c>
      <c r="F71" s="88">
        <v>1276699</v>
      </c>
      <c r="G71" s="88">
        <v>1068500</v>
      </c>
      <c r="H71" s="88">
        <v>908323</v>
      </c>
      <c r="I71" s="88">
        <v>781964</v>
      </c>
      <c r="J71" s="88">
        <v>680315</v>
      </c>
      <c r="K71" s="88">
        <v>597268</v>
      </c>
      <c r="L71" s="88"/>
      <c r="M71" s="88"/>
      <c r="N71" s="88"/>
      <c r="O71" s="88"/>
      <c r="P71" s="88"/>
      <c r="Q71" s="88"/>
      <c r="R71" s="88"/>
    </row>
    <row r="72" spans="2:18" x14ac:dyDescent="0.25">
      <c r="B72" s="74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</row>
    <row r="73" spans="2:18" x14ac:dyDescent="0.25">
      <c r="B73" s="74">
        <v>53</v>
      </c>
      <c r="C73" s="88">
        <v>2538147</v>
      </c>
      <c r="D73" s="88">
        <v>1950453</v>
      </c>
      <c r="E73" s="88">
        <v>1557917</v>
      </c>
      <c r="F73" s="88">
        <v>1278553</v>
      </c>
      <c r="G73" s="88">
        <v>1070662</v>
      </c>
      <c r="H73" s="88">
        <v>910792</v>
      </c>
      <c r="I73" s="88">
        <v>784740</v>
      </c>
      <c r="J73" s="88">
        <v>683399</v>
      </c>
      <c r="K73" s="88"/>
      <c r="L73" s="88"/>
      <c r="M73" s="88"/>
      <c r="N73" s="88"/>
      <c r="O73" s="88"/>
      <c r="P73" s="88"/>
      <c r="Q73" s="88"/>
      <c r="R73" s="88"/>
    </row>
    <row r="74" spans="2:18" x14ac:dyDescent="0.25">
      <c r="B74" s="74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spans="2:18" x14ac:dyDescent="0.25">
      <c r="B75" s="74">
        <v>54</v>
      </c>
      <c r="C75" s="88">
        <v>2539676</v>
      </c>
      <c r="D75" s="88">
        <v>1952369</v>
      </c>
      <c r="E75" s="88">
        <v>1560192</v>
      </c>
      <c r="F75" s="88">
        <v>1281171</v>
      </c>
      <c r="G75" s="88">
        <v>1073614</v>
      </c>
      <c r="H75" s="88">
        <v>914074</v>
      </c>
      <c r="I75" s="88">
        <v>788352</v>
      </c>
      <c r="J75" s="88"/>
      <c r="K75" s="88"/>
      <c r="L75" s="88"/>
      <c r="M75" s="88"/>
      <c r="N75" s="88"/>
      <c r="O75" s="88"/>
      <c r="P75" s="88"/>
      <c r="Q75" s="88"/>
      <c r="R75" s="88"/>
    </row>
    <row r="76" spans="2:18" x14ac:dyDescent="0.25">
      <c r="B76" s="74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</row>
    <row r="77" spans="2:18" x14ac:dyDescent="0.25">
      <c r="B77" s="74">
        <v>55</v>
      </c>
      <c r="C77" s="88">
        <v>2542282</v>
      </c>
      <c r="D77" s="88">
        <v>1955346</v>
      </c>
      <c r="E77" s="88">
        <v>1563515</v>
      </c>
      <c r="F77" s="88">
        <v>1284829</v>
      </c>
      <c r="G77" s="88">
        <v>1077607</v>
      </c>
      <c r="H77" s="88">
        <v>918405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</row>
    <row r="78" spans="2:18" x14ac:dyDescent="0.25">
      <c r="B78" s="74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</row>
    <row r="79" spans="2:18" x14ac:dyDescent="0.25">
      <c r="B79" s="74">
        <v>56</v>
      </c>
      <c r="C79" s="88">
        <v>2546537</v>
      </c>
      <c r="D79" s="88">
        <v>1959831</v>
      </c>
      <c r="E79" s="88">
        <v>1568261</v>
      </c>
      <c r="F79" s="88">
        <v>1289862</v>
      </c>
      <c r="G79" s="88">
        <v>1082946</v>
      </c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</row>
    <row r="80" spans="2:18" x14ac:dyDescent="0.25">
      <c r="B80" s="74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</row>
    <row r="81" spans="2:18" x14ac:dyDescent="0.25">
      <c r="B81" s="74">
        <v>57</v>
      </c>
      <c r="C81" s="88">
        <v>2551635</v>
      </c>
      <c r="D81" s="88">
        <v>1965144</v>
      </c>
      <c r="E81" s="88">
        <v>1573839</v>
      </c>
      <c r="F81" s="88">
        <v>1295739</v>
      </c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</row>
    <row r="82" spans="2:18" x14ac:dyDescent="0.25">
      <c r="B82" s="74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</row>
    <row r="83" spans="2:18" x14ac:dyDescent="0.25">
      <c r="B83" s="74">
        <v>58</v>
      </c>
      <c r="C83" s="88">
        <v>2557379</v>
      </c>
      <c r="D83" s="88">
        <v>1971133</v>
      </c>
      <c r="E83" s="88">
        <v>1580126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</row>
    <row r="84" spans="2:18" x14ac:dyDescent="0.25">
      <c r="B84" s="74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</row>
    <row r="85" spans="2:18" x14ac:dyDescent="0.25">
      <c r="B85" s="74">
        <v>59</v>
      </c>
      <c r="C85" s="88">
        <v>2563859</v>
      </c>
      <c r="D85" s="88">
        <v>1977888</v>
      </c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</row>
    <row r="86" spans="2:18" x14ac:dyDescent="0.25">
      <c r="B86" s="74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</row>
    <row r="87" spans="2:18" x14ac:dyDescent="0.25">
      <c r="B87" s="74">
        <v>60</v>
      </c>
      <c r="C87" s="88">
        <v>2571165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7"/>
  <sheetViews>
    <sheetView workbookViewId="0">
      <selection activeCell="E17" sqref="E17"/>
    </sheetView>
  </sheetViews>
  <sheetFormatPr defaultRowHeight="15" x14ac:dyDescent="0.25"/>
  <cols>
    <col min="3" max="3" width="32.7109375" customWidth="1"/>
    <col min="4" max="4" width="32" customWidth="1"/>
    <col min="5" max="5" width="20.85546875" customWidth="1"/>
    <col min="6" max="6" width="29.7109375" customWidth="1"/>
    <col min="7" max="7" width="32.28515625" customWidth="1"/>
  </cols>
  <sheetData>
    <row r="1" spans="3:7" x14ac:dyDescent="0.25">
      <c r="C1" s="69"/>
    </row>
    <row r="2" spans="3:7" x14ac:dyDescent="0.25">
      <c r="C2" s="79" t="s">
        <v>109</v>
      </c>
      <c r="D2" s="79"/>
      <c r="E2" s="79"/>
      <c r="F2" s="79"/>
    </row>
    <row r="4" spans="3:7" x14ac:dyDescent="0.25">
      <c r="C4" s="78" t="s">
        <v>115</v>
      </c>
      <c r="D4" s="78"/>
      <c r="F4" s="80" t="s">
        <v>117</v>
      </c>
      <c r="G4" s="81"/>
    </row>
    <row r="5" spans="3:7" x14ac:dyDescent="0.25">
      <c r="C5" s="6" t="s">
        <v>106</v>
      </c>
      <c r="D5" s="6" t="s">
        <v>103</v>
      </c>
      <c r="F5" s="6" t="s">
        <v>110</v>
      </c>
      <c r="G5" s="6" t="s">
        <v>103</v>
      </c>
    </row>
    <row r="6" spans="3:7" x14ac:dyDescent="0.25">
      <c r="C6" s="6" t="s">
        <v>107</v>
      </c>
      <c r="D6" s="68">
        <v>0.20212498221668213</v>
      </c>
      <c r="F6" s="6" t="s">
        <v>107</v>
      </c>
      <c r="G6" s="68">
        <v>0.2107922414113719</v>
      </c>
    </row>
    <row r="7" spans="3:7" x14ac:dyDescent="0.25">
      <c r="C7" s="6" t="s">
        <v>105</v>
      </c>
      <c r="D7" s="68">
        <v>0.25393869158555721</v>
      </c>
      <c r="F7" s="6" t="s">
        <v>105</v>
      </c>
      <c r="G7" s="68">
        <v>0.25393869158555721</v>
      </c>
    </row>
    <row r="8" spans="3:7" x14ac:dyDescent="0.25">
      <c r="C8" s="6" t="s">
        <v>108</v>
      </c>
      <c r="D8" s="68">
        <v>0.30575240095443235</v>
      </c>
      <c r="F8" s="6" t="s">
        <v>108</v>
      </c>
      <c r="G8" s="70">
        <v>0.28949434975122068</v>
      </c>
    </row>
    <row r="13" spans="3:7" x14ac:dyDescent="0.25">
      <c r="C13" s="80" t="s">
        <v>116</v>
      </c>
      <c r="D13" s="81"/>
      <c r="F13" s="80" t="s">
        <v>104</v>
      </c>
      <c r="G13" s="81"/>
    </row>
    <row r="14" spans="3:7" x14ac:dyDescent="0.25">
      <c r="C14" s="6" t="s">
        <v>111</v>
      </c>
      <c r="D14" s="6" t="s">
        <v>103</v>
      </c>
      <c r="F14" s="6" t="s">
        <v>112</v>
      </c>
      <c r="G14" s="6" t="s">
        <v>103</v>
      </c>
    </row>
    <row r="15" spans="3:7" x14ac:dyDescent="0.25">
      <c r="C15" s="6" t="s">
        <v>107</v>
      </c>
      <c r="D15" s="70">
        <v>0.27382160690330359</v>
      </c>
      <c r="F15" s="6" t="s">
        <v>113</v>
      </c>
      <c r="G15" s="68">
        <v>0.30126060553468009</v>
      </c>
    </row>
    <row r="16" spans="3:7" x14ac:dyDescent="0.25">
      <c r="C16" s="6" t="s">
        <v>105</v>
      </c>
      <c r="D16" s="68">
        <v>0.25393869158555721</v>
      </c>
      <c r="F16" s="6" t="s">
        <v>105</v>
      </c>
      <c r="G16" s="68">
        <v>0.25393869158555721</v>
      </c>
    </row>
    <row r="17" spans="3:7" x14ac:dyDescent="0.25">
      <c r="C17" s="6" t="s">
        <v>108</v>
      </c>
      <c r="D17" s="70">
        <v>0.2353932299271479</v>
      </c>
      <c r="F17" s="6" t="s">
        <v>114</v>
      </c>
      <c r="G17" s="70">
        <v>0.20661677763643432</v>
      </c>
    </row>
  </sheetData>
  <mergeCells count="5">
    <mergeCell ref="C4:D4"/>
    <mergeCell ref="C2:F2"/>
    <mergeCell ref="F4:G4"/>
    <mergeCell ref="C13:D13"/>
    <mergeCell ref="F13:G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7"/>
  <sheetViews>
    <sheetView workbookViewId="0">
      <selection activeCell="A5" sqref="A5"/>
    </sheetView>
  </sheetViews>
  <sheetFormatPr defaultRowHeight="15" x14ac:dyDescent="0.25"/>
  <cols>
    <col min="1" max="1" width="11" style="41" customWidth="1"/>
    <col min="2" max="2" width="18.7109375" style="41" customWidth="1"/>
    <col min="3" max="4" width="9.140625" style="41"/>
    <col min="5" max="5" width="11.42578125" style="41" customWidth="1"/>
    <col min="6" max="6" width="9.140625" style="41"/>
    <col min="7" max="7" width="10.5703125" style="41" bestFit="1" customWidth="1"/>
    <col min="8" max="8" width="9.140625" style="41"/>
    <col min="9" max="9" width="12.5703125" style="41" bestFit="1" customWidth="1"/>
    <col min="10" max="13" width="12.5703125" style="41" customWidth="1"/>
    <col min="14" max="14" width="16.28515625" style="41" customWidth="1"/>
    <col min="15" max="15" width="19.140625" style="41" customWidth="1"/>
    <col min="16" max="17" width="9.140625" style="41"/>
    <col min="18" max="18" width="11.5703125" style="41" bestFit="1" customWidth="1"/>
    <col min="19" max="19" width="13.28515625" style="41" bestFit="1" customWidth="1"/>
    <col min="20" max="20" width="9.5703125" style="41" bestFit="1" customWidth="1"/>
    <col min="21" max="22" width="9.140625" style="41"/>
    <col min="23" max="23" width="15.28515625" style="41" bestFit="1" customWidth="1"/>
    <col min="24" max="16384" width="9.140625" style="41"/>
  </cols>
  <sheetData>
    <row r="1" spans="1:25" x14ac:dyDescent="0.25">
      <c r="A1" s="62" t="s">
        <v>93</v>
      </c>
      <c r="B1" s="50">
        <v>0.04</v>
      </c>
    </row>
    <row r="2" spans="1:25" x14ac:dyDescent="0.25">
      <c r="B2" s="42"/>
    </row>
    <row r="3" spans="1:25" ht="21" x14ac:dyDescent="0.35">
      <c r="A3" s="82" t="s">
        <v>14</v>
      </c>
      <c r="B3" s="82"/>
      <c r="C3" s="82"/>
      <c r="D3" s="82"/>
      <c r="E3" s="82"/>
      <c r="F3" s="82"/>
      <c r="G3" s="82"/>
      <c r="H3" s="82"/>
      <c r="I3" s="82"/>
      <c r="J3" s="82"/>
      <c r="N3" s="83" t="s">
        <v>17</v>
      </c>
      <c r="O3" s="83"/>
      <c r="P3" s="83"/>
      <c r="Q3" s="83"/>
      <c r="R3" s="83"/>
      <c r="S3" s="83"/>
      <c r="T3" s="83"/>
      <c r="U3" s="83"/>
      <c r="V3" s="83"/>
      <c r="W3" s="83"/>
    </row>
    <row r="4" spans="1:25" ht="26.25" x14ac:dyDescent="0.45">
      <c r="A4" s="43" t="s">
        <v>15</v>
      </c>
      <c r="B4" s="43" t="s">
        <v>16</v>
      </c>
      <c r="C4" s="43" t="s">
        <v>79</v>
      </c>
      <c r="D4" s="43" t="s">
        <v>80</v>
      </c>
      <c r="E4" s="43" t="s">
        <v>81</v>
      </c>
      <c r="F4" s="43" t="s">
        <v>73</v>
      </c>
      <c r="G4" s="43" t="s">
        <v>74</v>
      </c>
      <c r="H4" s="43" t="s">
        <v>75</v>
      </c>
      <c r="I4" s="43" t="s">
        <v>76</v>
      </c>
      <c r="J4" s="43" t="s">
        <v>77</v>
      </c>
      <c r="K4" s="55" t="s">
        <v>91</v>
      </c>
      <c r="L4" s="28" t="s">
        <v>66</v>
      </c>
      <c r="N4" s="43" t="s">
        <v>15</v>
      </c>
      <c r="O4" s="43" t="s">
        <v>16</v>
      </c>
      <c r="P4" s="43" t="s">
        <v>82</v>
      </c>
      <c r="Q4" s="43" t="s">
        <v>72</v>
      </c>
      <c r="R4" s="43" t="s">
        <v>81</v>
      </c>
      <c r="S4" s="43" t="s">
        <v>73</v>
      </c>
      <c r="T4" s="43" t="s">
        <v>74</v>
      </c>
      <c r="U4" s="43" t="s">
        <v>75</v>
      </c>
      <c r="V4" s="43" t="s">
        <v>76</v>
      </c>
      <c r="W4" s="43" t="s">
        <v>77</v>
      </c>
      <c r="X4" s="55" t="s">
        <v>91</v>
      </c>
      <c r="Y4" s="28" t="s">
        <v>66</v>
      </c>
    </row>
    <row r="5" spans="1:25" x14ac:dyDescent="0.25">
      <c r="A5" s="40">
        <v>18</v>
      </c>
      <c r="B5" s="44">
        <v>8.9700000000000001E-4</v>
      </c>
      <c r="C5" s="45">
        <f>'ASSUMPTIONS '!F6</f>
        <v>100000</v>
      </c>
      <c r="D5" s="45">
        <f>C5-C6</f>
        <v>89.69999999999709</v>
      </c>
      <c r="E5" s="45">
        <f t="shared" ref="E5:E36" si="0">C5*((1+int)^-A5)</f>
        <v>49362.812101131749</v>
      </c>
      <c r="F5" s="45">
        <f>SUM($E5:E$87)</f>
        <v>1129636.7389079344</v>
      </c>
      <c r="G5" s="46">
        <f t="shared" ref="G5:G36" si="1">((1/(1+i))^(A5+1))*D5</f>
        <v>42.575425437224709</v>
      </c>
      <c r="H5" s="46">
        <f>SUM($G5:G$87)</f>
        <v>5915.245220057298</v>
      </c>
      <c r="I5" s="47">
        <f>SUM($H5:H$87)</f>
        <v>274718.88811464334</v>
      </c>
      <c r="J5" s="47">
        <f>SUM($F5:F$87)</f>
        <v>22227864.1206255</v>
      </c>
      <c r="K5" s="71">
        <f>SUM($E5:E$87)/E5</f>
        <v>22.884367620580413</v>
      </c>
      <c r="L5" s="72">
        <f>H5/E5</f>
        <v>0.11983201459305999</v>
      </c>
      <c r="M5" s="48"/>
      <c r="N5" s="40">
        <v>18</v>
      </c>
      <c r="O5" s="44">
        <v>1.227E-3</v>
      </c>
      <c r="P5" s="45">
        <f>'ASSUMPTIONS '!F6</f>
        <v>100000</v>
      </c>
      <c r="Q5" s="45">
        <f t="shared" ref="Q5:Q36" si="2">P5-P6</f>
        <v>122.69999999999709</v>
      </c>
      <c r="R5" s="61">
        <f t="shared" ref="R5:R68" si="3">P5*((1+i)^-N5)</f>
        <v>49362.812101131749</v>
      </c>
      <c r="S5" s="61">
        <f>SUM($R5:R$87)</f>
        <v>1128624.2610808166</v>
      </c>
      <c r="T5" s="46">
        <f t="shared" ref="T5:T36" si="4">((1/(1+i)^(N5+1))*Q5)</f>
        <v>58.238625430853098</v>
      </c>
      <c r="U5" s="46">
        <f>SUM($T5:T$87)</f>
        <v>5954.1866749464334</v>
      </c>
      <c r="V5" s="46">
        <f>SUM($U5:U$87)</f>
        <v>278614.48717862007</v>
      </c>
      <c r="W5" s="47">
        <f>SUM($S5:S$87)</f>
        <v>22100254.121457111</v>
      </c>
      <c r="X5" s="41">
        <f>SUM($R5:R$87)/R5</f>
        <v>22.863856677544117</v>
      </c>
      <c r="Y5" s="73">
        <f>U5/R5</f>
        <v>0.12062089701753277</v>
      </c>
    </row>
    <row r="6" spans="1:25" x14ac:dyDescent="0.25">
      <c r="A6" s="40">
        <v>19</v>
      </c>
      <c r="B6" s="44">
        <v>1.111E-3</v>
      </c>
      <c r="C6" s="46">
        <f t="shared" ref="C6:C37" si="5">C5-(B5*C5)</f>
        <v>99910.3</v>
      </c>
      <c r="D6" s="45">
        <f t="shared" ref="D6:D36" si="6">C6-C7</f>
        <v>111.00034329999471</v>
      </c>
      <c r="E6" s="45">
        <f t="shared" si="0"/>
        <v>47421.666979497153</v>
      </c>
      <c r="F6" s="45">
        <f>SUM($E6:E$87)</f>
        <v>1080273.9268068029</v>
      </c>
      <c r="G6" s="46">
        <f t="shared" si="1"/>
        <v>50.659107705979572</v>
      </c>
      <c r="H6" s="46">
        <f>SUM($G6:G$87)</f>
        <v>5872.669794620072</v>
      </c>
      <c r="I6" s="47">
        <f>SUM($H6:H$87)</f>
        <v>268803.64289458602</v>
      </c>
      <c r="J6" s="47">
        <f>SUM($F6:F$87)</f>
        <v>21098227.381717566</v>
      </c>
      <c r="K6" s="71">
        <f>SUM($E6:E$87)/E6</f>
        <v>22.780176143404265</v>
      </c>
      <c r="L6" s="72">
        <f t="shared" ref="L6:L69" si="7">H6/E6</f>
        <v>0.12383937909983493</v>
      </c>
      <c r="M6" s="48"/>
      <c r="N6" s="40">
        <v>19</v>
      </c>
      <c r="O6" s="44">
        <v>1.359E-3</v>
      </c>
      <c r="P6" s="46">
        <f t="shared" ref="P6:P37" si="8">P5-(O5*P5)</f>
        <v>99877.3</v>
      </c>
      <c r="Q6" s="45">
        <f t="shared" si="2"/>
        <v>135.73325069999555</v>
      </c>
      <c r="R6" s="61">
        <f t="shared" si="3"/>
        <v>47406.003779503524</v>
      </c>
      <c r="S6" s="61">
        <f>SUM($R6:R$87)</f>
        <v>1079261.4489796855</v>
      </c>
      <c r="T6" s="46">
        <f t="shared" si="4"/>
        <v>61.946883784945356</v>
      </c>
      <c r="U6" s="46">
        <f>SUM($T6:T$87)</f>
        <v>5895.9480495155804</v>
      </c>
      <c r="V6" s="46">
        <f>SUM($U6:U$87)</f>
        <v>272660.3005036735</v>
      </c>
      <c r="W6" s="47">
        <f>SUM($S6:S$87)</f>
        <v>20971629.860376295</v>
      </c>
      <c r="X6" s="41">
        <f>SUM($R6:R$87)/R6</f>
        <v>22.766345250267971</v>
      </c>
      <c r="Y6" s="73">
        <f t="shared" ref="Y6:Y69" si="9">U6/R6</f>
        <v>0.12437133652815414</v>
      </c>
    </row>
    <row r="7" spans="1:25" x14ac:dyDescent="0.25">
      <c r="A7" s="40">
        <v>20</v>
      </c>
      <c r="B7" s="44">
        <v>1.3110000000000001E-3</v>
      </c>
      <c r="C7" s="46">
        <f t="shared" si="5"/>
        <v>99799.299656700008</v>
      </c>
      <c r="D7" s="45">
        <f t="shared" si="6"/>
        <v>130.83688184992934</v>
      </c>
      <c r="E7" s="45">
        <f t="shared" si="0"/>
        <v>45547.097603348971</v>
      </c>
      <c r="F7" s="45">
        <f>SUM($E7:E$87)</f>
        <v>1032852.2598273053</v>
      </c>
      <c r="G7" s="46">
        <f t="shared" si="1"/>
        <v>57.415620151911952</v>
      </c>
      <c r="H7" s="46">
        <f>SUM($G7:G$87)</f>
        <v>5822.0106869140936</v>
      </c>
      <c r="I7" s="47">
        <f>SUM($H7:H$87)</f>
        <v>262930.97309996601</v>
      </c>
      <c r="J7" s="47">
        <f>SUM($F7:F$87)</f>
        <v>20017953.454910763</v>
      </c>
      <c r="K7" s="71">
        <f>SUM($E7:E$87)/E7</f>
        <v>22.676576866038598</v>
      </c>
      <c r="L7" s="72">
        <f t="shared" si="7"/>
        <v>0.12782396669082191</v>
      </c>
      <c r="M7" s="48"/>
      <c r="N7" s="40">
        <v>20</v>
      </c>
      <c r="O7" s="44">
        <v>1.48E-3</v>
      </c>
      <c r="P7" s="46">
        <f t="shared" si="8"/>
        <v>99741.566749300007</v>
      </c>
      <c r="Q7" s="45">
        <f t="shared" si="2"/>
        <v>147.6175187889603</v>
      </c>
      <c r="R7" s="61">
        <f t="shared" si="3"/>
        <v>45520.74905804536</v>
      </c>
      <c r="S7" s="61">
        <f>SUM($R7:R$87)</f>
        <v>1031855.4452001819</v>
      </c>
      <c r="T7" s="46">
        <f t="shared" si="4"/>
        <v>64.779527505678288</v>
      </c>
      <c r="U7" s="46">
        <f>SUM($T7:T$87)</f>
        <v>5834.001165730635</v>
      </c>
      <c r="V7" s="46">
        <f>SUM($U7:U$87)</f>
        <v>266764.35245415784</v>
      </c>
      <c r="W7" s="47">
        <f>SUM($S7:S$87)</f>
        <v>19892368.411396604</v>
      </c>
      <c r="X7" s="41">
        <f>SUM($R7:R$87)/R7</f>
        <v>22.667804606739249</v>
      </c>
      <c r="Y7" s="73">
        <f t="shared" si="9"/>
        <v>0.1281613612792589</v>
      </c>
    </row>
    <row r="8" spans="1:25" x14ac:dyDescent="0.25">
      <c r="A8" s="40">
        <v>21</v>
      </c>
      <c r="B8" s="44">
        <v>1.4940000000000001E-3</v>
      </c>
      <c r="C8" s="46">
        <f t="shared" si="5"/>
        <v>99668.462774850079</v>
      </c>
      <c r="D8" s="45">
        <f t="shared" si="6"/>
        <v>148.90468338562641</v>
      </c>
      <c r="E8" s="45">
        <f t="shared" si="0"/>
        <v>43737.870536914394</v>
      </c>
      <c r="F8" s="45">
        <f>SUM($E8:E$87)</f>
        <v>987305.1622239562</v>
      </c>
      <c r="G8" s="46">
        <f t="shared" si="1"/>
        <v>62.831133252067495</v>
      </c>
      <c r="H8" s="46">
        <f>SUM($G8:G$87)</f>
        <v>5764.595066762181</v>
      </c>
      <c r="I8" s="47">
        <f>SUM($H8:H$87)</f>
        <v>257108.96241305181</v>
      </c>
      <c r="J8" s="47">
        <f>SUM($F8:F$87)</f>
        <v>18985101.195083462</v>
      </c>
      <c r="K8" s="71">
        <f>SUM($E8:E$87)/E8</f>
        <v>22.573233449732744</v>
      </c>
      <c r="L8" s="72">
        <f t="shared" si="7"/>
        <v>0.1317987134718164</v>
      </c>
      <c r="M8" s="48"/>
      <c r="N8" s="40">
        <v>21</v>
      </c>
      <c r="O8" s="44">
        <v>1.5870000000000001E-3</v>
      </c>
      <c r="P8" s="46">
        <f t="shared" si="8"/>
        <v>99593.949230511047</v>
      </c>
      <c r="Q8" s="45">
        <f t="shared" si="2"/>
        <v>158.05559742881451</v>
      </c>
      <c r="R8" s="61">
        <f t="shared" si="3"/>
        <v>43705.171489845619</v>
      </c>
      <c r="S8" s="61">
        <f>SUM($R8:R$87)</f>
        <v>986334.6961421367</v>
      </c>
      <c r="T8" s="46">
        <f t="shared" si="4"/>
        <v>66.692410725367438</v>
      </c>
      <c r="U8" s="46">
        <f>SUM($T8:T$87)</f>
        <v>5769.2216382249571</v>
      </c>
      <c r="V8" s="46">
        <f>SUM($U8:U$87)</f>
        <v>260930.35128842737</v>
      </c>
      <c r="W8" s="47">
        <f>SUM($S8:S$87)</f>
        <v>18860512.966196422</v>
      </c>
      <c r="X8" s="41">
        <f>SUM($R8:R$87)/R8</f>
        <v>22.567917308625592</v>
      </c>
      <c r="Y8" s="73">
        <f t="shared" si="9"/>
        <v>0.13200318043747677</v>
      </c>
    </row>
    <row r="9" spans="1:25" x14ac:dyDescent="0.25">
      <c r="A9" s="40">
        <v>22</v>
      </c>
      <c r="B9" s="44">
        <v>1.655E-3</v>
      </c>
      <c r="C9" s="46">
        <f t="shared" si="5"/>
        <v>99519.558091464452</v>
      </c>
      <c r="D9" s="45">
        <f t="shared" si="6"/>
        <v>164.70486864137638</v>
      </c>
      <c r="E9" s="45">
        <f t="shared" si="0"/>
        <v>41992.813613781007</v>
      </c>
      <c r="F9" s="45">
        <f>SUM($E9:E$87)</f>
        <v>943567.29168704175</v>
      </c>
      <c r="G9" s="46">
        <f t="shared" si="1"/>
        <v>66.825102433469823</v>
      </c>
      <c r="H9" s="46">
        <f>SUM($G9:G$87)</f>
        <v>5701.763933510113</v>
      </c>
      <c r="I9" s="47">
        <f>SUM($H9:H$87)</f>
        <v>251344.36734628963</v>
      </c>
      <c r="J9" s="47">
        <f>SUM($F9:F$87)</f>
        <v>17997796.0328595</v>
      </c>
      <c r="K9" s="71">
        <f>SUM($E9:E$87)/E9</f>
        <v>22.469732568178909</v>
      </c>
      <c r="L9" s="72">
        <f t="shared" si="7"/>
        <v>0.13577951660850213</v>
      </c>
      <c r="M9" s="48"/>
      <c r="N9" s="40">
        <v>22</v>
      </c>
      <c r="O9" s="44">
        <v>1.676E-3</v>
      </c>
      <c r="P9" s="46">
        <f t="shared" si="8"/>
        <v>99435.893633082233</v>
      </c>
      <c r="Q9" s="45">
        <f t="shared" si="2"/>
        <v>166.65455772905261</v>
      </c>
      <c r="R9" s="61">
        <f t="shared" si="3"/>
        <v>41957.510944895424</v>
      </c>
      <c r="S9" s="61">
        <f>SUM($R9:R$87)</f>
        <v>942629.52465229097</v>
      </c>
      <c r="T9" s="46">
        <f t="shared" si="4"/>
        <v>67.616142638122696</v>
      </c>
      <c r="U9" s="46">
        <f>SUM($T9:T$87)</f>
        <v>5702.52922749959</v>
      </c>
      <c r="V9" s="46">
        <f>SUM($U9:U$87)</f>
        <v>255161.12965020241</v>
      </c>
      <c r="W9" s="47">
        <f>SUM($S9:S$87)</f>
        <v>17874178.270054292</v>
      </c>
      <c r="X9" s="41">
        <f>SUM($R9:R$87)/R9</f>
        <v>22.466288000026651</v>
      </c>
      <c r="Y9" s="73">
        <f t="shared" si="9"/>
        <v>0.13591199999897427</v>
      </c>
    </row>
    <row r="10" spans="1:25" x14ac:dyDescent="0.25">
      <c r="A10" s="40">
        <v>23</v>
      </c>
      <c r="B10" s="44">
        <v>1.7899999999999999E-3</v>
      </c>
      <c r="C10" s="46">
        <f t="shared" si="5"/>
        <v>99354.853222823076</v>
      </c>
      <c r="D10" s="45">
        <f t="shared" si="6"/>
        <v>177.84518726886017</v>
      </c>
      <c r="E10" s="45">
        <f t="shared" si="0"/>
        <v>40310.880295432886</v>
      </c>
      <c r="F10" s="45">
        <f>SUM($E10:E$87)</f>
        <v>901574.47807326075</v>
      </c>
      <c r="G10" s="46">
        <f t="shared" si="1"/>
        <v>69.381226662334186</v>
      </c>
      <c r="H10" s="46">
        <f>SUM($G10:G$87)</f>
        <v>5634.9388310766435</v>
      </c>
      <c r="I10" s="47">
        <f>SUM($H10:H$87)</f>
        <v>245642.60341277954</v>
      </c>
      <c r="J10" s="47">
        <f>SUM($F10:F$87)</f>
        <v>17054228.741172455</v>
      </c>
      <c r="K10" s="71">
        <f>SUM($E10:E$87)/E10</f>
        <v>22.365536834366942</v>
      </c>
      <c r="L10" s="72">
        <f t="shared" si="7"/>
        <v>0.13978704483203921</v>
      </c>
      <c r="M10" s="48"/>
      <c r="N10" s="40">
        <v>23</v>
      </c>
      <c r="O10" s="44">
        <v>1.743E-3</v>
      </c>
      <c r="P10" s="46">
        <f t="shared" si="8"/>
        <v>99269.23907535318</v>
      </c>
      <c r="Q10" s="45">
        <f t="shared" si="2"/>
        <v>173.02628370834282</v>
      </c>
      <c r="R10" s="61">
        <f t="shared" si="3"/>
        <v>40276.14438129979</v>
      </c>
      <c r="S10" s="61">
        <f>SUM($R10:R$87)</f>
        <v>900672.01370739576</v>
      </c>
      <c r="T10" s="46">
        <f t="shared" si="4"/>
        <v>67.501268900583113</v>
      </c>
      <c r="U10" s="46">
        <f>SUM($T10:T$87)</f>
        <v>5634.9130848614677</v>
      </c>
      <c r="V10" s="46">
        <f>SUM($U10:U$87)</f>
        <v>249458.60042270282</v>
      </c>
      <c r="W10" s="47">
        <f>SUM($S10:S$87)</f>
        <v>16931548.74540199</v>
      </c>
      <c r="X10" s="41">
        <f>SUM($R10:R$87)/R10</f>
        <v>22.362418934161376</v>
      </c>
      <c r="Y10" s="73">
        <f t="shared" si="9"/>
        <v>0.13990696407071571</v>
      </c>
    </row>
    <row r="11" spans="1:25" x14ac:dyDescent="0.25">
      <c r="A11" s="40">
        <v>24</v>
      </c>
      <c r="B11" s="44">
        <v>1.8940000000000001E-3</v>
      </c>
      <c r="C11" s="46">
        <f t="shared" si="5"/>
        <v>99177.008035554216</v>
      </c>
      <c r="D11" s="45">
        <f t="shared" si="6"/>
        <v>187.84125321933243</v>
      </c>
      <c r="E11" s="45">
        <f t="shared" si="0"/>
        <v>38691.080595869287</v>
      </c>
      <c r="F11" s="45">
        <f>SUM($E11:E$87)</f>
        <v>861263.59777782788</v>
      </c>
      <c r="G11" s="46">
        <f t="shared" si="1"/>
        <v>70.462410239012968</v>
      </c>
      <c r="H11" s="46">
        <f>SUM($G11:G$87)</f>
        <v>5565.557604414309</v>
      </c>
      <c r="I11" s="47">
        <f>SUM($H11:H$87)</f>
        <v>240007.66458170288</v>
      </c>
      <c r="J11" s="47">
        <f>SUM($F11:F$87)</f>
        <v>16152654.263099203</v>
      </c>
      <c r="K11" s="71">
        <f>SUM($E11:E$87)/E11</f>
        <v>22.260003714390379</v>
      </c>
      <c r="L11" s="72">
        <f t="shared" si="7"/>
        <v>0.14384601098498384</v>
      </c>
      <c r="M11" s="48"/>
      <c r="N11" s="40">
        <v>24</v>
      </c>
      <c r="O11" s="44">
        <v>1.786E-3</v>
      </c>
      <c r="P11" s="46">
        <f t="shared" si="8"/>
        <v>99096.212791644837</v>
      </c>
      <c r="Q11" s="45">
        <f t="shared" si="2"/>
        <v>176.98583604587475</v>
      </c>
      <c r="R11" s="61">
        <f t="shared" si="3"/>
        <v>38659.560636195369</v>
      </c>
      <c r="S11" s="61">
        <f>SUM($R11:R$87)</f>
        <v>860395.86932609591</v>
      </c>
      <c r="T11" s="46">
        <f t="shared" si="4"/>
        <v>66.390360861772848</v>
      </c>
      <c r="U11" s="46">
        <f>SUM($T11:T$87)</f>
        <v>5567.4118159608843</v>
      </c>
      <c r="V11" s="46">
        <f>SUM($U11:U$87)</f>
        <v>243823.68733784137</v>
      </c>
      <c r="W11" s="47">
        <f>SUM($S11:S$87)</f>
        <v>16030876.731694588</v>
      </c>
      <c r="X11" s="41">
        <f>SUM($R11:R$87)/R11</f>
        <v>22.255707389507741</v>
      </c>
      <c r="Y11" s="73">
        <f t="shared" si="9"/>
        <v>0.14401125424970154</v>
      </c>
    </row>
    <row r="12" spans="1:25" x14ac:dyDescent="0.25">
      <c r="A12" s="40">
        <v>25</v>
      </c>
      <c r="B12" s="44">
        <v>1.9629999999999999E-3</v>
      </c>
      <c r="C12" s="46">
        <f t="shared" si="5"/>
        <v>98989.166782334883</v>
      </c>
      <c r="D12" s="45">
        <f t="shared" si="6"/>
        <v>194.31573439372005</v>
      </c>
      <c r="E12" s="45">
        <f t="shared" si="0"/>
        <v>37132.499701173751</v>
      </c>
      <c r="F12" s="45">
        <f>SUM($E12:E$87)</f>
        <v>822572.51718195865</v>
      </c>
      <c r="G12" s="46">
        <f t="shared" si="1"/>
        <v>70.087593185964167</v>
      </c>
      <c r="H12" s="46">
        <f>SUM($G12:G$87)</f>
        <v>5495.0951941752955</v>
      </c>
      <c r="I12" s="47">
        <f>SUM($H12:H$87)</f>
        <v>234442.10697728858</v>
      </c>
      <c r="J12" s="47">
        <f>SUM($F12:F$87)</f>
        <v>15291390.665321374</v>
      </c>
      <c r="K12" s="71">
        <f>SUM($E12:E$87)/E12</f>
        <v>22.152360433627294</v>
      </c>
      <c r="L12" s="72">
        <f t="shared" si="7"/>
        <v>0.14798613716817985</v>
      </c>
      <c r="M12" s="48"/>
      <c r="N12" s="40">
        <v>25</v>
      </c>
      <c r="O12" s="44">
        <v>1.8010000000000001E-3</v>
      </c>
      <c r="P12" s="46">
        <f t="shared" si="8"/>
        <v>98919.226955598962</v>
      </c>
      <c r="Q12" s="45">
        <f t="shared" si="2"/>
        <v>178.15352774703933</v>
      </c>
      <c r="R12" s="61">
        <f t="shared" si="3"/>
        <v>37106.264097018378</v>
      </c>
      <c r="S12" s="61">
        <f>SUM($R12:R$87)</f>
        <v>821736.30868990056</v>
      </c>
      <c r="T12" s="46">
        <f t="shared" si="4"/>
        <v>64.258059268011735</v>
      </c>
      <c r="U12" s="46">
        <f>SUM($T12:T$87)</f>
        <v>5501.0214550991113</v>
      </c>
      <c r="V12" s="46">
        <f>SUM($U12:U$87)</f>
        <v>238256.27552188045</v>
      </c>
      <c r="W12" s="47">
        <f>SUM($S12:S$87)</f>
        <v>15170480.862368492</v>
      </c>
      <c r="X12" s="41">
        <f>SUM($R12:R$87)/R12</f>
        <v>22.145487525809152</v>
      </c>
      <c r="Y12" s="73">
        <f t="shared" si="9"/>
        <v>0.1482504797765706</v>
      </c>
    </row>
    <row r="13" spans="1:25" x14ac:dyDescent="0.25">
      <c r="A13" s="40">
        <v>26</v>
      </c>
      <c r="B13" s="44">
        <v>1.9940000000000001E-3</v>
      </c>
      <c r="C13" s="46">
        <f t="shared" si="5"/>
        <v>98794.851047941163</v>
      </c>
      <c r="D13" s="45">
        <f t="shared" si="6"/>
        <v>196.99693298959755</v>
      </c>
      <c r="E13" s="45">
        <f t="shared" si="0"/>
        <v>35634.239042558038</v>
      </c>
      <c r="F13" s="45">
        <f>SUM($E13:E$87)</f>
        <v>785440.01748078491</v>
      </c>
      <c r="G13" s="46">
        <f t="shared" si="1"/>
        <v>68.321800625828502</v>
      </c>
      <c r="H13" s="46">
        <f>SUM($G13:G$87)</f>
        <v>5425.007600989331</v>
      </c>
      <c r="I13" s="47">
        <f>SUM($H13:H$87)</f>
        <v>228947.0117831133</v>
      </c>
      <c r="J13" s="47">
        <f>SUM($F13:F$87)</f>
        <v>14468818.148139419</v>
      </c>
      <c r="K13" s="71">
        <f>SUM($E13:E$87)/E13</f>
        <v>22.041722752735996</v>
      </c>
      <c r="L13" s="72">
        <f t="shared" si="7"/>
        <v>0.15224143258707543</v>
      </c>
      <c r="M13" s="48"/>
      <c r="N13" s="40">
        <v>26</v>
      </c>
      <c r="O13" s="44">
        <v>1.7849999999999999E-3</v>
      </c>
      <c r="P13" s="46">
        <f t="shared" si="8"/>
        <v>98741.073427851923</v>
      </c>
      <c r="Q13" s="45">
        <f t="shared" si="2"/>
        <v>176.25281606872159</v>
      </c>
      <c r="R13" s="61">
        <f t="shared" si="3"/>
        <v>35614.842034018897</v>
      </c>
      <c r="S13" s="61">
        <f>SUM($R13:R$87)</f>
        <v>784630.04459288216</v>
      </c>
      <c r="T13" s="46">
        <f t="shared" si="4"/>
        <v>61.1273971449287</v>
      </c>
      <c r="U13" s="46">
        <f>SUM($T13:T$87)</f>
        <v>5436.7633958310998</v>
      </c>
      <c r="V13" s="46">
        <f>SUM($U13:U$87)</f>
        <v>232755.25406678134</v>
      </c>
      <c r="W13" s="47">
        <f>SUM($S13:S$87)</f>
        <v>14348744.553678593</v>
      </c>
      <c r="X13" s="41">
        <f>SUM($R13:R$87)/R13</f>
        <v>22.030984830521284</v>
      </c>
      <c r="Y13" s="73">
        <f t="shared" si="9"/>
        <v>0.15265442959533457</v>
      </c>
    </row>
    <row r="14" spans="1:25" x14ac:dyDescent="0.25">
      <c r="A14" s="40">
        <v>27</v>
      </c>
      <c r="B14" s="44">
        <v>1.9940000000000001E-3</v>
      </c>
      <c r="C14" s="46">
        <f t="shared" si="5"/>
        <v>98597.854114951566</v>
      </c>
      <c r="D14" s="45">
        <f t="shared" si="6"/>
        <v>196.60412110520701</v>
      </c>
      <c r="E14" s="45">
        <f t="shared" si="0"/>
        <v>34195.369586449204</v>
      </c>
      <c r="F14" s="45">
        <f>SUM($E14:E$87)</f>
        <v>749805.7784382269</v>
      </c>
      <c r="G14" s="46">
        <f t="shared" si="1"/>
        <v>65.563045149401319</v>
      </c>
      <c r="H14" s="46">
        <f>SUM($G14:G$87)</f>
        <v>5356.6858003635025</v>
      </c>
      <c r="I14" s="47">
        <f>SUM($H14:H$87)</f>
        <v>223522.00418212396</v>
      </c>
      <c r="J14" s="47">
        <f>SUM($F14:F$87)</f>
        <v>13683378.130658632</v>
      </c>
      <c r="K14" s="71">
        <f>SUM($E14:E$87)/E14</f>
        <v>21.927114328817101</v>
      </c>
      <c r="L14" s="72">
        <f t="shared" si="7"/>
        <v>0.15664944889164839</v>
      </c>
      <c r="M14" s="48"/>
      <c r="N14" s="40">
        <v>27</v>
      </c>
      <c r="O14" s="44">
        <v>1.7440000000000001E-3</v>
      </c>
      <c r="P14" s="46">
        <f t="shared" si="8"/>
        <v>98564.820611783201</v>
      </c>
      <c r="Q14" s="45">
        <f t="shared" si="2"/>
        <v>171.89704714695108</v>
      </c>
      <c r="R14" s="61">
        <f t="shared" si="3"/>
        <v>34183.913020180931</v>
      </c>
      <c r="S14" s="61">
        <f>SUM($R14:R$87)</f>
        <v>749015.20255886333</v>
      </c>
      <c r="T14" s="46">
        <f t="shared" si="4"/>
        <v>57.323792603073016</v>
      </c>
      <c r="U14" s="46">
        <f>SUM($T14:T$87)</f>
        <v>5375.6359986861717</v>
      </c>
      <c r="V14" s="46">
        <f>SUM($U14:U$87)</f>
        <v>227318.49067095024</v>
      </c>
      <c r="W14" s="47">
        <f>SUM($S14:S$87)</f>
        <v>13564114.509085713</v>
      </c>
      <c r="X14" s="41">
        <f>SUM($R14:R$87)/R14</f>
        <v>21.911335958427934</v>
      </c>
      <c r="Y14" s="73">
        <f t="shared" si="9"/>
        <v>0.15725630929123277</v>
      </c>
    </row>
    <row r="15" spans="1:25" x14ac:dyDescent="0.25">
      <c r="A15" s="40">
        <v>28</v>
      </c>
      <c r="B15" s="44">
        <v>1.9710000000000001E-3</v>
      </c>
      <c r="C15" s="46">
        <f t="shared" si="5"/>
        <v>98401.249993846359</v>
      </c>
      <c r="D15" s="45">
        <f t="shared" si="6"/>
        <v>193.94886373786721</v>
      </c>
      <c r="E15" s="45">
        <f t="shared" si="0"/>
        <v>32814.600018744059</v>
      </c>
      <c r="F15" s="45">
        <f>SUM($E15:E$87)</f>
        <v>715610.40885177767</v>
      </c>
      <c r="G15" s="46">
        <f t="shared" si="1"/>
        <v>62.189977535522218</v>
      </c>
      <c r="H15" s="46">
        <f>SUM($G15:G$87)</f>
        <v>5291.1227552141017</v>
      </c>
      <c r="I15" s="47">
        <f>SUM($H15:H$87)</f>
        <v>218165.31838176044</v>
      </c>
      <c r="J15" s="47">
        <f>SUM($F15:F$87)</f>
        <v>12933572.352220405</v>
      </c>
      <c r="K15" s="71">
        <f>SUM($E15:E$87)/E15</f>
        <v>21.807683422714682</v>
      </c>
      <c r="L15" s="72">
        <f t="shared" si="7"/>
        <v>0.16124294528020316</v>
      </c>
      <c r="M15" s="48"/>
      <c r="N15" s="40">
        <v>28</v>
      </c>
      <c r="O15" s="44">
        <v>1.684E-3</v>
      </c>
      <c r="P15" s="46">
        <f t="shared" si="8"/>
        <v>98392.92356463625</v>
      </c>
      <c r="Q15" s="45">
        <f t="shared" si="2"/>
        <v>165.69368328285054</v>
      </c>
      <c r="R15" s="61">
        <f t="shared" si="3"/>
        <v>32811.823342186275</v>
      </c>
      <c r="S15" s="61">
        <f>SUM($R15:R$87)</f>
        <v>714831.28953868232</v>
      </c>
      <c r="T15" s="46">
        <f t="shared" si="4"/>
        <v>53.129913950233387</v>
      </c>
      <c r="U15" s="46">
        <f>SUM($T15:T$87)</f>
        <v>5318.3122060830992</v>
      </c>
      <c r="V15" s="46">
        <f>SUM($U15:U$87)</f>
        <v>221942.85467226407</v>
      </c>
      <c r="W15" s="47">
        <f>SUM($S15:S$87)</f>
        <v>12815099.306526849</v>
      </c>
      <c r="X15" s="41">
        <f>SUM($R15:R$87)/R15</f>
        <v>21.785783803718743</v>
      </c>
      <c r="Y15" s="73">
        <f t="shared" si="9"/>
        <v>0.16208523831850963</v>
      </c>
    </row>
    <row r="16" spans="1:25" x14ac:dyDescent="0.25">
      <c r="A16" s="40">
        <v>29</v>
      </c>
      <c r="B16" s="44">
        <v>1.9319999999999999E-3</v>
      </c>
      <c r="C16" s="46">
        <f t="shared" si="5"/>
        <v>98207.301130108492</v>
      </c>
      <c r="D16" s="45">
        <f t="shared" si="6"/>
        <v>189.73650578336674</v>
      </c>
      <c r="E16" s="45">
        <f t="shared" si="0"/>
        <v>31490.310040487606</v>
      </c>
      <c r="F16" s="45">
        <f>SUM($E16:E$87)</f>
        <v>682795.80883303354</v>
      </c>
      <c r="G16" s="46">
        <f t="shared" si="1"/>
        <v>58.499306729058681</v>
      </c>
      <c r="H16" s="46">
        <f>SUM($G16:G$87)</f>
        <v>5228.9327776785785</v>
      </c>
      <c r="I16" s="47">
        <f>SUM($H16:H$87)</f>
        <v>212874.19562654637</v>
      </c>
      <c r="J16" s="47">
        <f>SUM($F16:F$87)</f>
        <v>12217961.943368625</v>
      </c>
      <c r="K16" s="71">
        <f>SUM($E16:E$87)/E16</f>
        <v>21.68272741535894</v>
      </c>
      <c r="L16" s="72">
        <f t="shared" si="7"/>
        <v>0.16604894556311622</v>
      </c>
      <c r="M16" s="48"/>
      <c r="N16" s="40">
        <v>29</v>
      </c>
      <c r="O16" s="44">
        <v>1.6119999999999999E-3</v>
      </c>
      <c r="P16" s="46">
        <f t="shared" si="8"/>
        <v>98227.2298813534</v>
      </c>
      <c r="Q16" s="45">
        <f t="shared" si="2"/>
        <v>158.34229456874891</v>
      </c>
      <c r="R16" s="61">
        <f t="shared" si="3"/>
        <v>31496.700222767337</v>
      </c>
      <c r="S16" s="61">
        <f>SUM($R16:R$87)</f>
        <v>682019.46619649616</v>
      </c>
      <c r="T16" s="46">
        <f t="shared" si="4"/>
        <v>48.819885345291617</v>
      </c>
      <c r="U16" s="46">
        <f>SUM($T16:T$87)</f>
        <v>5265.1822921328658</v>
      </c>
      <c r="V16" s="46">
        <f>SUM($U16:U$87)</f>
        <v>216624.54246618095</v>
      </c>
      <c r="W16" s="47">
        <f>SUM($S16:S$87)</f>
        <v>12100268.016988168</v>
      </c>
      <c r="X16" s="41">
        <f>SUM($R16:R$87)/R16</f>
        <v>21.653679952908195</v>
      </c>
      <c r="Y16" s="73">
        <f t="shared" si="9"/>
        <v>0.16716615565737702</v>
      </c>
    </row>
    <row r="17" spans="1:25" x14ac:dyDescent="0.25">
      <c r="A17" s="40">
        <v>30</v>
      </c>
      <c r="B17" s="44">
        <v>1.8860000000000001E-3</v>
      </c>
      <c r="C17" s="46">
        <f t="shared" si="5"/>
        <v>98017.564624325125</v>
      </c>
      <c r="D17" s="45">
        <f t="shared" si="6"/>
        <v>184.86112688147114</v>
      </c>
      <c r="E17" s="45">
        <f t="shared" si="0"/>
        <v>30220.644962970568</v>
      </c>
      <c r="F17" s="45">
        <f>SUM($E17:E$87)</f>
        <v>651305.49879254599</v>
      </c>
      <c r="G17" s="46">
        <f t="shared" si="1"/>
        <v>54.803977307846658</v>
      </c>
      <c r="H17" s="46">
        <f>SUM($G17:G$87)</f>
        <v>5170.4334709495206</v>
      </c>
      <c r="I17" s="47">
        <f>SUM($H17:H$87)</f>
        <v>207645.2628488678</v>
      </c>
      <c r="J17" s="47">
        <f>SUM($F17:F$87)</f>
        <v>11535166.134535594</v>
      </c>
      <c r="K17" s="71">
        <f>SUM($E17:E$87)/E17</f>
        <v>21.551674346811335</v>
      </c>
      <c r="L17" s="72">
        <f t="shared" si="7"/>
        <v>0.17108944819956245</v>
      </c>
      <c r="M17" s="48"/>
      <c r="N17" s="40">
        <v>30</v>
      </c>
      <c r="O17" s="44">
        <v>1.534E-3</v>
      </c>
      <c r="P17" s="46">
        <f t="shared" si="8"/>
        <v>98068.887586784651</v>
      </c>
      <c r="Q17" s="45">
        <f t="shared" si="2"/>
        <v>150.43767355813179</v>
      </c>
      <c r="R17" s="61">
        <f t="shared" si="3"/>
        <v>30236.468790392541</v>
      </c>
      <c r="S17" s="61">
        <f>SUM($R17:R$87)</f>
        <v>650522.76597372873</v>
      </c>
      <c r="T17" s="46">
        <f t="shared" si="4"/>
        <v>44.598791465830217</v>
      </c>
      <c r="U17" s="46">
        <f>SUM($T17:T$87)</f>
        <v>5216.3624067875735</v>
      </c>
      <c r="V17" s="46">
        <f>SUM($U17:U$87)</f>
        <v>211359.36017404808</v>
      </c>
      <c r="W17" s="47">
        <f>SUM($S17:S$87)</f>
        <v>11418248.550791671</v>
      </c>
      <c r="X17" s="41">
        <f>SUM($R17:R$87)/R17</f>
        <v>21.514508538789045</v>
      </c>
      <c r="Y17" s="73">
        <f t="shared" si="9"/>
        <v>0.17251890235426703</v>
      </c>
    </row>
    <row r="18" spans="1:25" x14ac:dyDescent="0.25">
      <c r="A18" s="40">
        <v>31</v>
      </c>
      <c r="B18" s="44">
        <v>1.8400000000000001E-3</v>
      </c>
      <c r="C18" s="46">
        <f t="shared" si="5"/>
        <v>97832.703497443654</v>
      </c>
      <c r="D18" s="45">
        <f t="shared" si="6"/>
        <v>180.01217443529458</v>
      </c>
      <c r="E18" s="45">
        <f t="shared" si="0"/>
        <v>29003.508487086925</v>
      </c>
      <c r="F18" s="45">
        <f>SUM($E18:E$87)</f>
        <v>621084.85382957547</v>
      </c>
      <c r="G18" s="46">
        <f t="shared" si="1"/>
        <v>51.313899630999359</v>
      </c>
      <c r="H18" s="46">
        <f>SUM($G18:G$87)</f>
        <v>5115.6294936416734</v>
      </c>
      <c r="I18" s="47">
        <f>SUM($H18:H$87)</f>
        <v>202474.82937791827</v>
      </c>
      <c r="J18" s="47">
        <f>SUM($F18:F$87)</f>
        <v>10883860.635743046</v>
      </c>
      <c r="K18" s="71">
        <f>SUM($E18:E$87)/E18</f>
        <v>21.414128366783547</v>
      </c>
      <c r="L18" s="72">
        <f t="shared" si="7"/>
        <v>0.17637967820063138</v>
      </c>
      <c r="M18" s="48"/>
      <c r="N18" s="40">
        <v>31</v>
      </c>
      <c r="O18" s="44">
        <v>1.456E-3</v>
      </c>
      <c r="P18" s="46">
        <f t="shared" si="8"/>
        <v>97918.449913226519</v>
      </c>
      <c r="Q18" s="45">
        <f t="shared" si="2"/>
        <v>142.56926307365939</v>
      </c>
      <c r="R18" s="61">
        <f t="shared" si="3"/>
        <v>29028.928891603915</v>
      </c>
      <c r="S18" s="61">
        <f>SUM($R18:R$87)</f>
        <v>620286.29718333622</v>
      </c>
      <c r="T18" s="46">
        <f t="shared" si="4"/>
        <v>40.64050044824593</v>
      </c>
      <c r="U18" s="46">
        <f>SUM($T18:T$87)</f>
        <v>5171.7636153217427</v>
      </c>
      <c r="V18" s="46">
        <f>SUM($U18:U$87)</f>
        <v>206142.9977672605</v>
      </c>
      <c r="W18" s="47">
        <f>SUM($S18:S$87)</f>
        <v>10767725.784817943</v>
      </c>
      <c r="X18" s="41">
        <f>SUM($R18:R$87)/R18</f>
        <v>21.367867188607935</v>
      </c>
      <c r="Y18" s="73">
        <f t="shared" si="9"/>
        <v>0.17815895428430983</v>
      </c>
    </row>
    <row r="19" spans="1:25" x14ac:dyDescent="0.25">
      <c r="A19" s="40">
        <v>32</v>
      </c>
      <c r="B19" s="44">
        <v>1.8029999999999999E-3</v>
      </c>
      <c r="C19" s="46">
        <f t="shared" si="5"/>
        <v>97652.691323008359</v>
      </c>
      <c r="D19" s="45">
        <f t="shared" si="6"/>
        <v>176.06780245537811</v>
      </c>
      <c r="E19" s="45">
        <f t="shared" si="0"/>
        <v>27836.675030260274</v>
      </c>
      <c r="F19" s="45">
        <f>SUM($E19:E$87)</f>
        <v>592081.34534248849</v>
      </c>
      <c r="G19" s="46">
        <f t="shared" si="1"/>
        <v>48.259158730343735</v>
      </c>
      <c r="H19" s="46">
        <f>SUM($G19:G$87)</f>
        <v>5064.3155940106753</v>
      </c>
      <c r="I19" s="47">
        <f>SUM($H19:H$87)</f>
        <v>197359.1998842766</v>
      </c>
      <c r="J19" s="47">
        <f>SUM($F19:F$87)</f>
        <v>10262775.78191347</v>
      </c>
      <c r="K19" s="71">
        <f>SUM($E19:E$87)/E19</f>
        <v>21.269829988633973</v>
      </c>
      <c r="L19" s="72">
        <f t="shared" si="7"/>
        <v>0.18192961582176878</v>
      </c>
      <c r="M19" s="48"/>
      <c r="N19" s="40">
        <v>32</v>
      </c>
      <c r="O19" s="44">
        <v>1.3860000000000001E-3</v>
      </c>
      <c r="P19" s="46">
        <f t="shared" si="8"/>
        <v>97775.88065015286</v>
      </c>
      <c r="Q19" s="45">
        <f t="shared" si="2"/>
        <v>135.51737058111758</v>
      </c>
      <c r="R19" s="61">
        <f t="shared" si="3"/>
        <v>27871.79112609398</v>
      </c>
      <c r="S19" s="61">
        <f>SUM($R19:R$87)</f>
        <v>591257.36829173239</v>
      </c>
      <c r="T19" s="46">
        <f t="shared" si="4"/>
        <v>37.144521635353733</v>
      </c>
      <c r="U19" s="46">
        <f>SUM($T19:T$87)</f>
        <v>5131.1231148734969</v>
      </c>
      <c r="V19" s="46">
        <f>SUM($U19:U$87)</f>
        <v>200971.23415193878</v>
      </c>
      <c r="W19" s="47">
        <f>SUM($S19:S$87)</f>
        <v>10147439.487634605</v>
      </c>
      <c r="X19" s="41">
        <f>SUM($R19:R$87)/R19</f>
        <v>21.213468686559889</v>
      </c>
      <c r="Y19" s="73">
        <f t="shared" si="9"/>
        <v>0.18409735820923487</v>
      </c>
    </row>
    <row r="20" spans="1:25" x14ac:dyDescent="0.25">
      <c r="A20" s="40">
        <v>33</v>
      </c>
      <c r="B20" s="44">
        <v>1.7819999999999999E-3</v>
      </c>
      <c r="C20" s="46">
        <f t="shared" si="5"/>
        <v>97476.623520552981</v>
      </c>
      <c r="D20" s="45">
        <f t="shared" si="6"/>
        <v>173.7033431136224</v>
      </c>
      <c r="E20" s="45">
        <f t="shared" si="0"/>
        <v>26717.774524212226</v>
      </c>
      <c r="F20" s="45">
        <f>SUM($E20:E$87)</f>
        <v>564244.67031222815</v>
      </c>
      <c r="G20" s="46">
        <f t="shared" si="1"/>
        <v>45.7798790405243</v>
      </c>
      <c r="H20" s="46">
        <f>SUM($G20:G$87)</f>
        <v>5016.0564352803312</v>
      </c>
      <c r="I20" s="47">
        <f>SUM($H20:H$87)</f>
        <v>192294.88429026594</v>
      </c>
      <c r="J20" s="47">
        <f>SUM($F20:F$87)</f>
        <v>9670694.4365709815</v>
      </c>
      <c r="K20" s="71">
        <f>SUM($E20:E$87)/E20</f>
        <v>21.118700204648309</v>
      </c>
      <c r="L20" s="72">
        <f t="shared" si="7"/>
        <v>0.18774229982121723</v>
      </c>
      <c r="M20" s="48"/>
      <c r="N20" s="40">
        <v>33</v>
      </c>
      <c r="O20" s="44">
        <v>1.33E-3</v>
      </c>
      <c r="P20" s="46">
        <f t="shared" si="8"/>
        <v>97640.363279571742</v>
      </c>
      <c r="Q20" s="45">
        <f t="shared" si="2"/>
        <v>129.86168316182739</v>
      </c>
      <c r="R20" s="61">
        <f t="shared" si="3"/>
        <v>26762.654638070395</v>
      </c>
      <c r="S20" s="61">
        <f>SUM($R20:R$87)</f>
        <v>563385.57716563833</v>
      </c>
      <c r="T20" s="46">
        <f t="shared" si="4"/>
        <v>34.225317950608456</v>
      </c>
      <c r="U20" s="46">
        <f>SUM($T20:T$87)</f>
        <v>5093.9785932381437</v>
      </c>
      <c r="V20" s="46">
        <f>SUM($U20:U$87)</f>
        <v>195840.1110370653</v>
      </c>
      <c r="W20" s="47">
        <f>SUM($S20:S$87)</f>
        <v>9556182.1193428729</v>
      </c>
      <c r="X20" s="41">
        <f>SUM($R20:R$87)/R20</f>
        <v>21.05118437556682</v>
      </c>
      <c r="Y20" s="73">
        <f t="shared" si="9"/>
        <v>0.19033906247819901</v>
      </c>
    </row>
    <row r="21" spans="1:25" x14ac:dyDescent="0.25">
      <c r="A21" s="40">
        <v>34</v>
      </c>
      <c r="B21" s="44">
        <v>1.787E-3</v>
      </c>
      <c r="C21" s="46">
        <f t="shared" si="5"/>
        <v>97302.920177439359</v>
      </c>
      <c r="D21" s="45">
        <f t="shared" si="6"/>
        <v>173.88031835708534</v>
      </c>
      <c r="E21" s="45">
        <f t="shared" si="0"/>
        <v>25644.387932702</v>
      </c>
      <c r="F21" s="45">
        <f>SUM($E21:E$87)</f>
        <v>537526.89578801591</v>
      </c>
      <c r="G21" s="46">
        <f t="shared" si="1"/>
        <v>44.063962726671832</v>
      </c>
      <c r="H21" s="46">
        <f>SUM($G21:G$87)</f>
        <v>4970.2765562398072</v>
      </c>
      <c r="I21" s="47">
        <f>SUM($H21:H$87)</f>
        <v>187278.8278549856</v>
      </c>
      <c r="J21" s="47">
        <f>SUM($F21:F$87)</f>
        <v>9106449.7662587557</v>
      </c>
      <c r="K21" s="71">
        <f>SUM($E21:E$87)/E21</f>
        <v>20.960800359074113</v>
      </c>
      <c r="L21" s="72">
        <f t="shared" si="7"/>
        <v>0.19381537080484018</v>
      </c>
      <c r="M21" s="48"/>
      <c r="N21" s="40">
        <v>34</v>
      </c>
      <c r="O21" s="44">
        <v>1.294E-3</v>
      </c>
      <c r="P21" s="46">
        <f t="shared" si="8"/>
        <v>97510.501596409915</v>
      </c>
      <c r="Q21" s="45">
        <f t="shared" si="2"/>
        <v>126.17858906574838</v>
      </c>
      <c r="R21" s="61">
        <f t="shared" si="3"/>
        <v>25699.096449424771</v>
      </c>
      <c r="S21" s="61">
        <f>SUM($R21:R$87)</f>
        <v>536622.92252756783</v>
      </c>
      <c r="T21" s="46">
        <f t="shared" si="4"/>
        <v>31.975606543801973</v>
      </c>
      <c r="U21" s="46">
        <f>SUM($T21:T$87)</f>
        <v>5059.7532752875359</v>
      </c>
      <c r="V21" s="46">
        <f>SUM($U21:U$87)</f>
        <v>190746.13244382714</v>
      </c>
      <c r="W21" s="47">
        <f>SUM($S21:S$87)</f>
        <v>8992796.5421772338</v>
      </c>
      <c r="X21" s="41">
        <f>SUM($R21:R$87)/R21</f>
        <v>20.881003485224834</v>
      </c>
      <c r="Y21" s="73">
        <f t="shared" si="9"/>
        <v>0.19688448133750591</v>
      </c>
    </row>
    <row r="22" spans="1:25" x14ac:dyDescent="0.25">
      <c r="A22" s="40">
        <v>35</v>
      </c>
      <c r="B22" s="44">
        <v>1.8209999999999999E-3</v>
      </c>
      <c r="C22" s="46">
        <f t="shared" si="5"/>
        <v>97129.039859082273</v>
      </c>
      <c r="D22" s="45">
        <f t="shared" si="6"/>
        <v>176.87198158339015</v>
      </c>
      <c r="E22" s="45">
        <f t="shared" si="0"/>
        <v>24614.001357179095</v>
      </c>
      <c r="F22" s="45">
        <f>SUM($E22:E$87)</f>
        <v>511882.50785531383</v>
      </c>
      <c r="G22" s="46">
        <f t="shared" si="1"/>
        <v>43.098169684060949</v>
      </c>
      <c r="H22" s="46">
        <f>SUM($G22:G$87)</f>
        <v>4926.2125935131353</v>
      </c>
      <c r="I22" s="47">
        <f>SUM($H22:H$87)</f>
        <v>182308.55129874579</v>
      </c>
      <c r="J22" s="47">
        <f>SUM($F22:F$87)</f>
        <v>8568922.8704707399</v>
      </c>
      <c r="K22" s="71">
        <f>SUM($E22:E$87)/E22</f>
        <v>20.796395532253211</v>
      </c>
      <c r="L22" s="72">
        <f t="shared" si="7"/>
        <v>0.2001386333748747</v>
      </c>
      <c r="M22" s="48"/>
      <c r="N22" s="40">
        <v>35</v>
      </c>
      <c r="O22" s="44">
        <v>1.2830000000000001E-3</v>
      </c>
      <c r="P22" s="46">
        <f t="shared" si="8"/>
        <v>97384.323007344166</v>
      </c>
      <c r="Q22" s="45">
        <f t="shared" si="2"/>
        <v>124.94408641842892</v>
      </c>
      <c r="R22" s="61">
        <f t="shared" si="3"/>
        <v>24678.694056364628</v>
      </c>
      <c r="S22" s="61">
        <f>SUM($R22:R$87)</f>
        <v>510923.82607814274</v>
      </c>
      <c r="T22" s="46">
        <f t="shared" si="4"/>
        <v>30.444965840689839</v>
      </c>
      <c r="U22" s="46">
        <f>SUM($T22:T$87)</f>
        <v>5027.7776687437326</v>
      </c>
      <c r="V22" s="46">
        <f>SUM($U22:U$87)</f>
        <v>185686.37916853963</v>
      </c>
      <c r="W22" s="47">
        <f>SUM($S22:S$87)</f>
        <v>8456173.6196496692</v>
      </c>
      <c r="X22" s="41">
        <f>SUM($R22:R$87)/R22</f>
        <v>20.703033349788445</v>
      </c>
      <c r="Y22" s="73">
        <f t="shared" si="9"/>
        <v>0.20372948654659748</v>
      </c>
    </row>
    <row r="23" spans="1:25" x14ac:dyDescent="0.25">
      <c r="A23" s="40">
        <v>36</v>
      </c>
      <c r="B23" s="44">
        <v>1.884E-3</v>
      </c>
      <c r="C23" s="46">
        <f t="shared" si="5"/>
        <v>96952.167877498883</v>
      </c>
      <c r="D23" s="45">
        <f t="shared" si="6"/>
        <v>182.6578842812014</v>
      </c>
      <c r="E23" s="45">
        <f t="shared" si="0"/>
        <v>23624.210827603532</v>
      </c>
      <c r="F23" s="45">
        <f>SUM($E23:E$87)</f>
        <v>487268.50649813469</v>
      </c>
      <c r="G23" s="46">
        <f t="shared" si="1"/>
        <v>42.796166537695555</v>
      </c>
      <c r="H23" s="46">
        <f>SUM($G23:G$87)</f>
        <v>4883.1144238290744</v>
      </c>
      <c r="I23" s="47">
        <f>SUM($H23:H$87)</f>
        <v>177382.33870523266</v>
      </c>
      <c r="J23" s="47">
        <f>SUM($F23:F$87)</f>
        <v>8057040.362615427</v>
      </c>
      <c r="K23" s="71">
        <f>SUM($E23:E$87)/E23</f>
        <v>20.625810955292927</v>
      </c>
      <c r="L23" s="72">
        <f t="shared" si="7"/>
        <v>0.20669957864257779</v>
      </c>
      <c r="M23" s="48"/>
      <c r="N23" s="40">
        <v>36</v>
      </c>
      <c r="O23" s="44">
        <v>1.2960000000000001E-3</v>
      </c>
      <c r="P23" s="46">
        <f t="shared" si="8"/>
        <v>97259.378920925737</v>
      </c>
      <c r="Q23" s="45">
        <f t="shared" si="2"/>
        <v>126.0481550815166</v>
      </c>
      <c r="R23" s="61">
        <f t="shared" si="3"/>
        <v>23699.068549894531</v>
      </c>
      <c r="S23" s="61">
        <f>SUM($R23:R$87)</f>
        <v>486245.13202177815</v>
      </c>
      <c r="T23" s="46">
        <f t="shared" si="4"/>
        <v>29.532685423713978</v>
      </c>
      <c r="U23" s="46">
        <f>SUM($T23:T$87)</f>
        <v>4997.3327029030434</v>
      </c>
      <c r="V23" s="46">
        <f>SUM($U23:U$87)</f>
        <v>180658.60149979588</v>
      </c>
      <c r="W23" s="47">
        <f>SUM($S23:S$87)</f>
        <v>7945249.793571529</v>
      </c>
      <c r="X23" s="41">
        <f>SUM($R23:R$87)/R23</f>
        <v>20.51747860883512</v>
      </c>
      <c r="Y23" s="73">
        <f t="shared" si="9"/>
        <v>0.21086620735249459</v>
      </c>
    </row>
    <row r="24" spans="1:25" x14ac:dyDescent="0.25">
      <c r="A24" s="40">
        <v>37</v>
      </c>
      <c r="B24" s="44">
        <v>1.97E-3</v>
      </c>
      <c r="C24" s="46">
        <f t="shared" si="5"/>
        <v>96769.509993217682</v>
      </c>
      <c r="D24" s="45">
        <f t="shared" si="6"/>
        <v>190.63593468663748</v>
      </c>
      <c r="E24" s="45">
        <f t="shared" si="0"/>
        <v>22672.791167696465</v>
      </c>
      <c r="F24" s="45">
        <f>SUM($E24:E$87)</f>
        <v>463644.29567053122</v>
      </c>
      <c r="G24" s="46">
        <f t="shared" si="1"/>
        <v>42.947498654193872</v>
      </c>
      <c r="H24" s="46">
        <f>SUM($G24:G$87)</f>
        <v>4840.3182572913793</v>
      </c>
      <c r="I24" s="47">
        <f>SUM($H24:H$87)</f>
        <v>172499.22428140361</v>
      </c>
      <c r="J24" s="47">
        <f>SUM($F24:F$87)</f>
        <v>7569771.8561172914</v>
      </c>
      <c r="K24" s="71">
        <f>SUM($E24:E$87)/E24</f>
        <v>20.449370006597078</v>
      </c>
      <c r="L24" s="72">
        <f t="shared" si="7"/>
        <v>0.21348576897703378</v>
      </c>
      <c r="M24" s="48"/>
      <c r="N24" s="40">
        <v>37</v>
      </c>
      <c r="O24" s="44">
        <v>1.33E-3</v>
      </c>
      <c r="P24" s="46">
        <f t="shared" si="8"/>
        <v>97133.330765844221</v>
      </c>
      <c r="Q24" s="45">
        <f t="shared" si="2"/>
        <v>129.18732991856814</v>
      </c>
      <c r="R24" s="61">
        <f t="shared" si="3"/>
        <v>22758.033227936408</v>
      </c>
      <c r="S24" s="61">
        <f>SUM($R24:R$87)</f>
        <v>462546.06347188354</v>
      </c>
      <c r="T24" s="46">
        <f t="shared" si="4"/>
        <v>29.104023262648393</v>
      </c>
      <c r="U24" s="46">
        <f>SUM($T24:T$87)</f>
        <v>4967.8000174793297</v>
      </c>
      <c r="V24" s="46">
        <f>SUM($U24:U$87)</f>
        <v>175661.26879689281</v>
      </c>
      <c r="W24" s="47">
        <f>SUM($S24:S$87)</f>
        <v>7459004.6615497507</v>
      </c>
      <c r="X24" s="41">
        <f>SUM($R24:R$87)/R24</f>
        <v>20.324518328942833</v>
      </c>
      <c r="Y24" s="73">
        <f t="shared" si="9"/>
        <v>0.21828775657912097</v>
      </c>
    </row>
    <row r="25" spans="1:25" x14ac:dyDescent="0.25">
      <c r="A25" s="40">
        <v>38</v>
      </c>
      <c r="B25" s="44">
        <v>2.0739999999999999E-3</v>
      </c>
      <c r="C25" s="46">
        <f t="shared" si="5"/>
        <v>96578.874058531044</v>
      </c>
      <c r="D25" s="45">
        <f t="shared" si="6"/>
        <v>200.304584797399</v>
      </c>
      <c r="E25" s="45">
        <f t="shared" si="0"/>
        <v>21757.813239515486</v>
      </c>
      <c r="F25" s="45">
        <f>SUM($E25:E$87)</f>
        <v>440971.50450283475</v>
      </c>
      <c r="G25" s="46">
        <f t="shared" si="1"/>
        <v>43.390100633419507</v>
      </c>
      <c r="H25" s="46">
        <f>SUM($G25:G$87)</f>
        <v>4797.3707586371856</v>
      </c>
      <c r="I25" s="47">
        <f>SUM($H25:H$87)</f>
        <v>167658.90602411222</v>
      </c>
      <c r="J25" s="47">
        <f>SUM($F25:F$87)</f>
        <v>7106127.5604467606</v>
      </c>
      <c r="K25" s="71">
        <f>SUM($E25:E$87)/E25</f>
        <v>20.267271331383785</v>
      </c>
      <c r="L25" s="72">
        <f t="shared" si="7"/>
        <v>0.22048956417754489</v>
      </c>
      <c r="M25" s="48"/>
      <c r="N25" s="40">
        <v>38</v>
      </c>
      <c r="O25" s="44">
        <v>1.3810000000000001E-3</v>
      </c>
      <c r="P25" s="46">
        <f t="shared" si="8"/>
        <v>97004.143435925653</v>
      </c>
      <c r="Q25" s="45">
        <f t="shared" si="2"/>
        <v>133.96272208500886</v>
      </c>
      <c r="R25" s="61">
        <f t="shared" si="3"/>
        <v>21853.620234368515</v>
      </c>
      <c r="S25" s="61">
        <f>SUM($R25:R$87)</f>
        <v>439788.03024394717</v>
      </c>
      <c r="T25" s="46">
        <f t="shared" si="4"/>
        <v>29.019086099674919</v>
      </c>
      <c r="U25" s="46">
        <f>SUM($T25:T$87)</f>
        <v>4938.6959942166814</v>
      </c>
      <c r="V25" s="46">
        <f>SUM($U25:U$87)</f>
        <v>170693.46877941347</v>
      </c>
      <c r="W25" s="47">
        <f>SUM($S25:S$87)</f>
        <v>6996458.5980778681</v>
      </c>
      <c r="X25" s="41">
        <f>SUM($R25:R$87)/R25</f>
        <v>20.124264333664318</v>
      </c>
      <c r="Y25" s="73">
        <f t="shared" si="9"/>
        <v>0.22598983332060224</v>
      </c>
    </row>
    <row r="26" spans="1:25" x14ac:dyDescent="0.25">
      <c r="A26" s="40">
        <v>39</v>
      </c>
      <c r="B26" s="44">
        <v>2.1930000000000001E-3</v>
      </c>
      <c r="C26" s="46">
        <f t="shared" si="5"/>
        <v>96378.569473733645</v>
      </c>
      <c r="D26" s="45">
        <f t="shared" si="6"/>
        <v>211.35820285590307</v>
      </c>
      <c r="E26" s="45">
        <f t="shared" si="0"/>
        <v>20877.584168131474</v>
      </c>
      <c r="F26" s="45">
        <f>SUM($E26:E$87)</f>
        <v>419213.69126331923</v>
      </c>
      <c r="G26" s="46">
        <f t="shared" si="1"/>
        <v>44.023598154532046</v>
      </c>
      <c r="H26" s="46">
        <f>SUM($G26:G$87)</f>
        <v>4753.9806580037657</v>
      </c>
      <c r="I26" s="47">
        <f>SUM($H26:H$87)</f>
        <v>162861.53526547502</v>
      </c>
      <c r="J26" s="47">
        <f>SUM($F26:F$87)</f>
        <v>6665156.0559439259</v>
      </c>
      <c r="K26" s="71">
        <f>SUM($E26:E$87)/E26</f>
        <v>20.079607290158922</v>
      </c>
      <c r="L26" s="72">
        <f t="shared" si="7"/>
        <v>0.22770741191696237</v>
      </c>
      <c r="M26" s="48"/>
      <c r="N26" s="40">
        <v>39</v>
      </c>
      <c r="O26" s="44">
        <v>1.4469999999999999E-3</v>
      </c>
      <c r="P26" s="46">
        <f t="shared" si="8"/>
        <v>96870.180713840644</v>
      </c>
      <c r="Q26" s="45">
        <f t="shared" si="2"/>
        <v>140.17115149293386</v>
      </c>
      <c r="R26" s="61">
        <f t="shared" si="3"/>
        <v>20984.077293100821</v>
      </c>
      <c r="S26" s="61">
        <f>SUM($R26:R$87)</f>
        <v>417934.41000957857</v>
      </c>
      <c r="T26" s="46">
        <f t="shared" si="4"/>
        <v>29.196115233767571</v>
      </c>
      <c r="U26" s="46">
        <f>SUM($T26:T$87)</f>
        <v>4909.676908117006</v>
      </c>
      <c r="V26" s="46">
        <f>SUM($U26:U$87)</f>
        <v>165754.77278519678</v>
      </c>
      <c r="W26" s="47">
        <f>SUM($S26:S$87)</f>
        <v>6556670.5678339209</v>
      </c>
      <c r="X26" s="41">
        <f>SUM($R26:R$87)/R26</f>
        <v>19.9167399248471</v>
      </c>
      <c r="Y26" s="73">
        <f t="shared" si="9"/>
        <v>0.23397154135203349</v>
      </c>
    </row>
    <row r="27" spans="1:25" x14ac:dyDescent="0.25">
      <c r="A27" s="40">
        <v>40</v>
      </c>
      <c r="B27" s="44">
        <v>2.32E-3</v>
      </c>
      <c r="C27" s="46">
        <f t="shared" si="5"/>
        <v>96167.211270877742</v>
      </c>
      <c r="D27" s="45">
        <f t="shared" si="6"/>
        <v>223.10793014844239</v>
      </c>
      <c r="E27" s="45">
        <f t="shared" si="0"/>
        <v>20030.576563510338</v>
      </c>
      <c r="F27" s="45">
        <f>SUM($E27:E$87)</f>
        <v>398336.10709518776</v>
      </c>
      <c r="G27" s="46">
        <f t="shared" si="1"/>
        <v>44.683593872447254</v>
      </c>
      <c r="H27" s="46">
        <f>SUM($G27:G$87)</f>
        <v>4709.9570598492337</v>
      </c>
      <c r="I27" s="47">
        <f>SUM($H27:H$87)</f>
        <v>158107.55460747125</v>
      </c>
      <c r="J27" s="47">
        <f>SUM($F27:F$87)</f>
        <v>6245942.3646806059</v>
      </c>
      <c r="K27" s="71">
        <f>SUM($E27:E$87)/E27</f>
        <v>19.886402462365254</v>
      </c>
      <c r="L27" s="72">
        <f t="shared" si="7"/>
        <v>0.23513836683210373</v>
      </c>
      <c r="M27" s="48"/>
      <c r="N27" s="40">
        <v>40</v>
      </c>
      <c r="O27" s="44">
        <v>1.524E-3</v>
      </c>
      <c r="P27" s="46">
        <f t="shared" si="8"/>
        <v>96730.00956234771</v>
      </c>
      <c r="Q27" s="45">
        <f t="shared" si="2"/>
        <v>147.41653457301436</v>
      </c>
      <c r="R27" s="61">
        <f t="shared" si="3"/>
        <v>20147.801281978554</v>
      </c>
      <c r="S27" s="61">
        <f>SUM($R27:R$87)</f>
        <v>396950.33271647774</v>
      </c>
      <c r="T27" s="46">
        <f t="shared" si="4"/>
        <v>29.524278032437092</v>
      </c>
      <c r="U27" s="46">
        <f>SUM($T27:T$87)</f>
        <v>4880.4807928832379</v>
      </c>
      <c r="V27" s="46">
        <f>SUM($U27:U$87)</f>
        <v>160845.09587707976</v>
      </c>
      <c r="W27" s="47">
        <f>SUM($S27:S$87)</f>
        <v>6138736.1578243421</v>
      </c>
      <c r="X27" s="41">
        <f>SUM($R27:R$87)/R27</f>
        <v>19.701918197472732</v>
      </c>
      <c r="Y27" s="73">
        <f t="shared" si="9"/>
        <v>0.24223391548181702</v>
      </c>
    </row>
    <row r="28" spans="1:25" x14ac:dyDescent="0.25">
      <c r="A28" s="40">
        <v>41</v>
      </c>
      <c r="B28" s="44">
        <v>2.4520000000000002E-3</v>
      </c>
      <c r="C28" s="46">
        <f t="shared" si="5"/>
        <v>95944.1033407293</v>
      </c>
      <c r="D28" s="45">
        <f t="shared" si="6"/>
        <v>235.25494139146758</v>
      </c>
      <c r="E28" s="45">
        <f t="shared" si="0"/>
        <v>19215.486178733649</v>
      </c>
      <c r="F28" s="45">
        <f>SUM($E28:E$87)</f>
        <v>378305.53053167742</v>
      </c>
      <c r="G28" s="46">
        <f t="shared" si="1"/>
        <v>45.304203952167946</v>
      </c>
      <c r="H28" s="46">
        <f>SUM($G28:G$87)</f>
        <v>4665.2734659767866</v>
      </c>
      <c r="I28" s="47">
        <f>SUM($H28:H$87)</f>
        <v>153397.59754762202</v>
      </c>
      <c r="J28" s="47">
        <f>SUM($F28:F$87)</f>
        <v>5847606.2575854193</v>
      </c>
      <c r="K28" s="71">
        <f>SUM($E28:E$87)/E28</f>
        <v>19.687533638902117</v>
      </c>
      <c r="L28" s="72">
        <f t="shared" si="7"/>
        <v>0.24278716773453193</v>
      </c>
      <c r="M28" s="48"/>
      <c r="N28" s="40">
        <v>41</v>
      </c>
      <c r="O28" s="44">
        <v>1.6100000000000001E-3</v>
      </c>
      <c r="P28" s="46">
        <f t="shared" si="8"/>
        <v>96582.593027774696</v>
      </c>
      <c r="Q28" s="45">
        <f t="shared" si="2"/>
        <v>155.49797477471293</v>
      </c>
      <c r="R28" s="61">
        <f t="shared" si="3"/>
        <v>19343.361570023866</v>
      </c>
      <c r="S28" s="61">
        <f>SUM($R28:R$87)</f>
        <v>376802.53143449925</v>
      </c>
      <c r="T28" s="46">
        <f t="shared" si="4"/>
        <v>29.945011661286113</v>
      </c>
      <c r="U28" s="46">
        <f>SUM($T28:T$87)</f>
        <v>4850.9565148508009</v>
      </c>
      <c r="V28" s="46">
        <f>SUM($U28:U$87)</f>
        <v>155964.61508419656</v>
      </c>
      <c r="W28" s="47">
        <f>SUM($S28:S$87)</f>
        <v>5741785.8251078641</v>
      </c>
      <c r="X28" s="41">
        <f>SUM($R28:R$87)/R28</f>
        <v>19.47968196067972</v>
      </c>
      <c r="Y28" s="73">
        <f t="shared" si="9"/>
        <v>0.25078146305077914</v>
      </c>
    </row>
    <row r="29" spans="1:25" x14ac:dyDescent="0.25">
      <c r="A29" s="40">
        <v>42</v>
      </c>
      <c r="B29" s="44">
        <v>2.5829999999999998E-3</v>
      </c>
      <c r="C29" s="46">
        <f t="shared" si="5"/>
        <v>95708.848399337832</v>
      </c>
      <c r="D29" s="45">
        <f t="shared" si="6"/>
        <v>247.21595541549323</v>
      </c>
      <c r="E29" s="45">
        <f t="shared" si="0"/>
        <v>18431.124814060957</v>
      </c>
      <c r="F29" s="45">
        <f>SUM($E29:E$87)</f>
        <v>359090.04435294378</v>
      </c>
      <c r="G29" s="46">
        <f t="shared" si="1"/>
        <v>45.776534033384642</v>
      </c>
      <c r="H29" s="46">
        <f>SUM($G29:G$87)</f>
        <v>4619.9692620246187</v>
      </c>
      <c r="I29" s="47">
        <f>SUM($H29:H$87)</f>
        <v>148732.32408164523</v>
      </c>
      <c r="J29" s="47">
        <f>SUM($F29:F$87)</f>
        <v>5469300.7270537419</v>
      </c>
      <c r="K29" s="71">
        <f>SUM($E29:E$87)/E29</f>
        <v>19.482806826797511</v>
      </c>
      <c r="L29" s="72">
        <f t="shared" si="7"/>
        <v>0.25066127589240139</v>
      </c>
      <c r="M29" s="48"/>
      <c r="N29" s="40">
        <v>42</v>
      </c>
      <c r="O29" s="44">
        <v>1.701E-3</v>
      </c>
      <c r="P29" s="46">
        <f t="shared" si="8"/>
        <v>96427.095052999983</v>
      </c>
      <c r="Q29" s="45">
        <f t="shared" si="2"/>
        <v>164.02248868515017</v>
      </c>
      <c r="R29" s="61">
        <f t="shared" si="3"/>
        <v>18569.441113361663</v>
      </c>
      <c r="S29" s="61">
        <f>SUM($R29:R$87)</f>
        <v>357459.16986447538</v>
      </c>
      <c r="T29" s="46">
        <f t="shared" si="4"/>
        <v>30.371749359449659</v>
      </c>
      <c r="U29" s="46">
        <f>SUM($T29:T$87)</f>
        <v>4821.0115031895148</v>
      </c>
      <c r="V29" s="46">
        <f>SUM($U29:U$87)</f>
        <v>151113.65856934575</v>
      </c>
      <c r="W29" s="47">
        <f>SUM($S29:S$87)</f>
        <v>5364983.2936733654</v>
      </c>
      <c r="X29" s="41">
        <f>SUM($R29:R$87)/R29</f>
        <v>19.249861516147906</v>
      </c>
      <c r="Y29" s="73">
        <f t="shared" si="9"/>
        <v>0.25962071091738731</v>
      </c>
    </row>
    <row r="30" spans="1:25" x14ac:dyDescent="0.25">
      <c r="A30" s="40">
        <v>43</v>
      </c>
      <c r="B30" s="44">
        <v>2.709E-3</v>
      </c>
      <c r="C30" s="46">
        <f t="shared" si="5"/>
        <v>95461.632443922339</v>
      </c>
      <c r="D30" s="45">
        <f t="shared" si="6"/>
        <v>258.6055622905842</v>
      </c>
      <c r="E30" s="45">
        <f t="shared" si="0"/>
        <v>17676.458864102151</v>
      </c>
      <c r="F30" s="45">
        <f>SUM($E30:E$87)</f>
        <v>340658.91953888279</v>
      </c>
      <c r="G30" s="46">
        <f t="shared" si="1"/>
        <v>46.043776021973407</v>
      </c>
      <c r="H30" s="46">
        <f>SUM($G30:G$87)</f>
        <v>4574.1927279912343</v>
      </c>
      <c r="I30" s="47">
        <f>SUM($H30:H$87)</f>
        <v>144112.35481962064</v>
      </c>
      <c r="J30" s="47">
        <f>SUM($F30:F$87)</f>
        <v>5110210.6827007979</v>
      </c>
      <c r="K30" s="71">
        <f>SUM($E30:E$87)/E30</f>
        <v>19.271898413471405</v>
      </c>
      <c r="L30" s="72">
        <f t="shared" si="7"/>
        <v>0.25877313794340523</v>
      </c>
      <c r="M30" s="48"/>
      <c r="N30" s="40">
        <v>43</v>
      </c>
      <c r="O30" s="44">
        <v>1.7930000000000001E-3</v>
      </c>
      <c r="P30" s="46">
        <f t="shared" si="8"/>
        <v>96263.072564314833</v>
      </c>
      <c r="Q30" s="45">
        <f t="shared" si="2"/>
        <v>172.59968910781026</v>
      </c>
      <c r="R30" s="61">
        <f t="shared" si="3"/>
        <v>17824.860090411377</v>
      </c>
      <c r="S30" s="61">
        <f>SUM($R30:R$87)</f>
        <v>338889.7287511137</v>
      </c>
      <c r="T30" s="46">
        <f t="shared" si="4"/>
        <v>30.730744367410043</v>
      </c>
      <c r="U30" s="46">
        <f>SUM($T30:T$87)</f>
        <v>4790.6397538300653</v>
      </c>
      <c r="V30" s="46">
        <f>SUM($U30:U$87)</f>
        <v>146292.64706615623</v>
      </c>
      <c r="W30" s="47">
        <f>SUM($S30:S$87)</f>
        <v>5007524.1238088896</v>
      </c>
      <c r="X30" s="41">
        <f>SUM($R30:R$87)/R30</f>
        <v>19.012195721716463</v>
      </c>
      <c r="Y30" s="73">
        <f t="shared" si="9"/>
        <v>0.26876170301090441</v>
      </c>
    </row>
    <row r="31" spans="1:25" x14ac:dyDescent="0.25">
      <c r="A31" s="40">
        <v>44</v>
      </c>
      <c r="B31" s="44">
        <v>2.8270000000000001E-3</v>
      </c>
      <c r="C31" s="46">
        <f t="shared" si="5"/>
        <v>95203.026881631755</v>
      </c>
      <c r="D31" s="45">
        <f t="shared" si="6"/>
        <v>269.13895699437126</v>
      </c>
      <c r="E31" s="45">
        <f t="shared" si="0"/>
        <v>16950.551285614707</v>
      </c>
      <c r="F31" s="45">
        <f>SUM($E31:E$87)</f>
        <v>322982.46067478065</v>
      </c>
      <c r="G31" s="46">
        <f t="shared" si="1"/>
        <v>46.076162004261874</v>
      </c>
      <c r="H31" s="46">
        <f>SUM($G31:G$87)</f>
        <v>4528.1489519692605</v>
      </c>
      <c r="I31" s="47">
        <f>SUM($H31:H$87)</f>
        <v>139538.16209162946</v>
      </c>
      <c r="J31" s="47">
        <f>SUM($F31:F$87)</f>
        <v>4769551.7631619144</v>
      </c>
      <c r="K31" s="71">
        <f>SUM($E31:E$87)/E31</f>
        <v>19.054392699834114</v>
      </c>
      <c r="L31" s="72">
        <f t="shared" si="7"/>
        <v>0.26713874231407031</v>
      </c>
      <c r="M31" s="48"/>
      <c r="N31" s="40">
        <v>44</v>
      </c>
      <c r="O31" s="44">
        <v>1.885E-3</v>
      </c>
      <c r="P31" s="46">
        <f t="shared" si="8"/>
        <v>96090.472875207022</v>
      </c>
      <c r="Q31" s="45">
        <f t="shared" si="2"/>
        <v>181.13054136977007</v>
      </c>
      <c r="R31" s="61">
        <f t="shared" si="3"/>
        <v>17108.557804105068</v>
      </c>
      <c r="S31" s="61">
        <f>SUM($R31:R$87)</f>
        <v>321064.86866070231</v>
      </c>
      <c r="T31" s="46">
        <f t="shared" si="4"/>
        <v>31.00926101994126</v>
      </c>
      <c r="U31" s="46">
        <f>SUM($T31:T$87)</f>
        <v>4759.9090094626554</v>
      </c>
      <c r="V31" s="46">
        <f>SUM($U31:U$87)</f>
        <v>141502.00731232623</v>
      </c>
      <c r="W31" s="47">
        <f>SUM($S31:S$87)</f>
        <v>4668634.395057776</v>
      </c>
      <c r="X31" s="41">
        <f>SUM($R31:R$87)/R31</f>
        <v>18.76633158311364</v>
      </c>
      <c r="Y31" s="73">
        <f t="shared" si="9"/>
        <v>0.27821801603408974</v>
      </c>
    </row>
    <row r="32" spans="1:25" x14ac:dyDescent="0.25">
      <c r="A32" s="40">
        <v>45</v>
      </c>
      <c r="B32" s="44">
        <v>2.9350000000000001E-3</v>
      </c>
      <c r="C32" s="46">
        <f t="shared" si="5"/>
        <v>94933.887924637384</v>
      </c>
      <c r="D32" s="45">
        <f t="shared" si="6"/>
        <v>278.63096105880686</v>
      </c>
      <c r="E32" s="45">
        <f t="shared" si="0"/>
        <v>16252.530843394492</v>
      </c>
      <c r="F32" s="45">
        <f>SUM($E32:E$87)</f>
        <v>306031.90938916593</v>
      </c>
      <c r="G32" s="46">
        <f t="shared" si="1"/>
        <v>45.866517332078892</v>
      </c>
      <c r="H32" s="46">
        <f>SUM($G32:G$87)</f>
        <v>4482.0727899649983</v>
      </c>
      <c r="I32" s="47">
        <f>SUM($H32:H$87)</f>
        <v>135010.01313966018</v>
      </c>
      <c r="J32" s="47">
        <f>SUM($F32:F$87)</f>
        <v>4446569.3024871331</v>
      </c>
      <c r="K32" s="71">
        <f>SUM($E32:E$87)/E32</f>
        <v>18.829800253143116</v>
      </c>
      <c r="L32" s="72">
        <f t="shared" si="7"/>
        <v>0.27577691334064719</v>
      </c>
      <c r="M32" s="48"/>
      <c r="N32" s="40">
        <v>45</v>
      </c>
      <c r="O32" s="44">
        <v>2.1229999999999999E-3</v>
      </c>
      <c r="P32" s="46">
        <f t="shared" si="8"/>
        <v>95909.342333837252</v>
      </c>
      <c r="Q32" s="45">
        <f t="shared" si="2"/>
        <v>203.61553377473319</v>
      </c>
      <c r="R32" s="61">
        <f t="shared" si="3"/>
        <v>16419.527089081083</v>
      </c>
      <c r="S32" s="61">
        <f>SUM($R32:R$87)</f>
        <v>303956.31085659727</v>
      </c>
      <c r="T32" s="46">
        <f t="shared" si="4"/>
        <v>33.517938471267868</v>
      </c>
      <c r="U32" s="46">
        <f>SUM($T32:T$87)</f>
        <v>4728.8997484427146</v>
      </c>
      <c r="V32" s="46">
        <f>SUM($U32:U$87)</f>
        <v>136742.0983028636</v>
      </c>
      <c r="W32" s="47">
        <f>SUM($S32:S$87)</f>
        <v>4347569.5263970736</v>
      </c>
      <c r="X32" s="41">
        <f>SUM($R32:R$87)/R32</f>
        <v>18.511879739747616</v>
      </c>
      <c r="Y32" s="73">
        <f t="shared" si="9"/>
        <v>0.2880046253943217</v>
      </c>
    </row>
    <row r="33" spans="1:25" x14ac:dyDescent="0.25">
      <c r="A33" s="40">
        <v>46</v>
      </c>
      <c r="B33" s="44">
        <v>3.0360000000000001E-3</v>
      </c>
      <c r="C33" s="46">
        <f t="shared" si="5"/>
        <v>94655.256963578577</v>
      </c>
      <c r="D33" s="45">
        <f t="shared" si="6"/>
        <v>287.37336014142784</v>
      </c>
      <c r="E33" s="45">
        <f t="shared" si="0"/>
        <v>15581.566985931859</v>
      </c>
      <c r="F33" s="45">
        <f>SUM($E33:E$87)</f>
        <v>289779.37854577147</v>
      </c>
      <c r="G33" s="46">
        <f t="shared" si="1"/>
        <v>45.486189778163016</v>
      </c>
      <c r="H33" s="46">
        <f>SUM($G33:G$87)</f>
        <v>4436.2062726329195</v>
      </c>
      <c r="I33" s="47">
        <f>SUM($H33:H$87)</f>
        <v>130527.94034969521</v>
      </c>
      <c r="J33" s="47">
        <f>SUM($F33:F$87)</f>
        <v>4140537.3930979646</v>
      </c>
      <c r="K33" s="71">
        <f>SUM($E33:E$87)/E33</f>
        <v>18.597576149266938</v>
      </c>
      <c r="L33" s="72">
        <f t="shared" si="7"/>
        <v>0.28470860964357697</v>
      </c>
      <c r="M33" s="48"/>
      <c r="N33" s="40">
        <v>46</v>
      </c>
      <c r="O33" s="44">
        <v>2.3479999999999998E-3</v>
      </c>
      <c r="P33" s="46">
        <f t="shared" si="8"/>
        <v>95705.726800062519</v>
      </c>
      <c r="Q33" s="45">
        <f t="shared" si="2"/>
        <v>224.71704652655171</v>
      </c>
      <c r="R33" s="61">
        <f t="shared" si="3"/>
        <v>15754.488877952852</v>
      </c>
      <c r="S33" s="61">
        <f>SUM($R33:R$87)</f>
        <v>287536.7837675162</v>
      </c>
      <c r="T33" s="46">
        <f t="shared" si="4"/>
        <v>35.568788351378949</v>
      </c>
      <c r="U33" s="46">
        <f>SUM($T33:T$87)</f>
        <v>4695.3818099714463</v>
      </c>
      <c r="V33" s="46">
        <f>SUM($U33:U$87)</f>
        <v>132013.19855442087</v>
      </c>
      <c r="W33" s="47">
        <f>SUM($S33:S$87)</f>
        <v>4043613.2155404785</v>
      </c>
      <c r="X33" s="41">
        <f>SUM($R33:R$87)/R33</f>
        <v>18.251102018923696</v>
      </c>
      <c r="Y33" s="73">
        <f t="shared" si="9"/>
        <v>0.2980345377337032</v>
      </c>
    </row>
    <row r="34" spans="1:25" x14ac:dyDescent="0.25">
      <c r="A34" s="40">
        <v>47</v>
      </c>
      <c r="B34" s="44">
        <v>3.1310000000000001E-3</v>
      </c>
      <c r="C34" s="46">
        <f t="shared" si="5"/>
        <v>94367.883603437149</v>
      </c>
      <c r="D34" s="45">
        <f t="shared" si="6"/>
        <v>295.46584356235689</v>
      </c>
      <c r="E34" s="45">
        <f t="shared" si="0"/>
        <v>14936.789758233239</v>
      </c>
      <c r="F34" s="45">
        <f>SUM($E34:E$87)</f>
        <v>274197.81155983964</v>
      </c>
      <c r="G34" s="46">
        <f t="shared" si="1"/>
        <v>44.968354550987861</v>
      </c>
      <c r="H34" s="46">
        <f>SUM($G34:G$87)</f>
        <v>4390.7200828547566</v>
      </c>
      <c r="I34" s="47">
        <f>SUM($H34:H$87)</f>
        <v>126091.73407706231</v>
      </c>
      <c r="J34" s="47">
        <f>SUM($F34:F$87)</f>
        <v>3850758.0145521932</v>
      </c>
      <c r="K34" s="71">
        <f>SUM($E34:E$87)/E34</f>
        <v>18.357211689928242</v>
      </c>
      <c r="L34" s="72">
        <f t="shared" si="7"/>
        <v>0.29395339654121916</v>
      </c>
      <c r="M34" s="48"/>
      <c r="N34" s="40">
        <v>47</v>
      </c>
      <c r="O34" s="44">
        <v>2.5969999999999999E-3</v>
      </c>
      <c r="P34" s="46">
        <f t="shared" si="8"/>
        <v>95481.009753535967</v>
      </c>
      <c r="Q34" s="45">
        <f t="shared" si="2"/>
        <v>247.96418232993165</v>
      </c>
      <c r="R34" s="61">
        <f t="shared" si="3"/>
        <v>15112.97820968021</v>
      </c>
      <c r="S34" s="61">
        <f>SUM($R34:R$87)</f>
        <v>271782.29488956329</v>
      </c>
      <c r="T34" s="46">
        <f t="shared" si="4"/>
        <v>37.738850394749328</v>
      </c>
      <c r="U34" s="46">
        <f>SUM($T34:T$87)</f>
        <v>4659.813021620068</v>
      </c>
      <c r="V34" s="46">
        <f>SUM($U34:U$87)</f>
        <v>127317.8167444494</v>
      </c>
      <c r="W34" s="47">
        <f>SUM($S34:S$87)</f>
        <v>3756076.4317729627</v>
      </c>
      <c r="X34" s="41">
        <f>SUM($R34:R$87)/R34</f>
        <v>17.983371054917587</v>
      </c>
      <c r="Y34" s="73">
        <f t="shared" si="9"/>
        <v>0.30833188250316873</v>
      </c>
    </row>
    <row r="35" spans="1:25" x14ac:dyDescent="0.25">
      <c r="A35" s="40">
        <v>48</v>
      </c>
      <c r="B35" s="44">
        <v>3.2200000000000002E-3</v>
      </c>
      <c r="C35" s="46">
        <f t="shared" si="5"/>
        <v>94072.417759874792</v>
      </c>
      <c r="D35" s="45">
        <f t="shared" si="6"/>
        <v>302.91318518680055</v>
      </c>
      <c r="E35" s="45">
        <f t="shared" si="0"/>
        <v>14317.329489904047</v>
      </c>
      <c r="F35" s="45">
        <f>SUM($E35:E$87)</f>
        <v>259261.02180160643</v>
      </c>
      <c r="G35" s="46">
        <f t="shared" si="1"/>
        <v>44.328654766818723</v>
      </c>
      <c r="H35" s="46">
        <f>SUM($G35:G$87)</f>
        <v>4345.7517283037696</v>
      </c>
      <c r="I35" s="47">
        <f>SUM($H35:H$87)</f>
        <v>121701.01399420758</v>
      </c>
      <c r="J35" s="47">
        <f>SUM($F35:F$87)</f>
        <v>3576560.2029923541</v>
      </c>
      <c r="K35" s="71">
        <f>SUM($E35:E$87)/E35</f>
        <v>18.108196922088435</v>
      </c>
      <c r="L35" s="72">
        <f t="shared" si="7"/>
        <v>0.30353088761198121</v>
      </c>
      <c r="M35" s="48"/>
      <c r="N35" s="40">
        <v>48</v>
      </c>
      <c r="O35" s="44">
        <v>2.8730000000000001E-3</v>
      </c>
      <c r="P35" s="46">
        <f t="shared" si="8"/>
        <v>95233.045571206036</v>
      </c>
      <c r="Q35" s="45">
        <f t="shared" si="2"/>
        <v>273.60453992607654</v>
      </c>
      <c r="R35" s="61">
        <f t="shared" si="3"/>
        <v>14493.97096660545</v>
      </c>
      <c r="S35" s="61">
        <f>SUM($R35:R$87)</f>
        <v>256669.31667988317</v>
      </c>
      <c r="T35" s="46">
        <f t="shared" si="4"/>
        <v>40.039594795247787</v>
      </c>
      <c r="U35" s="46">
        <f>SUM($T35:T$87)</f>
        <v>4622.0741712253184</v>
      </c>
      <c r="V35" s="46">
        <f>SUM($U35:U$87)</f>
        <v>122658.00372282932</v>
      </c>
      <c r="W35" s="47">
        <f>SUM($S35:S$87)</f>
        <v>3484294.136883399</v>
      </c>
      <c r="X35" s="41">
        <f>SUM($R35:R$87)/R35</f>
        <v>17.708695379013598</v>
      </c>
      <c r="Y35" s="73">
        <f t="shared" si="9"/>
        <v>0.31889633157639946</v>
      </c>
    </row>
    <row r="36" spans="1:25" x14ac:dyDescent="0.25">
      <c r="A36" s="40">
        <v>49</v>
      </c>
      <c r="B36" s="44">
        <v>3.3050000000000002E-3</v>
      </c>
      <c r="C36" s="46">
        <f t="shared" si="5"/>
        <v>93769.504574687991</v>
      </c>
      <c r="D36" s="45">
        <f t="shared" si="6"/>
        <v>309.90821261933888</v>
      </c>
      <c r="E36" s="45">
        <f t="shared" si="0"/>
        <v>13722.334316294764</v>
      </c>
      <c r="F36" s="45">
        <f>SUM($E36:E$87)</f>
        <v>244943.69231170238</v>
      </c>
      <c r="G36" s="46">
        <f t="shared" si="1"/>
        <v>43.607995110916676</v>
      </c>
      <c r="H36" s="46">
        <f>SUM($G36:G$87)</f>
        <v>4301.4230735369501</v>
      </c>
      <c r="I36" s="47">
        <f>SUM($H36:H$87)</f>
        <v>117355.26226590379</v>
      </c>
      <c r="J36" s="47">
        <f>SUM($F36:F$87)</f>
        <v>3317299.1811907473</v>
      </c>
      <c r="K36" s="71">
        <f>SUM($E36:E$87)/E36</f>
        <v>17.850001804783375</v>
      </c>
      <c r="L36" s="72">
        <f t="shared" si="7"/>
        <v>0.31346146904679106</v>
      </c>
      <c r="M36" s="48"/>
      <c r="N36" s="40">
        <v>49</v>
      </c>
      <c r="O36" s="44">
        <v>3.1779999999999998E-3</v>
      </c>
      <c r="P36" s="46">
        <f t="shared" si="8"/>
        <v>94959.441031279959</v>
      </c>
      <c r="Q36" s="45">
        <f t="shared" si="2"/>
        <v>301.78110359740094</v>
      </c>
      <c r="R36" s="61">
        <f t="shared" si="3"/>
        <v>13896.470950017685</v>
      </c>
      <c r="S36" s="61">
        <f>SUM($R36:R$87)</f>
        <v>242175.3457132777</v>
      </c>
      <c r="T36" s="46">
        <f t="shared" si="4"/>
        <v>42.464408345341546</v>
      </c>
      <c r="U36" s="46">
        <f>SUM($T36:T$87)</f>
        <v>4582.034576430071</v>
      </c>
      <c r="V36" s="46">
        <f>SUM($U36:U$87)</f>
        <v>118035.92955160401</v>
      </c>
      <c r="W36" s="47">
        <f>SUM($S36:S$87)</f>
        <v>3227624.8202035162</v>
      </c>
      <c r="X36" s="41">
        <f>SUM($R36:R$87)/R36</f>
        <v>17.427111284895645</v>
      </c>
      <c r="Y36" s="73">
        <f t="shared" si="9"/>
        <v>0.32972648904247448</v>
      </c>
    </row>
    <row r="37" spans="1:25" x14ac:dyDescent="0.25">
      <c r="A37" s="40">
        <v>50</v>
      </c>
      <c r="B37" s="44">
        <v>3.3860000000000001E-3</v>
      </c>
      <c r="C37" s="46">
        <f t="shared" si="5"/>
        <v>93459.596362068653</v>
      </c>
      <c r="D37" s="45">
        <f t="shared" ref="D37:D68" si="10">C37-C38</f>
        <v>316.45419328197022</v>
      </c>
      <c r="E37" s="45">
        <f t="shared" ref="E37:E68" si="11">C37*((1+int)^-A37)</f>
        <v>13150.944232095586</v>
      </c>
      <c r="F37" s="45">
        <f>SUM($E37:E$87)</f>
        <v>231221.35799540763</v>
      </c>
      <c r="G37" s="46">
        <f t="shared" ref="G37:G68" si="12">((1/(1+i))^(A37+1))*D37</f>
        <v>42.816439586419555</v>
      </c>
      <c r="H37" s="46">
        <f>SUM($G37:G$87)</f>
        <v>4257.8150784260342</v>
      </c>
      <c r="I37" s="47">
        <f>SUM($H37:H$87)</f>
        <v>113053.83919236684</v>
      </c>
      <c r="J37" s="47">
        <f>SUM($F37:F$87)</f>
        <v>3072355.488879045</v>
      </c>
      <c r="K37" s="71">
        <f>SUM($E37:E$87)/E37</f>
        <v>17.582110753013421</v>
      </c>
      <c r="L37" s="72">
        <f t="shared" si="7"/>
        <v>0.32376497103794327</v>
      </c>
      <c r="M37" s="48"/>
      <c r="N37" s="40">
        <v>50</v>
      </c>
      <c r="O37" s="44">
        <v>3.5149999999999999E-3</v>
      </c>
      <c r="P37" s="46">
        <f t="shared" si="8"/>
        <v>94657.659927682558</v>
      </c>
      <c r="Q37" s="45">
        <f t="shared" ref="Q37:Q68" si="13">P37-P38</f>
        <v>332.72167464579979</v>
      </c>
      <c r="R37" s="61">
        <f t="shared" si="3"/>
        <v>13319.526889748586</v>
      </c>
      <c r="S37" s="61">
        <f>SUM($R37:R$87)</f>
        <v>228278.87476326001</v>
      </c>
      <c r="T37" s="46">
        <f t="shared" ref="T37:T68" si="14">((1/(1+i)^(N37+1))*Q37)</f>
        <v>45.01743943987082</v>
      </c>
      <c r="U37" s="46">
        <f>SUM($T37:T$87)</f>
        <v>4539.5701680847287</v>
      </c>
      <c r="V37" s="46">
        <f>SUM($U37:U$87)</f>
        <v>113453.89497517396</v>
      </c>
      <c r="W37" s="47">
        <f>SUM($S37:S$87)</f>
        <v>2985449.4744902384</v>
      </c>
      <c r="X37" s="41">
        <f>SUM($R37:R$87)/R37</f>
        <v>17.138662405415882</v>
      </c>
      <c r="Y37" s="73">
        <f t="shared" si="9"/>
        <v>0.34082067671477301</v>
      </c>
    </row>
    <row r="38" spans="1:25" x14ac:dyDescent="0.25">
      <c r="A38" s="40">
        <v>51</v>
      </c>
      <c r="B38" s="44">
        <v>3.4659999999999999E-3</v>
      </c>
      <c r="C38" s="46">
        <f t="shared" ref="C38:C69" si="15">C37-(B37*C37)</f>
        <v>93143.142168786682</v>
      </c>
      <c r="D38" s="45">
        <f t="shared" si="10"/>
        <v>322.8341307570081</v>
      </c>
      <c r="E38" s="45">
        <f t="shared" si="11"/>
        <v>12602.322245120873</v>
      </c>
      <c r="F38" s="45">
        <f>SUM($E38:E$87)</f>
        <v>218070.41376331207</v>
      </c>
      <c r="G38" s="46">
        <f t="shared" si="12"/>
        <v>41.999662405373009</v>
      </c>
      <c r="H38" s="46">
        <f>SUM($G38:G$87)</f>
        <v>4214.9986388396146</v>
      </c>
      <c r="I38" s="47">
        <f>SUM($H38:H$87)</f>
        <v>108796.0241139408</v>
      </c>
      <c r="J38" s="47">
        <f>SUM($F38:F$87)</f>
        <v>2841134.1308836374</v>
      </c>
      <c r="K38" s="71">
        <f>SUM($E38:E$87)/E38</f>
        <v>17.303986481359846</v>
      </c>
      <c r="L38" s="72">
        <f t="shared" si="7"/>
        <v>0.33446205840923465</v>
      </c>
      <c r="M38" s="48"/>
      <c r="N38" s="40">
        <v>51</v>
      </c>
      <c r="O38" s="44">
        <v>3.888E-3</v>
      </c>
      <c r="P38" s="46">
        <f t="shared" ref="P38:P69" si="16">P37-(O37*P37)</f>
        <v>94324.938253036758</v>
      </c>
      <c r="Q38" s="45">
        <f t="shared" si="13"/>
        <v>366.73535992781399</v>
      </c>
      <c r="R38" s="61">
        <f t="shared" si="3"/>
        <v>12762.219954549151</v>
      </c>
      <c r="S38" s="61">
        <f>SUM($R38:R$87)</f>
        <v>214959.34787351143</v>
      </c>
      <c r="T38" s="46">
        <f t="shared" si="14"/>
        <v>47.711068445469287</v>
      </c>
      <c r="U38" s="46">
        <f>SUM($T38:T$87)</f>
        <v>4494.5527286448587</v>
      </c>
      <c r="V38" s="46">
        <f>SUM($U38:U$87)</f>
        <v>108914.32480708923</v>
      </c>
      <c r="W38" s="47">
        <f>SUM($S38:S$87)</f>
        <v>2757170.5997269787</v>
      </c>
      <c r="X38" s="41">
        <f>SUM($R38:R$87)/R38</f>
        <v>16.843413500085319</v>
      </c>
      <c r="Y38" s="73">
        <f t="shared" si="9"/>
        <v>0.3521764038428718</v>
      </c>
    </row>
    <row r="39" spans="1:25" x14ac:dyDescent="0.25">
      <c r="A39" s="40">
        <v>52</v>
      </c>
      <c r="B39" s="44">
        <v>3.5439999999999998E-3</v>
      </c>
      <c r="C39" s="46">
        <f t="shared" si="15"/>
        <v>92820.308038029674</v>
      </c>
      <c r="D39" s="45">
        <f t="shared" si="10"/>
        <v>328.95517168677179</v>
      </c>
      <c r="E39" s="45">
        <f t="shared" si="11"/>
        <v>12075.617880980082</v>
      </c>
      <c r="F39" s="45">
        <f>SUM($E39:E$87)</f>
        <v>205468.09151819118</v>
      </c>
      <c r="G39" s="46">
        <f t="shared" si="12"/>
        <v>41.14999016364672</v>
      </c>
      <c r="H39" s="46">
        <f>SUM($G39:G$87)</f>
        <v>4172.9989764342417</v>
      </c>
      <c r="I39" s="47">
        <f>SUM($H39:H$87)</f>
        <v>104581.0254751012</v>
      </c>
      <c r="J39" s="47">
        <f>SUM($F39:F$87)</f>
        <v>2623063.7171203257</v>
      </c>
      <c r="K39" s="71">
        <f>SUM($E39:E$87)/E39</f>
        <v>17.015120347739504</v>
      </c>
      <c r="L39" s="72">
        <f t="shared" si="7"/>
        <v>0.34557229431770925</v>
      </c>
      <c r="M39" s="48"/>
      <c r="N39" s="40">
        <v>52</v>
      </c>
      <c r="O39" s="44">
        <v>4.3010000000000001E-3</v>
      </c>
      <c r="P39" s="46">
        <f t="shared" si="16"/>
        <v>93958.202893108944</v>
      </c>
      <c r="Q39" s="45">
        <f t="shared" si="13"/>
        <v>404.11423064325936</v>
      </c>
      <c r="R39" s="61">
        <f t="shared" si="3"/>
        <v>12223.654272467176</v>
      </c>
      <c r="S39" s="61">
        <f>SUM($R39:R$87)</f>
        <v>202197.1279189623</v>
      </c>
      <c r="T39" s="46">
        <f t="shared" si="14"/>
        <v>50.551862524885607</v>
      </c>
      <c r="U39" s="46">
        <f>SUM($T39:T$87)</f>
        <v>4446.8416601993895</v>
      </c>
      <c r="V39" s="46">
        <f>SUM($U39:U$87)</f>
        <v>104419.77207844438</v>
      </c>
      <c r="W39" s="47">
        <f>SUM($S39:S$87)</f>
        <v>2542211.251853467</v>
      </c>
      <c r="X39" s="41">
        <f>SUM($R39:R$87)/R39</f>
        <v>16.54146324920163</v>
      </c>
      <c r="Y39" s="73">
        <f t="shared" si="9"/>
        <v>0.36378987503070598</v>
      </c>
    </row>
    <row r="40" spans="1:25" x14ac:dyDescent="0.25">
      <c r="A40" s="40">
        <v>53</v>
      </c>
      <c r="B40" s="44">
        <v>3.6219999999999998E-3</v>
      </c>
      <c r="C40" s="46">
        <f t="shared" si="15"/>
        <v>92491.352866342902</v>
      </c>
      <c r="D40" s="45">
        <f t="shared" si="10"/>
        <v>335.00368008189253</v>
      </c>
      <c r="E40" s="45">
        <f t="shared" si="11"/>
        <v>11570.021049240275</v>
      </c>
      <c r="F40" s="45">
        <f>SUM($E40:E$87)</f>
        <v>193392.47363721111</v>
      </c>
      <c r="G40" s="46">
        <f t="shared" si="12"/>
        <v>40.294823308026899</v>
      </c>
      <c r="H40" s="46">
        <f>SUM($G40:G$87)</f>
        <v>4131.8489862705947</v>
      </c>
      <c r="I40" s="47">
        <f>SUM($H40:H$87)</f>
        <v>100408.02649866696</v>
      </c>
      <c r="J40" s="47">
        <f>SUM($F40:F$87)</f>
        <v>2417595.625602135</v>
      </c>
      <c r="K40" s="71">
        <f>SUM($E40:E$87)/E40</f>
        <v>16.714962990487376</v>
      </c>
      <c r="L40" s="72">
        <f t="shared" si="7"/>
        <v>0.35711680805817592</v>
      </c>
      <c r="M40" s="48"/>
      <c r="N40" s="40">
        <v>53</v>
      </c>
      <c r="O40" s="44">
        <v>4.7569999999999999E-3</v>
      </c>
      <c r="P40" s="46">
        <f t="shared" si="16"/>
        <v>93554.088662465685</v>
      </c>
      <c r="Q40" s="45">
        <f t="shared" si="13"/>
        <v>445.03679976734566</v>
      </c>
      <c r="R40" s="61">
        <f t="shared" si="3"/>
        <v>11702.961861001244</v>
      </c>
      <c r="S40" s="61">
        <f>SUM($R40:R$87)</f>
        <v>189973.47364649511</v>
      </c>
      <c r="T40" s="46">
        <f t="shared" si="14"/>
        <v>53.529797666136986</v>
      </c>
      <c r="U40" s="46">
        <f>SUM($T40:T$87)</f>
        <v>4396.2897976745035</v>
      </c>
      <c r="V40" s="46">
        <f>SUM($U40:U$87)</f>
        <v>99972.930418245</v>
      </c>
      <c r="W40" s="47">
        <f>SUM($S40:S$87)</f>
        <v>2340014.1239345046</v>
      </c>
      <c r="X40" s="41">
        <f>SUM($R40:R$87)/R40</f>
        <v>16.232939652615595</v>
      </c>
      <c r="Y40" s="73">
        <f t="shared" si="9"/>
        <v>0.37565616720709194</v>
      </c>
    </row>
    <row r="41" spans="1:25" x14ac:dyDescent="0.25">
      <c r="A41" s="40">
        <v>54</v>
      </c>
      <c r="B41" s="44">
        <v>3.7000000000000002E-3</v>
      </c>
      <c r="C41" s="46">
        <f t="shared" si="15"/>
        <v>92156.34918626101</v>
      </c>
      <c r="D41" s="45">
        <f t="shared" si="10"/>
        <v>340.97849198916811</v>
      </c>
      <c r="E41" s="45">
        <f t="shared" si="11"/>
        <v>11084.725416346084</v>
      </c>
      <c r="F41" s="45">
        <f>SUM($E41:E$87)</f>
        <v>181822.45258797085</v>
      </c>
      <c r="G41" s="46">
        <f t="shared" si="12"/>
        <v>39.436042346616034</v>
      </c>
      <c r="H41" s="46">
        <f>SUM($G41:G$87)</f>
        <v>4091.5541629625682</v>
      </c>
      <c r="I41" s="47">
        <f>SUM($H41:H$87)</f>
        <v>96276.17751239636</v>
      </c>
      <c r="J41" s="47">
        <f>SUM($F41:F$87)</f>
        <v>2224203.1519649238</v>
      </c>
      <c r="K41" s="71">
        <f>SUM($E41:E$87)/E41</f>
        <v>16.402973078597551</v>
      </c>
      <c r="L41" s="72">
        <f t="shared" si="7"/>
        <v>0.36911642005393841</v>
      </c>
      <c r="M41" s="48"/>
      <c r="N41" s="40">
        <v>54</v>
      </c>
      <c r="O41" s="44">
        <v>5.2610000000000001E-3</v>
      </c>
      <c r="P41" s="46">
        <f t="shared" si="16"/>
        <v>93109.051862698339</v>
      </c>
      <c r="Q41" s="45">
        <f t="shared" si="13"/>
        <v>489.84672184965166</v>
      </c>
      <c r="R41" s="61">
        <f t="shared" si="3"/>
        <v>11199.318145604289</v>
      </c>
      <c r="S41" s="61">
        <f>SUM($R41:R$87)</f>
        <v>178270.5117854939</v>
      </c>
      <c r="T41" s="46">
        <f t="shared" si="14"/>
        <v>56.653473811561206</v>
      </c>
      <c r="U41" s="46">
        <f>SUM($T41:T$87)</f>
        <v>4342.7600000083676</v>
      </c>
      <c r="V41" s="46">
        <f>SUM($U41:U$87)</f>
        <v>95576.640620570484</v>
      </c>
      <c r="W41" s="47">
        <f>SUM($S41:S$87)</f>
        <v>2150040.6502880096</v>
      </c>
      <c r="X41" s="41">
        <f>SUM($R41:R$87)/R41</f>
        <v>15.917979065133062</v>
      </c>
      <c r="Y41" s="73">
        <f t="shared" si="9"/>
        <v>0.38777003595642046</v>
      </c>
    </row>
    <row r="42" spans="1:25" x14ac:dyDescent="0.25">
      <c r="A42" s="40">
        <v>55</v>
      </c>
      <c r="B42" s="44">
        <v>3.7780000000000001E-3</v>
      </c>
      <c r="C42" s="46">
        <f t="shared" si="15"/>
        <v>91815.370694271842</v>
      </c>
      <c r="D42" s="45">
        <f t="shared" si="10"/>
        <v>346.87847048295953</v>
      </c>
      <c r="E42" s="45">
        <f t="shared" si="11"/>
        <v>10618.953781063081</v>
      </c>
      <c r="F42" s="45">
        <f>SUM($E42:E$87)</f>
        <v>170737.72717162475</v>
      </c>
      <c r="G42" s="46">
        <f t="shared" si="12"/>
        <v>38.575391716207932</v>
      </c>
      <c r="H42" s="46">
        <f>SUM($G42:G$87)</f>
        <v>4052.1181206159522</v>
      </c>
      <c r="I42" s="47">
        <f>SUM($H42:H$87)</f>
        <v>92184.623349433794</v>
      </c>
      <c r="J42" s="47">
        <f>SUM($F42:F$87)</f>
        <v>2042380.6993769538</v>
      </c>
      <c r="K42" s="71">
        <f>SUM($E42:E$87)/E42</f>
        <v>16.078582757945849</v>
      </c>
      <c r="L42" s="72">
        <f t="shared" si="7"/>
        <v>0.38159297084823435</v>
      </c>
      <c r="M42" s="48"/>
      <c r="N42" s="40">
        <v>55</v>
      </c>
      <c r="O42" s="44">
        <v>5.8190000000000004E-3</v>
      </c>
      <c r="P42" s="46">
        <f t="shared" si="16"/>
        <v>92619.205140848688</v>
      </c>
      <c r="Q42" s="45">
        <f t="shared" si="13"/>
        <v>538.95115471459576</v>
      </c>
      <c r="R42" s="61">
        <f t="shared" si="3"/>
        <v>10711.921666192564</v>
      </c>
      <c r="S42" s="61">
        <f>SUM($R42:R$87)</f>
        <v>167071.19363988959</v>
      </c>
      <c r="T42" s="46">
        <f t="shared" si="14"/>
        <v>59.935261707282898</v>
      </c>
      <c r="U42" s="46">
        <f>SUM($T42:T$87)</f>
        <v>4286.106526196806</v>
      </c>
      <c r="V42" s="46">
        <f>SUM($U42:U$87)</f>
        <v>91233.880620562122</v>
      </c>
      <c r="W42" s="47">
        <f>SUM($S42:S$87)</f>
        <v>1971770.1385025135</v>
      </c>
      <c r="X42" s="41">
        <f>SUM($R42:R$87)/R42</f>
        <v>15.596752743924165</v>
      </c>
      <c r="Y42" s="73">
        <f t="shared" si="9"/>
        <v>0.40012489446445476</v>
      </c>
    </row>
    <row r="43" spans="1:25" x14ac:dyDescent="0.25">
      <c r="A43" s="40">
        <v>56</v>
      </c>
      <c r="B43" s="44">
        <v>4.1710000000000002E-3</v>
      </c>
      <c r="C43" s="46">
        <f t="shared" si="15"/>
        <v>91468.492223788882</v>
      </c>
      <c r="D43" s="45">
        <f t="shared" si="10"/>
        <v>381.51508106543042</v>
      </c>
      <c r="E43" s="45">
        <f t="shared" si="11"/>
        <v>10171.957090075217</v>
      </c>
      <c r="F43" s="45">
        <f>SUM($E43:E$87)</f>
        <v>160118.77339056166</v>
      </c>
      <c r="G43" s="46">
        <f t="shared" si="12"/>
        <v>40.795416367984977</v>
      </c>
      <c r="H43" s="46">
        <f>SUM($G43:G$87)</f>
        <v>4013.5427288997439</v>
      </c>
      <c r="I43" s="47">
        <f>SUM($H43:H$87)</f>
        <v>88132.505228817841</v>
      </c>
      <c r="J43" s="47">
        <f>SUM($F43:F$87)</f>
        <v>1871642.972205329</v>
      </c>
      <c r="K43" s="71">
        <f>SUM($E43:E$87)/E43</f>
        <v>15.741196307914985</v>
      </c>
      <c r="L43" s="72">
        <f t="shared" si="7"/>
        <v>0.39456937277249815</v>
      </c>
      <c r="M43" s="48"/>
      <c r="N43" s="40">
        <v>56</v>
      </c>
      <c r="O43" s="44">
        <v>6.4359999999999999E-3</v>
      </c>
      <c r="P43" s="46">
        <f t="shared" si="16"/>
        <v>92080.253986134092</v>
      </c>
      <c r="Q43" s="45">
        <f t="shared" si="13"/>
        <v>592.62851465475978</v>
      </c>
      <c r="R43" s="61">
        <f t="shared" si="3"/>
        <v>10239.98941732403</v>
      </c>
      <c r="S43" s="61">
        <f>SUM($R43:R$87)</f>
        <v>156359.27197369706</v>
      </c>
      <c r="T43" s="46">
        <f t="shared" si="14"/>
        <v>63.369780663362995</v>
      </c>
      <c r="U43" s="46">
        <f>SUM($T43:T$87)</f>
        <v>4226.1712644895233</v>
      </c>
      <c r="V43" s="46">
        <f>SUM($U43:U$87)</f>
        <v>86947.774094365319</v>
      </c>
      <c r="W43" s="47">
        <f>SUM($S43:S$87)</f>
        <v>1804698.9448626239</v>
      </c>
      <c r="X43" s="41">
        <f>SUM($R43:R$87)/R43</f>
        <v>15.269475934141905</v>
      </c>
      <c r="Y43" s="73">
        <f t="shared" si="9"/>
        <v>0.41271246407146478</v>
      </c>
    </row>
    <row r="44" spans="1:25" x14ac:dyDescent="0.25">
      <c r="A44" s="40">
        <v>57</v>
      </c>
      <c r="B44" s="44">
        <v>4.6969999999999998E-3</v>
      </c>
      <c r="C44" s="46">
        <f t="shared" si="15"/>
        <v>91086.977142723452</v>
      </c>
      <c r="D44" s="45">
        <f t="shared" si="10"/>
        <v>427.83553163937177</v>
      </c>
      <c r="E44" s="45">
        <f t="shared" si="11"/>
        <v>9739.9325548581819</v>
      </c>
      <c r="F44" s="45">
        <f>SUM($E44:E$87)</f>
        <v>149946.81630048642</v>
      </c>
      <c r="G44" s="46">
        <f t="shared" si="12"/>
        <v>43.988906932854526</v>
      </c>
      <c r="H44" s="46">
        <f>SUM($G44:G$87)</f>
        <v>3972.7473125317597</v>
      </c>
      <c r="I44" s="47">
        <f>SUM($H44:H$87)</f>
        <v>84118.962499918096</v>
      </c>
      <c r="J44" s="47">
        <f>SUM($F44:F$87)</f>
        <v>1711524.1988147672</v>
      </c>
      <c r="K44" s="71">
        <f>SUM($E44:E$87)/E44</f>
        <v>15.395056942739755</v>
      </c>
      <c r="L44" s="72">
        <f t="shared" si="7"/>
        <v>0.40788242527923796</v>
      </c>
      <c r="M44" s="48"/>
      <c r="N44" s="40">
        <v>57</v>
      </c>
      <c r="O44" s="44">
        <v>7.1180000000000002E-3</v>
      </c>
      <c r="P44" s="46">
        <f t="shared" si="16"/>
        <v>91487.625471479332</v>
      </c>
      <c r="Q44" s="45">
        <f t="shared" si="13"/>
        <v>651.2089181059855</v>
      </c>
      <c r="R44" s="61">
        <f t="shared" si="3"/>
        <v>9782.7738898405078</v>
      </c>
      <c r="S44" s="61">
        <f>SUM($R44:R$87)</f>
        <v>146119.28255637301</v>
      </c>
      <c r="T44" s="46">
        <f t="shared" si="14"/>
        <v>66.955562065273341</v>
      </c>
      <c r="U44" s="46">
        <f>SUM($T44:T$87)</f>
        <v>4162.8014838261597</v>
      </c>
      <c r="V44" s="46">
        <f>SUM($U44:U$87)</f>
        <v>82721.602829875788</v>
      </c>
      <c r="W44" s="47">
        <f>SUM($S44:S$87)</f>
        <v>1648339.6728889269</v>
      </c>
      <c r="X44" s="41">
        <f>SUM($R44:R$87)/R44</f>
        <v>14.936385548900308</v>
      </c>
      <c r="Y44" s="73">
        <f t="shared" si="9"/>
        <v>0.42552363273460342</v>
      </c>
    </row>
    <row r="45" spans="1:25" x14ac:dyDescent="0.25">
      <c r="A45" s="40">
        <v>58</v>
      </c>
      <c r="B45" s="44">
        <v>5.2880000000000002E-3</v>
      </c>
      <c r="C45" s="46">
        <f t="shared" si="15"/>
        <v>90659.14161108408</v>
      </c>
      <c r="D45" s="45">
        <f t="shared" si="10"/>
        <v>479.4055408394197</v>
      </c>
      <c r="E45" s="45">
        <f t="shared" si="11"/>
        <v>9321.3308573538598</v>
      </c>
      <c r="F45" s="45">
        <f>SUM($E45:E$87)</f>
        <v>140206.88374562826</v>
      </c>
      <c r="G45" s="46">
        <f t="shared" si="12"/>
        <v>47.395382282392099</v>
      </c>
      <c r="H45" s="46">
        <f>SUM($G45:G$87)</f>
        <v>3928.758405598905</v>
      </c>
      <c r="I45" s="47">
        <f>SUM($H45:H$87)</f>
        <v>80146.215187386319</v>
      </c>
      <c r="J45" s="47">
        <f>SUM($F45:F$87)</f>
        <v>1561577.3825142807</v>
      </c>
      <c r="K45" s="71">
        <f>SUM($E45:E$87)/E45</f>
        <v>15.041509189110599</v>
      </c>
      <c r="L45" s="72">
        <f t="shared" si="7"/>
        <v>0.42148041580343615</v>
      </c>
      <c r="M45" s="48"/>
      <c r="N45" s="40">
        <v>58</v>
      </c>
      <c r="O45" s="44">
        <v>7.8709999999999995E-3</v>
      </c>
      <c r="P45" s="46">
        <f t="shared" si="16"/>
        <v>90836.416553373347</v>
      </c>
      <c r="Q45" s="45">
        <f t="shared" si="13"/>
        <v>714.97343469160842</v>
      </c>
      <c r="R45" s="61">
        <f t="shared" si="3"/>
        <v>9339.5577935506008</v>
      </c>
      <c r="S45" s="61">
        <f>SUM($R45:R$87)</f>
        <v>136336.50866653249</v>
      </c>
      <c r="T45" s="46">
        <f t="shared" si="14"/>
        <v>70.684287877920653</v>
      </c>
      <c r="U45" s="46">
        <f>SUM($T45:T$87)</f>
        <v>4095.8459217608852</v>
      </c>
      <c r="V45" s="46">
        <f>SUM($U45:U$87)</f>
        <v>78558.801346049615</v>
      </c>
      <c r="W45" s="47">
        <f>SUM($S45:S$87)</f>
        <v>1502220.3903325538</v>
      </c>
      <c r="X45" s="41">
        <f>SUM($R45:R$87)/R45</f>
        <v>14.597747739264401</v>
      </c>
      <c r="Y45" s="73">
        <f t="shared" si="9"/>
        <v>0.43854816387444567</v>
      </c>
    </row>
    <row r="46" spans="1:25" x14ac:dyDescent="0.25">
      <c r="A46" s="40">
        <v>59</v>
      </c>
      <c r="B46" s="44">
        <v>5.9540000000000001E-3</v>
      </c>
      <c r="C46" s="46">
        <f t="shared" si="15"/>
        <v>90179.73607024466</v>
      </c>
      <c r="D46" s="45">
        <f t="shared" si="10"/>
        <v>536.93014856224181</v>
      </c>
      <c r="E46" s="45">
        <f t="shared" si="11"/>
        <v>8915.4227497886277</v>
      </c>
      <c r="F46" s="45">
        <f>SUM($E46:E$87)</f>
        <v>130885.55288827441</v>
      </c>
      <c r="G46" s="46">
        <f t="shared" si="12"/>
        <v>51.040795242540206</v>
      </c>
      <c r="H46" s="46">
        <f>SUM($G46:G$87)</f>
        <v>3881.3630233165127</v>
      </c>
      <c r="I46" s="47">
        <f>SUM($H46:H$87)</f>
        <v>76217.456781787419</v>
      </c>
      <c r="J46" s="47">
        <f>SUM($F46:F$87)</f>
        <v>1421370.4987686526</v>
      </c>
      <c r="K46" s="71">
        <f>SUM($E46:E$87)/E46</f>
        <v>14.680801635724736</v>
      </c>
      <c r="L46" s="72">
        <f t="shared" si="7"/>
        <v>0.43535378324135382</v>
      </c>
      <c r="M46" s="48"/>
      <c r="N46" s="40">
        <v>59</v>
      </c>
      <c r="O46" s="44">
        <v>8.7049999999999992E-3</v>
      </c>
      <c r="P46" s="46">
        <f t="shared" si="16"/>
        <v>90121.443118681738</v>
      </c>
      <c r="Q46" s="45">
        <f t="shared" si="13"/>
        <v>784.50716234811989</v>
      </c>
      <c r="R46" s="61">
        <f t="shared" si="3"/>
        <v>8909.6597443822739</v>
      </c>
      <c r="S46" s="61">
        <f>SUM($R46:R$87)</f>
        <v>126996.95087298189</v>
      </c>
      <c r="T46" s="46">
        <f t="shared" si="14"/>
        <v>74.575565456583846</v>
      </c>
      <c r="U46" s="46">
        <f>SUM($T46:T$87)</f>
        <v>4025.1616338829645</v>
      </c>
      <c r="V46" s="46">
        <f>SUM($U46:U$87)</f>
        <v>74462.955424288724</v>
      </c>
      <c r="W46" s="47">
        <f>SUM($S46:S$87)</f>
        <v>1365883.881666021</v>
      </c>
      <c r="X46" s="41">
        <f>SUM($R46:R$87)/R46</f>
        <v>14.253849699822275</v>
      </c>
      <c r="Y46" s="73">
        <f t="shared" si="9"/>
        <v>0.45177501154529642</v>
      </c>
    </row>
    <row r="47" spans="1:25" x14ac:dyDescent="0.25">
      <c r="A47" s="40">
        <v>60</v>
      </c>
      <c r="B47" s="44">
        <v>6.7039999999999999E-3</v>
      </c>
      <c r="C47" s="46">
        <f t="shared" si="15"/>
        <v>89642.805921682419</v>
      </c>
      <c r="D47" s="45">
        <f t="shared" si="10"/>
        <v>600.96537089896447</v>
      </c>
      <c r="E47" s="45">
        <f t="shared" si="11"/>
        <v>8521.4810795542144</v>
      </c>
      <c r="F47" s="45">
        <f>SUM($E47:E$87)</f>
        <v>121970.13013848579</v>
      </c>
      <c r="G47" s="46">
        <f t="shared" si="12"/>
        <v>54.930778035895948</v>
      </c>
      <c r="H47" s="46">
        <f>SUM($G47:G$87)</f>
        <v>3830.3222280739724</v>
      </c>
      <c r="I47" s="47">
        <f>SUM($H47:H$87)</f>
        <v>72336.093758470874</v>
      </c>
      <c r="J47" s="47">
        <f>SUM($F47:F$87)</f>
        <v>1290484.9458803781</v>
      </c>
      <c r="K47" s="71">
        <f>SUM($E47:E$87)/E47</f>
        <v>14.313254820354121</v>
      </c>
      <c r="L47" s="72">
        <f t="shared" si="7"/>
        <v>0.44949019921714695</v>
      </c>
      <c r="M47" s="48"/>
      <c r="N47" s="40">
        <v>60</v>
      </c>
      <c r="O47" s="44">
        <v>9.6259999999999991E-3</v>
      </c>
      <c r="P47" s="46">
        <f t="shared" si="16"/>
        <v>89336.935956333618</v>
      </c>
      <c r="Q47" s="45">
        <f t="shared" si="13"/>
        <v>859.9573455156642</v>
      </c>
      <c r="R47" s="61">
        <f t="shared" si="3"/>
        <v>8492.4049579879065</v>
      </c>
      <c r="S47" s="61">
        <f>SUM($R47:R$87)</f>
        <v>118087.29112859964</v>
      </c>
      <c r="T47" s="46">
        <f t="shared" si="14"/>
        <v>78.603740505376237</v>
      </c>
      <c r="U47" s="46">
        <f>SUM($T47:T$87)</f>
        <v>3950.5860684263803</v>
      </c>
      <c r="V47" s="46">
        <f>SUM($U47:U$87)</f>
        <v>70437.793790405762</v>
      </c>
      <c r="W47" s="47">
        <f>SUM($S47:S$87)</f>
        <v>1238886.9307930393</v>
      </c>
      <c r="X47" s="41">
        <f>SUM($R47:R$87)/R47</f>
        <v>13.905047123021074</v>
      </c>
      <c r="Y47" s="73">
        <f t="shared" si="9"/>
        <v>0.46519049526842005</v>
      </c>
    </row>
    <row r="48" spans="1:25" x14ac:dyDescent="0.25">
      <c r="A48" s="40">
        <v>61</v>
      </c>
      <c r="B48" s="44">
        <v>7.5469999999999999E-3</v>
      </c>
      <c r="C48" s="46">
        <f t="shared" si="15"/>
        <v>89041.840550783454</v>
      </c>
      <c r="D48" s="45">
        <f t="shared" si="10"/>
        <v>671.99877063676831</v>
      </c>
      <c r="E48" s="45">
        <f t="shared" si="11"/>
        <v>8138.8010292277713</v>
      </c>
      <c r="F48" s="45">
        <f>SUM($E48:E$87)</f>
        <v>113448.64905893157</v>
      </c>
      <c r="G48" s="46">
        <f t="shared" si="12"/>
        <v>59.061087853444505</v>
      </c>
      <c r="H48" s="46">
        <f>SUM($G48:G$87)</f>
        <v>3775.3914500380765</v>
      </c>
      <c r="I48" s="47">
        <f>SUM($H48:H$87)</f>
        <v>68505.771530396916</v>
      </c>
      <c r="J48" s="47">
        <f>SUM($F48:F$87)</f>
        <v>1168514.8157418924</v>
      </c>
      <c r="K48" s="71">
        <f>SUM($E48:E$87)/E48</f>
        <v>13.939233635460411</v>
      </c>
      <c r="L48" s="72">
        <f t="shared" si="7"/>
        <v>0.46387562940536642</v>
      </c>
      <c r="M48" s="48"/>
      <c r="N48" s="40">
        <v>61</v>
      </c>
      <c r="O48" s="44">
        <v>1.0644000000000001E-2</v>
      </c>
      <c r="P48" s="46">
        <f t="shared" si="16"/>
        <v>88476.978610817954</v>
      </c>
      <c r="Q48" s="45">
        <f t="shared" si="13"/>
        <v>941.74896033354162</v>
      </c>
      <c r="R48" s="61">
        <f t="shared" si="3"/>
        <v>8087.1702575599193</v>
      </c>
      <c r="S48" s="61">
        <f>SUM($R48:R$87)</f>
        <v>109594.88617061172</v>
      </c>
      <c r="T48" s="46">
        <f t="shared" si="14"/>
        <v>82.769077136026311</v>
      </c>
      <c r="U48" s="46">
        <f>SUM($T48:T$87)</f>
        <v>3871.9823279210041</v>
      </c>
      <c r="V48" s="46">
        <f>SUM($U48:U$87)</f>
        <v>66487.207721979386</v>
      </c>
      <c r="W48" s="47">
        <f>SUM($S48:S$87)</f>
        <v>1120799.6396644397</v>
      </c>
      <c r="X48" s="41">
        <f>SUM($R48:R$87)/R48</f>
        <v>13.551697649516155</v>
      </c>
      <c r="Y48" s="73">
        <f t="shared" si="9"/>
        <v>0.47878085963399364</v>
      </c>
    </row>
    <row r="49" spans="1:25" x14ac:dyDescent="0.25">
      <c r="A49" s="40">
        <v>62</v>
      </c>
      <c r="B49" s="44">
        <v>8.4960000000000001E-3</v>
      </c>
      <c r="C49" s="46">
        <f t="shared" si="15"/>
        <v>88369.841780146686</v>
      </c>
      <c r="D49" s="45">
        <f t="shared" si="10"/>
        <v>750.79017576412298</v>
      </c>
      <c r="E49" s="45">
        <f t="shared" si="11"/>
        <v>7766.7091325578749</v>
      </c>
      <c r="F49" s="45">
        <f>SUM($E49:E$87)</f>
        <v>105309.84802970379</v>
      </c>
      <c r="G49" s="46">
        <f t="shared" si="12"/>
        <v>63.4480392213569</v>
      </c>
      <c r="H49" s="46">
        <f>SUM($G49:G$87)</f>
        <v>3716.3303621846321</v>
      </c>
      <c r="I49" s="47">
        <f>SUM($H49:H$87)</f>
        <v>64730.380080358838</v>
      </c>
      <c r="J49" s="47">
        <f>SUM($F49:F$87)</f>
        <v>1055066.1666829607</v>
      </c>
      <c r="K49" s="71">
        <f>SUM($E49:E$87)/E49</f>
        <v>13.55913376339114</v>
      </c>
      <c r="L49" s="72">
        <f t="shared" si="7"/>
        <v>0.47849485525418434</v>
      </c>
      <c r="M49" s="48"/>
      <c r="N49" s="40">
        <v>62</v>
      </c>
      <c r="O49" s="44">
        <v>1.1768000000000001E-2</v>
      </c>
      <c r="P49" s="46">
        <f t="shared" si="16"/>
        <v>87535.229650484413</v>
      </c>
      <c r="Q49" s="45">
        <f t="shared" si="13"/>
        <v>1030.114582526905</v>
      </c>
      <c r="R49" s="61">
        <f t="shared" si="3"/>
        <v>7693.3561705177426</v>
      </c>
      <c r="S49" s="61">
        <f>SUM($R49:R$87)</f>
        <v>101507.7159130518</v>
      </c>
      <c r="T49" s="46">
        <f t="shared" si="14"/>
        <v>87.053284052551149</v>
      </c>
      <c r="U49" s="46">
        <f>SUM($T49:T$87)</f>
        <v>3789.2132507849778</v>
      </c>
      <c r="V49" s="46">
        <f>SUM($U49:U$87)</f>
        <v>62615.225394058383</v>
      </c>
      <c r="W49" s="47">
        <f>SUM($S49:S$87)</f>
        <v>1011204.7534938279</v>
      </c>
      <c r="X49" s="41">
        <f>SUM($R49:R$87)/R49</f>
        <v>13.194204670004327</v>
      </c>
      <c r="Y49" s="73">
        <f t="shared" si="9"/>
        <v>0.49253058961521778</v>
      </c>
    </row>
    <row r="50" spans="1:25" x14ac:dyDescent="0.25">
      <c r="A50" s="40">
        <v>63</v>
      </c>
      <c r="B50" s="44">
        <v>9.5630000000000003E-3</v>
      </c>
      <c r="C50" s="46">
        <f t="shared" si="15"/>
        <v>87619.051604382563</v>
      </c>
      <c r="D50" s="45">
        <f t="shared" si="10"/>
        <v>837.90099049270793</v>
      </c>
      <c r="E50" s="45">
        <f t="shared" si="11"/>
        <v>7404.5415113150611</v>
      </c>
      <c r="F50" s="45">
        <f>SUM($E50:E$87)</f>
        <v>97543.138897145909</v>
      </c>
      <c r="G50" s="46">
        <f t="shared" si="12"/>
        <v>68.08618314683217</v>
      </c>
      <c r="H50" s="46">
        <f>SUM($G50:G$87)</f>
        <v>3652.8823229632749</v>
      </c>
      <c r="I50" s="47">
        <f>SUM($H50:H$87)</f>
        <v>61014.049718174203</v>
      </c>
      <c r="J50" s="47">
        <f>SUM($F50:F$87)</f>
        <v>949756.31865325663</v>
      </c>
      <c r="K50" s="71">
        <f>SUM($E50:E$87)/E50</f>
        <v>13.17342049444761</v>
      </c>
      <c r="L50" s="72">
        <f t="shared" si="7"/>
        <v>0.49332998098278147</v>
      </c>
      <c r="M50" s="48"/>
      <c r="N50" s="40">
        <v>63</v>
      </c>
      <c r="O50" s="44">
        <v>1.3011999999999999E-2</v>
      </c>
      <c r="P50" s="46">
        <f t="shared" si="16"/>
        <v>86505.115067957508</v>
      </c>
      <c r="Q50" s="45">
        <f t="shared" si="13"/>
        <v>1125.6045572642615</v>
      </c>
      <c r="R50" s="61">
        <f t="shared" si="3"/>
        <v>7310.4045722145092</v>
      </c>
      <c r="S50" s="61">
        <f>SUM($R50:R$87)</f>
        <v>93814.359742534027</v>
      </c>
      <c r="T50" s="46">
        <f t="shared" si="14"/>
        <v>91.464407974668319</v>
      </c>
      <c r="U50" s="46">
        <f>SUM($T50:T$87)</f>
        <v>3702.1599667324267</v>
      </c>
      <c r="V50" s="46">
        <f>SUM($U50:U$87)</f>
        <v>58826.012143273401</v>
      </c>
      <c r="W50" s="47">
        <f>SUM($S50:S$87)</f>
        <v>909697.03758077626</v>
      </c>
      <c r="X50" s="41">
        <f>SUM($R50:R$87)/R50</f>
        <v>12.832991500785742</v>
      </c>
      <c r="Y50" s="73">
        <f t="shared" si="9"/>
        <v>0.50642340381593232</v>
      </c>
    </row>
    <row r="51" spans="1:25" x14ac:dyDescent="0.25">
      <c r="A51" s="40">
        <v>64</v>
      </c>
      <c r="B51" s="44">
        <v>1.0763999999999999E-2</v>
      </c>
      <c r="C51" s="46">
        <f t="shared" si="15"/>
        <v>86781.150613889855</v>
      </c>
      <c r="D51" s="45">
        <f t="shared" si="10"/>
        <v>934.11230520790559</v>
      </c>
      <c r="E51" s="45">
        <f t="shared" si="11"/>
        <v>7051.6652700407249</v>
      </c>
      <c r="F51" s="45">
        <f>SUM($E51:E$87)</f>
        <v>90138.597385830857</v>
      </c>
      <c r="G51" s="46">
        <f t="shared" si="12"/>
        <v>72.984735544920881</v>
      </c>
      <c r="H51" s="46">
        <f>SUM($G51:G$87)</f>
        <v>3584.796139816443</v>
      </c>
      <c r="I51" s="47">
        <f>SUM($H51:H$87)</f>
        <v>57361.167395210927</v>
      </c>
      <c r="J51" s="47">
        <f>SUM($F51:F$87)</f>
        <v>852213.17975611077</v>
      </c>
      <c r="K51" s="71">
        <f>SUM($E51:E$87)/E51</f>
        <v>12.782597292130159</v>
      </c>
      <c r="L51" s="72">
        <f t="shared" si="7"/>
        <v>0.50836164261037597</v>
      </c>
      <c r="M51" s="48"/>
      <c r="N51" s="40">
        <v>64</v>
      </c>
      <c r="O51" s="44">
        <v>1.4385E-2</v>
      </c>
      <c r="P51" s="46">
        <f t="shared" si="16"/>
        <v>85379.510510693246</v>
      </c>
      <c r="Q51" s="45">
        <f t="shared" si="13"/>
        <v>1228.1842586963176</v>
      </c>
      <c r="R51" s="61">
        <f t="shared" si="3"/>
        <v>6937.7707576162047</v>
      </c>
      <c r="S51" s="61">
        <f>SUM($R51:R$87)</f>
        <v>86503.955170319532</v>
      </c>
      <c r="T51" s="46">
        <f t="shared" si="14"/>
        <v>95.961377257989142</v>
      </c>
      <c r="U51" s="46">
        <f>SUM($T51:T$87)</f>
        <v>3610.6955587577581</v>
      </c>
      <c r="V51" s="46">
        <f>SUM($U51:U$87)</f>
        <v>55123.852176540975</v>
      </c>
      <c r="W51" s="47">
        <f>SUM($S51:S$87)</f>
        <v>815882.67783824215</v>
      </c>
      <c r="X51" s="41">
        <f>SUM($R51:R$87)/R51</f>
        <v>12.468551958906467</v>
      </c>
      <c r="Y51" s="73">
        <f t="shared" si="9"/>
        <v>0.52044030927282781</v>
      </c>
    </row>
    <row r="52" spans="1:25" x14ac:dyDescent="0.25">
      <c r="A52" s="40">
        <v>65</v>
      </c>
      <c r="B52" s="44">
        <v>1.2116E-2</v>
      </c>
      <c r="C52" s="46">
        <f t="shared" si="15"/>
        <v>85847.038308681949</v>
      </c>
      <c r="D52" s="45">
        <f t="shared" si="10"/>
        <v>1040.122716147991</v>
      </c>
      <c r="E52" s="45">
        <f t="shared" si="11"/>
        <v>6707.462639494237</v>
      </c>
      <c r="F52" s="45">
        <f>SUM($E52:E$87)</f>
        <v>83086.932115790129</v>
      </c>
      <c r="G52" s="46">
        <f t="shared" si="12"/>
        <v>78.141939750107625</v>
      </c>
      <c r="H52" s="46">
        <f>SUM($G52:G$87)</f>
        <v>3511.811404271522</v>
      </c>
      <c r="I52" s="47">
        <f>SUM($H52:H$87)</f>
        <v>53776.371255394479</v>
      </c>
      <c r="J52" s="47">
        <f>SUM($F52:F$87)</f>
        <v>762074.58237027982</v>
      </c>
      <c r="K52" s="71">
        <f>SUM($E52:E$87)/E52</f>
        <v>12.38723740726719</v>
      </c>
      <c r="L52" s="72">
        <f t="shared" si="7"/>
        <v>0.52356779202818238</v>
      </c>
      <c r="M52" s="48"/>
      <c r="N52" s="40">
        <v>65</v>
      </c>
      <c r="O52" s="44">
        <v>1.5901999999999999E-2</v>
      </c>
      <c r="P52" s="46">
        <f t="shared" si="16"/>
        <v>84151.326251996928</v>
      </c>
      <c r="Q52" s="45">
        <f t="shared" si="13"/>
        <v>1338.1743900592555</v>
      </c>
      <c r="R52" s="61">
        <f t="shared" si="3"/>
        <v>6574.9720435268227</v>
      </c>
      <c r="S52" s="61">
        <f>SUM($R52:R$87)</f>
        <v>79566.184412703326</v>
      </c>
      <c r="T52" s="46">
        <f t="shared" si="14"/>
        <v>100.53385138092651</v>
      </c>
      <c r="U52" s="46">
        <f>SUM($T52:T$87)</f>
        <v>3514.734181499769</v>
      </c>
      <c r="V52" s="46">
        <f>SUM($U52:U$87)</f>
        <v>51513.156617783214</v>
      </c>
      <c r="W52" s="47">
        <f>SUM($S52:S$87)</f>
        <v>729378.72266792262</v>
      </c>
      <c r="X52" s="41">
        <f>SUM($R52:R$87)/R52</f>
        <v>12.101372277474191</v>
      </c>
      <c r="Y52" s="73">
        <f t="shared" si="9"/>
        <v>0.5345626047125307</v>
      </c>
    </row>
    <row r="53" spans="1:25" x14ac:dyDescent="0.25">
      <c r="A53" s="40">
        <v>66</v>
      </c>
      <c r="B53" s="44">
        <v>1.3635E-2</v>
      </c>
      <c r="C53" s="46">
        <f t="shared" si="15"/>
        <v>84806.915592533958</v>
      </c>
      <c r="D53" s="45">
        <f t="shared" si="10"/>
        <v>1156.3422941041936</v>
      </c>
      <c r="E53" s="45">
        <f t="shared" si="11"/>
        <v>6371.3413674558888</v>
      </c>
      <c r="F53" s="45">
        <f>SUM($E53:E$87)</f>
        <v>76379.469476295882</v>
      </c>
      <c r="G53" s="46">
        <f t="shared" si="12"/>
        <v>83.531961101211749</v>
      </c>
      <c r="H53" s="46">
        <f>SUM($G53:G$87)</f>
        <v>3433.6694645214143</v>
      </c>
      <c r="I53" s="47">
        <f>SUM($H53:H$87)</f>
        <v>50264.559851122962</v>
      </c>
      <c r="J53" s="47">
        <f>SUM($F53:F$87)</f>
        <v>678987.65025448974</v>
      </c>
      <c r="K53" s="71">
        <f>SUM($E53:E$87)/E53</f>
        <v>11.987973186687785</v>
      </c>
      <c r="L53" s="72">
        <f t="shared" si="7"/>
        <v>0.53892410820431325</v>
      </c>
      <c r="M53" s="48"/>
      <c r="N53" s="40">
        <v>66</v>
      </c>
      <c r="O53" s="44">
        <v>1.7578E-2</v>
      </c>
      <c r="P53" s="46">
        <f t="shared" si="16"/>
        <v>82813.151861937673</v>
      </c>
      <c r="Q53" s="45">
        <f t="shared" si="13"/>
        <v>1455.6895834291354</v>
      </c>
      <c r="R53" s="61">
        <f t="shared" si="3"/>
        <v>6221.5546520102489</v>
      </c>
      <c r="S53" s="61">
        <f>SUM($R53:R$87)</f>
        <v>72991.212369176515</v>
      </c>
      <c r="T53" s="46">
        <f t="shared" si="14"/>
        <v>105.15623814714979</v>
      </c>
      <c r="U53" s="46">
        <f>SUM($T53:T$87)</f>
        <v>3414.200330118842</v>
      </c>
      <c r="V53" s="46">
        <f>SUM($U53:U$87)</f>
        <v>47998.422436283443</v>
      </c>
      <c r="W53" s="47">
        <f>SUM($S53:S$87)</f>
        <v>649812.53825521935</v>
      </c>
      <c r="X53" s="41">
        <f>SUM($R53:R$87)/R53</f>
        <v>11.731989261814537</v>
      </c>
      <c r="Y53" s="73">
        <f t="shared" si="9"/>
        <v>0.54876964377636361</v>
      </c>
    </row>
    <row r="54" spans="1:25" x14ac:dyDescent="0.25">
      <c r="A54" s="40">
        <v>67</v>
      </c>
      <c r="B54" s="44">
        <v>1.5343000000000001E-2</v>
      </c>
      <c r="C54" s="46">
        <f t="shared" si="15"/>
        <v>83650.573298429765</v>
      </c>
      <c r="D54" s="45">
        <f t="shared" si="10"/>
        <v>1283.4507461178146</v>
      </c>
      <c r="E54" s="45">
        <f t="shared" si="11"/>
        <v>6042.7578152986816</v>
      </c>
      <c r="F54" s="45">
        <f>SUM($E54:E$87)</f>
        <v>70008.128108839999</v>
      </c>
      <c r="G54" s="46">
        <f t="shared" si="12"/>
        <v>89.148108807815191</v>
      </c>
      <c r="H54" s="46">
        <f>SUM($G54:G$87)</f>
        <v>3350.1375034202024</v>
      </c>
      <c r="I54" s="47">
        <f>SUM($H54:H$87)</f>
        <v>46830.890386601546</v>
      </c>
      <c r="J54" s="47">
        <f>SUM($F54:F$87)</f>
        <v>602608.18077819375</v>
      </c>
      <c r="K54" s="71">
        <f>SUM($E54:E$87)/E54</f>
        <v>11.585459859337361</v>
      </c>
      <c r="L54" s="72">
        <f t="shared" si="7"/>
        <v>0.55440539002548317</v>
      </c>
      <c r="M54" s="48"/>
      <c r="N54" s="40">
        <v>67</v>
      </c>
      <c r="O54" s="44">
        <v>1.9428000000000001E-2</v>
      </c>
      <c r="P54" s="46">
        <f t="shared" si="16"/>
        <v>81357.462278508538</v>
      </c>
      <c r="Q54" s="45">
        <f t="shared" si="13"/>
        <v>1580.61277714686</v>
      </c>
      <c r="R54" s="61">
        <f t="shared" si="3"/>
        <v>5877.1078503242443</v>
      </c>
      <c r="S54" s="61">
        <f>SUM($R54:R$87)</f>
        <v>66769.657717166265</v>
      </c>
      <c r="T54" s="46">
        <f t="shared" si="14"/>
        <v>109.78889549624914</v>
      </c>
      <c r="U54" s="46">
        <f>SUM($T54:T$87)</f>
        <v>3309.0440919716921</v>
      </c>
      <c r="V54" s="46">
        <f>SUM($U54:U$87)</f>
        <v>44584.222106164605</v>
      </c>
      <c r="W54" s="47">
        <f>SUM($S54:S$87)</f>
        <v>576821.32588604279</v>
      </c>
      <c r="X54" s="41">
        <f>SUM($R54:R$87)/R54</f>
        <v>11.360971998069175</v>
      </c>
      <c r="Y54" s="73">
        <f t="shared" si="9"/>
        <v>0.56303953853580035</v>
      </c>
    </row>
    <row r="55" spans="1:25" x14ac:dyDescent="0.25">
      <c r="A55" s="40">
        <v>68</v>
      </c>
      <c r="B55" s="44">
        <v>1.7264000000000002E-2</v>
      </c>
      <c r="C55" s="46">
        <f t="shared" si="15"/>
        <v>82367.12255231195</v>
      </c>
      <c r="D55" s="45">
        <f t="shared" si="10"/>
        <v>1421.9860037431063</v>
      </c>
      <c r="E55" s="45">
        <f t="shared" si="11"/>
        <v>5721.1959443639926</v>
      </c>
      <c r="F55" s="45">
        <f>SUM($E55:E$87)</f>
        <v>63965.370293541331</v>
      </c>
      <c r="G55" s="46">
        <f t="shared" si="12"/>
        <v>94.971852676441443</v>
      </c>
      <c r="H55" s="46">
        <f>SUM($G55:G$87)</f>
        <v>3260.9893946123871</v>
      </c>
      <c r="I55" s="47">
        <f>SUM($H55:H$87)</f>
        <v>43480.75288318134</v>
      </c>
      <c r="J55" s="47">
        <f>SUM($F55:F$87)</f>
        <v>532600.05266935378</v>
      </c>
      <c r="K55" s="71">
        <f>SUM($E55:E$87)/E55</f>
        <v>11.180419429010163</v>
      </c>
      <c r="L55" s="72">
        <f t="shared" si="7"/>
        <v>0.56998386811499091</v>
      </c>
      <c r="M55" s="48"/>
      <c r="N55" s="40">
        <v>68</v>
      </c>
      <c r="O55" s="44">
        <v>2.1472000000000002E-2</v>
      </c>
      <c r="P55" s="46">
        <f t="shared" si="16"/>
        <v>79776.849501361678</v>
      </c>
      <c r="Q55" s="45">
        <f t="shared" si="13"/>
        <v>1712.9685124932439</v>
      </c>
      <c r="R55" s="61">
        <f t="shared" si="3"/>
        <v>5541.2763452001382</v>
      </c>
      <c r="S55" s="61">
        <f>SUM($R55:R$87)</f>
        <v>60892.549866842033</v>
      </c>
      <c r="T55" s="46">
        <f t="shared" si="14"/>
        <v>114.40604392705556</v>
      </c>
      <c r="U55" s="46">
        <f>SUM($T55:T$87)</f>
        <v>3199.255196475443</v>
      </c>
      <c r="V55" s="46">
        <f>SUM($U55:U$87)</f>
        <v>41275.178014192912</v>
      </c>
      <c r="W55" s="47">
        <f>SUM($S55:S$87)</f>
        <v>510051.66816887649</v>
      </c>
      <c r="X55" s="41">
        <f>SUM($R55:R$87)/R55</f>
        <v>10.988903291132061</v>
      </c>
      <c r="Y55" s="73">
        <f t="shared" si="9"/>
        <v>0.57734987341799737</v>
      </c>
    </row>
    <row r="56" spans="1:25" x14ac:dyDescent="0.25">
      <c r="A56" s="40">
        <v>69</v>
      </c>
      <c r="B56" s="44">
        <v>1.9422999999999999E-2</v>
      </c>
      <c r="C56" s="46">
        <f t="shared" si="15"/>
        <v>80945.136548568844</v>
      </c>
      <c r="D56" s="45">
        <f t="shared" si="10"/>
        <v>1572.1973871828523</v>
      </c>
      <c r="E56" s="45">
        <f t="shared" si="11"/>
        <v>5406.1780938273978</v>
      </c>
      <c r="F56" s="45">
        <f>SUM($E56:E$87)</f>
        <v>58244.174349177345</v>
      </c>
      <c r="G56" s="46">
        <f t="shared" si="12"/>
        <v>100.96557415039337</v>
      </c>
      <c r="H56" s="46">
        <f>SUM($G56:G$87)</f>
        <v>3166.0175419359462</v>
      </c>
      <c r="I56" s="47">
        <f>SUM($H56:H$87)</f>
        <v>40219.763488568955</v>
      </c>
      <c r="J56" s="47">
        <f>SUM($F56:F$87)</f>
        <v>468634.68237581244</v>
      </c>
      <c r="K56" s="71">
        <f>SUM($E56:E$87)/E56</f>
        <v>10.773632192339111</v>
      </c>
      <c r="L56" s="72">
        <f t="shared" si="7"/>
        <v>0.5856295310638775</v>
      </c>
      <c r="M56" s="48"/>
      <c r="N56" s="40">
        <v>69</v>
      </c>
      <c r="O56" s="44">
        <v>2.3727000000000002E-2</v>
      </c>
      <c r="P56" s="46">
        <f t="shared" si="16"/>
        <v>78063.880988868434</v>
      </c>
      <c r="Q56" s="45">
        <f t="shared" si="13"/>
        <v>1852.2217042228876</v>
      </c>
      <c r="R56" s="61">
        <f t="shared" si="3"/>
        <v>5213.7442879961545</v>
      </c>
      <c r="S56" s="61">
        <f>SUM($R56:R$87)</f>
        <v>55351.273521641895</v>
      </c>
      <c r="T56" s="46">
        <f t="shared" si="14"/>
        <v>118.94856800123574</v>
      </c>
      <c r="U56" s="46">
        <f>SUM($T56:T$87)</f>
        <v>3084.8491525483878</v>
      </c>
      <c r="V56" s="46">
        <f>SUM($U56:U$87)</f>
        <v>38075.922817717459</v>
      </c>
      <c r="W56" s="47">
        <f>SUM($S56:S$87)</f>
        <v>449159.11830203451</v>
      </c>
      <c r="X56" s="41">
        <f>SUM($R56:R$87)/R56</f>
        <v>10.616415087536936</v>
      </c>
      <c r="Y56" s="73">
        <f t="shared" si="9"/>
        <v>0.59167634278704062</v>
      </c>
    </row>
    <row r="57" spans="1:25" x14ac:dyDescent="0.25">
      <c r="A57" s="40">
        <v>70</v>
      </c>
      <c r="B57" s="44">
        <v>2.1849E-2</v>
      </c>
      <c r="C57" s="46">
        <f t="shared" si="15"/>
        <v>79372.939161385992</v>
      </c>
      <c r="D57" s="45">
        <f t="shared" si="10"/>
        <v>1734.2193477371184</v>
      </c>
      <c r="E57" s="45">
        <f t="shared" si="11"/>
        <v>5097.2825929913342</v>
      </c>
      <c r="F57" s="45">
        <f>SUM($E57:E$87)</f>
        <v>52837.996255349935</v>
      </c>
      <c r="G57" s="46">
        <f t="shared" si="12"/>
        <v>107.08704555217977</v>
      </c>
      <c r="H57" s="46">
        <f>SUM($G57:G$87)</f>
        <v>3065.0519677855523</v>
      </c>
      <c r="I57" s="47">
        <f>SUM($H57:H$87)</f>
        <v>37053.745946633004</v>
      </c>
      <c r="J57" s="47">
        <f>SUM($F57:F$87)</f>
        <v>410390.5080266351</v>
      </c>
      <c r="K57" s="71">
        <f>SUM($E57:E$87)/E57</f>
        <v>10.365914640087086</v>
      </c>
      <c r="L57" s="72">
        <f t="shared" si="7"/>
        <v>0.60131097538126288</v>
      </c>
      <c r="M57" s="48"/>
      <c r="N57" s="40">
        <v>70</v>
      </c>
      <c r="O57" s="44">
        <v>2.6216E-2</v>
      </c>
      <c r="P57" s="46">
        <f t="shared" si="16"/>
        <v>76211.659284645546</v>
      </c>
      <c r="Q57" s="45">
        <f t="shared" si="13"/>
        <v>1997.9648598062631</v>
      </c>
      <c r="R57" s="61">
        <f t="shared" si="3"/>
        <v>4894.2670935335282</v>
      </c>
      <c r="S57" s="61">
        <f>SUM($R57:R$87)</f>
        <v>50137.529233645742</v>
      </c>
      <c r="T57" s="46">
        <f t="shared" si="14"/>
        <v>123.37317896545643</v>
      </c>
      <c r="U57" s="46">
        <f>SUM($T57:T$87)</f>
        <v>2965.900584547152</v>
      </c>
      <c r="V57" s="46">
        <f>SUM($U57:U$87)</f>
        <v>34991.073665169068</v>
      </c>
      <c r="W57" s="47">
        <f>SUM($S57:S$87)</f>
        <v>393807.84478039265</v>
      </c>
      <c r="X57" s="41">
        <f>SUM($R57:R$87)/R57</f>
        <v>10.24413426473785</v>
      </c>
      <c r="Y57" s="73">
        <f t="shared" si="9"/>
        <v>0.60599483597162085</v>
      </c>
    </row>
    <row r="58" spans="1:25" x14ac:dyDescent="0.25">
      <c r="A58" s="40">
        <v>71</v>
      </c>
      <c r="B58" s="44">
        <v>2.4573000000000001E-2</v>
      </c>
      <c r="C58" s="46">
        <f t="shared" si="15"/>
        <v>77638.719813648873</v>
      </c>
      <c r="D58" s="45">
        <f t="shared" si="10"/>
        <v>1907.816261980799</v>
      </c>
      <c r="E58" s="45">
        <f t="shared" si="11"/>
        <v>4794.1462169394881</v>
      </c>
      <c r="F58" s="45">
        <f>SUM($E58:E$87)</f>
        <v>47740.713662358605</v>
      </c>
      <c r="G58" s="46">
        <f t="shared" si="12"/>
        <v>113.27553364312872</v>
      </c>
      <c r="H58" s="46">
        <f>SUM($G58:G$87)</f>
        <v>2957.9649222333724</v>
      </c>
      <c r="I58" s="47">
        <f>SUM($H58:H$87)</f>
        <v>33988.693978847448</v>
      </c>
      <c r="J58" s="47">
        <f>SUM($F58:F$87)</f>
        <v>357552.51177128515</v>
      </c>
      <c r="K58" s="71">
        <f>SUM($E58:E$87)/E58</f>
        <v>9.9581263278272658</v>
      </c>
      <c r="L58" s="72">
        <f t="shared" si="7"/>
        <v>0.61699514123740962</v>
      </c>
      <c r="M58" s="48"/>
      <c r="N58" s="40">
        <v>71</v>
      </c>
      <c r="O58" s="44">
        <v>2.8962999999999999E-2</v>
      </c>
      <c r="P58" s="46">
        <f t="shared" si="16"/>
        <v>74213.694424839283</v>
      </c>
      <c r="Q58" s="45">
        <f t="shared" si="13"/>
        <v>2149.4512316266191</v>
      </c>
      <c r="R58" s="61">
        <f t="shared" si="3"/>
        <v>4582.6528725090902</v>
      </c>
      <c r="S58" s="61">
        <f>SUM($R58:R$87)</f>
        <v>45243.262140112209</v>
      </c>
      <c r="T58" s="46">
        <f t="shared" si="14"/>
        <v>127.62247610238528</v>
      </c>
      <c r="U58" s="46">
        <f>SUM($T58:T$87)</f>
        <v>2842.5274055816958</v>
      </c>
      <c r="V58" s="46">
        <f>SUM($U58:U$87)</f>
        <v>32025.173080621913</v>
      </c>
      <c r="W58" s="47">
        <f>SUM($S58:S$87)</f>
        <v>343670.31554674689</v>
      </c>
      <c r="X58" s="41">
        <f>SUM($R58:R$87)/R58</f>
        <v>9.8727229399203118</v>
      </c>
      <c r="Y58" s="73">
        <f t="shared" si="9"/>
        <v>0.62027988692614144</v>
      </c>
    </row>
    <row r="59" spans="1:25" x14ac:dyDescent="0.25">
      <c r="A59" s="40">
        <v>72</v>
      </c>
      <c r="B59" s="44">
        <v>2.7633000000000001E-2</v>
      </c>
      <c r="C59" s="46">
        <f t="shared" si="15"/>
        <v>75730.903551668074</v>
      </c>
      <c r="D59" s="45">
        <f t="shared" si="10"/>
        <v>2092.6720578432432</v>
      </c>
      <c r="E59" s="45">
        <f t="shared" si="11"/>
        <v>4496.4804441833003</v>
      </c>
      <c r="F59" s="45">
        <f>SUM($E59:E$87)</f>
        <v>42946.567445419125</v>
      </c>
      <c r="G59" s="46">
        <f t="shared" si="12"/>
        <v>119.47235010972751</v>
      </c>
      <c r="H59" s="46">
        <f>SUM($G59:G$87)</f>
        <v>2844.6893885902432</v>
      </c>
      <c r="I59" s="47">
        <f>SUM($H59:H$87)</f>
        <v>31030.729056614073</v>
      </c>
      <c r="J59" s="47">
        <f>SUM($F59:F$87)</f>
        <v>309811.79810892651</v>
      </c>
      <c r="K59" s="71">
        <f>SUM($E59:E$87)/E59</f>
        <v>9.5511518349813596</v>
      </c>
      <c r="L59" s="72">
        <f t="shared" si="7"/>
        <v>0.63264800634686769</v>
      </c>
      <c r="M59" s="48"/>
      <c r="N59" s="40">
        <v>72</v>
      </c>
      <c r="O59" s="44">
        <v>3.1992E-2</v>
      </c>
      <c r="P59" s="46">
        <f t="shared" si="16"/>
        <v>72064.243193212664</v>
      </c>
      <c r="Q59" s="45">
        <f t="shared" si="13"/>
        <v>2305.4792682372645</v>
      </c>
      <c r="R59" s="61">
        <f t="shared" si="3"/>
        <v>4278.7745166948162</v>
      </c>
      <c r="S59" s="61">
        <f>SUM($R59:R$87)</f>
        <v>40660.609267603111</v>
      </c>
      <c r="T59" s="46">
        <f t="shared" si="14"/>
        <v>131.62168686355849</v>
      </c>
      <c r="U59" s="46">
        <f>SUM($T59:T$87)</f>
        <v>2714.9049294793103</v>
      </c>
      <c r="V59" s="46">
        <f>SUM($U59:U$87)</f>
        <v>29182.645675040218</v>
      </c>
      <c r="W59" s="47">
        <f>SUM($S59:S$87)</f>
        <v>298427.0534066346</v>
      </c>
      <c r="X59" s="41">
        <f>SUM($R59:R$87)/R59</f>
        <v>9.5028632868954777</v>
      </c>
      <c r="Y59" s="73">
        <f t="shared" si="9"/>
        <v>0.63450525819632742</v>
      </c>
    </row>
    <row r="60" spans="1:25" x14ac:dyDescent="0.25">
      <c r="A60" s="40">
        <v>73</v>
      </c>
      <c r="B60" s="44">
        <v>3.1067999999999998E-2</v>
      </c>
      <c r="C60" s="46">
        <f t="shared" si="15"/>
        <v>73638.231493824831</v>
      </c>
      <c r="D60" s="45">
        <f t="shared" si="10"/>
        <v>2287.792576050153</v>
      </c>
      <c r="E60" s="45">
        <f t="shared" si="11"/>
        <v>4204.0665385280608</v>
      </c>
      <c r="F60" s="45">
        <f>SUM($E60:E$87)</f>
        <v>38450.087001235828</v>
      </c>
      <c r="G60" s="46">
        <f t="shared" si="12"/>
        <v>125.58840309518216</v>
      </c>
      <c r="H60" s="46">
        <f>SUM($G60:G$87)</f>
        <v>2725.2170384805163</v>
      </c>
      <c r="I60" s="47">
        <f>SUM($H60:H$87)</f>
        <v>28186.039668023834</v>
      </c>
      <c r="J60" s="47">
        <f>SUM($F60:F$87)</f>
        <v>266865.23066350742</v>
      </c>
      <c r="K60" s="71">
        <f>SUM($E60:E$87)/E60</f>
        <v>9.1459273179577405</v>
      </c>
      <c r="L60" s="72">
        <f t="shared" si="7"/>
        <v>0.64823356469393001</v>
      </c>
      <c r="M60" s="48"/>
      <c r="N60" s="40">
        <v>73</v>
      </c>
      <c r="O60" s="44">
        <v>3.5333000000000003E-2</v>
      </c>
      <c r="P60" s="46">
        <f t="shared" si="16"/>
        <v>69758.763924975399</v>
      </c>
      <c r="Q60" s="45">
        <f t="shared" si="13"/>
        <v>2464.7864057611587</v>
      </c>
      <c r="R60" s="61">
        <f t="shared" si="3"/>
        <v>3982.5845791891488</v>
      </c>
      <c r="S60" s="61">
        <f>SUM($R60:R$87)</f>
        <v>36381.834750908303</v>
      </c>
      <c r="T60" s="46">
        <f t="shared" si="14"/>
        <v>135.30448166970226</v>
      </c>
      <c r="U60" s="46">
        <f>SUM($T60:T$87)</f>
        <v>2583.2832426157515</v>
      </c>
      <c r="V60" s="46">
        <f>SUM($U60:U$87)</f>
        <v>26467.740745560906</v>
      </c>
      <c r="W60" s="47">
        <f>SUM($S60:S$87)</f>
        <v>257766.44413903161</v>
      </c>
      <c r="X60" s="41">
        <f>SUM($R60:R$87)/R60</f>
        <v>9.1352321658202218</v>
      </c>
      <c r="Y60" s="73">
        <f t="shared" si="9"/>
        <v>0.64864491669922197</v>
      </c>
    </row>
    <row r="61" spans="1:25" x14ac:dyDescent="0.25">
      <c r="A61" s="40">
        <v>74</v>
      </c>
      <c r="B61" s="44">
        <v>3.4922000000000002E-2</v>
      </c>
      <c r="C61" s="46">
        <f t="shared" si="15"/>
        <v>71350.438917774678</v>
      </c>
      <c r="D61" s="45">
        <f t="shared" si="10"/>
        <v>2491.7000278865307</v>
      </c>
      <c r="E61" s="45">
        <f t="shared" si="11"/>
        <v>3916.7832685664139</v>
      </c>
      <c r="F61" s="45">
        <f>SUM($E61:E$87)</f>
        <v>34246.020462707755</v>
      </c>
      <c r="G61" s="46">
        <f t="shared" si="12"/>
        <v>131.52106279314995</v>
      </c>
      <c r="H61" s="46">
        <f>SUM($G61:G$87)</f>
        <v>2599.6286353853334</v>
      </c>
      <c r="I61" s="47">
        <f>SUM($H61:H$87)</f>
        <v>25460.822629543316</v>
      </c>
      <c r="J61" s="47">
        <f>SUM($F61:F$87)</f>
        <v>228415.1436622717</v>
      </c>
      <c r="K61" s="71">
        <f>SUM($E61:E$87)/E61</f>
        <v>8.7434045017359807</v>
      </c>
      <c r="L61" s="72">
        <f t="shared" si="7"/>
        <v>0.66371521147168966</v>
      </c>
      <c r="M61" s="48"/>
      <c r="N61" s="40">
        <v>74</v>
      </c>
      <c r="O61" s="44">
        <v>3.9015000000000001E-2</v>
      </c>
      <c r="P61" s="46">
        <f t="shared" si="16"/>
        <v>67293.977519214241</v>
      </c>
      <c r="Q61" s="45">
        <f t="shared" si="13"/>
        <v>2625.4745329121433</v>
      </c>
      <c r="R61" s="61">
        <f t="shared" si="3"/>
        <v>3694.1037675506327</v>
      </c>
      <c r="S61" s="61">
        <f>SUM($R61:R$87)</f>
        <v>32399.250171719137</v>
      </c>
      <c r="T61" s="46">
        <f t="shared" si="14"/>
        <v>138.58217162594994</v>
      </c>
      <c r="U61" s="46">
        <f>SUM($T61:T$87)</f>
        <v>2447.9787609460495</v>
      </c>
      <c r="V61" s="46">
        <f>SUM($U61:U$87)</f>
        <v>23884.457502945159</v>
      </c>
      <c r="W61" s="47">
        <f>SUM($S61:S$87)</f>
        <v>221384.6093881233</v>
      </c>
      <c r="X61" s="41">
        <f>SUM($R61:R$87)/R61</f>
        <v>8.7705306105143297</v>
      </c>
      <c r="Y61" s="73">
        <f t="shared" si="9"/>
        <v>0.66267189959560246</v>
      </c>
    </row>
    <row r="62" spans="1:25" x14ac:dyDescent="0.25">
      <c r="A62" s="40">
        <v>75</v>
      </c>
      <c r="B62" s="44">
        <v>3.9244000000000001E-2</v>
      </c>
      <c r="C62" s="46">
        <f t="shared" si="15"/>
        <v>68858.738889888147</v>
      </c>
      <c r="D62" s="45">
        <f t="shared" si="10"/>
        <v>2702.2923489947716</v>
      </c>
      <c r="E62" s="45">
        <f t="shared" si="11"/>
        <v>3634.6166954437863</v>
      </c>
      <c r="F62" s="45">
        <f>SUM($E62:E$87)</f>
        <v>30329.237194141333</v>
      </c>
      <c r="G62" s="46">
        <f t="shared" si="12"/>
        <v>137.15086307307251</v>
      </c>
      <c r="H62" s="46">
        <f>SUM($G62:G$87)</f>
        <v>2468.1075725921833</v>
      </c>
      <c r="I62" s="47">
        <f>SUM($H62:H$87)</f>
        <v>22861.19399415798</v>
      </c>
      <c r="J62" s="47">
        <f>SUM($F62:F$87)</f>
        <v>194169.12319956397</v>
      </c>
      <c r="K62" s="71">
        <f>SUM($E62:E$87)/E62</f>
        <v>8.344549022778903</v>
      </c>
      <c r="L62" s="72">
        <f t="shared" si="7"/>
        <v>0.67905580681619238</v>
      </c>
      <c r="M62" s="48"/>
      <c r="N62" s="40">
        <v>75</v>
      </c>
      <c r="O62" s="44">
        <v>4.3073E-2</v>
      </c>
      <c r="P62" s="46">
        <f t="shared" si="16"/>
        <v>64668.502986302097</v>
      </c>
      <c r="Q62" s="45">
        <f t="shared" si="13"/>
        <v>2785.4664291289882</v>
      </c>
      <c r="R62" s="61">
        <f t="shared" si="3"/>
        <v>3413.4406817881204</v>
      </c>
      <c r="S62" s="61">
        <f>SUM($R62:R$87)</f>
        <v>28705.146404168507</v>
      </c>
      <c r="T62" s="46">
        <f t="shared" si="14"/>
        <v>141.3722408525573</v>
      </c>
      <c r="U62" s="46">
        <f>SUM($T62:T$87)</f>
        <v>2309.3965893200993</v>
      </c>
      <c r="V62" s="46">
        <f>SUM($U62:U$87)</f>
        <v>21436.478741999108</v>
      </c>
      <c r="W62" s="47">
        <f>SUM($S62:S$87)</f>
        <v>188985.35921640418</v>
      </c>
      <c r="X62" s="41">
        <f>SUM($R62:R$87)/R62</f>
        <v>8.4094463856718917</v>
      </c>
      <c r="Y62" s="73">
        <f t="shared" si="9"/>
        <v>0.67655975439723448</v>
      </c>
    </row>
    <row r="63" spans="1:25" x14ac:dyDescent="0.25">
      <c r="A63" s="40">
        <v>76</v>
      </c>
      <c r="B63" s="44">
        <v>4.4089000000000003E-2</v>
      </c>
      <c r="C63" s="46">
        <f t="shared" si="15"/>
        <v>66156.446540893376</v>
      </c>
      <c r="D63" s="45">
        <f t="shared" si="10"/>
        <v>2916.7715715414452</v>
      </c>
      <c r="E63" s="45">
        <f t="shared" si="11"/>
        <v>3357.6728825459518</v>
      </c>
      <c r="F63" s="45">
        <f>SUM($E63:E$87)</f>
        <v>26694.620498697546</v>
      </c>
      <c r="G63" s="46">
        <f t="shared" si="12"/>
        <v>142.34273049862279</v>
      </c>
      <c r="H63" s="46">
        <f>SUM($G63:G$87)</f>
        <v>2330.956709519111</v>
      </c>
      <c r="I63" s="47">
        <f>SUM($H63:H$87)</f>
        <v>20393.0864215658</v>
      </c>
      <c r="J63" s="47">
        <f>SUM($F63:F$87)</f>
        <v>163839.8860054226</v>
      </c>
      <c r="K63" s="71">
        <f>SUM($E63:E$87)/E63</f>
        <v>7.9503338867413369</v>
      </c>
      <c r="L63" s="72">
        <f t="shared" si="7"/>
        <v>0.69421792743302191</v>
      </c>
      <c r="M63" s="48"/>
      <c r="N63" s="40">
        <v>76</v>
      </c>
      <c r="O63" s="44">
        <v>4.7541E-2</v>
      </c>
      <c r="P63" s="46">
        <f t="shared" si="16"/>
        <v>61883.036557173109</v>
      </c>
      <c r="Q63" s="45">
        <f t="shared" si="13"/>
        <v>2941.9814409645696</v>
      </c>
      <c r="R63" s="61">
        <f t="shared" si="3"/>
        <v>3140.7822608667889</v>
      </c>
      <c r="S63" s="61">
        <f>SUM($R63:R$87)</f>
        <v>25291.705722380386</v>
      </c>
      <c r="T63" s="46">
        <f t="shared" si="14"/>
        <v>143.57300909987322</v>
      </c>
      <c r="U63" s="46">
        <f>SUM($T63:T$87)</f>
        <v>2168.024348467542</v>
      </c>
      <c r="V63" s="46">
        <f>SUM($U63:U$87)</f>
        <v>19127.08215267901</v>
      </c>
      <c r="W63" s="47">
        <f>SUM($S63:S$87)</f>
        <v>160280.21281223567</v>
      </c>
      <c r="X63" s="41">
        <f>SUM($R63:R$87)/R63</f>
        <v>8.0526772064104861</v>
      </c>
      <c r="Y63" s="73">
        <f t="shared" si="9"/>
        <v>0.69028164590728858</v>
      </c>
    </row>
    <row r="64" spans="1:25" x14ac:dyDescent="0.25">
      <c r="A64" s="40">
        <v>77</v>
      </c>
      <c r="B64" s="44">
        <v>4.9515999999999998E-2</v>
      </c>
      <c r="C64" s="46">
        <f t="shared" si="15"/>
        <v>63239.67496935193</v>
      </c>
      <c r="D64" s="45">
        <f t="shared" si="10"/>
        <v>3131.3757457824322</v>
      </c>
      <c r="E64" s="45">
        <f t="shared" si="11"/>
        <v>3086.1888873340226</v>
      </c>
      <c r="F64" s="45">
        <f>SUM($E64:E$87)</f>
        <v>23336.947616151596</v>
      </c>
      <c r="G64" s="46">
        <f t="shared" si="12"/>
        <v>146.93820090887584</v>
      </c>
      <c r="H64" s="46">
        <f>SUM($G64:G$87)</f>
        <v>2188.6139790204879</v>
      </c>
      <c r="I64" s="47">
        <f>SUM($H64:H$87)</f>
        <v>18062.129712046688</v>
      </c>
      <c r="J64" s="47">
        <f>SUM($F64:F$87)</f>
        <v>137145.26550672503</v>
      </c>
      <c r="K64" s="71">
        <f>SUM($E64:E$87)/E64</f>
        <v>7.5617366493439144</v>
      </c>
      <c r="L64" s="72">
        <f t="shared" si="7"/>
        <v>0.70916397502523021</v>
      </c>
      <c r="M64" s="48"/>
      <c r="N64" s="40">
        <v>77</v>
      </c>
      <c r="O64" s="44">
        <v>5.2461000000000001E-2</v>
      </c>
      <c r="P64" s="46">
        <f t="shared" si="16"/>
        <v>58941.055116208539</v>
      </c>
      <c r="Q64" s="45">
        <f t="shared" si="13"/>
        <v>3092.1066924514162</v>
      </c>
      <c r="R64" s="61">
        <f t="shared" si="3"/>
        <v>2876.4099340412699</v>
      </c>
      <c r="S64" s="61">
        <f>SUM($R64:R$87)</f>
        <v>22150.923461513594</v>
      </c>
      <c r="T64" s="46">
        <f t="shared" si="14"/>
        <v>145.09552072090293</v>
      </c>
      <c r="U64" s="46">
        <f>SUM($T64:T$87)</f>
        <v>2024.4513393676691</v>
      </c>
      <c r="V64" s="46">
        <f>SUM($U64:U$87)</f>
        <v>16959.057804211465</v>
      </c>
      <c r="W64" s="47">
        <f>SUM($S64:S$87)</f>
        <v>134988.50708985529</v>
      </c>
      <c r="X64" s="41">
        <f>SUM($R64:R$87)/R64</f>
        <v>7.7008924212663281</v>
      </c>
      <c r="Y64" s="73">
        <f t="shared" si="9"/>
        <v>0.70381182995129465</v>
      </c>
    </row>
    <row r="65" spans="1:25" x14ac:dyDescent="0.25">
      <c r="A65" s="40">
        <v>78</v>
      </c>
      <c r="B65" s="44">
        <v>5.5592000000000003E-2</v>
      </c>
      <c r="C65" s="46">
        <f t="shared" si="15"/>
        <v>60108.299223569498</v>
      </c>
      <c r="D65" s="45">
        <f t="shared" si="10"/>
        <v>3341.5405704366785</v>
      </c>
      <c r="E65" s="45">
        <f t="shared" si="11"/>
        <v>2820.5511138353759</v>
      </c>
      <c r="F65" s="45">
        <f>SUM($E65:E$87)</f>
        <v>20250.758728817575</v>
      </c>
      <c r="G65" s="46">
        <f t="shared" si="12"/>
        <v>150.76930530801508</v>
      </c>
      <c r="H65" s="46">
        <f>SUM($G65:G$87)</f>
        <v>2041.6757781116116</v>
      </c>
      <c r="I65" s="47">
        <f>SUM($H65:H$87)</f>
        <v>15873.515733026197</v>
      </c>
      <c r="J65" s="47">
        <f>SUM($F65:F$87)</f>
        <v>113808.3178905735</v>
      </c>
      <c r="K65" s="71">
        <f>SUM($E65:E$87)/E65</f>
        <v>7.1797169813670427</v>
      </c>
      <c r="L65" s="72">
        <f t="shared" si="7"/>
        <v>0.72385703917818667</v>
      </c>
      <c r="M65" s="48"/>
      <c r="N65" s="40">
        <v>78</v>
      </c>
      <c r="O65" s="44">
        <v>5.7874000000000002E-2</v>
      </c>
      <c r="P65" s="46">
        <f t="shared" si="16"/>
        <v>55848.948423757123</v>
      </c>
      <c r="Q65" s="45">
        <f t="shared" si="13"/>
        <v>3232.2020410765181</v>
      </c>
      <c r="R65" s="61">
        <f t="shared" si="3"/>
        <v>2620.6832620110872</v>
      </c>
      <c r="S65" s="61">
        <f>SUM($R65:R$87)</f>
        <v>19274.513527472325</v>
      </c>
      <c r="T65" s="46">
        <f t="shared" si="14"/>
        <v>145.83598375541305</v>
      </c>
      <c r="U65" s="46">
        <f>SUM($T65:T$87)</f>
        <v>1879.355818646766</v>
      </c>
      <c r="V65" s="46">
        <f>SUM($U65:U$87)</f>
        <v>14934.606464843799</v>
      </c>
      <c r="W65" s="47">
        <f>SUM($S65:S$87)</f>
        <v>112837.58362834166</v>
      </c>
      <c r="X65" s="41">
        <f>SUM($R65:R$87)/R65</f>
        <v>7.3547665247731038</v>
      </c>
      <c r="Y65" s="73">
        <f t="shared" si="9"/>
        <v>0.71712436443180327</v>
      </c>
    </row>
    <row r="66" spans="1:25" x14ac:dyDescent="0.25">
      <c r="A66" s="40">
        <v>79</v>
      </c>
      <c r="B66" s="44">
        <v>6.2387999999999999E-2</v>
      </c>
      <c r="C66" s="46">
        <f t="shared" si="15"/>
        <v>56766.75865313282</v>
      </c>
      <c r="D66" s="45">
        <f t="shared" si="10"/>
        <v>3541.5645388516496</v>
      </c>
      <c r="E66" s="45">
        <f t="shared" si="11"/>
        <v>2561.2990733798456</v>
      </c>
      <c r="F66" s="45">
        <f>SUM($E66:E$87)</f>
        <v>17430.207614982202</v>
      </c>
      <c r="G66" s="46">
        <f t="shared" si="12"/>
        <v>153.64839095194333</v>
      </c>
      <c r="H66" s="46">
        <f>SUM($G66:G$87)</f>
        <v>1890.9064728035964</v>
      </c>
      <c r="I66" s="47">
        <f>SUM($H66:H$87)</f>
        <v>13831.839954914587</v>
      </c>
      <c r="J66" s="47">
        <f>SUM($F66:F$87)</f>
        <v>93557.559161755926</v>
      </c>
      <c r="K66" s="71">
        <f>SUM($E66:E$87)/E66</f>
        <v>6.8052215362658153</v>
      </c>
      <c r="L66" s="72">
        <f t="shared" si="7"/>
        <v>0.73826071014361838</v>
      </c>
      <c r="M66" s="48"/>
      <c r="N66" s="40">
        <v>79</v>
      </c>
      <c r="O66" s="44">
        <v>6.3826999999999995E-2</v>
      </c>
      <c r="P66" s="46">
        <f t="shared" si="16"/>
        <v>52616.746382680605</v>
      </c>
      <c r="Q66" s="45">
        <f t="shared" si="13"/>
        <v>3358.3690713673568</v>
      </c>
      <c r="R66" s="61">
        <f t="shared" si="3"/>
        <v>2374.0517681783249</v>
      </c>
      <c r="S66" s="61">
        <f>SUM($R66:R$87)</f>
        <v>16653.830265461242</v>
      </c>
      <c r="T66" s="46">
        <f t="shared" si="14"/>
        <v>145.70057904569038</v>
      </c>
      <c r="U66" s="46">
        <f>SUM($T66:T$87)</f>
        <v>1733.519834891353</v>
      </c>
      <c r="V66" s="46">
        <f>SUM($U66:U$87)</f>
        <v>13055.250646197033</v>
      </c>
      <c r="W66" s="47">
        <f>SUM($S66:S$87)</f>
        <v>93563.070100869358</v>
      </c>
      <c r="X66" s="41">
        <f>SUM($R66:R$87)/R66</f>
        <v>7.0149398124709732</v>
      </c>
      <c r="Y66" s="73">
        <f t="shared" si="9"/>
        <v>0.73019462259726975</v>
      </c>
    </row>
    <row r="67" spans="1:25" x14ac:dyDescent="0.25">
      <c r="A67" s="40">
        <v>80</v>
      </c>
      <c r="B67" s="44">
        <v>6.9984000000000005E-2</v>
      </c>
      <c r="C67" s="46">
        <f t="shared" si="15"/>
        <v>53225.19411428117</v>
      </c>
      <c r="D67" s="45">
        <f t="shared" si="10"/>
        <v>3724.9119848938572</v>
      </c>
      <c r="E67" s="45">
        <f t="shared" si="11"/>
        <v>2309.1391796055996</v>
      </c>
      <c r="F67" s="45">
        <f>SUM($E67:E$87)</f>
        <v>14868.908541602354</v>
      </c>
      <c r="G67" s="46">
        <f t="shared" si="12"/>
        <v>155.38730417838244</v>
      </c>
      <c r="H67" s="46">
        <f>SUM($G67:G$87)</f>
        <v>1737.2580818516533</v>
      </c>
      <c r="I67" s="47">
        <f>SUM($H67:H$87)</f>
        <v>11940.933482110991</v>
      </c>
      <c r="J67" s="47">
        <f>SUM($F67:F$87)</f>
        <v>76127.351546773716</v>
      </c>
      <c r="K67" s="71">
        <f>SUM($E67:E$87)/E67</f>
        <v>6.4391564930018461</v>
      </c>
      <c r="L67" s="72">
        <f t="shared" si="7"/>
        <v>0.75234013488454021</v>
      </c>
      <c r="M67" s="48"/>
      <c r="N67" s="40">
        <v>80</v>
      </c>
      <c r="O67" s="44">
        <v>7.0368E-2</v>
      </c>
      <c r="P67" s="46">
        <f t="shared" si="16"/>
        <v>49258.377311313248</v>
      </c>
      <c r="Q67" s="45">
        <f t="shared" si="13"/>
        <v>3466.2134946424922</v>
      </c>
      <c r="R67" s="61">
        <f t="shared" si="3"/>
        <v>2137.0415057411601</v>
      </c>
      <c r="S67" s="61">
        <f>SUM($R67:R$87)</f>
        <v>14279.778497282916</v>
      </c>
      <c r="T67" s="46">
        <f t="shared" si="14"/>
        <v>144.59551603460963</v>
      </c>
      <c r="U67" s="46">
        <f>SUM($T67:T$87)</f>
        <v>1587.8192558456628</v>
      </c>
      <c r="V67" s="46">
        <f>SUM($U67:U$87)</f>
        <v>11321.730811305681</v>
      </c>
      <c r="W67" s="47">
        <f>SUM($S67:S$87)</f>
        <v>76909.239835408109</v>
      </c>
      <c r="X67" s="41">
        <f>SUM($R67:R$87)/R67</f>
        <v>6.6820314247151043</v>
      </c>
      <c r="Y67" s="73">
        <f t="shared" si="9"/>
        <v>0.74299879135711111</v>
      </c>
    </row>
    <row r="68" spans="1:25" x14ac:dyDescent="0.25">
      <c r="A68" s="40">
        <v>81</v>
      </c>
      <c r="B68" s="44">
        <v>7.8465999999999994E-2</v>
      </c>
      <c r="C68" s="46">
        <f t="shared" si="15"/>
        <v>49500.282129387313</v>
      </c>
      <c r="D68" s="45">
        <f t="shared" si="10"/>
        <v>3884.0891375645078</v>
      </c>
      <c r="E68" s="45">
        <f t="shared" si="11"/>
        <v>2064.9388300577702</v>
      </c>
      <c r="F68" s="45">
        <f>SUM($E68:E$87)</f>
        <v>12559.769361996754</v>
      </c>
      <c r="G68" s="46">
        <f t="shared" si="12"/>
        <v>155.7956636916465</v>
      </c>
      <c r="H68" s="46">
        <f>SUM($G68:G$87)</f>
        <v>1581.8707776732708</v>
      </c>
      <c r="I68" s="47">
        <f>SUM($H68:H$87)</f>
        <v>10203.675400259341</v>
      </c>
      <c r="J68" s="47">
        <f>SUM($F68:F$87)</f>
        <v>61258.443005171328</v>
      </c>
      <c r="K68" s="71">
        <f>SUM($E68:E$87)/E68</f>
        <v>6.0823929402525563</v>
      </c>
      <c r="L68" s="72">
        <f t="shared" si="7"/>
        <v>0.76606180999028206</v>
      </c>
      <c r="M68" s="48"/>
      <c r="N68" s="40">
        <v>81</v>
      </c>
      <c r="O68" s="44">
        <v>7.7551999999999996E-2</v>
      </c>
      <c r="P68" s="46">
        <f t="shared" si="16"/>
        <v>45792.163816670756</v>
      </c>
      <c r="Q68" s="45">
        <f t="shared" si="13"/>
        <v>3551.2738883104466</v>
      </c>
      <c r="R68" s="61">
        <f t="shared" si="3"/>
        <v>1910.2520856395827</v>
      </c>
      <c r="S68" s="61">
        <f>SUM($R68:R$87)</f>
        <v>12142.736991541757</v>
      </c>
      <c r="T68" s="46">
        <f t="shared" si="14"/>
        <v>142.44602860146225</v>
      </c>
      <c r="U68" s="46">
        <f>SUM($T68:T$87)</f>
        <v>1443.2237398110531</v>
      </c>
      <c r="V68" s="46">
        <f>SUM($U68:U$87)</f>
        <v>9733.9115554600176</v>
      </c>
      <c r="W68" s="47">
        <f>SUM($S68:S$87)</f>
        <v>62629.461338125184</v>
      </c>
      <c r="X68" s="41">
        <f>SUM($R68:R$87)/R68</f>
        <v>6.356614963451892</v>
      </c>
      <c r="Y68" s="73">
        <f t="shared" si="9"/>
        <v>0.75551480909800384</v>
      </c>
    </row>
    <row r="69" spans="1:25" x14ac:dyDescent="0.25">
      <c r="A69" s="40">
        <v>82</v>
      </c>
      <c r="B69" s="44">
        <v>8.7926000000000004E-2</v>
      </c>
      <c r="C69" s="46">
        <f t="shared" si="15"/>
        <v>45616.192991822805</v>
      </c>
      <c r="D69" s="45">
        <f t="shared" ref="D69:D87" si="17">C69-C70</f>
        <v>4010.8493849990118</v>
      </c>
      <c r="E69" s="45">
        <f t="shared" ref="E69:E87" si="18">C69*((1+int)^-A69)</f>
        <v>1829.7224421331318</v>
      </c>
      <c r="F69" s="45">
        <f>SUM($E69:E$87)</f>
        <v>10494.830531938986</v>
      </c>
      <c r="G69" s="46">
        <f t="shared" ref="G69:G87" si="19">((1/(1+i))^(A69+1))*D69</f>
        <v>154.69247639134326</v>
      </c>
      <c r="H69" s="46">
        <f>SUM($G69:G$87)</f>
        <v>1426.0751139816243</v>
      </c>
      <c r="I69" s="47">
        <f>SUM($H69:H$87)</f>
        <v>8621.8046225860671</v>
      </c>
      <c r="J69" s="47">
        <f>SUM($F69:F$87)</f>
        <v>48698.673643174581</v>
      </c>
      <c r="K69" s="71">
        <f>SUM($E69:E$87)/E69</f>
        <v>5.7357500188410402</v>
      </c>
      <c r="L69" s="72">
        <f t="shared" si="7"/>
        <v>0.77939423004457098</v>
      </c>
      <c r="M69" s="48"/>
      <c r="N69" s="40">
        <v>82</v>
      </c>
      <c r="O69" s="44">
        <v>8.5434999999999997E-2</v>
      </c>
      <c r="P69" s="46">
        <f t="shared" si="16"/>
        <v>42240.88992836031</v>
      </c>
      <c r="Q69" s="45">
        <f t="shared" ref="Q69:Q87" si="20">P69-P70</f>
        <v>3608.8504310294666</v>
      </c>
      <c r="R69" s="61">
        <f t="shared" ref="R69:R87" si="21">P69*((1+i)^-N69)</f>
        <v>1694.3348229750593</v>
      </c>
      <c r="S69" s="61">
        <f>SUM($R69:R$87)</f>
        <v>10232.484905902171</v>
      </c>
      <c r="T69" s="46">
        <f t="shared" ref="T69:T87" si="22">((1/(1+i)^(N69+1))*Q69)</f>
        <v>139.18797653930224</v>
      </c>
      <c r="U69" s="46">
        <f>SUM($T69:T$87)</f>
        <v>1300.7777112095907</v>
      </c>
      <c r="V69" s="46">
        <f>SUM($U69:U$87)</f>
        <v>8290.6878156489656</v>
      </c>
      <c r="W69" s="47">
        <f>SUM($S69:S$87)</f>
        <v>50486.724346583418</v>
      </c>
      <c r="X69" s="41">
        <f>SUM($R69:R$87)/R69</f>
        <v>6.0392342570962985</v>
      </c>
      <c r="Y69" s="73">
        <f t="shared" si="9"/>
        <v>0.76772175934244979</v>
      </c>
    </row>
    <row r="70" spans="1:25" x14ac:dyDescent="0.25">
      <c r="A70" s="40">
        <v>83</v>
      </c>
      <c r="B70" s="44">
        <v>9.8464999999999997E-2</v>
      </c>
      <c r="C70" s="46">
        <f t="shared" ref="C70:C87" si="23">C69-(B69*C69)</f>
        <v>41605.343606823793</v>
      </c>
      <c r="D70" s="45">
        <f t="shared" si="17"/>
        <v>4096.6701582459064</v>
      </c>
      <c r="E70" s="45">
        <f t="shared" si="18"/>
        <v>1604.656025659744</v>
      </c>
      <c r="F70" s="45">
        <f>SUM($E70:E$87)</f>
        <v>8665.1080898058535</v>
      </c>
      <c r="G70" s="46">
        <f t="shared" si="19"/>
        <v>151.92543804479425</v>
      </c>
      <c r="H70" s="46">
        <f>SUM($G70:G$87)</f>
        <v>1271.3826375902813</v>
      </c>
      <c r="I70" s="47">
        <f>SUM($H70:H$87)</f>
        <v>7195.7295086044423</v>
      </c>
      <c r="J70" s="47">
        <f>SUM($F70:F$87)</f>
        <v>38203.843111235597</v>
      </c>
      <c r="K70" s="71">
        <f>SUM($E70:E$87)/E70</f>
        <v>5.399978531999249</v>
      </c>
      <c r="L70" s="72">
        <f t="shared" ref="L70:L87" si="24">H70/E70</f>
        <v>0.79230851800002466</v>
      </c>
      <c r="M70" s="48"/>
      <c r="N70" s="40">
        <v>83</v>
      </c>
      <c r="O70" s="44">
        <v>9.4077999999999995E-2</v>
      </c>
      <c r="P70" s="46">
        <f t="shared" ref="P70:P87" si="25">P69-(O69*P69)</f>
        <v>38632.039497330843</v>
      </c>
      <c r="Q70" s="45">
        <f t="shared" si="20"/>
        <v>3634.4250118298878</v>
      </c>
      <c r="R70" s="61">
        <f t="shared" si="21"/>
        <v>1489.9801224751777</v>
      </c>
      <c r="S70" s="61">
        <f>SUM($R70:R$87)</f>
        <v>8538.1500829271135</v>
      </c>
      <c r="T70" s="46">
        <f t="shared" si="22"/>
        <v>134.78302880982659</v>
      </c>
      <c r="U70" s="46">
        <f>SUM($T70:T$87)</f>
        <v>1161.5897346702884</v>
      </c>
      <c r="V70" s="46">
        <f>SUM($U70:U$87)</f>
        <v>6989.9101044393728</v>
      </c>
      <c r="W70" s="47">
        <f>SUM($S70:S$87)</f>
        <v>40254.239440681253</v>
      </c>
      <c r="X70" s="41">
        <f>SUM($R70:R$87)/R70</f>
        <v>5.7303785158847678</v>
      </c>
      <c r="Y70" s="73">
        <f t="shared" ref="Y70:Y87" si="26">U70/R70</f>
        <v>0.77960082631212413</v>
      </c>
    </row>
    <row r="71" spans="1:25" x14ac:dyDescent="0.25">
      <c r="A71" s="40">
        <v>84</v>
      </c>
      <c r="B71" s="44">
        <v>0.11018799999999999</v>
      </c>
      <c r="C71" s="46">
        <f t="shared" si="23"/>
        <v>37508.673448577887</v>
      </c>
      <c r="D71" s="45">
        <f t="shared" si="17"/>
        <v>4133.0057099519036</v>
      </c>
      <c r="E71" s="45">
        <f t="shared" si="18"/>
        <v>1391.0130481664974</v>
      </c>
      <c r="F71" s="45">
        <f>SUM($E71:E$87)</f>
        <v>7060.4520641461058</v>
      </c>
      <c r="G71" s="46">
        <f t="shared" si="19"/>
        <v>147.37783245323982</v>
      </c>
      <c r="H71" s="46">
        <f>SUM($G71:G$87)</f>
        <v>1119.4571995454871</v>
      </c>
      <c r="I71" s="47">
        <f>SUM($H71:H$87)</f>
        <v>5924.3468710141606</v>
      </c>
      <c r="J71" s="47">
        <f>SUM($F71:F$87)</f>
        <v>29538.735021429748</v>
      </c>
      <c r="K71" s="71">
        <f>SUM($E71:E$87)/E71</f>
        <v>5.0757626418044968</v>
      </c>
      <c r="L71" s="72">
        <f t="shared" si="24"/>
        <v>0.80477835993059188</v>
      </c>
      <c r="M71" s="48"/>
      <c r="N71" s="40">
        <v>84</v>
      </c>
      <c r="O71" s="44">
        <v>0.103544</v>
      </c>
      <c r="P71" s="46">
        <f t="shared" si="25"/>
        <v>34997.614485500955</v>
      </c>
      <c r="Q71" s="45">
        <f t="shared" si="20"/>
        <v>3623.7929942867122</v>
      </c>
      <c r="R71" s="61">
        <f t="shared" si="21"/>
        <v>1297.8901658778443</v>
      </c>
      <c r="S71" s="61">
        <f>SUM($R71:R$87)</f>
        <v>7048.1699604519381</v>
      </c>
      <c r="T71" s="46">
        <f t="shared" si="22"/>
        <v>129.21994166889954</v>
      </c>
      <c r="U71" s="46">
        <f>SUM($T71:T$87)</f>
        <v>1026.8067058604615</v>
      </c>
      <c r="V71" s="46">
        <f>SUM($U71:U$87)</f>
        <v>5828.3203697690842</v>
      </c>
      <c r="W71" s="47">
        <f>SUM($S71:S$87)</f>
        <v>31716.089357754132</v>
      </c>
      <c r="X71" s="41">
        <f>SUM($R71:R$87)/R71</f>
        <v>5.4304825984137262</v>
      </c>
      <c r="Y71" s="73">
        <f t="shared" si="26"/>
        <v>0.79113528467639471</v>
      </c>
    </row>
    <row r="72" spans="1:25" x14ac:dyDescent="0.25">
      <c r="A72" s="40">
        <v>85</v>
      </c>
      <c r="B72" s="44">
        <v>0.12321</v>
      </c>
      <c r="C72" s="46">
        <f t="shared" si="23"/>
        <v>33375.667738625983</v>
      </c>
      <c r="D72" s="45">
        <f t="shared" si="17"/>
        <v>4112.216022076107</v>
      </c>
      <c r="E72" s="45">
        <f t="shared" si="18"/>
        <v>1190.1347138606991</v>
      </c>
      <c r="F72" s="45">
        <f>SUM($E72:E$87)</f>
        <v>5669.4390159796085</v>
      </c>
      <c r="G72" s="46">
        <f t="shared" si="19"/>
        <v>140.99663278343849</v>
      </c>
      <c r="H72" s="46">
        <f>SUM($G72:G$87)</f>
        <v>972.07936709224759</v>
      </c>
      <c r="I72" s="47">
        <f>SUM($H72:H$87)</f>
        <v>4804.8896714686744</v>
      </c>
      <c r="J72" s="47">
        <f>SUM($F72:F$87)</f>
        <v>22478.282957283642</v>
      </c>
      <c r="K72" s="71">
        <f>SUM($E72:E$87)/E72</f>
        <v>4.7636951934528611</v>
      </c>
      <c r="L72" s="72">
        <f t="shared" si="24"/>
        <v>0.8167809540979627</v>
      </c>
      <c r="M72" s="48"/>
      <c r="N72" s="40">
        <v>85</v>
      </c>
      <c r="O72" s="44">
        <v>0.113902</v>
      </c>
      <c r="P72" s="46">
        <f t="shared" si="25"/>
        <v>31373.821491214243</v>
      </c>
      <c r="Q72" s="45">
        <f t="shared" si="20"/>
        <v>3573.5410154922865</v>
      </c>
      <c r="R72" s="61">
        <f t="shared" si="21"/>
        <v>1118.7513716751812</v>
      </c>
      <c r="S72" s="61">
        <f>SUM($R72:R$87)</f>
        <v>5750.279794574094</v>
      </c>
      <c r="T72" s="46">
        <f t="shared" si="22"/>
        <v>122.52694109283323</v>
      </c>
      <c r="U72" s="46">
        <f>SUM($T72:T$87)</f>
        <v>897.58676419156211</v>
      </c>
      <c r="V72" s="46">
        <f>SUM($U72:U$87)</f>
        <v>4801.5136639086222</v>
      </c>
      <c r="W72" s="47">
        <f>SUM($S72:S$87)</f>
        <v>24667.919397302194</v>
      </c>
      <c r="X72" s="41">
        <f>SUM($R72:R$87)/R72</f>
        <v>5.1399085982471835</v>
      </c>
      <c r="Y72" s="73">
        <f t="shared" si="26"/>
        <v>0.80231120775972364</v>
      </c>
    </row>
    <row r="73" spans="1:25" x14ac:dyDescent="0.25">
      <c r="A73" s="40">
        <v>86</v>
      </c>
      <c r="B73" s="44">
        <v>0.13764799999999999</v>
      </c>
      <c r="C73" s="46">
        <f t="shared" si="23"/>
        <v>29263.451716549876</v>
      </c>
      <c r="D73" s="45">
        <f t="shared" si="17"/>
        <v>4028.055601879656</v>
      </c>
      <c r="E73" s="45">
        <f t="shared" si="18"/>
        <v>1003.3636690056945</v>
      </c>
      <c r="F73" s="45">
        <f>SUM($E73:E$87)</f>
        <v>4479.3043021189096</v>
      </c>
      <c r="G73" s="46">
        <f t="shared" si="19"/>
        <v>132.79904068393765</v>
      </c>
      <c r="H73" s="46">
        <f>SUM($G73:G$87)</f>
        <v>831.08273430880899</v>
      </c>
      <c r="I73" s="47">
        <f>SUM($H73:H$87)</f>
        <v>3832.8103043764277</v>
      </c>
      <c r="J73" s="47">
        <f>SUM($F73:F$87)</f>
        <v>16808.843941304036</v>
      </c>
      <c r="K73" s="71">
        <f>SUM($E73:E$87)/E73</f>
        <v>4.4642879152259676</v>
      </c>
      <c r="L73" s="72">
        <f t="shared" si="24"/>
        <v>0.8282966186451507</v>
      </c>
      <c r="M73" s="48"/>
      <c r="N73" s="40">
        <v>86</v>
      </c>
      <c r="O73" s="44">
        <v>0.125221</v>
      </c>
      <c r="P73" s="46">
        <f t="shared" si="25"/>
        <v>27800.280475721956</v>
      </c>
      <c r="Q73" s="45">
        <f t="shared" si="20"/>
        <v>3481.1789214503806</v>
      </c>
      <c r="R73" s="61">
        <f t="shared" si="21"/>
        <v>953.19553167176412</v>
      </c>
      <c r="S73" s="61">
        <f>SUM($R73:R$87)</f>
        <v>4631.5284228989112</v>
      </c>
      <c r="T73" s="46">
        <f t="shared" si="22"/>
        <v>114.76932468410583</v>
      </c>
      <c r="U73" s="46">
        <f>SUM($T73:T$87)</f>
        <v>775.059823098729</v>
      </c>
      <c r="V73" s="46">
        <f>SUM($U73:U$87)</f>
        <v>3903.9268997170602</v>
      </c>
      <c r="W73" s="47">
        <f>SUM($S73:S$87)</f>
        <v>18917.639602728097</v>
      </c>
      <c r="X73" s="41">
        <f>SUM($R73:R$87)/R73</f>
        <v>4.8589489448989491</v>
      </c>
      <c r="Y73" s="73">
        <f t="shared" si="26"/>
        <v>0.81311734827311721</v>
      </c>
    </row>
    <row r="74" spans="1:25" x14ac:dyDescent="0.25">
      <c r="A74" s="40">
        <v>87</v>
      </c>
      <c r="B74" s="44">
        <v>0.15362400000000001</v>
      </c>
      <c r="C74" s="46">
        <f t="shared" si="23"/>
        <v>25235.39611467022</v>
      </c>
      <c r="D74" s="45">
        <f t="shared" si="17"/>
        <v>3876.7624927200995</v>
      </c>
      <c r="E74" s="45">
        <f t="shared" si="18"/>
        <v>831.97371797538358</v>
      </c>
      <c r="F74" s="45">
        <f>SUM($E74:E$87)</f>
        <v>3475.9406331132168</v>
      </c>
      <c r="G74" s="46">
        <f t="shared" si="19"/>
        <v>122.89531774062475</v>
      </c>
      <c r="H74" s="46">
        <f>SUM($G74:G$87)</f>
        <v>698.28369362487138</v>
      </c>
      <c r="I74" s="47">
        <f>SUM($H74:H$87)</f>
        <v>3001.7275700676191</v>
      </c>
      <c r="J74" s="47">
        <f>SUM($F74:F$87)</f>
        <v>12329.539639185128</v>
      </c>
      <c r="K74" s="71">
        <f>SUM($E74:E$87)/E74</f>
        <v>4.1779452379480846</v>
      </c>
      <c r="L74" s="72">
        <f t="shared" si="24"/>
        <v>0.83930979854045362</v>
      </c>
      <c r="M74" s="48"/>
      <c r="N74" s="40">
        <v>87</v>
      </c>
      <c r="O74" s="44">
        <v>0.137576</v>
      </c>
      <c r="P74" s="46">
        <f t="shared" si="25"/>
        <v>24319.101554271576</v>
      </c>
      <c r="Q74" s="45">
        <f t="shared" si="20"/>
        <v>3345.7247154304678</v>
      </c>
      <c r="R74" s="61">
        <f t="shared" si="21"/>
        <v>801.76484038489832</v>
      </c>
      <c r="S74" s="61">
        <f>SUM($R74:R$87)</f>
        <v>3678.3328912271472</v>
      </c>
      <c r="T74" s="46">
        <f t="shared" si="22"/>
        <v>106.06115353922385</v>
      </c>
      <c r="U74" s="46">
        <f>SUM($T74:T$87)</f>
        <v>660.29049841462313</v>
      </c>
      <c r="V74" s="46">
        <f>SUM($U74:U$87)</f>
        <v>3128.8670766183313</v>
      </c>
      <c r="W74" s="47">
        <f>SUM($S74:S$87)</f>
        <v>14286.111179829189</v>
      </c>
      <c r="X74" s="41">
        <f>SUM($R74:R$87)/R74</f>
        <v>4.5877952062119771</v>
      </c>
      <c r="Y74" s="73">
        <f t="shared" si="26"/>
        <v>0.82354633822261591</v>
      </c>
    </row>
    <row r="75" spans="1:25" x14ac:dyDescent="0.25">
      <c r="A75" s="40">
        <v>88</v>
      </c>
      <c r="B75" s="44">
        <v>0.171264</v>
      </c>
      <c r="C75" s="46">
        <f t="shared" si="23"/>
        <v>21358.633621950121</v>
      </c>
      <c r="D75" s="45">
        <f t="shared" si="17"/>
        <v>3657.9650286296637</v>
      </c>
      <c r="E75" s="45">
        <f t="shared" si="18"/>
        <v>677.07941108185878</v>
      </c>
      <c r="F75" s="45">
        <f>SUM($E75:E$87)</f>
        <v>2643.966915137833</v>
      </c>
      <c r="G75" s="46">
        <f t="shared" si="19"/>
        <v>111.49935409569504</v>
      </c>
      <c r="H75" s="46">
        <f>SUM($G75:G$87)</f>
        <v>575.38837588424667</v>
      </c>
      <c r="I75" s="47">
        <f>SUM($H75:H$87)</f>
        <v>2303.4438764427478</v>
      </c>
      <c r="J75" s="47">
        <f>SUM($F75:F$87)</f>
        <v>8853.5990060719123</v>
      </c>
      <c r="K75" s="71">
        <f>SUM($E75:E$87)/E75</f>
        <v>3.9049583724798538</v>
      </c>
      <c r="L75" s="72">
        <f t="shared" si="24"/>
        <v>0.84980929336615485</v>
      </c>
      <c r="M75" s="48"/>
      <c r="N75" s="40">
        <v>88</v>
      </c>
      <c r="O75" s="44">
        <v>0.15104000000000001</v>
      </c>
      <c r="P75" s="46">
        <f t="shared" si="25"/>
        <v>20973.376838841108</v>
      </c>
      <c r="Q75" s="45">
        <f t="shared" si="20"/>
        <v>3167.8188377385632</v>
      </c>
      <c r="R75" s="61">
        <f t="shared" si="21"/>
        <v>664.86657760010132</v>
      </c>
      <c r="S75" s="61">
        <f>SUM($R75:R$87)</f>
        <v>2876.5680508422492</v>
      </c>
      <c r="T75" s="46">
        <f t="shared" si="22"/>
        <v>96.559084500691711</v>
      </c>
      <c r="U75" s="46">
        <f>SUM($T75:T$87)</f>
        <v>554.22934487539931</v>
      </c>
      <c r="V75" s="46">
        <f>SUM($U75:U$87)</f>
        <v>2468.5765782037083</v>
      </c>
      <c r="W75" s="47">
        <f>SUM($S75:S$87)</f>
        <v>10607.778288602045</v>
      </c>
      <c r="X75" s="41">
        <f>SUM($R75:R$87)/R75</f>
        <v>4.3265342968892995</v>
      </c>
      <c r="Y75" s="73">
        <f t="shared" si="26"/>
        <v>0.83359483473502671</v>
      </c>
    </row>
    <row r="76" spans="1:25" x14ac:dyDescent="0.25">
      <c r="A76" s="40">
        <v>89</v>
      </c>
      <c r="B76" s="44">
        <v>0.190692</v>
      </c>
      <c r="C76" s="46">
        <f t="shared" si="23"/>
        <v>17700.668593320457</v>
      </c>
      <c r="D76" s="45">
        <f t="shared" si="17"/>
        <v>3375.3758953974648</v>
      </c>
      <c r="E76" s="45">
        <f t="shared" si="18"/>
        <v>539.53854117532239</v>
      </c>
      <c r="F76" s="45">
        <f>SUM($E76:E$87)</f>
        <v>1966.887504055974</v>
      </c>
      <c r="G76" s="46">
        <f t="shared" si="19"/>
        <v>98.928541820965464</v>
      </c>
      <c r="H76" s="46">
        <f>SUM($G76:G$87)</f>
        <v>463.88902178855176</v>
      </c>
      <c r="I76" s="47">
        <f>SUM($H76:H$87)</f>
        <v>1728.0555005585006</v>
      </c>
      <c r="J76" s="47">
        <f>SUM($F76:F$87)</f>
        <v>6209.6320909340757</v>
      </c>
      <c r="K76" s="71">
        <f>SUM($E76:E$87)/E76</f>
        <v>3.645499540721107</v>
      </c>
      <c r="L76" s="72">
        <f t="shared" si="24"/>
        <v>0.85978847920302992</v>
      </c>
      <c r="M76" s="48"/>
      <c r="N76" s="40">
        <v>89</v>
      </c>
      <c r="O76" s="44">
        <v>0.16569200000000001</v>
      </c>
      <c r="P76" s="46">
        <f t="shared" si="25"/>
        <v>17805.558001102545</v>
      </c>
      <c r="Q76" s="45">
        <f t="shared" si="20"/>
        <v>2950.2385163186827</v>
      </c>
      <c r="R76" s="61">
        <f t="shared" si="21"/>
        <v>542.73570165325191</v>
      </c>
      <c r="S76" s="61">
        <f>SUM($R76:R$87)</f>
        <v>2211.7014732421476</v>
      </c>
      <c r="T76" s="46">
        <f t="shared" si="22"/>
        <v>86.468234498394807</v>
      </c>
      <c r="U76" s="46">
        <f>SUM($T76:T$87)</f>
        <v>457.67026037470771</v>
      </c>
      <c r="V76" s="46">
        <f>SUM($U76:U$87)</f>
        <v>1914.3472333283091</v>
      </c>
      <c r="W76" s="47">
        <f>SUM($S76:S$87)</f>
        <v>7731.2102377597948</v>
      </c>
      <c r="X76" s="41">
        <f>SUM($R76:R$87)/R76</f>
        <v>4.0750985544252627</v>
      </c>
      <c r="Y76" s="73">
        <f t="shared" si="26"/>
        <v>0.84326544021441285</v>
      </c>
    </row>
    <row r="77" spans="1:25" x14ac:dyDescent="0.25">
      <c r="A77" s="40">
        <v>90</v>
      </c>
      <c r="B77" s="44">
        <v>0.21202799999999999</v>
      </c>
      <c r="C77" s="46">
        <f t="shared" si="23"/>
        <v>14325.292697922992</v>
      </c>
      <c r="D77" s="45">
        <f t="shared" si="17"/>
        <v>3037.3631601552152</v>
      </c>
      <c r="E77" s="45">
        <f t="shared" si="18"/>
        <v>419.85851700145946</v>
      </c>
      <c r="F77" s="45">
        <f>SUM($E77:E$87)</f>
        <v>1427.3489628806517</v>
      </c>
      <c r="G77" s="46">
        <f t="shared" si="19"/>
        <v>85.597847733447082</v>
      </c>
      <c r="H77" s="46">
        <f>SUM($G77:G$87)</f>
        <v>364.96047996758631</v>
      </c>
      <c r="I77" s="47">
        <f>SUM($H77:H$87)</f>
        <v>1264.1664787699488</v>
      </c>
      <c r="J77" s="47">
        <f>SUM($F77:F$87)</f>
        <v>4242.7445868781024</v>
      </c>
      <c r="K77" s="71">
        <f>SUM($E77:E$87)/E77</f>
        <v>3.3995951137885103</v>
      </c>
      <c r="L77" s="72">
        <f t="shared" si="24"/>
        <v>0.86924634177736038</v>
      </c>
      <c r="M77" s="48"/>
      <c r="N77" s="40">
        <v>90</v>
      </c>
      <c r="O77" s="44">
        <v>0.18160699999999999</v>
      </c>
      <c r="P77" s="46">
        <f t="shared" si="25"/>
        <v>14855.319484783862</v>
      </c>
      <c r="Q77" s="45">
        <f t="shared" si="20"/>
        <v>2697.8300056731423</v>
      </c>
      <c r="R77" s="61">
        <f t="shared" si="21"/>
        <v>435.39301709127045</v>
      </c>
      <c r="S77" s="61">
        <f>SUM($R77:R$87)</f>
        <v>1668.9657715888959</v>
      </c>
      <c r="T77" s="46">
        <f t="shared" si="22"/>
        <v>76.029249668167623</v>
      </c>
      <c r="U77" s="46">
        <f>SUM($T77:T$87)</f>
        <v>371.20202587631286</v>
      </c>
      <c r="V77" s="46">
        <f>SUM($U77:U$87)</f>
        <v>1456.6769729536015</v>
      </c>
      <c r="W77" s="47">
        <f>SUM($S77:S$87)</f>
        <v>5519.5087645176473</v>
      </c>
      <c r="X77" s="41">
        <f>SUM($R77:R$87)/R77</f>
        <v>3.8332396388411403</v>
      </c>
      <c r="Y77" s="73">
        <f t="shared" si="26"/>
        <v>0.8525677061984176</v>
      </c>
    </row>
    <row r="78" spans="1:25" x14ac:dyDescent="0.25">
      <c r="A78" s="40">
        <v>91</v>
      </c>
      <c r="B78" s="44">
        <v>0.23538500000000001</v>
      </c>
      <c r="C78" s="46">
        <f t="shared" si="23"/>
        <v>11287.929537767777</v>
      </c>
      <c r="D78" s="45">
        <f t="shared" si="17"/>
        <v>2657.0092942474694</v>
      </c>
      <c r="E78" s="45">
        <f t="shared" si="18"/>
        <v>318.11226476795576</v>
      </c>
      <c r="F78" s="45">
        <f>SUM($E78:E$87)</f>
        <v>1007.4904458791923</v>
      </c>
      <c r="G78" s="46">
        <f t="shared" si="19"/>
        <v>71.998899463850876</v>
      </c>
      <c r="H78" s="46">
        <f>SUM($G78:G$87)</f>
        <v>279.3626322341392</v>
      </c>
      <c r="I78" s="47">
        <f>SUM($H78:H$87)</f>
        <v>899.20599880236239</v>
      </c>
      <c r="J78" s="47">
        <f>SUM($F78:F$87)</f>
        <v>2815.3956239974518</v>
      </c>
      <c r="K78" s="71">
        <f>SUM($E78:E$87)/E78</f>
        <v>3.1670908589899778</v>
      </c>
      <c r="L78" s="72">
        <f t="shared" si="24"/>
        <v>0.87818881311576547</v>
      </c>
      <c r="M78" s="48"/>
      <c r="N78" s="40">
        <v>91</v>
      </c>
      <c r="O78" s="44">
        <v>0.19886000000000001</v>
      </c>
      <c r="P78" s="46">
        <f t="shared" si="25"/>
        <v>12157.48947911072</v>
      </c>
      <c r="Q78" s="45">
        <f t="shared" si="20"/>
        <v>2417.6383578159584</v>
      </c>
      <c r="R78" s="61">
        <f t="shared" si="21"/>
        <v>342.61788215036159</v>
      </c>
      <c r="S78" s="61">
        <f>SUM($R78:R$87)</f>
        <v>1233.5727544976255</v>
      </c>
      <c r="T78" s="46">
        <f t="shared" si="22"/>
        <v>65.512492350404742</v>
      </c>
      <c r="U78" s="46">
        <f>SUM($T78:T$87)</f>
        <v>295.17277620814525</v>
      </c>
      <c r="V78" s="46">
        <f>SUM($U78:U$87)</f>
        <v>1085.4749470772886</v>
      </c>
      <c r="W78" s="47">
        <f>SUM($S78:S$87)</f>
        <v>3850.5429929287511</v>
      </c>
      <c r="X78" s="41">
        <f>SUM($R78:R$87)/R78</f>
        <v>3.6004330735902998</v>
      </c>
      <c r="Y78" s="73">
        <f t="shared" si="26"/>
        <v>0.86152180486191166</v>
      </c>
    </row>
    <row r="79" spans="1:25" x14ac:dyDescent="0.25">
      <c r="A79" s="40">
        <v>92</v>
      </c>
      <c r="B79" s="44">
        <v>0.26086399999999998</v>
      </c>
      <c r="C79" s="46">
        <f t="shared" si="23"/>
        <v>8630.9202435203078</v>
      </c>
      <c r="D79" s="45">
        <f t="shared" si="17"/>
        <v>2251.4963784056818</v>
      </c>
      <c r="E79" s="45">
        <f t="shared" si="18"/>
        <v>233.87827819764468</v>
      </c>
      <c r="F79" s="45">
        <f>SUM($E79:E$87)</f>
        <v>689.37818111123647</v>
      </c>
      <c r="G79" s="46">
        <f t="shared" si="19"/>
        <v>58.663868426682761</v>
      </c>
      <c r="H79" s="46">
        <f>SUM($G79:G$87)</f>
        <v>207.36373277028832</v>
      </c>
      <c r="I79" s="47">
        <f>SUM($H79:H$87)</f>
        <v>619.84336656822325</v>
      </c>
      <c r="J79" s="47">
        <f>SUM($F79:F$87)</f>
        <v>1807.9051781182591</v>
      </c>
      <c r="K79" s="71">
        <f>SUM($E79:E$87)/E79</f>
        <v>2.9475938784219209</v>
      </c>
      <c r="L79" s="72">
        <f t="shared" si="24"/>
        <v>0.88663100467607525</v>
      </c>
      <c r="M79" s="48"/>
      <c r="N79" s="40">
        <v>92</v>
      </c>
      <c r="O79" s="44">
        <v>0.217524</v>
      </c>
      <c r="P79" s="46">
        <f t="shared" si="25"/>
        <v>9739.8511212947615</v>
      </c>
      <c r="Q79" s="45">
        <f t="shared" si="20"/>
        <v>2118.6513753085219</v>
      </c>
      <c r="R79" s="61">
        <f t="shared" si="21"/>
        <v>263.92777894801986</v>
      </c>
      <c r="S79" s="61">
        <f>SUM($R79:R$87)</f>
        <v>890.95487234726374</v>
      </c>
      <c r="T79" s="46">
        <f t="shared" si="22"/>
        <v>55.202525180662576</v>
      </c>
      <c r="U79" s="46">
        <f>SUM($T79:T$87)</f>
        <v>229.6602838577405</v>
      </c>
      <c r="V79" s="46">
        <f>SUM($U79:U$87)</f>
        <v>790.30217086914365</v>
      </c>
      <c r="W79" s="47">
        <f>SUM($S79:S$87)</f>
        <v>2616.9702384311263</v>
      </c>
      <c r="X79" s="41">
        <f>SUM($R79:R$87)/R79</f>
        <v>3.3757525482860817</v>
      </c>
      <c r="Y79" s="73">
        <f t="shared" si="26"/>
        <v>0.87016336352745838</v>
      </c>
    </row>
    <row r="80" spans="1:25" x14ac:dyDescent="0.25">
      <c r="A80" s="40">
        <v>93</v>
      </c>
      <c r="B80" s="44">
        <v>0.288545</v>
      </c>
      <c r="C80" s="46">
        <f t="shared" si="23"/>
        <v>6379.4238651146261</v>
      </c>
      <c r="D80" s="45">
        <f t="shared" si="17"/>
        <v>1840.7508591594997</v>
      </c>
      <c r="E80" s="45">
        <f t="shared" si="18"/>
        <v>166.21909137874451</v>
      </c>
      <c r="F80" s="45">
        <f>SUM($E80:E$87)</f>
        <v>455.49990291359194</v>
      </c>
      <c r="G80" s="46">
        <f t="shared" si="19"/>
        <v>46.117007424884207</v>
      </c>
      <c r="H80" s="46">
        <f>SUM($G80:G$87)</f>
        <v>148.69986434360555</v>
      </c>
      <c r="I80" s="47">
        <f>SUM($H80:H$87)</f>
        <v>412.47963379793498</v>
      </c>
      <c r="J80" s="47">
        <f>SUM($F80:F$87)</f>
        <v>1118.5269970070224</v>
      </c>
      <c r="K80" s="71">
        <f>SUM($E80:E$87)/E80</f>
        <v>2.7403585179977683</v>
      </c>
      <c r="L80" s="72">
        <f t="shared" si="24"/>
        <v>0.89460159546161944</v>
      </c>
      <c r="M80" s="48"/>
      <c r="N80" s="40">
        <v>93</v>
      </c>
      <c r="O80" s="44">
        <v>0.23766599999999999</v>
      </c>
      <c r="P80" s="46">
        <f t="shared" si="25"/>
        <v>7621.1997459862396</v>
      </c>
      <c r="Q80" s="45">
        <f t="shared" si="20"/>
        <v>1811.3000588295654</v>
      </c>
      <c r="R80" s="61">
        <f t="shared" si="21"/>
        <v>198.57418534627959</v>
      </c>
      <c r="S80" s="61">
        <f>SUM($R80:R$87)</f>
        <v>627.02709339924388</v>
      </c>
      <c r="T80" s="46">
        <f t="shared" si="22"/>
        <v>45.379165706258547</v>
      </c>
      <c r="U80" s="46">
        <f>SUM($T80:T$87)</f>
        <v>174.45775867707792</v>
      </c>
      <c r="V80" s="46">
        <f>SUM($U80:U$87)</f>
        <v>560.64188701140313</v>
      </c>
      <c r="W80" s="47">
        <f>SUM($S80:S$87)</f>
        <v>1726.0153660838621</v>
      </c>
      <c r="X80" s="41">
        <f>SUM($R80:R$87)/R80</f>
        <v>3.1576465606836828</v>
      </c>
      <c r="Y80" s="73">
        <f t="shared" si="26"/>
        <v>0.87855205535831993</v>
      </c>
    </row>
    <row r="81" spans="1:25" x14ac:dyDescent="0.25">
      <c r="A81" s="40">
        <v>94</v>
      </c>
      <c r="B81" s="44">
        <v>0.31848199999999999</v>
      </c>
      <c r="C81" s="46">
        <f t="shared" si="23"/>
        <v>4538.6730059551264</v>
      </c>
      <c r="D81" s="45">
        <f t="shared" si="17"/>
        <v>1445.4856562826008</v>
      </c>
      <c r="E81" s="45">
        <f t="shared" si="18"/>
        <v>113.70904197775451</v>
      </c>
      <c r="F81" s="45">
        <f>SUM($E81:E$87)</f>
        <v>289.28081153484743</v>
      </c>
      <c r="G81" s="46">
        <f t="shared" si="19"/>
        <v>34.821426064575981</v>
      </c>
      <c r="H81" s="46">
        <f>SUM($G81:G$87)</f>
        <v>102.58285691872133</v>
      </c>
      <c r="I81" s="47">
        <f>SUM($H81:H$87)</f>
        <v>263.77976945432943</v>
      </c>
      <c r="J81" s="47">
        <f>SUM($F81:F$87)</f>
        <v>663.02709409343049</v>
      </c>
      <c r="K81" s="71">
        <f>SUM($E81:E$87)/E81</f>
        <v>2.5440440487700262</v>
      </c>
      <c r="L81" s="72">
        <f t="shared" si="24"/>
        <v>0.90215215197037846</v>
      </c>
      <c r="M81" s="48"/>
      <c r="N81" s="40">
        <v>94</v>
      </c>
      <c r="O81" s="44">
        <v>0.25934699999999999</v>
      </c>
      <c r="P81" s="46">
        <f t="shared" si="25"/>
        <v>5809.8996871566742</v>
      </c>
      <c r="Q81" s="45">
        <f t="shared" si="20"/>
        <v>1506.7800541650222</v>
      </c>
      <c r="R81" s="61">
        <f t="shared" si="21"/>
        <v>145.55755097285649</v>
      </c>
      <c r="S81" s="61">
        <f>SUM($R81:R$87)</f>
        <v>428.45290805296435</v>
      </c>
      <c r="T81" s="46">
        <f t="shared" si="22"/>
        <v>36.297994396305207</v>
      </c>
      <c r="U81" s="46">
        <f>SUM($T81:T$87)</f>
        <v>129.07859297081936</v>
      </c>
      <c r="V81" s="46">
        <f>SUM($U81:U$87)</f>
        <v>386.18412833432524</v>
      </c>
      <c r="W81" s="47">
        <f>SUM($S81:S$87)</f>
        <v>1098.9882726846186</v>
      </c>
      <c r="X81" s="41">
        <f>SUM($R81:R$87)/R81</f>
        <v>2.9435292445450809</v>
      </c>
      <c r="Y81" s="73">
        <f t="shared" si="26"/>
        <v>0.88678733674826582</v>
      </c>
    </row>
    <row r="82" spans="1:25" x14ac:dyDescent="0.25">
      <c r="A82" s="40">
        <v>95</v>
      </c>
      <c r="B82" s="44">
        <v>0.35069400000000001</v>
      </c>
      <c r="C82" s="46">
        <f t="shared" si="23"/>
        <v>3093.1873496725257</v>
      </c>
      <c r="D82" s="45">
        <f t="shared" si="17"/>
        <v>1084.7622444060567</v>
      </c>
      <c r="E82" s="45">
        <f t="shared" si="18"/>
        <v>74.514191221726236</v>
      </c>
      <c r="F82" s="45">
        <f>SUM($E82:E$87)</f>
        <v>175.57176955709292</v>
      </c>
      <c r="G82" s="46">
        <f t="shared" si="19"/>
        <v>25.126615169530691</v>
      </c>
      <c r="H82" s="46">
        <f>SUM($G82:G$87)</f>
        <v>67.761430854145374</v>
      </c>
      <c r="I82" s="47">
        <f>SUM($H82:H$87)</f>
        <v>161.19691253560811</v>
      </c>
      <c r="J82" s="47">
        <f>SUM($F82:F$87)</f>
        <v>373.74628255858323</v>
      </c>
      <c r="K82" s="71">
        <f>SUM($E82:E$87)/E82</f>
        <v>2.3562192205060284</v>
      </c>
      <c r="L82" s="72">
        <f t="shared" si="24"/>
        <v>0.90937618382668628</v>
      </c>
      <c r="M82" s="48"/>
      <c r="N82" s="40">
        <v>95</v>
      </c>
      <c r="O82" s="44">
        <v>0.28261399999999998</v>
      </c>
      <c r="P82" s="46">
        <f t="shared" si="25"/>
        <v>4303.119632991652</v>
      </c>
      <c r="Q82" s="45">
        <f t="shared" si="20"/>
        <v>1216.1218519583026</v>
      </c>
      <c r="R82" s="61">
        <f t="shared" si="21"/>
        <v>103.6611892314414</v>
      </c>
      <c r="S82" s="61">
        <f>SUM($R82:R$87)</f>
        <v>282.89535708010789</v>
      </c>
      <c r="T82" s="46">
        <f t="shared" si="22"/>
        <v>28.169330128321704</v>
      </c>
      <c r="U82" s="46">
        <f>SUM($T82:T$87)</f>
        <v>92.780598574514173</v>
      </c>
      <c r="V82" s="46">
        <f>SUM($U82:U$87)</f>
        <v>257.10553536350579</v>
      </c>
      <c r="W82" s="47">
        <f>SUM($S82:S$87)</f>
        <v>670.53536463165403</v>
      </c>
      <c r="X82" s="41">
        <f>SUM($R82:R$87)/R82</f>
        <v>2.7290383139295793</v>
      </c>
      <c r="Y82" s="73">
        <f t="shared" si="26"/>
        <v>0.89503698792578545</v>
      </c>
    </row>
    <row r="83" spans="1:25" x14ac:dyDescent="0.25">
      <c r="A83" s="40">
        <v>96</v>
      </c>
      <c r="B83" s="44">
        <v>0.385154</v>
      </c>
      <c r="C83" s="46">
        <f t="shared" si="23"/>
        <v>2008.425105266469</v>
      </c>
      <c r="D83" s="45">
        <f t="shared" si="17"/>
        <v>773.55296299380166</v>
      </c>
      <c r="E83" s="45">
        <f t="shared" si="18"/>
        <v>46.521645620590547</v>
      </c>
      <c r="F83" s="45">
        <f>SUM($E83:E$87)</f>
        <v>101.05757833536668</v>
      </c>
      <c r="G83" s="46">
        <f t="shared" si="19"/>
        <v>17.228844132070037</v>
      </c>
      <c r="H83" s="46">
        <f>SUM($G83:G$87)</f>
        <v>42.634815684614679</v>
      </c>
      <c r="I83" s="47">
        <f>SUM($H83:H$87)</f>
        <v>93.43548168146269</v>
      </c>
      <c r="J83" s="47">
        <f>SUM($F83:F$87)</f>
        <v>198.17451300149031</v>
      </c>
      <c r="K83" s="71">
        <f>SUM($E83:E$87)/E83</f>
        <v>2.1722700688523893</v>
      </c>
      <c r="L83" s="72">
        <f t="shared" si="24"/>
        <v>0.91645115119798015</v>
      </c>
      <c r="M83" s="48"/>
      <c r="N83" s="40">
        <v>96</v>
      </c>
      <c r="O83" s="44">
        <v>0.30750499999999997</v>
      </c>
      <c r="P83" s="46">
        <f t="shared" si="25"/>
        <v>3086.9977810333494</v>
      </c>
      <c r="Q83" s="45">
        <f t="shared" si="20"/>
        <v>949.26725265666028</v>
      </c>
      <c r="R83" s="61">
        <f t="shared" si="21"/>
        <v>71.504890286525779</v>
      </c>
      <c r="S83" s="61">
        <f>SUM($R83:R$87)</f>
        <v>179.23416784866649</v>
      </c>
      <c r="T83" s="46">
        <f t="shared" si="22"/>
        <v>21.142414699575113</v>
      </c>
      <c r="U83" s="46">
        <f>SUM($T83:T$87)</f>
        <v>64.611268446192454</v>
      </c>
      <c r="V83" s="46">
        <f>SUM($U83:U$87)</f>
        <v>164.32493678899161</v>
      </c>
      <c r="W83" s="47">
        <f>SUM($S83:S$87)</f>
        <v>387.64000755154609</v>
      </c>
      <c r="X83" s="41">
        <f>SUM($R83:R$87)/R83</f>
        <v>2.506600137843173</v>
      </c>
      <c r="Y83" s="73">
        <f t="shared" si="26"/>
        <v>0.90359230239064725</v>
      </c>
    </row>
    <row r="84" spans="1:25" x14ac:dyDescent="0.25">
      <c r="A84" s="40">
        <v>97</v>
      </c>
      <c r="B84" s="44">
        <v>0.42178100000000002</v>
      </c>
      <c r="C84" s="46">
        <f t="shared" si="23"/>
        <v>1234.8721422726674</v>
      </c>
      <c r="D84" s="45">
        <f t="shared" si="17"/>
        <v>520.84560703990792</v>
      </c>
      <c r="E84" s="45">
        <f t="shared" si="18"/>
        <v>27.503507426190016</v>
      </c>
      <c r="F84" s="45">
        <f>SUM($E84:E$87)</f>
        <v>54.535932714776131</v>
      </c>
      <c r="G84" s="46">
        <f t="shared" si="19"/>
        <v>11.154285447813258</v>
      </c>
      <c r="H84" s="46">
        <f>SUM($G84:G$87)</f>
        <v>25.405971552544639</v>
      </c>
      <c r="I84" s="47">
        <f>SUM($H84:H$87)</f>
        <v>50.800665996848018</v>
      </c>
      <c r="J84" s="47">
        <f>SUM($F84:F$87)</f>
        <v>97.116934666123626</v>
      </c>
      <c r="K84" s="71">
        <f>SUM($E84:E$87)/E84</f>
        <v>1.9828719250129052</v>
      </c>
      <c r="L84" s="72">
        <f t="shared" si="24"/>
        <v>0.92373569519180621</v>
      </c>
      <c r="M84" s="48"/>
      <c r="N84" s="40">
        <v>97</v>
      </c>
      <c r="O84" s="44">
        <v>0.33403699999999997</v>
      </c>
      <c r="P84" s="46">
        <f t="shared" si="25"/>
        <v>2137.7305283766891</v>
      </c>
      <c r="Q84" s="45">
        <f t="shared" si="20"/>
        <v>714.08109250736402</v>
      </c>
      <c r="R84" s="61">
        <f t="shared" si="21"/>
        <v>47.612287499007373</v>
      </c>
      <c r="S84" s="61">
        <f>SUM($R84:R$87)</f>
        <v>107.72927756214072</v>
      </c>
      <c r="T84" s="46">
        <f t="shared" si="22"/>
        <v>15.292563153178772</v>
      </c>
      <c r="U84" s="46">
        <f>SUM($T84:T$87)</f>
        <v>43.468853746617341</v>
      </c>
      <c r="V84" s="46">
        <f>SUM($U84:U$87)</f>
        <v>99.713668342799167</v>
      </c>
      <c r="W84" s="47">
        <f>SUM($S84:S$87)</f>
        <v>208.40583970287963</v>
      </c>
      <c r="X84" s="41">
        <f>SUM($R84:R$87)/R84</f>
        <v>2.2626360383207103</v>
      </c>
      <c r="Y84" s="73">
        <f t="shared" si="26"/>
        <v>0.91297553698766487</v>
      </c>
    </row>
    <row r="85" spans="1:25" x14ac:dyDescent="0.25">
      <c r="A85" s="40">
        <v>98</v>
      </c>
      <c r="B85" s="44">
        <v>0.46042699999999998</v>
      </c>
      <c r="C85" s="46">
        <f t="shared" si="23"/>
        <v>714.02653523275944</v>
      </c>
      <c r="D85" s="45">
        <f t="shared" si="17"/>
        <v>328.75709553761374</v>
      </c>
      <c r="E85" s="45">
        <f t="shared" si="18"/>
        <v>15.29139476967708</v>
      </c>
      <c r="F85" s="45">
        <f>SUM($E85:E$87)</f>
        <v>27.032425288586118</v>
      </c>
      <c r="G85" s="46">
        <f t="shared" si="19"/>
        <v>6.7697798265558369</v>
      </c>
      <c r="H85" s="46">
        <f>SUM($G85:G$87)</f>
        <v>14.25168610473138</v>
      </c>
      <c r="I85" s="47">
        <f>SUM($H85:H$87)</f>
        <v>25.394694444303376</v>
      </c>
      <c r="J85" s="47">
        <f>SUM($F85:F$87)</f>
        <v>42.581001951347488</v>
      </c>
      <c r="K85" s="71">
        <f>SUM($E85:E$87)/E85</f>
        <v>1.7678194628910875</v>
      </c>
      <c r="L85" s="72">
        <f t="shared" si="24"/>
        <v>0.93200694373495296</v>
      </c>
      <c r="M85" s="48"/>
      <c r="N85" s="40">
        <v>98</v>
      </c>
      <c r="O85" s="44">
        <v>0.362207</v>
      </c>
      <c r="P85" s="46">
        <f t="shared" si="25"/>
        <v>1423.6494358693251</v>
      </c>
      <c r="Q85" s="45">
        <f t="shared" si="20"/>
        <v>515.65579121792064</v>
      </c>
      <c r="R85" s="61">
        <f t="shared" si="21"/>
        <v>30.488482518943698</v>
      </c>
      <c r="S85" s="61">
        <f>SUM($R85:R$87)</f>
        <v>60.116990063133336</v>
      </c>
      <c r="T85" s="46">
        <f t="shared" si="22"/>
        <v>10.618405565133692</v>
      </c>
      <c r="U85" s="46">
        <f>SUM($T85:T$87)</f>
        <v>28.176290593438566</v>
      </c>
      <c r="V85" s="46">
        <f>SUM($U85:U$87)</f>
        <v>56.244814596181833</v>
      </c>
      <c r="W85" s="47">
        <f>SUM($S85:S$87)</f>
        <v>100.67656214073891</v>
      </c>
      <c r="X85" s="41">
        <f>SUM($R85:R$87)/R85</f>
        <v>1.971793447764423</v>
      </c>
      <c r="Y85" s="73">
        <f t="shared" si="26"/>
        <v>0.92416179047059899</v>
      </c>
    </row>
    <row r="86" spans="1:25" x14ac:dyDescent="0.25">
      <c r="A86" s="40">
        <v>99</v>
      </c>
      <c r="B86" s="44">
        <v>0.50086900000000001</v>
      </c>
      <c r="C86" s="46">
        <f t="shared" si="23"/>
        <v>385.26943969514571</v>
      </c>
      <c r="D86" s="45">
        <f t="shared" si="17"/>
        <v>192.96951899066795</v>
      </c>
      <c r="E86" s="45">
        <f t="shared" si="18"/>
        <v>7.9334843750567021</v>
      </c>
      <c r="F86" s="45">
        <f>SUM($E86:E$87)</f>
        <v>11.741030518909035</v>
      </c>
      <c r="G86" s="46">
        <f t="shared" si="19"/>
        <v>3.8208042167790901</v>
      </c>
      <c r="H86" s="46">
        <f>SUM($G86:G$87)</f>
        <v>7.4819062781755434</v>
      </c>
      <c r="I86" s="47">
        <f>SUM($H86:H$87)</f>
        <v>11.143008339571997</v>
      </c>
      <c r="J86" s="47">
        <f>SUM($F86:F$87)</f>
        <v>15.548576662761368</v>
      </c>
      <c r="K86" s="71">
        <f>SUM($E86:E$87)/E86</f>
        <v>1.4799336538461538</v>
      </c>
      <c r="L86" s="72">
        <f t="shared" si="24"/>
        <v>0.94307947485206567</v>
      </c>
      <c r="M86" s="48"/>
      <c r="N86" s="40">
        <v>99</v>
      </c>
      <c r="O86" s="44">
        <v>0.391986</v>
      </c>
      <c r="P86" s="46">
        <f t="shared" si="25"/>
        <v>907.99364465140445</v>
      </c>
      <c r="Q86" s="45">
        <f t="shared" si="20"/>
        <v>355.9207967923254</v>
      </c>
      <c r="R86" s="61">
        <f t="shared" si="21"/>
        <v>18.697443010773711</v>
      </c>
      <c r="S86" s="61">
        <f>SUM($R86:R$87)</f>
        <v>29.628507544189638</v>
      </c>
      <c r="T86" s="46">
        <f t="shared" si="22"/>
        <v>7.0472460538664832</v>
      </c>
      <c r="U86" s="46">
        <f>SUM($T86:T$87)</f>
        <v>17.557885028304874</v>
      </c>
      <c r="V86" s="46">
        <f>SUM($U86:U$87)</f>
        <v>28.068524002743267</v>
      </c>
      <c r="W86" s="47">
        <f>SUM($S86:S$87)</f>
        <v>40.559572077605566</v>
      </c>
      <c r="X86" s="41">
        <f>SUM($R86:R$87)/R86</f>
        <v>1.584628846153846</v>
      </c>
      <c r="Y86" s="73">
        <f t="shared" si="26"/>
        <v>0.93905273668639033</v>
      </c>
    </row>
    <row r="87" spans="1:25" x14ac:dyDescent="0.25">
      <c r="A87" s="40">
        <v>100</v>
      </c>
      <c r="B87" s="44">
        <v>0.54279999999999995</v>
      </c>
      <c r="C87" s="46">
        <f t="shared" si="23"/>
        <v>192.29992070447776</v>
      </c>
      <c r="D87" s="45">
        <f t="shared" si="17"/>
        <v>192.29992070447776</v>
      </c>
      <c r="E87" s="45">
        <f t="shared" si="18"/>
        <v>3.8075461438523335</v>
      </c>
      <c r="F87" s="45">
        <f>SUM($E87:E$87)</f>
        <v>3.8075461438523335</v>
      </c>
      <c r="G87" s="46">
        <f t="shared" si="19"/>
        <v>3.6611020613964533</v>
      </c>
      <c r="H87" s="46">
        <f>SUM($G87:G$87)</f>
        <v>3.6611020613964533</v>
      </c>
      <c r="I87" s="47">
        <f>SUM($H87:H$87)</f>
        <v>3.6611020613964533</v>
      </c>
      <c r="J87" s="47">
        <f>SUM($F87:F$87)</f>
        <v>3.8075461438523335</v>
      </c>
      <c r="K87" s="71">
        <f>SUM($E87:E$87)/E87</f>
        <v>1</v>
      </c>
      <c r="L87" s="72">
        <f t="shared" si="24"/>
        <v>0.96153846153845601</v>
      </c>
      <c r="M87" s="48"/>
      <c r="N87" s="40">
        <v>100</v>
      </c>
      <c r="O87" s="44">
        <v>0.42331299999999999</v>
      </c>
      <c r="P87" s="46">
        <f t="shared" si="25"/>
        <v>552.07284785907905</v>
      </c>
      <c r="Q87" s="45">
        <f t="shared" si="20"/>
        <v>552.07284785907905</v>
      </c>
      <c r="R87" s="61">
        <f t="shared" si="21"/>
        <v>10.931064533415929</v>
      </c>
      <c r="S87" s="61">
        <f>SUM($R87:R$87)</f>
        <v>10.931064533415929</v>
      </c>
      <c r="T87" s="46">
        <f t="shared" si="22"/>
        <v>10.510638974438391</v>
      </c>
      <c r="U87" s="46">
        <f>SUM($T87:T$87)</f>
        <v>10.510638974438391</v>
      </c>
      <c r="V87" s="46">
        <f>SUM($U87:U$87)</f>
        <v>10.510638974438391</v>
      </c>
      <c r="W87" s="47">
        <f>SUM($S87:S$87)</f>
        <v>10.931064533415929</v>
      </c>
      <c r="X87" s="41">
        <f>SUM($R87:R$87)/R87</f>
        <v>1</v>
      </c>
      <c r="Y87" s="73">
        <f t="shared" si="26"/>
        <v>0.96153846153846134</v>
      </c>
    </row>
  </sheetData>
  <mergeCells count="2">
    <mergeCell ref="A3:J3"/>
    <mergeCell ref="N3:W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X88"/>
  <sheetViews>
    <sheetView zoomScale="86" zoomScaleNormal="86" workbookViewId="0">
      <selection activeCell="Q6" sqref="Q6"/>
    </sheetView>
  </sheetViews>
  <sheetFormatPr defaultRowHeight="15" x14ac:dyDescent="0.25"/>
  <cols>
    <col min="3" max="3" width="10.28515625" customWidth="1"/>
    <col min="5" max="5" width="10.85546875" customWidth="1"/>
    <col min="6" max="6" width="11" customWidth="1"/>
    <col min="7" max="7" width="10.42578125" customWidth="1"/>
    <col min="8" max="8" width="10.5703125" customWidth="1"/>
    <col min="9" max="9" width="11.140625" customWidth="1"/>
    <col min="10" max="10" width="9.140625" style="20"/>
    <col min="11" max="11" width="13.42578125" style="20" customWidth="1"/>
    <col min="12" max="12" width="15.28515625" style="20" customWidth="1"/>
    <col min="13" max="13" width="12.7109375" style="20" customWidth="1"/>
    <col min="14" max="14" width="10.140625" style="20" customWidth="1"/>
    <col min="15" max="15" width="12.7109375" style="20" customWidth="1"/>
    <col min="16" max="16" width="13.5703125" style="20" customWidth="1"/>
    <col min="17" max="18" width="18.42578125" style="20" customWidth="1"/>
    <col min="19" max="19" width="17" customWidth="1"/>
  </cols>
  <sheetData>
    <row r="1" spans="3:24" x14ac:dyDescent="0.25">
      <c r="J1"/>
      <c r="K1"/>
      <c r="L1"/>
      <c r="M1"/>
      <c r="N1"/>
      <c r="O1"/>
      <c r="P1"/>
      <c r="Q1"/>
      <c r="R1"/>
    </row>
    <row r="2" spans="3:24" x14ac:dyDescent="0.25">
      <c r="J2"/>
      <c r="K2"/>
      <c r="L2"/>
      <c r="M2"/>
      <c r="N2"/>
      <c r="O2"/>
      <c r="P2"/>
      <c r="Q2"/>
      <c r="R2"/>
    </row>
    <row r="3" spans="3:24" x14ac:dyDescent="0.25">
      <c r="J3"/>
      <c r="K3"/>
      <c r="L3"/>
      <c r="M3"/>
      <c r="N3"/>
      <c r="O3"/>
      <c r="P3"/>
      <c r="Q3" s="25"/>
      <c r="R3" s="25"/>
      <c r="S3" s="25"/>
    </row>
    <row r="4" spans="3:24" ht="19.5" customHeight="1" x14ac:dyDescent="0.3"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/>
    </row>
    <row r="5" spans="3:24" ht="50.25" x14ac:dyDescent="0.45">
      <c r="C5" s="51" t="s">
        <v>68</v>
      </c>
      <c r="D5" s="52" t="s">
        <v>29</v>
      </c>
      <c r="E5" s="52" t="s">
        <v>84</v>
      </c>
      <c r="F5" s="52" t="s">
        <v>85</v>
      </c>
      <c r="G5" s="52" t="s">
        <v>86</v>
      </c>
      <c r="H5" s="52" t="s">
        <v>75</v>
      </c>
      <c r="I5" s="55" t="s">
        <v>91</v>
      </c>
      <c r="J5" s="53" t="s">
        <v>30</v>
      </c>
      <c r="K5" s="55" t="s">
        <v>90</v>
      </c>
      <c r="L5" s="55" t="s">
        <v>89</v>
      </c>
      <c r="M5" s="53" t="s">
        <v>87</v>
      </c>
      <c r="N5" s="28" t="s">
        <v>66</v>
      </c>
      <c r="O5" s="56" t="s">
        <v>67</v>
      </c>
      <c r="P5" s="53" t="s">
        <v>88</v>
      </c>
      <c r="Q5" s="54" t="s">
        <v>83</v>
      </c>
      <c r="R5"/>
      <c r="S5" s="20"/>
    </row>
    <row r="6" spans="3:24" x14ac:dyDescent="0.25">
      <c r="C6" s="2">
        <v>1</v>
      </c>
      <c r="D6" s="29">
        <f>'ASSUMPTIONS '!M5</f>
        <v>30</v>
      </c>
      <c r="E6" s="12">
        <f>IF('ASSUMPTIONS '!$J$5 = "MALE",VLOOKUP('ASSUMPTIONS '!M5,'MORTALITY  '!A4:J88,2,FALSE),VLOOKUP('ASSUMPTIONS '!M5,'MORTALITY  '!N4:W88,2,FALSE))</f>
        <v>1.8860000000000001E-3</v>
      </c>
      <c r="F6" s="3">
        <f>IF('ASSUMPTIONS '!$J$5 = "MALE",VLOOKUP('ASSUMPTIONS '!M5,'MORTALITY  '!A4:J88,3,FALSE),VLOOKUP('ASSUMPTIONS '!M5,'MORTALITY  '!N4:W88,3,FALSE))</f>
        <v>98017.564624325125</v>
      </c>
      <c r="G6" s="57">
        <f>IF('ASSUMPTIONS '!$J$5 = "MALE",VLOOKUP('ASSUMPTIONS '!M5,'MORTALITY  '!A4:J88,5,FALSE),VLOOKUP('ASSUMPTIONS '!M5,'MORTALITY  '!N4:W88,5,FALSE))</f>
        <v>30220.644962970568</v>
      </c>
      <c r="H6" s="57">
        <f>IF('ASSUMPTIONS '!$J$5 = "MALE",VLOOKUP('ASSUMPTIONS '!M5,'MORTALITY  '!A4:J88,8,FALSE),VLOOKUP('ASSUMPTIONS '!M5,'MORTALITY  '!N4:W88,8,FALSE))</f>
        <v>5170.4334709495206</v>
      </c>
      <c r="I6" s="13">
        <f>SUM($G6:G$88)/G6</f>
        <v>20.668350363110566</v>
      </c>
      <c r="J6" s="2">
        <f>VLOOKUP(D6,'ASSUMPTIONS '!M5:N50,2,FALSE)</f>
        <v>10</v>
      </c>
      <c r="K6" s="14">
        <f>IFERROR(VLOOKUP((D6+J6),D6:I88,6,FALSE),"")</f>
        <v>18.553708896902588</v>
      </c>
      <c r="L6" s="15">
        <f>IFERROR(VLOOKUP((D6+J6),D6:I88,4,FALSE),"")</f>
        <v>20030.576563510338</v>
      </c>
      <c r="M6" s="12">
        <f t="shared" ref="M6:M51" si="0">IFERROR(I6-((L6/G6)*K6),"")</f>
        <v>8.370747613339228</v>
      </c>
      <c r="N6" s="22">
        <f t="shared" ref="N6:N51" si="1">H6/G6</f>
        <v>0.17108944819956245</v>
      </c>
      <c r="O6" s="22">
        <f>IFERROR(VLOOKUP(D6+J6,D6:N88,11,FALSE),"")</f>
        <v>0.23513836683210373</v>
      </c>
      <c r="P6" s="22">
        <f>IFERROR(N6-((L6/G6)*O6),"")</f>
        <v>1.5237147045157717E-2</v>
      </c>
      <c r="Q6" s="31">
        <v>0</v>
      </c>
      <c r="R6"/>
      <c r="S6" s="24"/>
      <c r="V6">
        <f>(1.06)^-10</f>
        <v>0.55839477691511785</v>
      </c>
      <c r="W6">
        <f>V6*(9925.2095/9982.2006)</f>
        <v>0.55520674915993062</v>
      </c>
      <c r="X6">
        <f>W6*0.07328</f>
        <v>4.0685550578439714E-2</v>
      </c>
    </row>
    <row r="7" spans="3:24" x14ac:dyDescent="0.25">
      <c r="C7" s="2">
        <v>2</v>
      </c>
      <c r="D7" s="29">
        <f>'ASSUMPTIONS '!M6</f>
        <v>31</v>
      </c>
      <c r="E7" s="12">
        <f>IF('ASSUMPTIONS '!$J$5 = "MALE",VLOOKUP('ASSUMPTIONS '!M6,'MORTALITY  '!A5:J89,2,FALSE),VLOOKUP('ASSUMPTIONS '!M6,'MORTALITY  '!N5:W89,2,FALSE))</f>
        <v>1.8400000000000001E-3</v>
      </c>
      <c r="F7" s="3">
        <f>IF('ASSUMPTIONS '!$J$5 = "MALE",VLOOKUP('ASSUMPTIONS '!M6,'MORTALITY  '!A5:J89,3,FALSE),VLOOKUP('ASSUMPTIONS '!M6,'MORTALITY  '!N5:W89,3,FALSE))</f>
        <v>97832.703497443654</v>
      </c>
      <c r="G7" s="57">
        <f>IF('ASSUMPTIONS '!$J$5 = "MALE",VLOOKUP('ASSUMPTIONS '!M6,'MORTALITY  '!A5:J89,5,FALSE),VLOOKUP('ASSUMPTIONS '!M6,'MORTALITY  '!N5:W89,5,FALSE))</f>
        <v>29003.508487086925</v>
      </c>
      <c r="H7" s="57">
        <f>IF('ASSUMPTIONS '!$J$5 = "MALE",VLOOKUP('ASSUMPTIONS '!M6,'MORTALITY  '!A5:J89,8,FALSE),VLOOKUP('ASSUMPTIONS '!M6,'MORTALITY  '!N5:W89,8,FALSE))</f>
        <v>5115.6294936416734</v>
      </c>
      <c r="I7" s="13">
        <f>SUM($G7:G$88)/G7</f>
        <v>20.493735562906636</v>
      </c>
      <c r="J7" s="2">
        <f>VLOOKUP(D7,'ASSUMPTIONS '!M6:N51,2,FALSE)</f>
        <v>9</v>
      </c>
      <c r="K7" s="14">
        <f t="shared" ref="K7:K51" si="2">IFERROR(VLOOKUP((D7+J7),D7:I89,6,FALSE),"")</f>
        <v>18.553708896902588</v>
      </c>
      <c r="L7" s="15">
        <f t="shared" ref="L7:L51" si="3">IFERROR(VLOOKUP((D7+J7),D7:I89,4,FALSE),"")</f>
        <v>20030.576563510338</v>
      </c>
      <c r="M7" s="12">
        <f t="shared" si="0"/>
        <v>7.6800621150217303</v>
      </c>
      <c r="N7" s="22">
        <f t="shared" si="1"/>
        <v>0.17637967820063138</v>
      </c>
      <c r="O7" s="22">
        <f t="shared" ref="O7:O51" si="4">IFERROR(VLOOKUP(D7+J7,D7:N89,11,FALSE),"")</f>
        <v>0.23513836683210373</v>
      </c>
      <c r="P7" s="22">
        <f t="shared" ref="P7:P51" si="5">IFERROR(N7-((L7/G7)*O7),"")</f>
        <v>1.3987012432411572E-2</v>
      </c>
      <c r="Q7" s="49">
        <f>IF(C6&lt; ('LOAN SCHEDULE'!$K$9),('ASSUMPTIONS '!$J$4*'ASSURANCES, ANNUITIES '!P7)-('ASSUMPTIONS '!$J$11*'ASSURANCES, ANNUITIES '!M7),IF(C6&lt;='LOAN SCHEDULE'!$K$9,0))</f>
        <v>497.69296126603149</v>
      </c>
      <c r="R7"/>
      <c r="X7">
        <f>0.04489-X6</f>
        <v>4.2044494215602857E-3</v>
      </c>
    </row>
    <row r="8" spans="3:24" x14ac:dyDescent="0.25">
      <c r="C8" s="2">
        <v>3</v>
      </c>
      <c r="D8" s="29">
        <f>'ASSUMPTIONS '!M7</f>
        <v>32</v>
      </c>
      <c r="E8" s="12">
        <f>IF('ASSUMPTIONS '!$J$5 = "MALE",VLOOKUP('ASSUMPTIONS '!M7,'MORTALITY  '!A6:J90,2,FALSE),VLOOKUP('ASSUMPTIONS '!M7,'MORTALITY  '!N6:W90,2,FALSE))</f>
        <v>1.8029999999999999E-3</v>
      </c>
      <c r="F8" s="3">
        <f>IF('ASSUMPTIONS '!$J$5 = "MALE",VLOOKUP('ASSUMPTIONS '!M7,'MORTALITY  '!A6:J90,3,FALSE),VLOOKUP('ASSUMPTIONS '!M7,'MORTALITY  '!N6:W90,3,FALSE))</f>
        <v>97652.691323008359</v>
      </c>
      <c r="G8" s="57">
        <f>IF('ASSUMPTIONS '!$J$5 = "MALE",VLOOKUP('ASSUMPTIONS '!M7,'MORTALITY  '!A6:J90,5,FALSE),VLOOKUP('ASSUMPTIONS '!M7,'MORTALITY  '!N6:W90,5,FALSE))</f>
        <v>27836.675030260274</v>
      </c>
      <c r="H8" s="57">
        <f>IF('ASSUMPTIONS '!$J$5 = "MALE",VLOOKUP('ASSUMPTIONS '!M7,'MORTALITY  '!A6:J90,8,FALSE),VLOOKUP('ASSUMPTIONS '!M7,'MORTALITY  '!N6:W90,8,FALSE))</f>
        <v>5064.3155940106753</v>
      </c>
      <c r="I8" s="13">
        <f>SUM($G8:G$88)/G8</f>
        <v>20.310856962233409</v>
      </c>
      <c r="J8" s="2">
        <f>VLOOKUP(D8,'ASSUMPTIONS '!M7:N52,2,FALSE)</f>
        <v>8</v>
      </c>
      <c r="K8" s="14">
        <f t="shared" si="2"/>
        <v>18.553708896902588</v>
      </c>
      <c r="L8" s="15">
        <f t="shared" si="3"/>
        <v>20030.576563510338</v>
      </c>
      <c r="M8" s="12">
        <f t="shared" si="0"/>
        <v>6.9600711305027225</v>
      </c>
      <c r="N8" s="22">
        <f t="shared" si="1"/>
        <v>0.18192961582176878</v>
      </c>
      <c r="O8" s="22">
        <f t="shared" si="4"/>
        <v>0.23513836683210373</v>
      </c>
      <c r="P8" s="22">
        <f t="shared" si="5"/>
        <v>1.2729915975102313E-2</v>
      </c>
      <c r="Q8" s="49">
        <f>IF(C7&lt; ('LOAN SCHEDULE'!$K$9),('ASSUMPTIONS '!$J$4*'ASSURANCES, ANNUITIES '!P8)-('ASSUMPTIONS '!$J$11*'ASSURANCES, ANNUITIES '!M8),IF(C7&lt;='LOAN SCHEDULE'!$K$9,0))</f>
        <v>4242.160567507497</v>
      </c>
      <c r="R8"/>
    </row>
    <row r="9" spans="3:24" x14ac:dyDescent="0.25">
      <c r="C9" s="2">
        <v>4</v>
      </c>
      <c r="D9" s="29">
        <f>'ASSUMPTIONS '!M8</f>
        <v>33</v>
      </c>
      <c r="E9" s="12">
        <f>IF('ASSUMPTIONS '!$J$5 = "MALE",VLOOKUP('ASSUMPTIONS '!M8,'MORTALITY  '!A7:J91,2,FALSE),VLOOKUP('ASSUMPTIONS '!M8,'MORTALITY  '!N7:W91,2,FALSE))</f>
        <v>1.7819999999999999E-3</v>
      </c>
      <c r="F9" s="3">
        <f>IF('ASSUMPTIONS '!$J$5 = "MALE",VLOOKUP('ASSUMPTIONS '!M8,'MORTALITY  '!A7:J91,3,FALSE),VLOOKUP('ASSUMPTIONS '!M8,'MORTALITY  '!N7:W91,3,FALSE))</f>
        <v>97476.623520552981</v>
      </c>
      <c r="G9" s="57">
        <f>IF('ASSUMPTIONS '!$J$5 = "MALE",VLOOKUP('ASSUMPTIONS '!M8,'MORTALITY  '!A7:J91,5,FALSE),VLOOKUP('ASSUMPTIONS '!M8,'MORTALITY  '!N7:W91,5,FALSE))</f>
        <v>26717.774524212226</v>
      </c>
      <c r="H9" s="57">
        <f>IF('ASSUMPTIONS '!$J$5 = "MALE",VLOOKUP('ASSUMPTIONS '!M8,'MORTALITY  '!A7:J91,8,FALSE),VLOOKUP('ASSUMPTIONS '!M8,'MORTALITY  '!N7:W91,8,FALSE))</f>
        <v>5016.0564352803312</v>
      </c>
      <c r="I9" s="13">
        <f>SUM($G9:G$88)/G9</f>
        <v>20.119566819698658</v>
      </c>
      <c r="J9" s="2">
        <f>VLOOKUP(D9,'ASSUMPTIONS '!M8:N53,2,FALSE)</f>
        <v>7</v>
      </c>
      <c r="K9" s="14">
        <f t="shared" si="2"/>
        <v>18.553708896902588</v>
      </c>
      <c r="L9" s="15">
        <f t="shared" si="3"/>
        <v>20030.576563510338</v>
      </c>
      <c r="M9" s="12">
        <f t="shared" si="0"/>
        <v>6.2096700107522143</v>
      </c>
      <c r="N9" s="22">
        <f t="shared" si="1"/>
        <v>0.18774229982121723</v>
      </c>
      <c r="O9" s="22">
        <f t="shared" si="4"/>
        <v>0.23513836683210373</v>
      </c>
      <c r="P9" s="22">
        <f t="shared" si="5"/>
        <v>1.1456769168917996E-2</v>
      </c>
      <c r="Q9" s="49">
        <f>IF(C8&lt; ('LOAN SCHEDULE'!$K$9),('ASSUMPTIONS '!$J$4*'ASSURANCES, ANNUITIES '!P9)-('ASSUMPTIONS '!$J$11*'ASSURANCES, ANNUITIES '!M9),IF(C8&lt;='LOAN SCHEDULE'!$K$9,0))</f>
        <v>10737.961847762112</v>
      </c>
      <c r="R9"/>
    </row>
    <row r="10" spans="3:24" x14ac:dyDescent="0.25">
      <c r="C10" s="2">
        <v>5</v>
      </c>
      <c r="D10" s="29">
        <f>'ASSUMPTIONS '!M9</f>
        <v>34</v>
      </c>
      <c r="E10" s="12">
        <f>IF('ASSUMPTIONS '!$J$5 = "MALE",VLOOKUP('ASSUMPTIONS '!M9,'MORTALITY  '!A8:J92,2,FALSE),VLOOKUP('ASSUMPTIONS '!M9,'MORTALITY  '!N8:W92,2,FALSE))</f>
        <v>1.787E-3</v>
      </c>
      <c r="F10" s="3">
        <f>IF('ASSUMPTIONS '!$J$5 = "MALE",VLOOKUP('ASSUMPTIONS '!M9,'MORTALITY  '!A8:J92,3,FALSE),VLOOKUP('ASSUMPTIONS '!M9,'MORTALITY  '!N8:W92,3,FALSE))</f>
        <v>97302.920177439359</v>
      </c>
      <c r="G10" s="57">
        <f>IF('ASSUMPTIONS '!$J$5 = "MALE",VLOOKUP('ASSUMPTIONS '!M9,'MORTALITY  '!A8:J92,5,FALSE),VLOOKUP('ASSUMPTIONS '!M9,'MORTALITY  '!N8:W92,5,FALSE))</f>
        <v>25644.387932702</v>
      </c>
      <c r="H10" s="57">
        <f>IF('ASSUMPTIONS '!$J$5 = "MALE",VLOOKUP('ASSUMPTIONS '!M9,'MORTALITY  '!A8:J92,8,FALSE),VLOOKUP('ASSUMPTIONS '!M9,'MORTALITY  '!N8:W92,8,FALSE))</f>
        <v>4970.2765562398072</v>
      </c>
      <c r="I10" s="13">
        <f>SUM($G10:G$88)/G10</f>
        <v>19.919846659233361</v>
      </c>
      <c r="J10" s="2">
        <f>VLOOKUP(D10,'ASSUMPTIONS '!M9:N54,2,FALSE)</f>
        <v>6</v>
      </c>
      <c r="K10" s="14">
        <f t="shared" si="2"/>
        <v>18.553708896902588</v>
      </c>
      <c r="L10" s="15">
        <f t="shared" si="3"/>
        <v>20030.576563510338</v>
      </c>
      <c r="M10" s="12">
        <f t="shared" si="0"/>
        <v>5.4277290243036145</v>
      </c>
      <c r="N10" s="22">
        <f t="shared" si="1"/>
        <v>0.19381537080484018</v>
      </c>
      <c r="O10" s="22">
        <f t="shared" si="4"/>
        <v>0.23513836683210373</v>
      </c>
      <c r="P10" s="22">
        <f t="shared" si="5"/>
        <v>1.0151129247994689E-2</v>
      </c>
      <c r="Q10" s="49">
        <f>IF(C9&lt; ('LOAN SCHEDULE'!$K$9),('ASSUMPTIONS '!$J$4*'ASSURANCES, ANNUITIES '!P10)-('ASSUMPTIONS '!$J$11*'ASSURANCES, ANNUITIES '!M10),IF(C9&lt;='LOAN SCHEDULE'!$K$9,0))</f>
        <v>18978.053525397903</v>
      </c>
      <c r="R10"/>
    </row>
    <row r="11" spans="3:24" x14ac:dyDescent="0.25">
      <c r="C11" s="2">
        <v>6</v>
      </c>
      <c r="D11" s="29">
        <f>'ASSUMPTIONS '!M10</f>
        <v>35</v>
      </c>
      <c r="E11" s="12">
        <f>IF('ASSUMPTIONS '!$J$5 = "MALE",VLOOKUP('ASSUMPTIONS '!M10,'MORTALITY  '!A9:J93,2,FALSE),VLOOKUP('ASSUMPTIONS '!M10,'MORTALITY  '!N9:W93,2,FALSE))</f>
        <v>1.8209999999999999E-3</v>
      </c>
      <c r="F11" s="3">
        <f>IF('ASSUMPTIONS '!$J$5 = "MALE",VLOOKUP('ASSUMPTIONS '!M10,'MORTALITY  '!A9:J93,3,FALSE),VLOOKUP('ASSUMPTIONS '!M10,'MORTALITY  '!N9:W93,3,FALSE))</f>
        <v>97129.039859082273</v>
      </c>
      <c r="G11" s="57">
        <f>IF('ASSUMPTIONS '!$J$5 = "MALE",VLOOKUP('ASSUMPTIONS '!M10,'MORTALITY  '!A9:J93,5,FALSE),VLOOKUP('ASSUMPTIONS '!M10,'MORTALITY  '!N9:W93,5,FALSE))</f>
        <v>24614.001357179095</v>
      </c>
      <c r="H11" s="57">
        <f>IF('ASSUMPTIONS '!$J$5 = "MALE",VLOOKUP('ASSUMPTIONS '!M10,'MORTALITY  '!A9:J93,8,FALSE),VLOOKUP('ASSUMPTIONS '!M10,'MORTALITY  '!N9:W93,8,FALSE))</f>
        <v>4926.2125935131353</v>
      </c>
      <c r="I11" s="13">
        <f>SUM($G11:G$88)/G11</f>
        <v>19.711865629482585</v>
      </c>
      <c r="J11" s="2">
        <f>VLOOKUP(D11,'ASSUMPTIONS '!M10:N55,2,FALSE)</f>
        <v>5</v>
      </c>
      <c r="K11" s="14">
        <f t="shared" si="2"/>
        <v>18.553708896902588</v>
      </c>
      <c r="L11" s="15">
        <f t="shared" si="3"/>
        <v>20030.576563510338</v>
      </c>
      <c r="M11" s="12">
        <f t="shared" si="0"/>
        <v>4.6130817623851428</v>
      </c>
      <c r="N11" s="22">
        <f t="shared" si="1"/>
        <v>0.2001386333748747</v>
      </c>
      <c r="O11" s="22">
        <f t="shared" si="4"/>
        <v>0.23513836683210373</v>
      </c>
      <c r="P11" s="22">
        <f t="shared" si="5"/>
        <v>8.7858747761394296E-3</v>
      </c>
      <c r="Q11" s="49">
        <f>IF(C10&lt; ('LOAN SCHEDULE'!$K$9),('ASSUMPTIONS '!$J$4*'ASSURANCES, ANNUITIES '!P11)-('ASSUMPTIONS '!$J$11*'ASSURANCES, ANNUITIES '!M11),IF(C10&lt;='LOAN SCHEDULE'!$K$9,0))</f>
        <v>27212.558821366867</v>
      </c>
      <c r="R11"/>
    </row>
    <row r="12" spans="3:24" x14ac:dyDescent="0.25">
      <c r="C12" s="2">
        <v>7</v>
      </c>
      <c r="D12" s="29">
        <f>'ASSUMPTIONS '!M11</f>
        <v>36</v>
      </c>
      <c r="E12" s="12">
        <f>IF('ASSUMPTIONS '!$J$5 = "MALE",VLOOKUP('ASSUMPTIONS '!M11,'MORTALITY  '!A10:J94,2,FALSE),VLOOKUP('ASSUMPTIONS '!M11,'MORTALITY  '!N10:W94,2,FALSE))</f>
        <v>1.884E-3</v>
      </c>
      <c r="F12" s="3">
        <f>IF('ASSUMPTIONS '!$J$5 = "MALE",VLOOKUP('ASSUMPTIONS '!M11,'MORTALITY  '!A10:J94,3,FALSE),VLOOKUP('ASSUMPTIONS '!M11,'MORTALITY  '!N10:W94,3,FALSE))</f>
        <v>96952.167877498883</v>
      </c>
      <c r="G12" s="57">
        <f>IF('ASSUMPTIONS '!$J$5 = "MALE",VLOOKUP('ASSUMPTIONS '!M11,'MORTALITY  '!A10:J94,5,FALSE),VLOOKUP('ASSUMPTIONS '!M11,'MORTALITY  '!N10:W94,5,FALSE))</f>
        <v>23624.210827603532</v>
      </c>
      <c r="H12" s="57">
        <f>IF('ASSUMPTIONS '!$J$5 = "MALE",VLOOKUP('ASSUMPTIONS '!M11,'MORTALITY  '!A10:J94,8,FALSE),VLOOKUP('ASSUMPTIONS '!M11,'MORTALITY  '!N10:W94,8,FALSE))</f>
        <v>4883.1144238290744</v>
      </c>
      <c r="I12" s="13">
        <f>SUM($G12:G$88)/G12</f>
        <v>19.495842183277635</v>
      </c>
      <c r="J12" s="2">
        <f>VLOOKUP(D12,'ASSUMPTIONS '!M11:N56,2,FALSE)</f>
        <v>4</v>
      </c>
      <c r="K12" s="14">
        <f t="shared" si="2"/>
        <v>18.553708896902588</v>
      </c>
      <c r="L12" s="15">
        <f t="shared" si="3"/>
        <v>20030.576563510338</v>
      </c>
      <c r="M12" s="12">
        <f t="shared" si="0"/>
        <v>3.7644601147495091</v>
      </c>
      <c r="N12" s="22">
        <f t="shared" si="1"/>
        <v>0.20669957864257779</v>
      </c>
      <c r="O12" s="22">
        <f t="shared" si="4"/>
        <v>0.23513836683210373</v>
      </c>
      <c r="P12" s="22">
        <f t="shared" si="5"/>
        <v>7.3296570727144073E-3</v>
      </c>
      <c r="Q12" s="49">
        <f>IF(C11&lt; ('LOAN SCHEDULE'!$K$9),('ASSUMPTIONS '!$J$4*'ASSURANCES, ANNUITIES '!P12)-('ASSUMPTIONS '!$J$11*'ASSURANCES, ANNUITIES '!M12),IF(C11&lt;='LOAN SCHEDULE'!$K$9,0))</f>
        <v>33408.652643023524</v>
      </c>
      <c r="R12"/>
    </row>
    <row r="13" spans="3:24" x14ac:dyDescent="0.25">
      <c r="C13" s="2">
        <v>8</v>
      </c>
      <c r="D13" s="29">
        <f>'ASSUMPTIONS '!M12</f>
        <v>37</v>
      </c>
      <c r="E13" s="12">
        <f>IF('ASSUMPTIONS '!$J$5 = "MALE",VLOOKUP('ASSUMPTIONS '!M12,'MORTALITY  '!A11:J95,2,FALSE),VLOOKUP('ASSUMPTIONS '!M12,'MORTALITY  '!N11:W95,2,FALSE))</f>
        <v>1.97E-3</v>
      </c>
      <c r="F13" s="3">
        <f>IF('ASSUMPTIONS '!$J$5 = "MALE",VLOOKUP('ASSUMPTIONS '!M12,'MORTALITY  '!A11:J95,3,FALSE),VLOOKUP('ASSUMPTIONS '!M12,'MORTALITY  '!N11:W95,3,FALSE))</f>
        <v>96769.509993217682</v>
      </c>
      <c r="G13" s="57">
        <f>IF('ASSUMPTIONS '!$J$5 = "MALE",VLOOKUP('ASSUMPTIONS '!M12,'MORTALITY  '!A11:J95,5,FALSE),VLOOKUP('ASSUMPTIONS '!M12,'MORTALITY  '!N11:W95,5,FALSE))</f>
        <v>22672.791167696465</v>
      </c>
      <c r="H13" s="57">
        <f>IF('ASSUMPTIONS '!$J$5 = "MALE",VLOOKUP('ASSUMPTIONS '!M12,'MORTALITY  '!A11:J95,8,FALSE),VLOOKUP('ASSUMPTIONS '!M12,'MORTALITY  '!N11:W95,8,FALSE))</f>
        <v>4840.3182572913793</v>
      </c>
      <c r="I13" s="13">
        <f>SUM($G13:G$88)/G13</f>
        <v>19.271984289009239</v>
      </c>
      <c r="J13" s="2">
        <f>VLOOKUP(D13,'ASSUMPTIONS '!M12:N57,2,FALSE)</f>
        <v>3</v>
      </c>
      <c r="K13" s="14">
        <f t="shared" si="2"/>
        <v>18.553708896902588</v>
      </c>
      <c r="L13" s="15">
        <f t="shared" si="3"/>
        <v>20030.576563510338</v>
      </c>
      <c r="M13" s="12">
        <f t="shared" si="0"/>
        <v>2.8804653159948259</v>
      </c>
      <c r="N13" s="22">
        <f t="shared" si="1"/>
        <v>0.21348576897703378</v>
      </c>
      <c r="O13" s="22">
        <f t="shared" si="4"/>
        <v>0.23513836683210373</v>
      </c>
      <c r="P13" s="22">
        <f t="shared" si="5"/>
        <v>5.7496757447261793E-3</v>
      </c>
      <c r="Q13" s="49">
        <f>IF(C12&lt; ('LOAN SCHEDULE'!$K$9),('ASSUMPTIONS '!$J$4*'ASSURANCES, ANNUITIES '!P13)-('ASSUMPTIONS '!$J$11*'ASSURANCES, ANNUITIES '!M13),IF(C12&lt;='LOAN SCHEDULE'!$K$9,0))</f>
        <v>35448.538106886961</v>
      </c>
      <c r="R13"/>
    </row>
    <row r="14" spans="3:24" x14ac:dyDescent="0.25">
      <c r="C14" s="2">
        <v>9</v>
      </c>
      <c r="D14" s="29">
        <f>'ASSUMPTIONS '!M13</f>
        <v>38</v>
      </c>
      <c r="E14" s="12">
        <f>IF('ASSUMPTIONS '!$J$5 = "MALE",VLOOKUP('ASSUMPTIONS '!M13,'MORTALITY  '!A12:J96,2,FALSE),VLOOKUP('ASSUMPTIONS '!M13,'MORTALITY  '!N12:W96,2,FALSE))</f>
        <v>2.0739999999999999E-3</v>
      </c>
      <c r="F14" s="3">
        <f>IF('ASSUMPTIONS '!$J$5 = "MALE",VLOOKUP('ASSUMPTIONS '!M13,'MORTALITY  '!A12:J96,3,FALSE),VLOOKUP('ASSUMPTIONS '!M13,'MORTALITY  '!N12:W96,3,FALSE))</f>
        <v>96578.874058531044</v>
      </c>
      <c r="G14" s="57">
        <f>IF('ASSUMPTIONS '!$J$5 = "MALE",VLOOKUP('ASSUMPTIONS '!M13,'MORTALITY  '!A12:J96,5,FALSE),VLOOKUP('ASSUMPTIONS '!M13,'MORTALITY  '!N12:W96,5,FALSE))</f>
        <v>21757.813239515486</v>
      </c>
      <c r="H14" s="57">
        <f>IF('ASSUMPTIONS '!$J$5 = "MALE",VLOOKUP('ASSUMPTIONS '!M13,'MORTALITY  '!A12:J96,8,FALSE),VLOOKUP('ASSUMPTIONS '!M13,'MORTALITY  '!N12:W96,8,FALSE))</f>
        <v>4797.3707586371856</v>
      </c>
      <c r="I14" s="13">
        <f>SUM($G14:G$88)/G14</f>
        <v>19.040373195765262</v>
      </c>
      <c r="J14" s="2">
        <f>VLOOKUP(D14,'ASSUMPTIONS '!M13:N58,2,FALSE)</f>
        <v>2</v>
      </c>
      <c r="K14" s="14">
        <f t="shared" si="2"/>
        <v>18.553708896902588</v>
      </c>
      <c r="L14" s="15">
        <f t="shared" si="3"/>
        <v>20030.576563510338</v>
      </c>
      <c r="M14" s="12">
        <f t="shared" si="0"/>
        <v>1.9595442307692323</v>
      </c>
      <c r="N14" s="22">
        <f t="shared" si="1"/>
        <v>0.22048956417754489</v>
      </c>
      <c r="O14" s="22">
        <f t="shared" si="4"/>
        <v>0.23513836683210373</v>
      </c>
      <c r="P14" s="22">
        <f t="shared" si="5"/>
        <v>4.0175774019971522E-3</v>
      </c>
      <c r="Q14" s="49">
        <f>IF(C13&lt; ('LOAN SCHEDULE'!$K$9),('ASSUMPTIONS '!$J$4*'ASSURANCES, ANNUITIES '!P14)-('ASSUMPTIONS '!$J$11*'ASSURANCES, ANNUITIES '!M14),IF(C13&lt;='LOAN SCHEDULE'!$K$9,0))</f>
        <v>31545.378338829643</v>
      </c>
      <c r="R14"/>
    </row>
    <row r="15" spans="3:24" x14ac:dyDescent="0.25">
      <c r="C15" s="2">
        <v>10</v>
      </c>
      <c r="D15" s="29">
        <f>'ASSUMPTIONS '!M14</f>
        <v>39</v>
      </c>
      <c r="E15" s="12">
        <f>IF('ASSUMPTIONS '!$J$5 = "MALE",VLOOKUP('ASSUMPTIONS '!M14,'MORTALITY  '!A13:J97,2,FALSE),VLOOKUP('ASSUMPTIONS '!M14,'MORTALITY  '!N13:W97,2,FALSE))</f>
        <v>2.1930000000000001E-3</v>
      </c>
      <c r="F15" s="3">
        <f>IF('ASSUMPTIONS '!$J$5 = "MALE",VLOOKUP('ASSUMPTIONS '!M14,'MORTALITY  '!A13:J97,3,FALSE),VLOOKUP('ASSUMPTIONS '!M14,'MORTALITY  '!N13:W97,3,FALSE))</f>
        <v>96378.569473733645</v>
      </c>
      <c r="G15" s="57">
        <f>IF('ASSUMPTIONS '!$J$5 = "MALE",VLOOKUP('ASSUMPTIONS '!M14,'MORTALITY  '!A13:J97,5,FALSE),VLOOKUP('ASSUMPTIONS '!M14,'MORTALITY  '!N13:W97,5,FALSE))</f>
        <v>20877.584168131474</v>
      </c>
      <c r="H15" s="57">
        <f>IF('ASSUMPTIONS '!$J$5 = "MALE",VLOOKUP('ASSUMPTIONS '!M14,'MORTALITY  '!A13:J97,8,FALSE),VLOOKUP('ASSUMPTIONS '!M14,'MORTALITY  '!N13:W97,8,FALSE))</f>
        <v>4753.9806580037657</v>
      </c>
      <c r="I15" s="13">
        <f>SUM($G15:G$88)/G15</f>
        <v>18.800981358934301</v>
      </c>
      <c r="J15" s="2">
        <f>VLOOKUP(D15,'ASSUMPTIONS '!M14:N59,2,FALSE)</f>
        <v>1</v>
      </c>
      <c r="K15" s="14">
        <f t="shared" si="2"/>
        <v>18.553708896902588</v>
      </c>
      <c r="L15" s="15">
        <f t="shared" si="3"/>
        <v>20030.576563510338</v>
      </c>
      <c r="M15" s="12">
        <f t="shared" si="0"/>
        <v>1</v>
      </c>
      <c r="N15" s="22">
        <f t="shared" si="1"/>
        <v>0.22770741191696237</v>
      </c>
      <c r="O15" s="22">
        <f t="shared" si="4"/>
        <v>0.23513836683210373</v>
      </c>
      <c r="P15" s="22">
        <f t="shared" si="5"/>
        <v>2.1086538461538851E-3</v>
      </c>
      <c r="Q15" s="49">
        <f>IF(C14&lt; ('LOAN SCHEDULE'!$K$9),('ASSUMPTIONS '!$J$4*'ASSURANCES, ANNUITIES '!P15)-('ASSUMPTIONS '!$J$11*'ASSURANCES, ANNUITIES '!M15),IF(C14&lt;='LOAN SCHEDULE'!$K$9,0))</f>
        <v>20185.813161214159</v>
      </c>
      <c r="R15"/>
    </row>
    <row r="16" spans="3:24" x14ac:dyDescent="0.25">
      <c r="C16" s="2">
        <v>11</v>
      </c>
      <c r="D16" s="29">
        <f>'ASSUMPTIONS '!M15</f>
        <v>40</v>
      </c>
      <c r="E16" s="12">
        <f>IF('ASSUMPTIONS '!$J$5 = "MALE",VLOOKUP('ASSUMPTIONS '!M15,'MORTALITY  '!A14:J98,2,FALSE),VLOOKUP('ASSUMPTIONS '!M15,'MORTALITY  '!N14:W98,2,FALSE))</f>
        <v>2.32E-3</v>
      </c>
      <c r="F16" s="3">
        <f>IF('ASSUMPTIONS '!$J$5 = "MALE",VLOOKUP('ASSUMPTIONS '!M15,'MORTALITY  '!A14:J98,3,FALSE),VLOOKUP('ASSUMPTIONS '!M15,'MORTALITY  '!N14:W98,3,FALSE))</f>
        <v>96167.211270877742</v>
      </c>
      <c r="G16" s="57">
        <f>IF('ASSUMPTIONS '!$J$5 = "MALE",VLOOKUP('ASSUMPTIONS '!M15,'MORTALITY  '!A14:J98,5,FALSE),VLOOKUP('ASSUMPTIONS '!M15,'MORTALITY  '!N14:W98,5,FALSE))</f>
        <v>20030.576563510338</v>
      </c>
      <c r="H16" s="57">
        <f>IF('ASSUMPTIONS '!$J$5 = "MALE",VLOOKUP('ASSUMPTIONS '!M15,'MORTALITY  '!A14:J98,8,FALSE),VLOOKUP('ASSUMPTIONS '!M15,'MORTALITY  '!N14:W98,8,FALSE))</f>
        <v>4709.9570598492337</v>
      </c>
      <c r="I16" s="13">
        <f>SUM($G16:G$88)/G16</f>
        <v>18.553708896902588</v>
      </c>
      <c r="J16" s="2" t="str">
        <f>VLOOKUP(D16,'ASSUMPTIONS '!M15:N60,2,FALSE)</f>
        <v/>
      </c>
      <c r="K16" s="14" t="str">
        <f t="shared" si="2"/>
        <v/>
      </c>
      <c r="L16" s="15" t="str">
        <f t="shared" si="3"/>
        <v/>
      </c>
      <c r="M16" s="12" t="str">
        <f t="shared" si="0"/>
        <v/>
      </c>
      <c r="N16" s="22">
        <f t="shared" si="1"/>
        <v>0.23513836683210373</v>
      </c>
      <c r="O16" s="22" t="str">
        <f t="shared" si="4"/>
        <v/>
      </c>
      <c r="P16" s="22" t="str">
        <f t="shared" si="5"/>
        <v/>
      </c>
      <c r="Q16" s="49">
        <f>IF(C15&lt; ('LOAN SCHEDULE'!$K$9),('ASSUMPTIONS '!$J$4*'ASSURANCES, ANNUITIES '!P16)-('ASSUMPTIONS '!$J$11*'ASSURANCES, ANNUITIES '!M16),IF(C15&lt;='LOAN SCHEDULE'!$K$9,0))</f>
        <v>0</v>
      </c>
      <c r="R16"/>
    </row>
    <row r="17" spans="3:18" s="20" customFormat="1" x14ac:dyDescent="0.25">
      <c r="C17" s="2">
        <v>12</v>
      </c>
      <c r="D17" s="29">
        <f>'ASSUMPTIONS '!M16</f>
        <v>41</v>
      </c>
      <c r="E17" s="12">
        <f>IF('ASSUMPTIONS '!$J$5 = "MALE",VLOOKUP('ASSUMPTIONS '!M16,'MORTALITY  '!A15:J99,2,FALSE),VLOOKUP('ASSUMPTIONS '!M16,'MORTALITY  '!N15:W99,2,FALSE))</f>
        <v>2.4520000000000002E-3</v>
      </c>
      <c r="F17" s="3">
        <f>IF('ASSUMPTIONS '!$J$5 = "MALE",VLOOKUP('ASSUMPTIONS '!M16,'MORTALITY  '!A15:J99,3,FALSE),VLOOKUP('ASSUMPTIONS '!M16,'MORTALITY  '!N15:W99,3,FALSE))</f>
        <v>95944.1033407293</v>
      </c>
      <c r="G17" s="57">
        <f>IF('ASSUMPTIONS '!$J$5 = "MALE",VLOOKUP('ASSUMPTIONS '!M16,'MORTALITY  '!A15:J99,5,FALSE),VLOOKUP('ASSUMPTIONS '!M16,'MORTALITY  '!N15:W99,5,FALSE))</f>
        <v>19215.486178733649</v>
      </c>
      <c r="H17" s="57">
        <f>IF('ASSUMPTIONS '!$J$5 = "MALE",VLOOKUP('ASSUMPTIONS '!M16,'MORTALITY  '!A15:J99,8,FALSE),VLOOKUP('ASSUMPTIONS '!M16,'MORTALITY  '!N15:W99,8,FALSE))</f>
        <v>4665.2734659767866</v>
      </c>
      <c r="I17" s="13">
        <f>SUM($G17:G$88)/G17</f>
        <v>18.29830933042528</v>
      </c>
      <c r="J17" s="2" t="str">
        <f>VLOOKUP(D17,'ASSUMPTIONS '!M16:N61,2,FALSE)</f>
        <v/>
      </c>
      <c r="K17" s="14" t="str">
        <f t="shared" si="2"/>
        <v/>
      </c>
      <c r="L17" s="15" t="str">
        <f t="shared" si="3"/>
        <v/>
      </c>
      <c r="M17" s="12" t="str">
        <f t="shared" si="0"/>
        <v/>
      </c>
      <c r="N17" s="22">
        <f t="shared" si="1"/>
        <v>0.24278716773453193</v>
      </c>
      <c r="O17" s="22" t="str">
        <f t="shared" si="4"/>
        <v/>
      </c>
      <c r="P17" s="22" t="str">
        <f t="shared" si="5"/>
        <v/>
      </c>
      <c r="Q17" s="49" t="b">
        <f>IF(C16&lt; ('LOAN SCHEDULE'!$K$9),('ASSUMPTIONS '!$J$4*'ASSURANCES, ANNUITIES '!P17)-('ASSUMPTIONS '!$J$11*'ASSURANCES, ANNUITIES '!M17),IF(C16&lt;='LOAN SCHEDULE'!$K$9,0))</f>
        <v>0</v>
      </c>
      <c r="R17"/>
    </row>
    <row r="18" spans="3:18" s="20" customFormat="1" x14ac:dyDescent="0.25">
      <c r="C18" s="2">
        <v>13</v>
      </c>
      <c r="D18" s="29">
        <f>'ASSUMPTIONS '!M17</f>
        <v>42</v>
      </c>
      <c r="E18" s="12">
        <f>IF('ASSUMPTIONS '!$J$5 = "MALE",VLOOKUP('ASSUMPTIONS '!M17,'MORTALITY  '!A16:J100,2,FALSE),VLOOKUP('ASSUMPTIONS '!M17,'MORTALITY  '!N16:W100,2,FALSE))</f>
        <v>2.5829999999999998E-3</v>
      </c>
      <c r="F18" s="3">
        <f>IF('ASSUMPTIONS '!$J$5 = "MALE",VLOOKUP('ASSUMPTIONS '!M17,'MORTALITY  '!A16:J100,3,FALSE),VLOOKUP('ASSUMPTIONS '!M17,'MORTALITY  '!N16:W100,3,FALSE))</f>
        <v>95708.848399337832</v>
      </c>
      <c r="G18" s="57">
        <f>IF('ASSUMPTIONS '!$J$5 = "MALE",VLOOKUP('ASSUMPTIONS '!M17,'MORTALITY  '!A16:J100,5,FALSE),VLOOKUP('ASSUMPTIONS '!M17,'MORTALITY  '!N16:W100,5,FALSE))</f>
        <v>18431.124814060957</v>
      </c>
      <c r="H18" s="57">
        <f>IF('ASSUMPTIONS '!$J$5 = "MALE",VLOOKUP('ASSUMPTIONS '!M17,'MORTALITY  '!A16:J100,8,FALSE),VLOOKUP('ASSUMPTIONS '!M17,'MORTALITY  '!N16:W100,8,FALSE))</f>
        <v>4619.9692620246187</v>
      </c>
      <c r="I18" s="13">
        <f>SUM($G18:G$88)/G18</f>
        <v>18.034462204968875</v>
      </c>
      <c r="J18" s="2" t="str">
        <f>VLOOKUP(D18,'ASSUMPTIONS '!M17:N62,2,FALSE)</f>
        <v/>
      </c>
      <c r="K18" s="14" t="str">
        <f t="shared" si="2"/>
        <v/>
      </c>
      <c r="L18" s="15" t="str">
        <f t="shared" si="3"/>
        <v/>
      </c>
      <c r="M18" s="12" t="str">
        <f t="shared" si="0"/>
        <v/>
      </c>
      <c r="N18" s="22">
        <f t="shared" si="1"/>
        <v>0.25066127589240139</v>
      </c>
      <c r="O18" s="22" t="str">
        <f t="shared" si="4"/>
        <v/>
      </c>
      <c r="P18" s="22" t="str">
        <f t="shared" si="5"/>
        <v/>
      </c>
      <c r="Q18" s="49" t="b">
        <f>IF(C17&lt; ('LOAN SCHEDULE'!$K$9),('ASSUMPTIONS '!$J$4*'ASSURANCES, ANNUITIES '!P18)-('ASSUMPTIONS '!$J$11*'ASSURANCES, ANNUITIES '!M18),IF(C17&lt;='LOAN SCHEDULE'!$K$9,0))</f>
        <v>0</v>
      </c>
      <c r="R18"/>
    </row>
    <row r="19" spans="3:18" s="20" customFormat="1" x14ac:dyDescent="0.25">
      <c r="C19" s="2">
        <v>14</v>
      </c>
      <c r="D19" s="29">
        <f>'ASSUMPTIONS '!M18</f>
        <v>43</v>
      </c>
      <c r="E19" s="12">
        <f>IF('ASSUMPTIONS '!$J$5 = "MALE",VLOOKUP('ASSUMPTIONS '!M18,'MORTALITY  '!A17:J101,2,FALSE),VLOOKUP('ASSUMPTIONS '!M18,'MORTALITY  '!N17:W101,2,FALSE))</f>
        <v>2.709E-3</v>
      </c>
      <c r="F19" s="3">
        <f>IF('ASSUMPTIONS '!$J$5 = "MALE",VLOOKUP('ASSUMPTIONS '!M18,'MORTALITY  '!A17:J101,3,FALSE),VLOOKUP('ASSUMPTIONS '!M18,'MORTALITY  '!N17:W101,3,FALSE))</f>
        <v>95461.632443922339</v>
      </c>
      <c r="G19" s="57">
        <f>IF('ASSUMPTIONS '!$J$5 = "MALE",VLOOKUP('ASSUMPTIONS '!M18,'MORTALITY  '!A17:J101,5,FALSE),VLOOKUP('ASSUMPTIONS '!M18,'MORTALITY  '!N17:W101,5,FALSE))</f>
        <v>17676.458864102151</v>
      </c>
      <c r="H19" s="57">
        <f>IF('ASSUMPTIONS '!$J$5 = "MALE",VLOOKUP('ASSUMPTIONS '!M18,'MORTALITY  '!A17:J101,8,FALSE),VLOOKUP('ASSUMPTIONS '!M18,'MORTALITY  '!N17:W101,8,FALSE))</f>
        <v>4574.1927279912343</v>
      </c>
      <c r="I19" s="13">
        <f>SUM($G19:G$88)/G19</f>
        <v>17.761719213897127</v>
      </c>
      <c r="J19" s="2" t="str">
        <f>VLOOKUP(D19,'ASSUMPTIONS '!M18:N63,2,FALSE)</f>
        <v/>
      </c>
      <c r="K19" s="14" t="str">
        <f t="shared" si="2"/>
        <v/>
      </c>
      <c r="L19" s="15" t="str">
        <f t="shared" si="3"/>
        <v/>
      </c>
      <c r="M19" s="12" t="str">
        <f t="shared" si="0"/>
        <v/>
      </c>
      <c r="N19" s="22">
        <f t="shared" si="1"/>
        <v>0.25877313794340523</v>
      </c>
      <c r="O19" s="22" t="str">
        <f t="shared" si="4"/>
        <v/>
      </c>
      <c r="P19" s="22" t="str">
        <f t="shared" si="5"/>
        <v/>
      </c>
      <c r="Q19" s="49" t="b">
        <f>IF(C18&lt; ('LOAN SCHEDULE'!$K$9),('ASSUMPTIONS '!$J$4*'ASSURANCES, ANNUITIES '!P19)-('ASSUMPTIONS '!$J$11*'ASSURANCES, ANNUITIES '!M19),IF(C18&lt;='LOAN SCHEDULE'!$K$9,0))</f>
        <v>0</v>
      </c>
      <c r="R19"/>
    </row>
    <row r="20" spans="3:18" s="20" customFormat="1" x14ac:dyDescent="0.25">
      <c r="C20" s="2">
        <v>15</v>
      </c>
      <c r="D20" s="29">
        <f>'ASSUMPTIONS '!M19</f>
        <v>44</v>
      </c>
      <c r="E20" s="12">
        <f>IF('ASSUMPTIONS '!$J$5 = "MALE",VLOOKUP('ASSUMPTIONS '!M19,'MORTALITY  '!A18:J102,2,FALSE),VLOOKUP('ASSUMPTIONS '!M19,'MORTALITY  '!N18:W102,2,FALSE))</f>
        <v>2.8270000000000001E-3</v>
      </c>
      <c r="F20" s="3">
        <f>IF('ASSUMPTIONS '!$J$5 = "MALE",VLOOKUP('ASSUMPTIONS '!M19,'MORTALITY  '!A18:J102,3,FALSE),VLOOKUP('ASSUMPTIONS '!M19,'MORTALITY  '!N18:W102,3,FALSE))</f>
        <v>95203.026881631755</v>
      </c>
      <c r="G20" s="57">
        <f>IF('ASSUMPTIONS '!$J$5 = "MALE",VLOOKUP('ASSUMPTIONS '!M19,'MORTALITY  '!A18:J102,5,FALSE),VLOOKUP('ASSUMPTIONS '!M19,'MORTALITY  '!N18:W102,5,FALSE))</f>
        <v>16950.551285614707</v>
      </c>
      <c r="H20" s="57">
        <f>IF('ASSUMPTIONS '!$J$5 = "MALE",VLOOKUP('ASSUMPTIONS '!M19,'MORTALITY  '!A18:J102,8,FALSE),VLOOKUP('ASSUMPTIONS '!M19,'MORTALITY  '!N18:W102,8,FALSE))</f>
        <v>4528.1489519692605</v>
      </c>
      <c r="I20" s="13">
        <f>SUM($G20:G$88)/G20</f>
        <v>17.479540056465982</v>
      </c>
      <c r="J20" s="2" t="str">
        <f>VLOOKUP(D20,'ASSUMPTIONS '!M19:N64,2,FALSE)</f>
        <v/>
      </c>
      <c r="K20" s="14" t="str">
        <f t="shared" si="2"/>
        <v/>
      </c>
      <c r="L20" s="15" t="str">
        <f t="shared" si="3"/>
        <v/>
      </c>
      <c r="M20" s="12" t="str">
        <f t="shared" si="0"/>
        <v/>
      </c>
      <c r="N20" s="22">
        <f t="shared" si="1"/>
        <v>0.26713874231407031</v>
      </c>
      <c r="O20" s="22" t="str">
        <f t="shared" si="4"/>
        <v/>
      </c>
      <c r="P20" s="22" t="str">
        <f t="shared" si="5"/>
        <v/>
      </c>
      <c r="Q20" s="49" t="b">
        <f>IF(C19&lt; ('LOAN SCHEDULE'!$K$9),('ASSUMPTIONS '!$J$4*'ASSURANCES, ANNUITIES '!P20)-('ASSUMPTIONS '!$J$11*'ASSURANCES, ANNUITIES '!M20),IF(C19&lt;='LOAN SCHEDULE'!$K$9,0))</f>
        <v>0</v>
      </c>
      <c r="R20"/>
    </row>
    <row r="21" spans="3:18" s="20" customFormat="1" x14ac:dyDescent="0.25">
      <c r="C21" s="2">
        <v>16</v>
      </c>
      <c r="D21" s="29">
        <f>'ASSUMPTIONS '!M20</f>
        <v>45</v>
      </c>
      <c r="E21" s="12">
        <f>IF('ASSUMPTIONS '!$J$5 = "MALE",VLOOKUP('ASSUMPTIONS '!M20,'MORTALITY  '!A19:J103,2,FALSE),VLOOKUP('ASSUMPTIONS '!M20,'MORTALITY  '!N19:W103,2,FALSE))</f>
        <v>2.9350000000000001E-3</v>
      </c>
      <c r="F21" s="3">
        <f>IF('ASSUMPTIONS '!$J$5 = "MALE",VLOOKUP('ASSUMPTIONS '!M20,'MORTALITY  '!A19:J103,3,FALSE),VLOOKUP('ASSUMPTIONS '!M20,'MORTALITY  '!N19:W103,3,FALSE))</f>
        <v>94933.887924637384</v>
      </c>
      <c r="G21" s="57">
        <f>IF('ASSUMPTIONS '!$J$5 = "MALE",VLOOKUP('ASSUMPTIONS '!M20,'MORTALITY  '!A19:J103,5,FALSE),VLOOKUP('ASSUMPTIONS '!M20,'MORTALITY  '!N19:W103,5,FALSE))</f>
        <v>16252.530843394492</v>
      </c>
      <c r="H21" s="57">
        <f>IF('ASSUMPTIONS '!$J$5 = "MALE",VLOOKUP('ASSUMPTIONS '!M20,'MORTALITY  '!A19:J103,8,FALSE),VLOOKUP('ASSUMPTIONS '!M20,'MORTALITY  '!N19:W103,8,FALSE))</f>
        <v>4482.0727899649983</v>
      </c>
      <c r="I21" s="13">
        <f>SUM($G21:G$88)/G21</f>
        <v>17.187310184616532</v>
      </c>
      <c r="J21" s="2" t="str">
        <f>VLOOKUP(D21,'ASSUMPTIONS '!M20:N65,2,FALSE)</f>
        <v/>
      </c>
      <c r="K21" s="14" t="str">
        <f t="shared" si="2"/>
        <v/>
      </c>
      <c r="L21" s="15" t="str">
        <f t="shared" si="3"/>
        <v/>
      </c>
      <c r="M21" s="12" t="str">
        <f t="shared" si="0"/>
        <v/>
      </c>
      <c r="N21" s="22">
        <f t="shared" si="1"/>
        <v>0.27577691334064719</v>
      </c>
      <c r="O21" s="22" t="str">
        <f t="shared" si="4"/>
        <v/>
      </c>
      <c r="P21" s="22" t="str">
        <f t="shared" si="5"/>
        <v/>
      </c>
      <c r="Q21" s="49" t="b">
        <f>IF(C20&lt; ('LOAN SCHEDULE'!$K$9),('ASSUMPTIONS '!$J$4*'ASSURANCES, ANNUITIES '!P21)-('ASSUMPTIONS '!$J$11*'ASSURANCES, ANNUITIES '!M21),IF(C20&lt;='LOAN SCHEDULE'!$K$9,0))</f>
        <v>0</v>
      </c>
      <c r="R21"/>
    </row>
    <row r="22" spans="3:18" s="20" customFormat="1" x14ac:dyDescent="0.25">
      <c r="C22" s="2">
        <v>17</v>
      </c>
      <c r="D22" s="29">
        <f>'ASSUMPTIONS '!M21</f>
        <v>46</v>
      </c>
      <c r="E22" s="12">
        <f>IF('ASSUMPTIONS '!$J$5 = "MALE",VLOOKUP('ASSUMPTIONS '!M21,'MORTALITY  '!A20:J104,2,FALSE),VLOOKUP('ASSUMPTIONS '!M21,'MORTALITY  '!N20:W104,2,FALSE))</f>
        <v>3.0360000000000001E-3</v>
      </c>
      <c r="F22" s="3">
        <f>IF('ASSUMPTIONS '!$J$5 = "MALE",VLOOKUP('ASSUMPTIONS '!M21,'MORTALITY  '!A20:J104,3,FALSE),VLOOKUP('ASSUMPTIONS '!M21,'MORTALITY  '!N20:W104,3,FALSE))</f>
        <v>94655.256963578577</v>
      </c>
      <c r="G22" s="57">
        <f>IF('ASSUMPTIONS '!$J$5 = "MALE",VLOOKUP('ASSUMPTIONS '!M21,'MORTALITY  '!A20:J104,5,FALSE),VLOOKUP('ASSUMPTIONS '!M21,'MORTALITY  '!N20:W104,5,FALSE))</f>
        <v>15581.566985931859</v>
      </c>
      <c r="H22" s="57">
        <f>IF('ASSUMPTIONS '!$J$5 = "MALE",VLOOKUP('ASSUMPTIONS '!M21,'MORTALITY  '!A20:J104,8,FALSE),VLOOKUP('ASSUMPTIONS '!M21,'MORTALITY  '!N20:W104,8,FALSE))</f>
        <v>4436.2062726329195</v>
      </c>
      <c r="I22" s="13">
        <f>SUM($G22:G$88)/G22</f>
        <v>16.884358183269086</v>
      </c>
      <c r="J22" s="2" t="str">
        <f>VLOOKUP(D22,'ASSUMPTIONS '!M21:N66,2,FALSE)</f>
        <v/>
      </c>
      <c r="K22" s="14" t="str">
        <f t="shared" si="2"/>
        <v/>
      </c>
      <c r="L22" s="15" t="str">
        <f t="shared" si="3"/>
        <v/>
      </c>
      <c r="M22" s="12" t="str">
        <f t="shared" si="0"/>
        <v/>
      </c>
      <c r="N22" s="22">
        <f t="shared" si="1"/>
        <v>0.28470860964357697</v>
      </c>
      <c r="O22" s="22" t="str">
        <f t="shared" si="4"/>
        <v/>
      </c>
      <c r="P22" s="22" t="str">
        <f t="shared" si="5"/>
        <v/>
      </c>
      <c r="Q22" s="49" t="b">
        <f>IF(C21&lt; ('LOAN SCHEDULE'!$K$9),('ASSUMPTIONS '!$J$4*'ASSURANCES, ANNUITIES '!P22)-('ASSUMPTIONS '!$J$11*'ASSURANCES, ANNUITIES '!M22),IF(C21&lt;='LOAN SCHEDULE'!$K$9,0))</f>
        <v>0</v>
      </c>
      <c r="R22"/>
    </row>
    <row r="23" spans="3:18" s="20" customFormat="1" x14ac:dyDescent="0.25">
      <c r="C23" s="2">
        <v>18</v>
      </c>
      <c r="D23" s="29">
        <f>'ASSUMPTIONS '!M22</f>
        <v>47</v>
      </c>
      <c r="E23" s="12">
        <f>IF('ASSUMPTIONS '!$J$5 = "MALE",VLOOKUP('ASSUMPTIONS '!M22,'MORTALITY  '!A21:J105,2,FALSE),VLOOKUP('ASSUMPTIONS '!M22,'MORTALITY  '!N21:W105,2,FALSE))</f>
        <v>3.1310000000000001E-3</v>
      </c>
      <c r="F23" s="3">
        <f>IF('ASSUMPTIONS '!$J$5 = "MALE",VLOOKUP('ASSUMPTIONS '!M22,'MORTALITY  '!A21:J105,3,FALSE),VLOOKUP('ASSUMPTIONS '!M22,'MORTALITY  '!N21:W105,3,FALSE))</f>
        <v>94367.883603437149</v>
      </c>
      <c r="G23" s="57">
        <f>IF('ASSUMPTIONS '!$J$5 = "MALE",VLOOKUP('ASSUMPTIONS '!M22,'MORTALITY  '!A21:J105,5,FALSE),VLOOKUP('ASSUMPTIONS '!M22,'MORTALITY  '!N21:W105,5,FALSE))</f>
        <v>14936.789758233239</v>
      </c>
      <c r="H23" s="57">
        <f>IF('ASSUMPTIONS '!$J$5 = "MALE",VLOOKUP('ASSUMPTIONS '!M22,'MORTALITY  '!A21:J105,8,FALSE),VLOOKUP('ASSUMPTIONS '!M22,'MORTALITY  '!N21:W105,8,FALSE))</f>
        <v>4390.7200828547566</v>
      </c>
      <c r="I23" s="13">
        <f>SUM($G23:G$88)/G23</f>
        <v>16.570039149457607</v>
      </c>
      <c r="J23" s="2" t="str">
        <f>VLOOKUP(D23,'ASSUMPTIONS '!M22:N67,2,FALSE)</f>
        <v/>
      </c>
      <c r="K23" s="14" t="str">
        <f t="shared" si="2"/>
        <v/>
      </c>
      <c r="L23" s="15" t="str">
        <f t="shared" si="3"/>
        <v/>
      </c>
      <c r="M23" s="12" t="str">
        <f t="shared" si="0"/>
        <v/>
      </c>
      <c r="N23" s="22">
        <f t="shared" si="1"/>
        <v>0.29395339654121916</v>
      </c>
      <c r="O23" s="22" t="str">
        <f t="shared" si="4"/>
        <v/>
      </c>
      <c r="P23" s="22" t="str">
        <f t="shared" si="5"/>
        <v/>
      </c>
      <c r="Q23" s="49" t="b">
        <f>IF(C22&lt; ('LOAN SCHEDULE'!$K$9),('ASSUMPTIONS '!$J$4*'ASSURANCES, ANNUITIES '!P23)-('ASSUMPTIONS '!$J$11*'ASSURANCES, ANNUITIES '!M23),IF(C22&lt;='LOAN SCHEDULE'!$K$9,0))</f>
        <v>0</v>
      </c>
      <c r="R23"/>
    </row>
    <row r="24" spans="3:18" s="20" customFormat="1" x14ac:dyDescent="0.25">
      <c r="C24" s="2">
        <v>19</v>
      </c>
      <c r="D24" s="29">
        <f>'ASSUMPTIONS '!M23</f>
        <v>48</v>
      </c>
      <c r="E24" s="12">
        <f>IF('ASSUMPTIONS '!$J$5 = "MALE",VLOOKUP('ASSUMPTIONS '!M23,'MORTALITY  '!A22:J106,2,FALSE),VLOOKUP('ASSUMPTIONS '!M23,'MORTALITY  '!N22:W106,2,FALSE))</f>
        <v>3.2200000000000002E-3</v>
      </c>
      <c r="F24" s="3">
        <f>IF('ASSUMPTIONS '!$J$5 = "MALE",VLOOKUP('ASSUMPTIONS '!M23,'MORTALITY  '!A22:J106,3,FALSE),VLOOKUP('ASSUMPTIONS '!M23,'MORTALITY  '!N22:W106,3,FALSE))</f>
        <v>94072.417759874792</v>
      </c>
      <c r="G24" s="57">
        <f>IF('ASSUMPTIONS '!$J$5 = "MALE",VLOOKUP('ASSUMPTIONS '!M23,'MORTALITY  '!A22:J106,5,FALSE),VLOOKUP('ASSUMPTIONS '!M23,'MORTALITY  '!N22:W106,5,FALSE))</f>
        <v>14317.329489904047</v>
      </c>
      <c r="H24" s="57">
        <f>IF('ASSUMPTIONS '!$J$5 = "MALE",VLOOKUP('ASSUMPTIONS '!M23,'MORTALITY  '!A22:J106,8,FALSE),VLOOKUP('ASSUMPTIONS '!M23,'MORTALITY  '!N22:W106,8,FALSE))</f>
        <v>4345.7517283037696</v>
      </c>
      <c r="I24" s="13">
        <f>SUM($G24:G$88)/G24</f>
        <v>16.243699739319723</v>
      </c>
      <c r="J24" s="2" t="str">
        <f>VLOOKUP(D24,'ASSUMPTIONS '!M23:N68,2,FALSE)</f>
        <v/>
      </c>
      <c r="K24" s="14" t="str">
        <f t="shared" si="2"/>
        <v/>
      </c>
      <c r="L24" s="15" t="str">
        <f t="shared" si="3"/>
        <v/>
      </c>
      <c r="M24" s="12" t="str">
        <f t="shared" si="0"/>
        <v/>
      </c>
      <c r="N24" s="22">
        <f t="shared" si="1"/>
        <v>0.30353088761198121</v>
      </c>
      <c r="O24" s="22" t="str">
        <f t="shared" si="4"/>
        <v/>
      </c>
      <c r="P24" s="22" t="str">
        <f t="shared" si="5"/>
        <v/>
      </c>
      <c r="Q24" s="49" t="b">
        <f>IF(C23&lt; ('LOAN SCHEDULE'!$K$9),('ASSUMPTIONS '!$J$4*'ASSURANCES, ANNUITIES '!P24)-('ASSUMPTIONS '!$J$11*'ASSURANCES, ANNUITIES '!M24),IF(C23&lt;='LOAN SCHEDULE'!$K$9,0))</f>
        <v>0</v>
      </c>
      <c r="R24"/>
    </row>
    <row r="25" spans="3:18" s="20" customFormat="1" x14ac:dyDescent="0.25">
      <c r="C25" s="2">
        <v>20</v>
      </c>
      <c r="D25" s="29">
        <f>'ASSUMPTIONS '!M24</f>
        <v>49</v>
      </c>
      <c r="E25" s="12">
        <f>IF('ASSUMPTIONS '!$J$5 = "MALE",VLOOKUP('ASSUMPTIONS '!M24,'MORTALITY  '!A23:J107,2,FALSE),VLOOKUP('ASSUMPTIONS '!M24,'MORTALITY  '!N23:W107,2,FALSE))</f>
        <v>3.3050000000000002E-3</v>
      </c>
      <c r="F25" s="3">
        <f>IF('ASSUMPTIONS '!$J$5 = "MALE",VLOOKUP('ASSUMPTIONS '!M24,'MORTALITY  '!A23:J107,3,FALSE),VLOOKUP('ASSUMPTIONS '!M24,'MORTALITY  '!N23:W107,3,FALSE))</f>
        <v>93769.504574687991</v>
      </c>
      <c r="G25" s="57">
        <f>IF('ASSUMPTIONS '!$J$5 = "MALE",VLOOKUP('ASSUMPTIONS '!M24,'MORTALITY  '!A23:J107,5,FALSE),VLOOKUP('ASSUMPTIONS '!M24,'MORTALITY  '!N23:W107,5,FALSE))</f>
        <v>13722.334316294764</v>
      </c>
      <c r="H25" s="57">
        <f>IF('ASSUMPTIONS '!$J$5 = "MALE",VLOOKUP('ASSUMPTIONS '!M24,'MORTALITY  '!A23:J107,8,FALSE),VLOOKUP('ASSUMPTIONS '!M24,'MORTALITY  '!N23:W107,8,FALSE))</f>
        <v>4301.4230735369501</v>
      </c>
      <c r="I25" s="13">
        <f>SUM($G25:G$88)/G25</f>
        <v>15.904660736463926</v>
      </c>
      <c r="J25" s="2" t="str">
        <f>VLOOKUP(D25,'ASSUMPTIONS '!M24:N69,2,FALSE)</f>
        <v/>
      </c>
      <c r="K25" s="14" t="str">
        <f t="shared" si="2"/>
        <v/>
      </c>
      <c r="L25" s="15" t="str">
        <f t="shared" si="3"/>
        <v/>
      </c>
      <c r="M25" s="12" t="str">
        <f t="shared" si="0"/>
        <v/>
      </c>
      <c r="N25" s="22">
        <f t="shared" si="1"/>
        <v>0.31346146904679106</v>
      </c>
      <c r="O25" s="22" t="str">
        <f t="shared" si="4"/>
        <v/>
      </c>
      <c r="P25" s="22" t="str">
        <f t="shared" si="5"/>
        <v/>
      </c>
      <c r="Q25" s="49" t="b">
        <f>IF(C24&lt; ('LOAN SCHEDULE'!$K$9),('ASSUMPTIONS '!$J$4*'ASSURANCES, ANNUITIES '!P25)-('ASSUMPTIONS '!$J$11*'ASSURANCES, ANNUITIES '!M25),IF(C24&lt;='LOAN SCHEDULE'!$K$9,0))</f>
        <v>0</v>
      </c>
      <c r="R25"/>
    </row>
    <row r="26" spans="3:18" s="20" customFormat="1" x14ac:dyDescent="0.25">
      <c r="C26" s="2">
        <v>21</v>
      </c>
      <c r="D26" s="29">
        <f>'ASSUMPTIONS '!M25</f>
        <v>50</v>
      </c>
      <c r="E26" s="12">
        <f>IF('ASSUMPTIONS '!$J$5 = "MALE",VLOOKUP('ASSUMPTIONS '!M25,'MORTALITY  '!A24:J108,2,FALSE),VLOOKUP('ASSUMPTIONS '!M25,'MORTALITY  '!N24:W108,2,FALSE))</f>
        <v>3.3860000000000001E-3</v>
      </c>
      <c r="F26" s="3">
        <f>IF('ASSUMPTIONS '!$J$5 = "MALE",VLOOKUP('ASSUMPTIONS '!M25,'MORTALITY  '!A24:J108,3,FALSE),VLOOKUP('ASSUMPTIONS '!M25,'MORTALITY  '!N24:W108,3,FALSE))</f>
        <v>93459.596362068653</v>
      </c>
      <c r="G26" s="57">
        <f>IF('ASSUMPTIONS '!$J$5 = "MALE",VLOOKUP('ASSUMPTIONS '!M25,'MORTALITY  '!A24:J108,5,FALSE),VLOOKUP('ASSUMPTIONS '!M25,'MORTALITY  '!N24:W108,5,FALSE))</f>
        <v>13150.944232095586</v>
      </c>
      <c r="H26" s="57">
        <f>IF('ASSUMPTIONS '!$J$5 = "MALE",VLOOKUP('ASSUMPTIONS '!M25,'MORTALITY  '!A24:J108,8,FALSE),VLOOKUP('ASSUMPTIONS '!M25,'MORTALITY  '!N24:W108,8,FALSE))</f>
        <v>4257.8150784260342</v>
      </c>
      <c r="I26" s="13">
        <f>SUM($G26:G$88)/G26</f>
        <v>15.552247343392395</v>
      </c>
      <c r="J26" s="2" t="str">
        <f>VLOOKUP(D26,'ASSUMPTIONS '!M25:N70,2,FALSE)</f>
        <v/>
      </c>
      <c r="K26" s="14" t="str">
        <f t="shared" si="2"/>
        <v/>
      </c>
      <c r="L26" s="15" t="str">
        <f t="shared" si="3"/>
        <v/>
      </c>
      <c r="M26" s="12" t="str">
        <f t="shared" si="0"/>
        <v/>
      </c>
      <c r="N26" s="22">
        <f t="shared" si="1"/>
        <v>0.32376497103794327</v>
      </c>
      <c r="O26" s="22" t="str">
        <f t="shared" si="4"/>
        <v/>
      </c>
      <c r="P26" s="22" t="str">
        <f t="shared" si="5"/>
        <v/>
      </c>
      <c r="Q26" s="49" t="b">
        <f>IF(C25&lt; ('LOAN SCHEDULE'!$K$9),('ASSUMPTIONS '!$J$4*'ASSURANCES, ANNUITIES '!P26)-('ASSUMPTIONS '!$J$11*'ASSURANCES, ANNUITIES '!M26),IF(C25&lt;='LOAN SCHEDULE'!$K$9,0))</f>
        <v>0</v>
      </c>
      <c r="R26"/>
    </row>
    <row r="27" spans="3:18" x14ac:dyDescent="0.25">
      <c r="C27" s="2">
        <v>22</v>
      </c>
      <c r="D27" s="29">
        <f>'ASSUMPTIONS '!M26</f>
        <v>51</v>
      </c>
      <c r="E27" s="12">
        <f>IF('ASSUMPTIONS '!$J$5 = "MALE",VLOOKUP('ASSUMPTIONS '!M26,'MORTALITY  '!A25:J109,2,FALSE),VLOOKUP('ASSUMPTIONS '!M26,'MORTALITY  '!N25:W109,2,FALSE))</f>
        <v>3.4659999999999999E-3</v>
      </c>
      <c r="F27" s="3">
        <f>IF('ASSUMPTIONS '!$J$5 = "MALE",VLOOKUP('ASSUMPTIONS '!M26,'MORTALITY  '!A25:J109,3,FALSE),VLOOKUP('ASSUMPTIONS '!M26,'MORTALITY  '!N25:W109,3,FALSE))</f>
        <v>93143.142168786682</v>
      </c>
      <c r="G27" s="57">
        <f>IF('ASSUMPTIONS '!$J$5 = "MALE",VLOOKUP('ASSUMPTIONS '!M26,'MORTALITY  '!A25:J109,5,FALSE),VLOOKUP('ASSUMPTIONS '!M26,'MORTALITY  '!N25:W109,5,FALSE))</f>
        <v>12602.322245120873</v>
      </c>
      <c r="H27" s="57">
        <f>IF('ASSUMPTIONS '!$J$5 = "MALE",VLOOKUP('ASSUMPTIONS '!M26,'MORTALITY  '!A25:J109,8,FALSE),VLOOKUP('ASSUMPTIONS '!M26,'MORTALITY  '!N25:W109,8,FALSE))</f>
        <v>4214.9986388396146</v>
      </c>
      <c r="I27" s="13">
        <f>SUM($G27:G$88)/G27</f>
        <v>15.185756207647188</v>
      </c>
      <c r="J27" s="2" t="str">
        <f>VLOOKUP(D27,'ASSUMPTIONS '!M26:N71,2,FALSE)</f>
        <v/>
      </c>
      <c r="K27" s="14" t="str">
        <f t="shared" si="2"/>
        <v/>
      </c>
      <c r="L27" s="15" t="str">
        <f t="shared" si="3"/>
        <v/>
      </c>
      <c r="M27" s="12" t="str">
        <f t="shared" si="0"/>
        <v/>
      </c>
      <c r="N27" s="22">
        <f t="shared" si="1"/>
        <v>0.33446205840923465</v>
      </c>
      <c r="O27" s="22" t="str">
        <f t="shared" si="4"/>
        <v/>
      </c>
      <c r="P27" s="22" t="str">
        <f t="shared" si="5"/>
        <v/>
      </c>
      <c r="Q27" s="49" t="b">
        <f>IF(C26&lt; ('LOAN SCHEDULE'!$K$9),('ASSUMPTIONS '!$J$4*'ASSURANCES, ANNUITIES '!P27)-('ASSUMPTIONS '!$J$11*'ASSURANCES, ANNUITIES '!M27),IF(C26&lt;='LOAN SCHEDULE'!$K$9,0))</f>
        <v>0</v>
      </c>
      <c r="R27"/>
    </row>
    <row r="28" spans="3:18" x14ac:dyDescent="0.25">
      <c r="C28" s="2">
        <v>23</v>
      </c>
      <c r="D28" s="29">
        <f>'ASSUMPTIONS '!M27</f>
        <v>52</v>
      </c>
      <c r="E28" s="12">
        <f>IF('ASSUMPTIONS '!$J$5 = "MALE",VLOOKUP('ASSUMPTIONS '!M27,'MORTALITY  '!A26:J110,2,FALSE),VLOOKUP('ASSUMPTIONS '!M27,'MORTALITY  '!N26:W110,2,FALSE))</f>
        <v>3.5439999999999998E-3</v>
      </c>
      <c r="F28" s="3">
        <f>IF('ASSUMPTIONS '!$J$5 = "MALE",VLOOKUP('ASSUMPTIONS '!M27,'MORTALITY  '!A26:J110,3,FALSE),VLOOKUP('ASSUMPTIONS '!M27,'MORTALITY  '!N26:W110,3,FALSE))</f>
        <v>92820.308038029674</v>
      </c>
      <c r="G28" s="57">
        <f>IF('ASSUMPTIONS '!$J$5 = "MALE",VLOOKUP('ASSUMPTIONS '!M27,'MORTALITY  '!A26:J110,5,FALSE),VLOOKUP('ASSUMPTIONS '!M27,'MORTALITY  '!N26:W110,5,FALSE))</f>
        <v>12075.617880980082</v>
      </c>
      <c r="H28" s="57">
        <f>IF('ASSUMPTIONS '!$J$5 = "MALE",VLOOKUP('ASSUMPTIONS '!M27,'MORTALITY  '!A26:J110,8,FALSE),VLOOKUP('ASSUMPTIONS '!M27,'MORTALITY  '!N26:W110,8,FALSE))</f>
        <v>4172.9989764342417</v>
      </c>
      <c r="I28" s="13">
        <f>SUM($G28:G$88)/G28</f>
        <v>14.804498848963583</v>
      </c>
      <c r="J28" s="2" t="str">
        <f>VLOOKUP(D28,'ASSUMPTIONS '!M27:N72,2,FALSE)</f>
        <v/>
      </c>
      <c r="K28" s="14" t="str">
        <f t="shared" si="2"/>
        <v/>
      </c>
      <c r="L28" s="15" t="str">
        <f t="shared" si="3"/>
        <v/>
      </c>
      <c r="M28" s="12" t="str">
        <f t="shared" si="0"/>
        <v/>
      </c>
      <c r="N28" s="22">
        <f t="shared" si="1"/>
        <v>0.34557229431770925</v>
      </c>
      <c r="O28" s="22" t="str">
        <f t="shared" si="4"/>
        <v/>
      </c>
      <c r="P28" s="22" t="str">
        <f t="shared" si="5"/>
        <v/>
      </c>
      <c r="Q28" s="49" t="b">
        <f>IF(C27&lt; ('LOAN SCHEDULE'!$K$9),('ASSUMPTIONS '!$J$4*'ASSURANCES, ANNUITIES '!P28)-('ASSUMPTIONS '!$J$11*'ASSURANCES, ANNUITIES '!M28),IF(C27&lt;='LOAN SCHEDULE'!$K$9,0))</f>
        <v>0</v>
      </c>
      <c r="R28"/>
    </row>
    <row r="29" spans="3:18" x14ac:dyDescent="0.25">
      <c r="C29" s="2">
        <v>24</v>
      </c>
      <c r="D29" s="29">
        <f>'ASSUMPTIONS '!M28</f>
        <v>53</v>
      </c>
      <c r="E29" s="12">
        <f>IF('ASSUMPTIONS '!$J$5 = "MALE",VLOOKUP('ASSUMPTIONS '!M28,'MORTALITY  '!A27:J111,2,FALSE),VLOOKUP('ASSUMPTIONS '!M28,'MORTALITY  '!N27:W111,2,FALSE))</f>
        <v>3.6219999999999998E-3</v>
      </c>
      <c r="F29" s="3">
        <f>IF('ASSUMPTIONS '!$J$5 = "MALE",VLOOKUP('ASSUMPTIONS '!M28,'MORTALITY  '!A27:J111,3,FALSE),VLOOKUP('ASSUMPTIONS '!M28,'MORTALITY  '!N27:W111,3,FALSE))</f>
        <v>92491.352866342902</v>
      </c>
      <c r="G29" s="57">
        <f>IF('ASSUMPTIONS '!$J$5 = "MALE",VLOOKUP('ASSUMPTIONS '!M28,'MORTALITY  '!A27:J111,5,FALSE),VLOOKUP('ASSUMPTIONS '!M28,'MORTALITY  '!N27:W111,5,FALSE))</f>
        <v>11570.021049240275</v>
      </c>
      <c r="H29" s="57">
        <f>IF('ASSUMPTIONS '!$J$5 = "MALE",VLOOKUP('ASSUMPTIONS '!M28,'MORTALITY  '!A27:J111,8,FALSE),VLOOKUP('ASSUMPTIONS '!M28,'MORTALITY  '!N27:W111,8,FALSE))</f>
        <v>4131.8489862705947</v>
      </c>
      <c r="I29" s="13">
        <f>SUM($G29:G$88)/G29</f>
        <v>14.407739832889888</v>
      </c>
      <c r="J29" s="2" t="str">
        <f>VLOOKUP(D29,'ASSUMPTIONS '!M28:N73,2,FALSE)</f>
        <v/>
      </c>
      <c r="K29" s="14" t="str">
        <f t="shared" si="2"/>
        <v/>
      </c>
      <c r="L29" s="15" t="str">
        <f t="shared" si="3"/>
        <v/>
      </c>
      <c r="M29" s="12" t="str">
        <f t="shared" si="0"/>
        <v/>
      </c>
      <c r="N29" s="22">
        <f t="shared" si="1"/>
        <v>0.35711680805817592</v>
      </c>
      <c r="O29" s="22" t="str">
        <f t="shared" si="4"/>
        <v/>
      </c>
      <c r="P29" s="22" t="str">
        <f t="shared" si="5"/>
        <v/>
      </c>
      <c r="Q29" s="49" t="b">
        <f>IF(C28&lt; ('LOAN SCHEDULE'!$K$9),('ASSUMPTIONS '!$J$4*'ASSURANCES, ANNUITIES '!P29)-('ASSUMPTIONS '!$J$11*'ASSURANCES, ANNUITIES '!M29),IF(C28&lt;='LOAN SCHEDULE'!$K$9,0))</f>
        <v>0</v>
      </c>
      <c r="R29"/>
    </row>
    <row r="30" spans="3:18" x14ac:dyDescent="0.25">
      <c r="C30" s="2">
        <v>25</v>
      </c>
      <c r="D30" s="29">
        <f>'ASSUMPTIONS '!M29</f>
        <v>54</v>
      </c>
      <c r="E30" s="12">
        <f>IF('ASSUMPTIONS '!$J$5 = "MALE",VLOOKUP('ASSUMPTIONS '!M29,'MORTALITY  '!A28:J112,2,FALSE),VLOOKUP('ASSUMPTIONS '!M29,'MORTALITY  '!N28:W112,2,FALSE))</f>
        <v>3.7000000000000002E-3</v>
      </c>
      <c r="F30" s="3">
        <f>IF('ASSUMPTIONS '!$J$5 = "MALE",VLOOKUP('ASSUMPTIONS '!M29,'MORTALITY  '!A28:J112,3,FALSE),VLOOKUP('ASSUMPTIONS '!M29,'MORTALITY  '!N28:W112,3,FALSE))</f>
        <v>92156.34918626101</v>
      </c>
      <c r="G30" s="57">
        <f>IF('ASSUMPTIONS '!$J$5 = "MALE",VLOOKUP('ASSUMPTIONS '!M29,'MORTALITY  '!A28:J112,5,FALSE),VLOOKUP('ASSUMPTIONS '!M29,'MORTALITY  '!N28:W112,5,FALSE))</f>
        <v>11084.725416346084</v>
      </c>
      <c r="H30" s="57">
        <f>IF('ASSUMPTIONS '!$J$5 = "MALE",VLOOKUP('ASSUMPTIONS '!M29,'MORTALITY  '!A28:J112,8,FALSE),VLOOKUP('ASSUMPTIONS '!M29,'MORTALITY  '!N28:W112,8,FALSE))</f>
        <v>4091.5541629625682</v>
      </c>
      <c r="I30" s="13">
        <f>SUM($G30:G$88)/G30</f>
        <v>13.994738368576469</v>
      </c>
      <c r="J30" s="2" t="str">
        <f>VLOOKUP(D30,'ASSUMPTIONS '!M29:N74,2,FALSE)</f>
        <v/>
      </c>
      <c r="K30" s="14" t="str">
        <f t="shared" si="2"/>
        <v/>
      </c>
      <c r="L30" s="15" t="str">
        <f t="shared" si="3"/>
        <v/>
      </c>
      <c r="M30" s="12" t="str">
        <f t="shared" si="0"/>
        <v/>
      </c>
      <c r="N30" s="22">
        <f t="shared" si="1"/>
        <v>0.36911642005393841</v>
      </c>
      <c r="O30" s="22" t="str">
        <f t="shared" si="4"/>
        <v/>
      </c>
      <c r="P30" s="22" t="str">
        <f t="shared" si="5"/>
        <v/>
      </c>
      <c r="Q30" s="49" t="b">
        <f>IF(C29&lt; ('LOAN SCHEDULE'!$K$9),('ASSUMPTIONS '!$J$4*'ASSURANCES, ANNUITIES '!P30)-('ASSUMPTIONS '!$J$11*'ASSURANCES, ANNUITIES '!M30),IF(C29&lt;='LOAN SCHEDULE'!$K$9,0))</f>
        <v>0</v>
      </c>
      <c r="R30"/>
    </row>
    <row r="31" spans="3:18" x14ac:dyDescent="0.25">
      <c r="C31" s="2">
        <v>26</v>
      </c>
      <c r="D31" s="29">
        <f>'ASSUMPTIONS '!M30</f>
        <v>55</v>
      </c>
      <c r="E31" s="12">
        <f>IF('ASSUMPTIONS '!$J$5 = "MALE",VLOOKUP('ASSUMPTIONS '!M30,'MORTALITY  '!A29:J113,2,FALSE),VLOOKUP('ASSUMPTIONS '!M30,'MORTALITY  '!N29:W113,2,FALSE))</f>
        <v>3.7780000000000001E-3</v>
      </c>
      <c r="F31" s="3">
        <f>IF('ASSUMPTIONS '!$J$5 = "MALE",VLOOKUP('ASSUMPTIONS '!M30,'MORTALITY  '!A29:J113,3,FALSE),VLOOKUP('ASSUMPTIONS '!M30,'MORTALITY  '!N29:W113,3,FALSE))</f>
        <v>91815.370694271842</v>
      </c>
      <c r="G31" s="57">
        <f>IF('ASSUMPTIONS '!$J$5 = "MALE",VLOOKUP('ASSUMPTIONS '!M30,'MORTALITY  '!A29:J113,5,FALSE),VLOOKUP('ASSUMPTIONS '!M30,'MORTALITY  '!N29:W113,5,FALSE))</f>
        <v>10618.953781063081</v>
      </c>
      <c r="H31" s="57">
        <f>IF('ASSUMPTIONS '!$J$5 = "MALE",VLOOKUP('ASSUMPTIONS '!M30,'MORTALITY  '!A29:J113,8,FALSE),VLOOKUP('ASSUMPTIONS '!M30,'MORTALITY  '!N29:W113,8,FALSE))</f>
        <v>4052.1181206159522</v>
      </c>
      <c r="I31" s="13">
        <f>SUM($G31:G$88)/G31</f>
        <v>13.564717357542433</v>
      </c>
      <c r="J31" s="2" t="str">
        <f>VLOOKUP(D31,'ASSUMPTIONS '!M30:N75,2,FALSE)</f>
        <v/>
      </c>
      <c r="K31" s="14" t="str">
        <f t="shared" si="2"/>
        <v/>
      </c>
      <c r="L31" s="15" t="str">
        <f t="shared" si="3"/>
        <v/>
      </c>
      <c r="M31" s="12" t="str">
        <f t="shared" si="0"/>
        <v/>
      </c>
      <c r="N31" s="22">
        <f t="shared" si="1"/>
        <v>0.38159297084823435</v>
      </c>
      <c r="O31" s="22" t="str">
        <f t="shared" si="4"/>
        <v/>
      </c>
      <c r="P31" s="22" t="str">
        <f t="shared" si="5"/>
        <v/>
      </c>
      <c r="Q31" s="49" t="b">
        <f>IF(C30&lt; ('LOAN SCHEDULE'!$K$9),('ASSUMPTIONS '!$J$4*'ASSURANCES, ANNUITIES '!P31)-('ASSUMPTIONS '!$J$11*'ASSURANCES, ANNUITIES '!M31),IF(C30&lt;='LOAN SCHEDULE'!$K$9,0))</f>
        <v>0</v>
      </c>
      <c r="R31"/>
    </row>
    <row r="32" spans="3:18" x14ac:dyDescent="0.25">
      <c r="C32" s="2">
        <v>27</v>
      </c>
      <c r="D32" s="29">
        <f>'ASSUMPTIONS '!M31</f>
        <v>56</v>
      </c>
      <c r="E32" s="12">
        <f>IF('ASSUMPTIONS '!$J$5 = "MALE",VLOOKUP('ASSUMPTIONS '!M31,'MORTALITY  '!A30:J114,2,FALSE),VLOOKUP('ASSUMPTIONS '!M31,'MORTALITY  '!N30:W114,2,FALSE))</f>
        <v>4.1710000000000002E-3</v>
      </c>
      <c r="F32" s="3">
        <f>IF('ASSUMPTIONS '!$J$5 = "MALE",VLOOKUP('ASSUMPTIONS '!M31,'MORTALITY  '!A30:J114,3,FALSE),VLOOKUP('ASSUMPTIONS '!M31,'MORTALITY  '!N30:W114,3,FALSE))</f>
        <v>91468.492223788882</v>
      </c>
      <c r="G32" s="57">
        <f>IF('ASSUMPTIONS '!$J$5 = "MALE",VLOOKUP('ASSUMPTIONS '!M31,'MORTALITY  '!A30:J114,5,FALSE),VLOOKUP('ASSUMPTIONS '!M31,'MORTALITY  '!N30:W114,5,FALSE))</f>
        <v>10171.957090075217</v>
      </c>
      <c r="H32" s="57">
        <f>IF('ASSUMPTIONS '!$J$5 = "MALE",VLOOKUP('ASSUMPTIONS '!M31,'MORTALITY  '!A30:J114,8,FALSE),VLOOKUP('ASSUMPTIONS '!M31,'MORTALITY  '!N30:W114,8,FALSE))</f>
        <v>4013.5427288997439</v>
      </c>
      <c r="I32" s="13">
        <f>SUM($G32:G$88)/G32</f>
        <v>13.116861554798156</v>
      </c>
      <c r="J32" s="2" t="str">
        <f>VLOOKUP(D32,'ASSUMPTIONS '!M31:N76,2,FALSE)</f>
        <v/>
      </c>
      <c r="K32" s="14" t="str">
        <f t="shared" si="2"/>
        <v/>
      </c>
      <c r="L32" s="15" t="str">
        <f t="shared" si="3"/>
        <v/>
      </c>
      <c r="M32" s="12" t="str">
        <f t="shared" si="0"/>
        <v/>
      </c>
      <c r="N32" s="22">
        <f t="shared" si="1"/>
        <v>0.39456937277249815</v>
      </c>
      <c r="O32" s="22" t="str">
        <f t="shared" si="4"/>
        <v/>
      </c>
      <c r="P32" s="22" t="str">
        <f t="shared" si="5"/>
        <v/>
      </c>
      <c r="Q32" s="49" t="b">
        <f>IF(C31&lt; ('LOAN SCHEDULE'!$K$9),('ASSUMPTIONS '!$J$4*'ASSURANCES, ANNUITIES '!P32)-('ASSUMPTIONS '!$J$11*'ASSURANCES, ANNUITIES '!M32),IF(C31&lt;='LOAN SCHEDULE'!$K$9,0))</f>
        <v>0</v>
      </c>
      <c r="R32"/>
    </row>
    <row r="33" spans="3:18" x14ac:dyDescent="0.25">
      <c r="C33" s="2">
        <v>28</v>
      </c>
      <c r="D33" s="29">
        <f>'ASSUMPTIONS '!M32</f>
        <v>57</v>
      </c>
      <c r="E33" s="12">
        <f>IF('ASSUMPTIONS '!$J$5 = "MALE",VLOOKUP('ASSUMPTIONS '!M32,'MORTALITY  '!A31:J115,2,FALSE),VLOOKUP('ASSUMPTIONS '!M32,'MORTALITY  '!N31:W115,2,FALSE))</f>
        <v>4.6969999999999998E-3</v>
      </c>
      <c r="F33" s="3">
        <f>IF('ASSUMPTIONS '!$J$5 = "MALE",VLOOKUP('ASSUMPTIONS '!M32,'MORTALITY  '!A31:J115,3,FALSE),VLOOKUP('ASSUMPTIONS '!M32,'MORTALITY  '!N31:W115,3,FALSE))</f>
        <v>91086.977142723452</v>
      </c>
      <c r="G33" s="57">
        <f>IF('ASSUMPTIONS '!$J$5 = "MALE",VLOOKUP('ASSUMPTIONS '!M32,'MORTALITY  '!A31:J115,5,FALSE),VLOOKUP('ASSUMPTIONS '!M32,'MORTALITY  '!N31:W115,5,FALSE))</f>
        <v>9739.9325548581819</v>
      </c>
      <c r="H33" s="57">
        <f>IF('ASSUMPTIONS '!$J$5 = "MALE",VLOOKUP('ASSUMPTIONS '!M32,'MORTALITY  '!A31:J115,8,FALSE),VLOOKUP('ASSUMPTIONS '!M32,'MORTALITY  '!N31:W115,8,FALSE))</f>
        <v>3972.7473125317597</v>
      </c>
      <c r="I33" s="13">
        <f>SUM($G33:G$88)/G33</f>
        <v>12.654317173922514</v>
      </c>
      <c r="J33" s="2" t="str">
        <f>VLOOKUP(D33,'ASSUMPTIONS '!M32:N77,2,FALSE)</f>
        <v/>
      </c>
      <c r="K33" s="14" t="str">
        <f t="shared" si="2"/>
        <v/>
      </c>
      <c r="L33" s="15" t="str">
        <f t="shared" si="3"/>
        <v/>
      </c>
      <c r="M33" s="12" t="str">
        <f t="shared" si="0"/>
        <v/>
      </c>
      <c r="N33" s="22">
        <f t="shared" si="1"/>
        <v>0.40788242527923796</v>
      </c>
      <c r="O33" s="22" t="str">
        <f t="shared" si="4"/>
        <v/>
      </c>
      <c r="P33" s="22" t="str">
        <f t="shared" si="5"/>
        <v/>
      </c>
      <c r="Q33" s="49" t="b">
        <f>IF(C32&lt; ('LOAN SCHEDULE'!$K$9),('ASSUMPTIONS '!$J$4*'ASSURANCES, ANNUITIES '!P33)-('ASSUMPTIONS '!$J$11*'ASSURANCES, ANNUITIES '!M33),IF(C32&lt;='LOAN SCHEDULE'!$K$9,0))</f>
        <v>0</v>
      </c>
      <c r="R33"/>
    </row>
    <row r="34" spans="3:18" x14ac:dyDescent="0.25">
      <c r="C34" s="2">
        <v>29</v>
      </c>
      <c r="D34" s="29">
        <f>'ASSUMPTIONS '!M33</f>
        <v>58</v>
      </c>
      <c r="E34" s="12">
        <f>IF('ASSUMPTIONS '!$J$5 = "MALE",VLOOKUP('ASSUMPTIONS '!M33,'MORTALITY  '!A32:J116,2,FALSE),VLOOKUP('ASSUMPTIONS '!M33,'MORTALITY  '!N32:W116,2,FALSE))</f>
        <v>5.2880000000000002E-3</v>
      </c>
      <c r="F34" s="3">
        <f>IF('ASSUMPTIONS '!$J$5 = "MALE",VLOOKUP('ASSUMPTIONS '!M33,'MORTALITY  '!A32:J116,3,FALSE),VLOOKUP('ASSUMPTIONS '!M33,'MORTALITY  '!N32:W116,3,FALSE))</f>
        <v>90659.14161108408</v>
      </c>
      <c r="G34" s="57">
        <f>IF('ASSUMPTIONS '!$J$5 = "MALE",VLOOKUP('ASSUMPTIONS '!M33,'MORTALITY  '!A32:J116,5,FALSE),VLOOKUP('ASSUMPTIONS '!M33,'MORTALITY  '!N32:W116,5,FALSE))</f>
        <v>9321.3308573538598</v>
      </c>
      <c r="H34" s="57">
        <f>IF('ASSUMPTIONS '!$J$5 = "MALE",VLOOKUP('ASSUMPTIONS '!M33,'MORTALITY  '!A32:J116,8,FALSE),VLOOKUP('ASSUMPTIONS '!M33,'MORTALITY  '!N32:W116,8,FALSE))</f>
        <v>3928.758405598905</v>
      </c>
      <c r="I34" s="13">
        <f>SUM($G34:G$88)/G34</f>
        <v>12.177688463592911</v>
      </c>
      <c r="J34" s="2" t="str">
        <f>VLOOKUP(D34,'ASSUMPTIONS '!M33:N78,2,FALSE)</f>
        <v/>
      </c>
      <c r="K34" s="14" t="str">
        <f t="shared" si="2"/>
        <v/>
      </c>
      <c r="L34" s="15" t="str">
        <f t="shared" si="3"/>
        <v/>
      </c>
      <c r="M34" s="12" t="str">
        <f t="shared" si="0"/>
        <v/>
      </c>
      <c r="N34" s="22">
        <f t="shared" si="1"/>
        <v>0.42148041580343615</v>
      </c>
      <c r="O34" s="22" t="str">
        <f t="shared" si="4"/>
        <v/>
      </c>
      <c r="P34" s="22" t="str">
        <f t="shared" si="5"/>
        <v/>
      </c>
      <c r="Q34" s="49" t="b">
        <f>IF(C33&lt; ('LOAN SCHEDULE'!$K$9),('ASSUMPTIONS '!$J$4*'ASSURANCES, ANNUITIES '!P34)-('ASSUMPTIONS '!$J$11*'ASSURANCES, ANNUITIES '!M34),IF(C33&lt;='LOAN SCHEDULE'!$K$9,0))</f>
        <v>0</v>
      </c>
      <c r="R34"/>
    </row>
    <row r="35" spans="3:18" x14ac:dyDescent="0.25">
      <c r="C35" s="2">
        <v>30</v>
      </c>
      <c r="D35" s="29">
        <f>'ASSUMPTIONS '!M34</f>
        <v>59</v>
      </c>
      <c r="E35" s="12">
        <f>IF('ASSUMPTIONS '!$J$5 = "MALE",VLOOKUP('ASSUMPTIONS '!M34,'MORTALITY  '!A33:J117,2,FALSE),VLOOKUP('ASSUMPTIONS '!M34,'MORTALITY  '!N33:W117,2,FALSE))</f>
        <v>5.9540000000000001E-3</v>
      </c>
      <c r="F35" s="3">
        <f>IF('ASSUMPTIONS '!$J$5 = "MALE",VLOOKUP('ASSUMPTIONS '!M34,'MORTALITY  '!A33:J117,3,FALSE),VLOOKUP('ASSUMPTIONS '!M34,'MORTALITY  '!N33:W117,3,FALSE))</f>
        <v>90179.73607024466</v>
      </c>
      <c r="G35" s="57">
        <f>IF('ASSUMPTIONS '!$J$5 = "MALE",VLOOKUP('ASSUMPTIONS '!M34,'MORTALITY  '!A33:J117,5,FALSE),VLOOKUP('ASSUMPTIONS '!M34,'MORTALITY  '!N33:W117,5,FALSE))</f>
        <v>8915.4227497886277</v>
      </c>
      <c r="H35" s="57">
        <f>IF('ASSUMPTIONS '!$J$5 = "MALE",VLOOKUP('ASSUMPTIONS '!M34,'MORTALITY  '!A33:J117,8,FALSE),VLOOKUP('ASSUMPTIONS '!M34,'MORTALITY  '!N33:W117,8,FALSE))</f>
        <v>3881.3630233165127</v>
      </c>
      <c r="I35" s="13">
        <f>SUM($G35:G$88)/G35</f>
        <v>11.686594714989493</v>
      </c>
      <c r="J35" s="2" t="str">
        <f>VLOOKUP(D35,'ASSUMPTIONS '!M34:N79,2,FALSE)</f>
        <v/>
      </c>
      <c r="K35" s="14" t="str">
        <f t="shared" si="2"/>
        <v/>
      </c>
      <c r="L35" s="15" t="str">
        <f t="shared" si="3"/>
        <v/>
      </c>
      <c r="M35" s="12" t="str">
        <f t="shared" si="0"/>
        <v/>
      </c>
      <c r="N35" s="22">
        <f t="shared" si="1"/>
        <v>0.43535378324135382</v>
      </c>
      <c r="O35" s="22" t="str">
        <f t="shared" si="4"/>
        <v/>
      </c>
      <c r="P35" s="22" t="str">
        <f t="shared" si="5"/>
        <v/>
      </c>
      <c r="Q35" s="49" t="b">
        <f>IF(C34&lt; ('LOAN SCHEDULE'!$K$9),('ASSUMPTIONS '!$J$4*'ASSURANCES, ANNUITIES '!P35)-('ASSUMPTIONS '!$J$11*'ASSURANCES, ANNUITIES '!M35),IF(C34&lt;='LOAN SCHEDULE'!$K$9,0))</f>
        <v>0</v>
      </c>
      <c r="R35"/>
    </row>
    <row r="36" spans="3:18" x14ac:dyDescent="0.25">
      <c r="C36" s="2">
        <v>31</v>
      </c>
      <c r="D36" s="29">
        <f>'ASSUMPTIONS '!M35</f>
        <v>60</v>
      </c>
      <c r="E36" s="12">
        <f>IF('ASSUMPTIONS '!$J$5 = "MALE",VLOOKUP('ASSUMPTIONS '!M35,'MORTALITY  '!A34:J118,2,FALSE),VLOOKUP('ASSUMPTIONS '!M35,'MORTALITY  '!N34:W118,2,FALSE))</f>
        <v>6.7039999999999999E-3</v>
      </c>
      <c r="F36" s="3">
        <f>IF('ASSUMPTIONS '!$J$5 = "MALE",VLOOKUP('ASSUMPTIONS '!M35,'MORTALITY  '!A34:J118,3,FALSE),VLOOKUP('ASSUMPTIONS '!M35,'MORTALITY  '!N34:W118,3,FALSE))</f>
        <v>89642.805921682419</v>
      </c>
      <c r="G36" s="57">
        <f>IF('ASSUMPTIONS '!$J$5 = "MALE",VLOOKUP('ASSUMPTIONS '!M35,'MORTALITY  '!A34:J118,5,FALSE),VLOOKUP('ASSUMPTIONS '!M35,'MORTALITY  '!N34:W118,5,FALSE))</f>
        <v>8521.4810795542144</v>
      </c>
      <c r="H36" s="57">
        <f>IF('ASSUMPTIONS '!$J$5 = "MALE",VLOOKUP('ASSUMPTIONS '!M35,'MORTALITY  '!A34:J118,8,FALSE),VLOOKUP('ASSUMPTIONS '!M35,'MORTALITY  '!N34:W118,8,FALSE))</f>
        <v>3830.3222280739724</v>
      </c>
      <c r="I36" s="13">
        <f>SUM($G36:G$88)/G36</f>
        <v>11.180627962477669</v>
      </c>
      <c r="J36" s="2" t="str">
        <f>VLOOKUP(D36,'ASSUMPTIONS '!M35:N80,2,FALSE)</f>
        <v/>
      </c>
      <c r="K36" s="14" t="str">
        <f t="shared" si="2"/>
        <v/>
      </c>
      <c r="L36" s="15" t="str">
        <f t="shared" si="3"/>
        <v/>
      </c>
      <c r="M36" s="12" t="str">
        <f t="shared" si="0"/>
        <v/>
      </c>
      <c r="N36" s="22">
        <f t="shared" si="1"/>
        <v>0.44949019921714695</v>
      </c>
      <c r="O36" s="22" t="str">
        <f t="shared" si="4"/>
        <v/>
      </c>
      <c r="P36" s="22" t="str">
        <f t="shared" si="5"/>
        <v/>
      </c>
      <c r="Q36" s="49" t="b">
        <f>IF(C35&lt; ('LOAN SCHEDULE'!$K$9),('ASSUMPTIONS '!$J$4*'ASSURANCES, ANNUITIES '!P36)-('ASSUMPTIONS '!$J$11*'ASSURANCES, ANNUITIES '!M36),IF(C35&lt;='LOAN SCHEDULE'!$K$9,0))</f>
        <v>0</v>
      </c>
      <c r="R36"/>
    </row>
    <row r="37" spans="3:18" x14ac:dyDescent="0.25">
      <c r="C37" s="2">
        <v>32</v>
      </c>
      <c r="D37" s="29">
        <f>'ASSUMPTIONS '!M36</f>
        <v>61</v>
      </c>
      <c r="E37" s="12">
        <f>IF('ASSUMPTIONS '!$J$5 = "MALE",VLOOKUP('ASSUMPTIONS '!M36,'MORTALITY  '!A35:J119,2,FALSE),VLOOKUP('ASSUMPTIONS '!M36,'MORTALITY  '!N35:W119,2,FALSE))</f>
        <v>7.5469999999999999E-3</v>
      </c>
      <c r="F37" s="3">
        <f>IF('ASSUMPTIONS '!$J$5 = "MALE",VLOOKUP('ASSUMPTIONS '!M36,'MORTALITY  '!A35:J119,3,FALSE),VLOOKUP('ASSUMPTIONS '!M36,'MORTALITY  '!N35:W119,3,FALSE))</f>
        <v>89041.840550783454</v>
      </c>
      <c r="G37" s="57">
        <f>IF('ASSUMPTIONS '!$J$5 = "MALE",VLOOKUP('ASSUMPTIONS '!M36,'MORTALITY  '!A35:J119,5,FALSE),VLOOKUP('ASSUMPTIONS '!M36,'MORTALITY  '!N35:W119,5,FALSE))</f>
        <v>8138.8010292277713</v>
      </c>
      <c r="H37" s="57">
        <f>IF('ASSUMPTIONS '!$J$5 = "MALE",VLOOKUP('ASSUMPTIONS '!M36,'MORTALITY  '!A35:J119,8,FALSE),VLOOKUP('ASSUMPTIONS '!M36,'MORTALITY  '!N35:W119,8,FALSE))</f>
        <v>3775.3914500380765</v>
      </c>
      <c r="I37" s="13">
        <f>SUM($G37:G$88)/G37</f>
        <v>10.659313116107157</v>
      </c>
      <c r="J37" s="2" t="str">
        <f>VLOOKUP(D37,'ASSUMPTIONS '!M36:N81,2,FALSE)</f>
        <v/>
      </c>
      <c r="K37" s="14" t="str">
        <f t="shared" si="2"/>
        <v/>
      </c>
      <c r="L37" s="15" t="str">
        <f t="shared" si="3"/>
        <v/>
      </c>
      <c r="M37" s="12" t="str">
        <f t="shared" si="0"/>
        <v/>
      </c>
      <c r="N37" s="22">
        <f t="shared" si="1"/>
        <v>0.46387562940536642</v>
      </c>
      <c r="O37" s="22" t="str">
        <f t="shared" si="4"/>
        <v/>
      </c>
      <c r="P37" s="22" t="str">
        <f t="shared" si="5"/>
        <v/>
      </c>
      <c r="Q37" s="49" t="b">
        <f>IF(C36&lt; ('LOAN SCHEDULE'!$K$9),('ASSUMPTIONS '!$J$4*'ASSURANCES, ANNUITIES '!P37)-('ASSUMPTIONS '!$J$11*'ASSURANCES, ANNUITIES '!M37),IF(C36&lt;='LOAN SCHEDULE'!$K$9,0))</f>
        <v>0</v>
      </c>
      <c r="R37"/>
    </row>
    <row r="38" spans="3:18" x14ac:dyDescent="0.25">
      <c r="C38" s="2">
        <v>33</v>
      </c>
      <c r="D38" s="29">
        <f>'ASSUMPTIONS '!M37</f>
        <v>62</v>
      </c>
      <c r="E38" s="12">
        <f>IF('ASSUMPTIONS '!$J$5 = "MALE",VLOOKUP('ASSUMPTIONS '!M37,'MORTALITY  '!A36:J120,2,FALSE),VLOOKUP('ASSUMPTIONS '!M37,'MORTALITY  '!N36:W120,2,FALSE))</f>
        <v>8.4960000000000001E-3</v>
      </c>
      <c r="F38" s="3">
        <f>IF('ASSUMPTIONS '!$J$5 = "MALE",VLOOKUP('ASSUMPTIONS '!M37,'MORTALITY  '!A36:J120,3,FALSE),VLOOKUP('ASSUMPTIONS '!M37,'MORTALITY  '!N36:W120,3,FALSE))</f>
        <v>88369.841780146686</v>
      </c>
      <c r="G38" s="57">
        <f>IF('ASSUMPTIONS '!$J$5 = "MALE",VLOOKUP('ASSUMPTIONS '!M37,'MORTALITY  '!A36:J120,5,FALSE),VLOOKUP('ASSUMPTIONS '!M37,'MORTALITY  '!N36:W120,5,FALSE))</f>
        <v>7766.7091325578749</v>
      </c>
      <c r="H38" s="57">
        <f>IF('ASSUMPTIONS '!$J$5 = "MALE",VLOOKUP('ASSUMPTIONS '!M37,'MORTALITY  '!A36:J120,8,FALSE),VLOOKUP('ASSUMPTIONS '!M37,'MORTALITY  '!N36:W120,8,FALSE))</f>
        <v>3716.3303621846321</v>
      </c>
      <c r="I38" s="13">
        <f>SUM($G38:G$88)/G38</f>
        <v>10.122076955534864</v>
      </c>
      <c r="J38" s="2" t="str">
        <f>VLOOKUP(D38,'ASSUMPTIONS '!M37:N82,2,FALSE)</f>
        <v/>
      </c>
      <c r="K38" s="14" t="str">
        <f t="shared" si="2"/>
        <v/>
      </c>
      <c r="L38" s="15" t="str">
        <f t="shared" si="3"/>
        <v/>
      </c>
      <c r="M38" s="12" t="str">
        <f t="shared" si="0"/>
        <v/>
      </c>
      <c r="N38" s="22">
        <f t="shared" si="1"/>
        <v>0.47849485525418434</v>
      </c>
      <c r="O38" s="22" t="str">
        <f t="shared" si="4"/>
        <v/>
      </c>
      <c r="P38" s="22" t="str">
        <f t="shared" si="5"/>
        <v/>
      </c>
      <c r="Q38" s="49" t="b">
        <f>IF(C37&lt; ('LOAN SCHEDULE'!$K$9),('ASSUMPTIONS '!$J$4*'ASSURANCES, ANNUITIES '!P38)-('ASSUMPTIONS '!$J$11*'ASSURANCES, ANNUITIES '!M38),IF(C37&lt;='LOAN SCHEDULE'!$K$9,0))</f>
        <v>0</v>
      </c>
      <c r="R38"/>
    </row>
    <row r="39" spans="3:18" x14ac:dyDescent="0.25">
      <c r="C39" s="2">
        <v>34</v>
      </c>
      <c r="D39" s="29">
        <f>'ASSUMPTIONS '!M38</f>
        <v>63</v>
      </c>
      <c r="E39" s="12">
        <f>IF('ASSUMPTIONS '!$J$5 = "MALE",VLOOKUP('ASSUMPTIONS '!M38,'MORTALITY  '!A37:J121,2,FALSE),VLOOKUP('ASSUMPTIONS '!M38,'MORTALITY  '!N37:W121,2,FALSE))</f>
        <v>9.5630000000000003E-3</v>
      </c>
      <c r="F39" s="3">
        <f>IF('ASSUMPTIONS '!$J$5 = "MALE",VLOOKUP('ASSUMPTIONS '!M38,'MORTALITY  '!A37:J121,3,FALSE),VLOOKUP('ASSUMPTIONS '!M38,'MORTALITY  '!N37:W121,3,FALSE))</f>
        <v>87619.051604382563</v>
      </c>
      <c r="G39" s="57">
        <f>IF('ASSUMPTIONS '!$J$5 = "MALE",VLOOKUP('ASSUMPTIONS '!M38,'MORTALITY  '!A37:J121,5,FALSE),VLOOKUP('ASSUMPTIONS '!M38,'MORTALITY  '!N37:W121,5,FALSE))</f>
        <v>7404.5415113150611</v>
      </c>
      <c r="H39" s="57">
        <f>IF('ASSUMPTIONS '!$J$5 = "MALE",VLOOKUP('ASSUMPTIONS '!M38,'MORTALITY  '!A37:J121,8,FALSE),VLOOKUP('ASSUMPTIONS '!M38,'MORTALITY  '!N37:W121,8,FALSE))</f>
        <v>3652.8823229632749</v>
      </c>
      <c r="I39" s="13">
        <f>SUM($G39:G$88)/G39</f>
        <v>9.5682519019149268</v>
      </c>
      <c r="J39" s="2" t="str">
        <f>VLOOKUP(D39,'ASSUMPTIONS '!M38:N83,2,FALSE)</f>
        <v/>
      </c>
      <c r="K39" s="14" t="str">
        <f t="shared" si="2"/>
        <v/>
      </c>
      <c r="L39" s="15" t="str">
        <f t="shared" si="3"/>
        <v/>
      </c>
      <c r="M39" s="12" t="str">
        <f t="shared" si="0"/>
        <v/>
      </c>
      <c r="N39" s="22">
        <f t="shared" si="1"/>
        <v>0.49332998098278147</v>
      </c>
      <c r="O39" s="22" t="str">
        <f t="shared" si="4"/>
        <v/>
      </c>
      <c r="P39" s="22" t="str">
        <f t="shared" si="5"/>
        <v/>
      </c>
      <c r="Q39" s="49" t="b">
        <f>IF(C38&lt; ('LOAN SCHEDULE'!$K$9),('ASSUMPTIONS '!$J$4*'ASSURANCES, ANNUITIES '!P39)-('ASSUMPTIONS '!$J$11*'ASSURANCES, ANNUITIES '!M39),IF(C38&lt;='LOAN SCHEDULE'!$K$9,0))</f>
        <v>0</v>
      </c>
      <c r="R39"/>
    </row>
    <row r="40" spans="3:18" x14ac:dyDescent="0.25">
      <c r="C40" s="2">
        <v>35</v>
      </c>
      <c r="D40" s="29">
        <f>'ASSUMPTIONS '!M39</f>
        <v>64</v>
      </c>
      <c r="E40" s="12">
        <f>IF('ASSUMPTIONS '!$J$5 = "MALE",VLOOKUP('ASSUMPTIONS '!M39,'MORTALITY  '!A38:J122,2,FALSE),VLOOKUP('ASSUMPTIONS '!M39,'MORTALITY  '!N38:W122,2,FALSE))</f>
        <v>1.0763999999999999E-2</v>
      </c>
      <c r="F40" s="3">
        <f>IF('ASSUMPTIONS '!$J$5 = "MALE",VLOOKUP('ASSUMPTIONS '!M39,'MORTALITY  '!A38:J122,3,FALSE),VLOOKUP('ASSUMPTIONS '!M39,'MORTALITY  '!N38:W122,3,FALSE))</f>
        <v>86781.150613889855</v>
      </c>
      <c r="G40" s="57">
        <f>IF('ASSUMPTIONS '!$J$5 = "MALE",VLOOKUP('ASSUMPTIONS '!M39,'MORTALITY  '!A38:J122,5,FALSE),VLOOKUP('ASSUMPTIONS '!M39,'MORTALITY  '!N38:W122,5,FALSE))</f>
        <v>7051.6652700407249</v>
      </c>
      <c r="H40" s="57">
        <f>IF('ASSUMPTIONS '!$J$5 = "MALE",VLOOKUP('ASSUMPTIONS '!M39,'MORTALITY  '!A38:J122,8,FALSE),VLOOKUP('ASSUMPTIONS '!M39,'MORTALITY  '!N38:W122,8,FALSE))</f>
        <v>3584.796139816443</v>
      </c>
      <c r="I40" s="13">
        <f>SUM($G40:G$88)/G40</f>
        <v>8.997020484888516</v>
      </c>
      <c r="J40" s="2" t="str">
        <f>VLOOKUP(D40,'ASSUMPTIONS '!M39:N84,2,FALSE)</f>
        <v/>
      </c>
      <c r="K40" s="14" t="str">
        <f t="shared" si="2"/>
        <v/>
      </c>
      <c r="L40" s="15" t="str">
        <f t="shared" si="3"/>
        <v/>
      </c>
      <c r="M40" s="12" t="str">
        <f t="shared" si="0"/>
        <v/>
      </c>
      <c r="N40" s="22">
        <f t="shared" si="1"/>
        <v>0.50836164261037597</v>
      </c>
      <c r="O40" s="22" t="str">
        <f t="shared" si="4"/>
        <v/>
      </c>
      <c r="P40" s="22" t="str">
        <f t="shared" si="5"/>
        <v/>
      </c>
      <c r="Q40" s="49" t="b">
        <f>IF(C39&lt; ('LOAN SCHEDULE'!$K$9),('ASSUMPTIONS '!$J$4*'ASSURANCES, ANNUITIES '!P40)-('ASSUMPTIONS '!$J$11*'ASSURANCES, ANNUITIES '!M40),IF(C39&lt;='LOAN SCHEDULE'!$K$9,0))</f>
        <v>0</v>
      </c>
      <c r="R40"/>
    </row>
    <row r="41" spans="3:18" x14ac:dyDescent="0.25">
      <c r="C41" s="2">
        <v>36</v>
      </c>
      <c r="D41" s="2">
        <f>'ASSUMPTIONS '!M40</f>
        <v>65</v>
      </c>
      <c r="E41" s="12">
        <f>IF('ASSUMPTIONS '!$J$5 = "MALE",VLOOKUP('ASSUMPTIONS '!M40,'MORTALITY  '!A39:J123,2,FALSE),VLOOKUP('ASSUMPTIONS '!M40,'MORTALITY  '!N39:W123,2,FALSE))</f>
        <v>1.2116E-2</v>
      </c>
      <c r="F41" s="3">
        <f>IF('ASSUMPTIONS '!$J$5 = "MALE",VLOOKUP('ASSUMPTIONS '!M40,'MORTALITY  '!A39:J123,3,FALSE),VLOOKUP('ASSUMPTIONS '!M40,'MORTALITY  '!N39:W123,3,FALSE))</f>
        <v>85847.038308681949</v>
      </c>
      <c r="G41" s="57">
        <f>IF('ASSUMPTIONS '!$J$5 = "MALE",VLOOKUP('ASSUMPTIONS '!M40,'MORTALITY  '!A39:J123,5,FALSE),VLOOKUP('ASSUMPTIONS '!M40,'MORTALITY  '!N39:W123,5,FALSE))</f>
        <v>6707.462639494237</v>
      </c>
      <c r="H41" s="57">
        <f>IF('ASSUMPTIONS '!$J$5 = "MALE",VLOOKUP('ASSUMPTIONS '!M40,'MORTALITY  '!A39:J123,8,FALSE),VLOOKUP('ASSUMPTIONS '!M40,'MORTALITY  '!N39:W123,8,FALSE))</f>
        <v>3511.811404271522</v>
      </c>
      <c r="I41" s="13">
        <f>SUM($G41:G$88)/G41</f>
        <v>8.4073985421922117</v>
      </c>
      <c r="J41" s="2" t="str">
        <f>VLOOKUP(D41,'ASSUMPTIONS '!M40:N85,2,FALSE)</f>
        <v/>
      </c>
      <c r="K41" s="14" t="str">
        <f t="shared" si="2"/>
        <v/>
      </c>
      <c r="L41" s="15" t="str">
        <f t="shared" si="3"/>
        <v/>
      </c>
      <c r="M41" s="12" t="str">
        <f t="shared" si="0"/>
        <v/>
      </c>
      <c r="N41" s="22">
        <f t="shared" si="1"/>
        <v>0.52356779202818238</v>
      </c>
      <c r="O41" s="22" t="str">
        <f t="shared" si="4"/>
        <v/>
      </c>
      <c r="P41" s="22" t="str">
        <f t="shared" si="5"/>
        <v/>
      </c>
      <c r="Q41" s="49" t="b">
        <f>IF(C40&lt; ('LOAN SCHEDULE'!$K$9),('ASSUMPTIONS '!$J$4*'ASSURANCES, ANNUITIES '!P41)-('ASSUMPTIONS '!$J$11*'ASSURANCES, ANNUITIES '!M41),IF(C40&lt;='LOAN SCHEDULE'!$K$9,0))</f>
        <v>0</v>
      </c>
      <c r="R41"/>
    </row>
    <row r="42" spans="3:18" x14ac:dyDescent="0.25">
      <c r="C42" s="2">
        <v>37</v>
      </c>
      <c r="D42" s="2">
        <f>'ASSUMPTIONS '!M41</f>
        <v>66</v>
      </c>
      <c r="E42" s="12">
        <f>IF('ASSUMPTIONS '!$J$5 = "MALE",VLOOKUP('ASSUMPTIONS '!M41,'MORTALITY  '!A40:J124,2,FALSE),VLOOKUP('ASSUMPTIONS '!M41,'MORTALITY  '!N40:W124,2,FALSE))</f>
        <v>1.3635E-2</v>
      </c>
      <c r="F42" s="3">
        <f>IF('ASSUMPTIONS '!$J$5 = "MALE",VLOOKUP('ASSUMPTIONS '!M41,'MORTALITY  '!A40:J124,3,FALSE),VLOOKUP('ASSUMPTIONS '!M41,'MORTALITY  '!N40:W124,3,FALSE))</f>
        <v>84806.915592533958</v>
      </c>
      <c r="G42" s="57">
        <f>IF('ASSUMPTIONS '!$J$5 = "MALE",VLOOKUP('ASSUMPTIONS '!M41,'MORTALITY  '!A40:J124,5,FALSE),VLOOKUP('ASSUMPTIONS '!M41,'MORTALITY  '!N40:W124,5,FALSE))</f>
        <v>6371.3413674558888</v>
      </c>
      <c r="H42" s="57">
        <f>IF('ASSUMPTIONS '!$J$5 = "MALE",VLOOKUP('ASSUMPTIONS '!M41,'MORTALITY  '!A40:J124,8,FALSE),VLOOKUP('ASSUMPTIONS '!M41,'MORTALITY  '!N40:W124,8,FALSE))</f>
        <v>3433.6694645214143</v>
      </c>
      <c r="I42" s="13">
        <f>SUM($G42:G$88)/G42</f>
        <v>7.7981771988208157</v>
      </c>
      <c r="J42" s="2" t="str">
        <f>VLOOKUP(D42,'ASSUMPTIONS '!M41:N86,2,FALSE)</f>
        <v/>
      </c>
      <c r="K42" s="14" t="str">
        <f t="shared" si="2"/>
        <v/>
      </c>
      <c r="L42" s="15" t="str">
        <f t="shared" si="3"/>
        <v/>
      </c>
      <c r="M42" s="12" t="str">
        <f t="shared" si="0"/>
        <v/>
      </c>
      <c r="N42" s="22">
        <f t="shared" si="1"/>
        <v>0.53892410820431325</v>
      </c>
      <c r="O42" s="22" t="str">
        <f t="shared" si="4"/>
        <v/>
      </c>
      <c r="P42" s="22" t="str">
        <f t="shared" si="5"/>
        <v/>
      </c>
      <c r="Q42" s="2"/>
    </row>
    <row r="43" spans="3:18" x14ac:dyDescent="0.25">
      <c r="C43" s="2">
        <v>38</v>
      </c>
      <c r="D43" s="2">
        <f>'ASSUMPTIONS '!M42</f>
        <v>67</v>
      </c>
      <c r="E43" s="12">
        <f>IF('ASSUMPTIONS '!$J$5 = "MALE",VLOOKUP('ASSUMPTIONS '!M42,'MORTALITY  '!A41:J125,2,FALSE),VLOOKUP('ASSUMPTIONS '!M42,'MORTALITY  '!N41:W125,2,FALSE))</f>
        <v>1.5343000000000001E-2</v>
      </c>
      <c r="F43" s="3">
        <f>IF('ASSUMPTIONS '!$J$5 = "MALE",VLOOKUP('ASSUMPTIONS '!M42,'MORTALITY  '!A41:J125,3,FALSE),VLOOKUP('ASSUMPTIONS '!M42,'MORTALITY  '!N41:W125,3,FALSE))</f>
        <v>83650.573298429765</v>
      </c>
      <c r="G43" s="57">
        <f>IF('ASSUMPTIONS '!$J$5 = "MALE",VLOOKUP('ASSUMPTIONS '!M42,'MORTALITY  '!A41:J125,5,FALSE),VLOOKUP('ASSUMPTIONS '!M42,'MORTALITY  '!N41:W125,5,FALSE))</f>
        <v>6042.7578152986816</v>
      </c>
      <c r="H43" s="57">
        <f>IF('ASSUMPTIONS '!$J$5 = "MALE",VLOOKUP('ASSUMPTIONS '!M42,'MORTALITY  '!A41:J125,8,FALSE),VLOOKUP('ASSUMPTIONS '!M42,'MORTALITY  '!N41:W125,8,FALSE))</f>
        <v>3350.1375034202024</v>
      </c>
      <c r="I43" s="13">
        <f>SUM($G43:G$88)/G43</f>
        <v>7.1678377545570306</v>
      </c>
      <c r="J43" s="2" t="str">
        <f>VLOOKUP(D43,'ASSUMPTIONS '!M42:N87,2,FALSE)</f>
        <v/>
      </c>
      <c r="K43" s="14" t="str">
        <f t="shared" si="2"/>
        <v/>
      </c>
      <c r="L43" s="15" t="str">
        <f t="shared" si="3"/>
        <v/>
      </c>
      <c r="M43" s="12" t="str">
        <f t="shared" si="0"/>
        <v/>
      </c>
      <c r="N43" s="22">
        <f t="shared" si="1"/>
        <v>0.55440539002548317</v>
      </c>
      <c r="O43" s="22" t="str">
        <f t="shared" si="4"/>
        <v/>
      </c>
      <c r="P43" s="22" t="str">
        <f t="shared" si="5"/>
        <v/>
      </c>
      <c r="Q43" s="2"/>
    </row>
    <row r="44" spans="3:18" x14ac:dyDescent="0.25">
      <c r="C44" s="2">
        <v>39</v>
      </c>
      <c r="D44" s="2">
        <f>'ASSUMPTIONS '!M43</f>
        <v>68</v>
      </c>
      <c r="E44" s="12">
        <f>IF('ASSUMPTIONS '!$J$5 = "MALE",VLOOKUP('ASSUMPTIONS '!M43,'MORTALITY  '!A42:J126,2,FALSE),VLOOKUP('ASSUMPTIONS '!M43,'MORTALITY  '!N42:W126,2,FALSE))</f>
        <v>1.7264000000000002E-2</v>
      </c>
      <c r="F44" s="3">
        <f>IF('ASSUMPTIONS '!$J$5 = "MALE",VLOOKUP('ASSUMPTIONS '!M43,'MORTALITY  '!A42:J126,3,FALSE),VLOOKUP('ASSUMPTIONS '!M43,'MORTALITY  '!N42:W126,3,FALSE))</f>
        <v>82367.12255231195</v>
      </c>
      <c r="G44" s="57">
        <f>IF('ASSUMPTIONS '!$J$5 = "MALE",VLOOKUP('ASSUMPTIONS '!M43,'MORTALITY  '!A42:J126,5,FALSE),VLOOKUP('ASSUMPTIONS '!M43,'MORTALITY  '!N42:W126,5,FALSE))</f>
        <v>5721.1959443639926</v>
      </c>
      <c r="H44" s="57">
        <f>IF('ASSUMPTIONS '!$J$5 = "MALE",VLOOKUP('ASSUMPTIONS '!M43,'MORTALITY  '!A42:J126,8,FALSE),VLOOKUP('ASSUMPTIONS '!M43,'MORTALITY  '!N42:W126,8,FALSE))</f>
        <v>3260.9893946123871</v>
      </c>
      <c r="I44" s="13">
        <f>SUM($G44:G$88)/G44</f>
        <v>6.5145032886978047</v>
      </c>
      <c r="J44" s="2" t="str">
        <f>VLOOKUP(D44,'ASSUMPTIONS '!M43:N88,2,FALSE)</f>
        <v/>
      </c>
      <c r="K44" s="14" t="str">
        <f t="shared" si="2"/>
        <v/>
      </c>
      <c r="L44" s="15" t="str">
        <f t="shared" si="3"/>
        <v/>
      </c>
      <c r="M44" s="12" t="str">
        <f t="shared" si="0"/>
        <v/>
      </c>
      <c r="N44" s="22">
        <f t="shared" si="1"/>
        <v>0.56998386811499091</v>
      </c>
      <c r="O44" s="22" t="str">
        <f t="shared" si="4"/>
        <v/>
      </c>
      <c r="P44" s="22" t="str">
        <f t="shared" si="5"/>
        <v/>
      </c>
      <c r="Q44" s="2"/>
    </row>
    <row r="45" spans="3:18" x14ac:dyDescent="0.25">
      <c r="C45" s="2">
        <v>40</v>
      </c>
      <c r="D45" s="2">
        <f>'ASSUMPTIONS '!M44</f>
        <v>69</v>
      </c>
      <c r="E45" s="12">
        <f>IF('ASSUMPTIONS '!$J$5 = "MALE",VLOOKUP('ASSUMPTIONS '!M44,'MORTALITY  '!A43:J127,2,FALSE),VLOOKUP('ASSUMPTIONS '!M44,'MORTALITY  '!N43:W127,2,FALSE))</f>
        <v>1.9422999999999999E-2</v>
      </c>
      <c r="F45" s="3">
        <f>IF('ASSUMPTIONS '!$J$5 = "MALE",VLOOKUP('ASSUMPTIONS '!M44,'MORTALITY  '!A43:J127,3,FALSE),VLOOKUP('ASSUMPTIONS '!M44,'MORTALITY  '!N43:W127,3,FALSE))</f>
        <v>80945.136548568844</v>
      </c>
      <c r="G45" s="57">
        <f>IF('ASSUMPTIONS '!$J$5 = "MALE",VLOOKUP('ASSUMPTIONS '!M44,'MORTALITY  '!A43:J127,5,FALSE),VLOOKUP('ASSUMPTIONS '!M44,'MORTALITY  '!N43:W127,5,FALSE))</f>
        <v>5406.1780938273978</v>
      </c>
      <c r="H45" s="57">
        <f>IF('ASSUMPTIONS '!$J$5 = "MALE",VLOOKUP('ASSUMPTIONS '!M44,'MORTALITY  '!A43:J127,8,FALSE),VLOOKUP('ASSUMPTIONS '!M44,'MORTALITY  '!N43:W127,8,FALSE))</f>
        <v>3166.0175419359462</v>
      </c>
      <c r="I45" s="13">
        <f>SUM($G45:G$88)/G45</f>
        <v>5.8358332453942019</v>
      </c>
      <c r="J45" s="2" t="str">
        <f>VLOOKUP(D45,'ASSUMPTIONS '!M44:N89,2,FALSE)</f>
        <v/>
      </c>
      <c r="K45" s="14" t="str">
        <f t="shared" si="2"/>
        <v/>
      </c>
      <c r="L45" s="15" t="str">
        <f t="shared" si="3"/>
        <v/>
      </c>
      <c r="M45" s="12" t="str">
        <f t="shared" si="0"/>
        <v/>
      </c>
      <c r="N45" s="22">
        <f t="shared" si="1"/>
        <v>0.5856295310638775</v>
      </c>
      <c r="O45" s="22" t="str">
        <f t="shared" si="4"/>
        <v/>
      </c>
      <c r="P45" s="22" t="str">
        <f t="shared" si="5"/>
        <v/>
      </c>
      <c r="Q45" s="2"/>
    </row>
    <row r="46" spans="3:18" x14ac:dyDescent="0.25">
      <c r="C46" s="2">
        <v>41</v>
      </c>
      <c r="D46" s="2">
        <f>'ASSUMPTIONS '!M45</f>
        <v>70</v>
      </c>
      <c r="E46" s="12">
        <f>IF('ASSUMPTIONS '!$J$5 = "MALE",VLOOKUP('ASSUMPTIONS '!M45,'MORTALITY  '!A44:J128,2,FALSE),VLOOKUP('ASSUMPTIONS '!M45,'MORTALITY  '!N44:W128,2,FALSE))</f>
        <v>2.1849E-2</v>
      </c>
      <c r="F46" s="3">
        <f>IF('ASSUMPTIONS '!$J$5 = "MALE",VLOOKUP('ASSUMPTIONS '!M45,'MORTALITY  '!A44:J128,3,FALSE),VLOOKUP('ASSUMPTIONS '!M45,'MORTALITY  '!N44:W128,3,FALSE))</f>
        <v>79372.939161385992</v>
      </c>
      <c r="G46" s="57">
        <f>IF('ASSUMPTIONS '!$J$5 = "MALE",VLOOKUP('ASSUMPTIONS '!M45,'MORTALITY  '!A44:J128,5,FALSE),VLOOKUP('ASSUMPTIONS '!M45,'MORTALITY  '!N44:W128,5,FALSE))</f>
        <v>5097.2825929913342</v>
      </c>
      <c r="H46" s="57">
        <f>IF('ASSUMPTIONS '!$J$5 = "MALE",VLOOKUP('ASSUMPTIONS '!M45,'MORTALITY  '!A44:J128,8,FALSE),VLOOKUP('ASSUMPTIONS '!M45,'MORTALITY  '!N44:W128,8,FALSE))</f>
        <v>3065.0519677855523</v>
      </c>
      <c r="I46" s="13">
        <f>SUM($G46:G$88)/G46</f>
        <v>5.12888490675385</v>
      </c>
      <c r="J46" s="2" t="str">
        <f>VLOOKUP(D46,'ASSUMPTIONS '!M45:N90,2,FALSE)</f>
        <v/>
      </c>
      <c r="K46" s="14" t="str">
        <f t="shared" si="2"/>
        <v/>
      </c>
      <c r="L46" s="15" t="str">
        <f t="shared" si="3"/>
        <v/>
      </c>
      <c r="M46" s="12" t="str">
        <f t="shared" si="0"/>
        <v/>
      </c>
      <c r="N46" s="22">
        <f t="shared" si="1"/>
        <v>0.60131097538126288</v>
      </c>
      <c r="O46" s="22" t="str">
        <f t="shared" si="4"/>
        <v/>
      </c>
      <c r="P46" s="22" t="str">
        <f t="shared" si="5"/>
        <v/>
      </c>
      <c r="Q46" s="2"/>
    </row>
    <row r="47" spans="3:18" x14ac:dyDescent="0.25">
      <c r="C47" s="2">
        <v>42</v>
      </c>
      <c r="D47" s="2">
        <f>'ASSUMPTIONS '!M46</f>
        <v>71</v>
      </c>
      <c r="E47" s="12">
        <f>IF('ASSUMPTIONS '!$J$5 = "MALE",VLOOKUP('ASSUMPTIONS '!M46,'MORTALITY  '!A45:J129,2,FALSE),VLOOKUP('ASSUMPTIONS '!M46,'MORTALITY  '!N45:W129,2,FALSE))</f>
        <v>2.4573000000000001E-2</v>
      </c>
      <c r="F47" s="3">
        <f>IF('ASSUMPTIONS '!$J$5 = "MALE",VLOOKUP('ASSUMPTIONS '!M46,'MORTALITY  '!A45:J129,3,FALSE),VLOOKUP('ASSUMPTIONS '!M46,'MORTALITY  '!N45:W129,3,FALSE))</f>
        <v>77638.719813648873</v>
      </c>
      <c r="G47" s="57">
        <f>IF('ASSUMPTIONS '!$J$5 = "MALE",VLOOKUP('ASSUMPTIONS '!M46,'MORTALITY  '!A45:J129,5,FALSE),VLOOKUP('ASSUMPTIONS '!M46,'MORTALITY  '!N45:W129,5,FALSE))</f>
        <v>4794.1462169394881</v>
      </c>
      <c r="H47" s="57">
        <f>IF('ASSUMPTIONS '!$J$5 = "MALE",VLOOKUP('ASSUMPTIONS '!M46,'MORTALITY  '!A45:J129,8,FALSE),VLOOKUP('ASSUMPTIONS '!M46,'MORTALITY  '!N45:W129,8,FALSE))</f>
        <v>2957.9649222333724</v>
      </c>
      <c r="I47" s="13">
        <f>SUM($G47:G$88)/G47</f>
        <v>4.3899564617569302</v>
      </c>
      <c r="J47" s="2" t="str">
        <f>VLOOKUP(D47,'ASSUMPTIONS '!M46:N91,2,FALSE)</f>
        <v/>
      </c>
      <c r="K47" s="14" t="str">
        <f t="shared" si="2"/>
        <v/>
      </c>
      <c r="L47" s="15" t="str">
        <f t="shared" si="3"/>
        <v/>
      </c>
      <c r="M47" s="12" t="str">
        <f t="shared" si="0"/>
        <v/>
      </c>
      <c r="N47" s="22">
        <f t="shared" si="1"/>
        <v>0.61699514123740962</v>
      </c>
      <c r="O47" s="22" t="str">
        <f t="shared" si="4"/>
        <v/>
      </c>
      <c r="P47" s="22" t="str">
        <f t="shared" si="5"/>
        <v/>
      </c>
      <c r="Q47" s="2"/>
    </row>
    <row r="48" spans="3:18" x14ac:dyDescent="0.25">
      <c r="C48" s="2">
        <v>43</v>
      </c>
      <c r="D48" s="2">
        <f>'ASSUMPTIONS '!M47</f>
        <v>72</v>
      </c>
      <c r="E48" s="12">
        <f>IF('ASSUMPTIONS '!$J$5 = "MALE",VLOOKUP('ASSUMPTIONS '!M47,'MORTALITY  '!A46:J130,2,FALSE),VLOOKUP('ASSUMPTIONS '!M47,'MORTALITY  '!N46:W130,2,FALSE))</f>
        <v>2.7633000000000001E-2</v>
      </c>
      <c r="F48" s="3">
        <f>IF('ASSUMPTIONS '!$J$5 = "MALE",VLOOKUP('ASSUMPTIONS '!M47,'MORTALITY  '!A46:J130,3,FALSE),VLOOKUP('ASSUMPTIONS '!M47,'MORTALITY  '!N46:W130,3,FALSE))</f>
        <v>75730.903551668074</v>
      </c>
      <c r="G48" s="57">
        <f>IF('ASSUMPTIONS '!$J$5 = "MALE",VLOOKUP('ASSUMPTIONS '!M47,'MORTALITY  '!A46:J130,5,FALSE),VLOOKUP('ASSUMPTIONS '!M47,'MORTALITY  '!N46:W130,5,FALSE))</f>
        <v>4496.4804441833003</v>
      </c>
      <c r="H48" s="57">
        <f>IF('ASSUMPTIONS '!$J$5 = "MALE",VLOOKUP('ASSUMPTIONS '!M47,'MORTALITY  '!A46:J130,8,FALSE),VLOOKUP('ASSUMPTIONS '!M47,'MORTALITY  '!N46:W130,8,FALSE))</f>
        <v>2844.6893885902432</v>
      </c>
      <c r="I48" s="13">
        <f>SUM($G48:G$88)/G48</f>
        <v>3.6143706502149411</v>
      </c>
      <c r="J48" s="2" t="str">
        <f>VLOOKUP(D48,'ASSUMPTIONS '!M47:N92,2,FALSE)</f>
        <v/>
      </c>
      <c r="K48" s="14" t="str">
        <f t="shared" si="2"/>
        <v/>
      </c>
      <c r="L48" s="15" t="str">
        <f t="shared" si="3"/>
        <v/>
      </c>
      <c r="M48" s="12" t="str">
        <f t="shared" si="0"/>
        <v/>
      </c>
      <c r="N48" s="22">
        <f t="shared" si="1"/>
        <v>0.63264800634686769</v>
      </c>
      <c r="O48" s="22" t="str">
        <f t="shared" si="4"/>
        <v/>
      </c>
      <c r="P48" s="22" t="str">
        <f t="shared" si="5"/>
        <v/>
      </c>
      <c r="Q48" s="2"/>
    </row>
    <row r="49" spans="3:17" x14ac:dyDescent="0.25">
      <c r="C49" s="2">
        <v>44</v>
      </c>
      <c r="D49" s="2">
        <f>'ASSUMPTIONS '!M48</f>
        <v>73</v>
      </c>
      <c r="E49" s="12">
        <f>IF('ASSUMPTIONS '!$J$5 = "MALE",VLOOKUP('ASSUMPTIONS '!M48,'MORTALITY  '!A47:J131,2,FALSE),VLOOKUP('ASSUMPTIONS '!M48,'MORTALITY  '!N47:W131,2,FALSE))</f>
        <v>3.1067999999999998E-2</v>
      </c>
      <c r="F49" s="3">
        <f>IF('ASSUMPTIONS '!$J$5 = "MALE",VLOOKUP('ASSUMPTIONS '!M48,'MORTALITY  '!A47:J131,3,FALSE),VLOOKUP('ASSUMPTIONS '!M48,'MORTALITY  '!N47:W131,3,FALSE))</f>
        <v>73638.231493824831</v>
      </c>
      <c r="G49" s="57">
        <f>IF('ASSUMPTIONS '!$J$5 = "MALE",VLOOKUP('ASSUMPTIONS '!M48,'MORTALITY  '!A47:J131,5,FALSE),VLOOKUP('ASSUMPTIONS '!M48,'MORTALITY  '!N47:W131,5,FALSE))</f>
        <v>4204.0665385280608</v>
      </c>
      <c r="H49" s="57">
        <f>IF('ASSUMPTIONS '!$J$5 = "MALE",VLOOKUP('ASSUMPTIONS '!M48,'MORTALITY  '!A47:J131,8,FALSE),VLOOKUP('ASSUMPTIONS '!M48,'MORTALITY  '!N47:W131,8,FALSE))</f>
        <v>2725.2170384805163</v>
      </c>
      <c r="I49" s="13">
        <f>SUM($G49:G$88)/G49</f>
        <v>2.7962132365902366</v>
      </c>
      <c r="J49" s="2" t="str">
        <f>VLOOKUP(D49,'ASSUMPTIONS '!M48:N93,2,FALSE)</f>
        <v/>
      </c>
      <c r="K49" s="14" t="str">
        <f t="shared" si="2"/>
        <v/>
      </c>
      <c r="L49" s="15" t="str">
        <f t="shared" si="3"/>
        <v/>
      </c>
      <c r="M49" s="12" t="str">
        <f t="shared" si="0"/>
        <v/>
      </c>
      <c r="N49" s="22">
        <f t="shared" si="1"/>
        <v>0.64823356469393001</v>
      </c>
      <c r="O49" s="22" t="str">
        <f t="shared" si="4"/>
        <v/>
      </c>
      <c r="P49" s="22" t="str">
        <f t="shared" si="5"/>
        <v/>
      </c>
      <c r="Q49" s="2"/>
    </row>
    <row r="50" spans="3:17" x14ac:dyDescent="0.25">
      <c r="C50" s="2">
        <v>45</v>
      </c>
      <c r="D50" s="2">
        <f>'ASSUMPTIONS '!M49</f>
        <v>74</v>
      </c>
      <c r="E50" s="12">
        <f>IF('ASSUMPTIONS '!$J$5 = "MALE",VLOOKUP('ASSUMPTIONS '!M49,'MORTALITY  '!A48:J132,2,FALSE),VLOOKUP('ASSUMPTIONS '!M49,'MORTALITY  '!N48:W132,2,FALSE))</f>
        <v>3.4922000000000002E-2</v>
      </c>
      <c r="F50" s="3">
        <f>IF('ASSUMPTIONS '!$J$5 = "MALE",VLOOKUP('ASSUMPTIONS '!M49,'MORTALITY  '!A48:J132,3,FALSE),VLOOKUP('ASSUMPTIONS '!M49,'MORTALITY  '!N48:W132,3,FALSE))</f>
        <v>71350.438917774678</v>
      </c>
      <c r="G50" s="57">
        <f>IF('ASSUMPTIONS '!$J$5 = "MALE",VLOOKUP('ASSUMPTIONS '!M49,'MORTALITY  '!A48:J132,5,FALSE),VLOOKUP('ASSUMPTIONS '!M49,'MORTALITY  '!N48:W132,5,FALSE))</f>
        <v>3916.7832685664139</v>
      </c>
      <c r="H50" s="57">
        <f>IF('ASSUMPTIONS '!$J$5 = "MALE",VLOOKUP('ASSUMPTIONS '!M49,'MORTALITY  '!A48:J132,8,FALSE),VLOOKUP('ASSUMPTIONS '!M49,'MORTALITY  '!N48:W132,8,FALSE))</f>
        <v>2599.6286353853334</v>
      </c>
      <c r="I50" s="13">
        <f>SUM($G50:G$88)/G50</f>
        <v>1.9279596153846155</v>
      </c>
      <c r="J50" s="2" t="str">
        <f>VLOOKUP(D50,'ASSUMPTIONS '!M49:N94,2,FALSE)</f>
        <v/>
      </c>
      <c r="K50" s="14" t="str">
        <f t="shared" si="2"/>
        <v/>
      </c>
      <c r="L50" s="15" t="str">
        <f t="shared" si="3"/>
        <v/>
      </c>
      <c r="M50" s="12" t="str">
        <f t="shared" si="0"/>
        <v/>
      </c>
      <c r="N50" s="22">
        <f t="shared" si="1"/>
        <v>0.66371521147168966</v>
      </c>
      <c r="O50" s="22" t="str">
        <f t="shared" si="4"/>
        <v/>
      </c>
      <c r="P50" s="22" t="str">
        <f t="shared" si="5"/>
        <v/>
      </c>
      <c r="Q50" s="2"/>
    </row>
    <row r="51" spans="3:17" x14ac:dyDescent="0.25">
      <c r="C51" s="2">
        <v>46</v>
      </c>
      <c r="D51" s="2">
        <f>'ASSUMPTIONS '!M50</f>
        <v>75</v>
      </c>
      <c r="E51" s="12">
        <f>IF('ASSUMPTIONS '!$J$5 = "MALE",VLOOKUP('ASSUMPTIONS '!M50,'MORTALITY  '!A49:J133,2,FALSE),VLOOKUP('ASSUMPTIONS '!M50,'MORTALITY  '!N49:W133,2,FALSE))</f>
        <v>3.9244000000000001E-2</v>
      </c>
      <c r="F51" s="3">
        <f>IF('ASSUMPTIONS '!$J$5 = "MALE",VLOOKUP('ASSUMPTIONS '!M50,'MORTALITY  '!A49:J133,3,FALSE),VLOOKUP('ASSUMPTIONS '!M50,'MORTALITY  '!N49:W133,3,FALSE))</f>
        <v>68858.738889888147</v>
      </c>
      <c r="G51" s="57">
        <f>IF('ASSUMPTIONS '!$J$5 = "MALE",VLOOKUP('ASSUMPTIONS '!M50,'MORTALITY  '!A49:J133,5,FALSE),VLOOKUP('ASSUMPTIONS '!M50,'MORTALITY  '!N49:W133,5,FALSE))</f>
        <v>3634.6166954437863</v>
      </c>
      <c r="H51" s="57">
        <f>IF('ASSUMPTIONS '!$J$5 = "MALE",VLOOKUP('ASSUMPTIONS '!M50,'MORTALITY  '!A49:J133,8,FALSE),VLOOKUP('ASSUMPTIONS '!M50,'MORTALITY  '!N49:W133,8,FALSE))</f>
        <v>2468.1075725921833</v>
      </c>
      <c r="I51" s="13">
        <f>SUM($G51:G$88)/G51</f>
        <v>1</v>
      </c>
      <c r="J51" s="2" t="str">
        <f>VLOOKUP(D51,'ASSUMPTIONS '!M50:N95,2,FALSE)</f>
        <v/>
      </c>
      <c r="K51" s="14" t="str">
        <f t="shared" si="2"/>
        <v/>
      </c>
      <c r="L51" s="15" t="str">
        <f t="shared" si="3"/>
        <v/>
      </c>
      <c r="M51" s="12" t="str">
        <f t="shared" si="0"/>
        <v/>
      </c>
      <c r="N51" s="22">
        <f t="shared" si="1"/>
        <v>0.67905580681619238</v>
      </c>
      <c r="O51" s="22" t="str">
        <f t="shared" si="4"/>
        <v/>
      </c>
      <c r="P51" s="22" t="str">
        <f t="shared" si="5"/>
        <v/>
      </c>
      <c r="Q51" s="2"/>
    </row>
    <row r="52" spans="3:17" x14ac:dyDescent="0.25">
      <c r="D52" s="20"/>
      <c r="E52" s="33"/>
      <c r="F52" s="34"/>
      <c r="G52" s="35"/>
      <c r="H52" s="35"/>
      <c r="K52" s="36"/>
      <c r="L52" s="37"/>
      <c r="M52" s="33"/>
      <c r="N52" s="38"/>
      <c r="O52" s="39"/>
      <c r="P52" s="38"/>
    </row>
    <row r="53" spans="3:17" x14ac:dyDescent="0.25">
      <c r="D53" s="20"/>
      <c r="E53" s="33"/>
      <c r="F53" s="34"/>
      <c r="G53" s="35"/>
      <c r="H53" s="35"/>
      <c r="K53" s="36"/>
      <c r="L53" s="37"/>
      <c r="M53" s="33"/>
      <c r="N53" s="38"/>
      <c r="O53" s="39"/>
      <c r="P53" s="38"/>
    </row>
    <row r="54" spans="3:17" x14ac:dyDescent="0.25">
      <c r="D54" s="20"/>
      <c r="E54" s="33"/>
      <c r="F54" s="34"/>
      <c r="G54" s="35"/>
      <c r="H54" s="35"/>
      <c r="K54" s="36"/>
      <c r="L54" s="37"/>
      <c r="M54" s="33"/>
      <c r="N54" s="38"/>
      <c r="O54" s="39"/>
      <c r="P54" s="38"/>
    </row>
    <row r="55" spans="3:17" x14ac:dyDescent="0.25">
      <c r="D55" s="20"/>
      <c r="E55" s="33"/>
      <c r="F55" s="34"/>
      <c r="G55" s="35"/>
      <c r="H55" s="35"/>
      <c r="K55" s="36"/>
      <c r="L55" s="37"/>
      <c r="M55" s="33"/>
      <c r="N55" s="38"/>
      <c r="O55" s="39"/>
      <c r="P55" s="38"/>
    </row>
    <row r="56" spans="3:17" x14ac:dyDescent="0.25">
      <c r="D56" s="20"/>
      <c r="E56" s="33"/>
      <c r="F56" s="34"/>
      <c r="G56" s="35"/>
      <c r="H56" s="35"/>
      <c r="K56" s="36"/>
      <c r="L56" s="37"/>
      <c r="M56" s="33"/>
      <c r="N56" s="38"/>
      <c r="O56" s="39"/>
      <c r="P56" s="38"/>
    </row>
    <row r="57" spans="3:17" x14ac:dyDescent="0.25">
      <c r="D57" s="20"/>
      <c r="E57" s="33"/>
      <c r="F57" s="34"/>
      <c r="G57" s="35"/>
      <c r="H57" s="35"/>
      <c r="K57" s="36"/>
      <c r="L57" s="37"/>
      <c r="M57" s="33"/>
      <c r="N57" s="38"/>
      <c r="O57" s="39"/>
      <c r="P57" s="38"/>
    </row>
    <row r="58" spans="3:17" x14ac:dyDescent="0.25">
      <c r="D58" s="20"/>
      <c r="E58" s="33"/>
      <c r="F58" s="34"/>
      <c r="G58" s="35"/>
      <c r="H58" s="35"/>
      <c r="K58" s="36"/>
      <c r="L58" s="37"/>
      <c r="M58" s="33"/>
      <c r="N58" s="38"/>
      <c r="O58" s="39"/>
      <c r="P58" s="38"/>
    </row>
    <row r="59" spans="3:17" x14ac:dyDescent="0.25">
      <c r="D59" s="20"/>
      <c r="E59" s="33"/>
      <c r="F59" s="34"/>
      <c r="G59" s="35"/>
      <c r="H59" s="35"/>
      <c r="K59" s="36"/>
      <c r="L59" s="37"/>
      <c r="M59" s="33"/>
      <c r="N59" s="38"/>
      <c r="O59" s="39"/>
      <c r="P59" s="38"/>
    </row>
    <row r="60" spans="3:17" x14ac:dyDescent="0.25">
      <c r="D60" s="20"/>
      <c r="E60" s="33"/>
      <c r="F60" s="34"/>
      <c r="G60" s="35"/>
      <c r="H60" s="35"/>
      <c r="K60" s="36"/>
      <c r="L60" s="37"/>
      <c r="M60" s="33"/>
      <c r="N60" s="38"/>
      <c r="O60" s="39"/>
      <c r="P60" s="38"/>
    </row>
    <row r="61" spans="3:17" x14ac:dyDescent="0.25">
      <c r="D61" s="20"/>
      <c r="E61" s="33"/>
      <c r="F61" s="34"/>
      <c r="G61" s="35"/>
      <c r="H61" s="35"/>
      <c r="K61" s="36"/>
      <c r="L61" s="37"/>
      <c r="M61" s="33"/>
      <c r="N61" s="38"/>
      <c r="O61" s="39"/>
      <c r="P61" s="38"/>
    </row>
    <row r="62" spans="3:17" x14ac:dyDescent="0.25">
      <c r="D62" s="20"/>
      <c r="E62" s="33"/>
      <c r="F62" s="34"/>
      <c r="G62" s="35"/>
      <c r="H62" s="35"/>
      <c r="K62" s="36"/>
      <c r="L62" s="37"/>
      <c r="M62" s="33"/>
      <c r="N62" s="38"/>
    </row>
    <row r="63" spans="3:17" x14ac:dyDescent="0.25">
      <c r="D63" s="20"/>
      <c r="E63" s="33"/>
      <c r="F63" s="34"/>
      <c r="G63" s="35"/>
      <c r="H63" s="35"/>
      <c r="K63" s="36"/>
      <c r="L63" s="37"/>
      <c r="M63" s="33"/>
      <c r="N63" s="38"/>
    </row>
    <row r="64" spans="3:17" x14ac:dyDescent="0.25">
      <c r="D64" s="20"/>
      <c r="E64" s="33"/>
      <c r="F64" s="34"/>
      <c r="G64" s="35"/>
      <c r="H64" s="35"/>
      <c r="K64" s="36"/>
      <c r="L64" s="37"/>
      <c r="M64" s="33"/>
      <c r="N64" s="38"/>
    </row>
    <row r="65" spans="4:16" x14ac:dyDescent="0.25">
      <c r="D65" s="20"/>
      <c r="E65" s="33"/>
      <c r="F65" s="34"/>
      <c r="G65" s="35"/>
      <c r="H65" s="35"/>
      <c r="K65" s="36"/>
      <c r="L65" s="37"/>
      <c r="M65" s="33"/>
      <c r="N65" s="38"/>
    </row>
    <row r="66" spans="4:16" x14ac:dyDescent="0.25">
      <c r="D66" s="20"/>
      <c r="E66" s="33"/>
      <c r="F66" s="34"/>
      <c r="G66" s="35"/>
      <c r="H66" s="35"/>
      <c r="K66" s="36"/>
      <c r="L66" s="37"/>
      <c r="M66" s="33"/>
      <c r="N66" s="38"/>
    </row>
    <row r="67" spans="4:16" x14ac:dyDescent="0.25">
      <c r="D67" s="20"/>
      <c r="E67" s="33"/>
      <c r="F67" s="34"/>
      <c r="G67" s="35"/>
      <c r="H67" s="35"/>
      <c r="K67" s="36"/>
      <c r="L67" s="37"/>
      <c r="M67" s="33"/>
      <c r="N67" s="38"/>
    </row>
    <row r="68" spans="4:16" x14ac:dyDescent="0.25">
      <c r="D68" s="20"/>
      <c r="E68" s="33"/>
      <c r="F68" s="34"/>
      <c r="G68" s="35"/>
      <c r="H68" s="35"/>
      <c r="K68" s="36"/>
      <c r="L68" s="37"/>
      <c r="M68" s="33"/>
      <c r="N68" s="38"/>
    </row>
    <row r="69" spans="4:16" x14ac:dyDescent="0.25">
      <c r="D69" s="20"/>
      <c r="E69" s="33"/>
      <c r="F69" s="34"/>
      <c r="G69" s="35"/>
      <c r="H69" s="35"/>
      <c r="K69" s="36"/>
      <c r="L69" s="37"/>
      <c r="M69" s="33"/>
      <c r="N69" s="38"/>
    </row>
    <row r="70" spans="4:16" x14ac:dyDescent="0.25">
      <c r="D70" s="20"/>
      <c r="E70" s="33"/>
      <c r="F70" s="34"/>
      <c r="G70" s="35"/>
      <c r="H70" s="35"/>
      <c r="K70" s="36"/>
      <c r="L70" s="37"/>
      <c r="M70" s="33"/>
      <c r="N70" s="38"/>
    </row>
    <row r="71" spans="4:16" x14ac:dyDescent="0.25">
      <c r="D71" s="20"/>
      <c r="E71" s="33"/>
      <c r="F71" s="34"/>
      <c r="G71" s="35"/>
      <c r="H71" s="35"/>
      <c r="K71" s="36"/>
      <c r="L71" s="37"/>
      <c r="M71" s="33"/>
      <c r="N71" s="38"/>
    </row>
    <row r="72" spans="4:16" x14ac:dyDescent="0.25">
      <c r="D72" s="20"/>
      <c r="E72" s="33"/>
      <c r="F72" s="34"/>
      <c r="G72" s="35"/>
      <c r="H72" s="35"/>
      <c r="K72" s="36"/>
      <c r="L72" s="37"/>
      <c r="M72" s="33"/>
      <c r="N72" s="38"/>
    </row>
    <row r="73" spans="4:16" x14ac:dyDescent="0.25">
      <c r="D73" s="20"/>
      <c r="E73" s="33"/>
      <c r="F73" s="34"/>
      <c r="G73" s="35"/>
      <c r="H73" s="35"/>
      <c r="K73" s="36"/>
      <c r="L73" s="37"/>
      <c r="M73" s="33"/>
      <c r="N73" s="38"/>
    </row>
    <row r="74" spans="4:16" x14ac:dyDescent="0.25">
      <c r="D74" s="20"/>
      <c r="E74" s="33"/>
      <c r="F74" s="34"/>
      <c r="G74" s="35"/>
      <c r="H74" s="35"/>
      <c r="K74" s="36"/>
      <c r="L74" s="37"/>
      <c r="M74" s="33"/>
      <c r="N74" s="38"/>
    </row>
    <row r="75" spans="4:16" x14ac:dyDescent="0.25">
      <c r="K75" s="36"/>
      <c r="L75" s="37"/>
      <c r="M75" s="33"/>
    </row>
    <row r="76" spans="4:16" x14ac:dyDescent="0.25">
      <c r="K76" s="36"/>
      <c r="L76" s="37"/>
      <c r="M76" s="33"/>
      <c r="P76" s="38"/>
    </row>
    <row r="77" spans="4:16" x14ac:dyDescent="0.25">
      <c r="K77" s="36"/>
      <c r="L77" s="37"/>
      <c r="M77" s="33"/>
      <c r="P77" s="38"/>
    </row>
    <row r="78" spans="4:16" x14ac:dyDescent="0.25">
      <c r="K78" s="36"/>
      <c r="L78" s="37"/>
      <c r="M78" s="33"/>
      <c r="P78" s="38"/>
    </row>
    <row r="79" spans="4:16" x14ac:dyDescent="0.25">
      <c r="K79" s="36"/>
      <c r="L79" s="37"/>
      <c r="M79" s="33"/>
      <c r="P79" s="38"/>
    </row>
    <row r="80" spans="4:16" x14ac:dyDescent="0.25">
      <c r="K80" s="36"/>
      <c r="L80" s="37"/>
      <c r="M80" s="33"/>
      <c r="P80" s="38"/>
    </row>
    <row r="81" spans="11:16" x14ac:dyDescent="0.25">
      <c r="K81" s="36"/>
      <c r="L81" s="37"/>
      <c r="M81" s="33"/>
      <c r="P81" s="38"/>
    </row>
    <row r="82" spans="11:16" x14ac:dyDescent="0.25">
      <c r="K82" s="36"/>
      <c r="L82" s="37"/>
      <c r="M82" s="33"/>
      <c r="P82" s="38"/>
    </row>
    <row r="83" spans="11:16" x14ac:dyDescent="0.25">
      <c r="K83" s="36"/>
      <c r="L83" s="37"/>
      <c r="M83" s="33"/>
      <c r="P83" s="38"/>
    </row>
    <row r="84" spans="11:16" x14ac:dyDescent="0.25">
      <c r="K84" s="36"/>
      <c r="L84" s="37"/>
      <c r="M84" s="33"/>
      <c r="P84" s="38"/>
    </row>
    <row r="85" spans="11:16" x14ac:dyDescent="0.25">
      <c r="K85" s="36"/>
      <c r="L85" s="37"/>
      <c r="M85" s="33"/>
      <c r="P85" s="38"/>
    </row>
    <row r="86" spans="11:16" x14ac:dyDescent="0.25">
      <c r="K86" s="36"/>
      <c r="L86" s="37"/>
      <c r="M86" s="33"/>
      <c r="P86" s="38"/>
    </row>
    <row r="87" spans="11:16" x14ac:dyDescent="0.25">
      <c r="K87" s="36"/>
      <c r="L87" s="37"/>
      <c r="M87" s="33"/>
      <c r="P87" s="38"/>
    </row>
    <row r="88" spans="11:16" x14ac:dyDescent="0.25">
      <c r="K88" s="36"/>
      <c r="L88" s="37"/>
      <c r="M88" s="33"/>
      <c r="P88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N48"/>
  <sheetViews>
    <sheetView zoomScale="82" zoomScaleNormal="82" workbookViewId="0">
      <selection activeCell="M7" sqref="M7"/>
    </sheetView>
  </sheetViews>
  <sheetFormatPr defaultRowHeight="15" x14ac:dyDescent="0.25"/>
  <cols>
    <col min="6" max="8" width="12.140625" customWidth="1"/>
    <col min="9" max="9" width="11.85546875" customWidth="1"/>
    <col min="10" max="11" width="12" customWidth="1"/>
    <col min="12" max="12" width="13.28515625" customWidth="1"/>
    <col min="13" max="13" width="13.5703125" customWidth="1"/>
  </cols>
  <sheetData>
    <row r="2" spans="4:14" x14ac:dyDescent="0.25">
      <c r="I2" s="9">
        <f>(1/2)</f>
        <v>0.5</v>
      </c>
      <c r="J2">
        <f>(1/3)</f>
        <v>0.33333333333333331</v>
      </c>
    </row>
    <row r="3" spans="4:14" ht="23.25" customHeight="1" x14ac:dyDescent="0.3">
      <c r="D3" s="77" t="s">
        <v>21</v>
      </c>
      <c r="E3" s="77"/>
      <c r="F3" s="77"/>
      <c r="G3" s="77"/>
      <c r="H3" s="77"/>
      <c r="I3" s="77"/>
      <c r="J3" s="77"/>
      <c r="K3" s="77"/>
      <c r="L3" s="77"/>
      <c r="M3" s="77"/>
    </row>
    <row r="4" spans="4:14" ht="17.25" x14ac:dyDescent="0.3">
      <c r="D4" s="10" t="s">
        <v>28</v>
      </c>
      <c r="E4" s="11" t="s">
        <v>18</v>
      </c>
      <c r="F4" s="11" t="s">
        <v>22</v>
      </c>
      <c r="G4" s="11" t="s">
        <v>23</v>
      </c>
      <c r="H4" s="11" t="s">
        <v>97</v>
      </c>
      <c r="I4" s="11" t="s">
        <v>24</v>
      </c>
      <c r="J4" s="11" t="s">
        <v>25</v>
      </c>
      <c r="K4" s="11" t="s">
        <v>98</v>
      </c>
      <c r="L4" s="11" t="s">
        <v>26</v>
      </c>
      <c r="M4" s="11" t="s">
        <v>27</v>
      </c>
      <c r="N4" s="8"/>
    </row>
    <row r="5" spans="4:14" x14ac:dyDescent="0.25">
      <c r="D5" s="2">
        <v>1</v>
      </c>
      <c r="E5" s="2">
        <f>'ASSUMPTIONS '!$J$6</f>
        <v>30</v>
      </c>
      <c r="F5" s="12">
        <f>IF(D5&lt;='ASSUMPTIONS '!$J$7,IF('ASSUMPTIONS '!$J$5 = "MALE",VLOOKUP(E5,'[1]MORTALITY '!A3:B87,2,FALSE),VLOOKUP(E5,'[1]MORTALITY '!L3:M87,2,FALSE)),"")</f>
        <v>1.8860000000000001E-3</v>
      </c>
      <c r="G5" s="63">
        <f>IF(D5&lt;='ASSUMPTIONS '!$J$7,IF('ASSUMPTIONS '!$J$5="MALE",VLOOKUP(E5,'DISABILITY RATES '!A1:B60,2,FALSE),VLOOKUP(E5,'DISABILITY RATES '!E1:F60,2,FALSE)),"")</f>
        <v>6.0700000000000001E-4</v>
      </c>
      <c r="H5" s="63">
        <f>IF(D5&lt;='ASSUMPTIONS '!$J$7,IF('ASSUMPTIONS '!$J$5="MALE",VLOOKUP(E5,'CRITICAL ILLNESS RATES '!A1:B60,2,FALSE),VLOOKUP(E5,'CRITICAL ILLNESS RATES '!E1:F60,2,FALSE)),"")</f>
        <v>1.2099999999999999E-3</v>
      </c>
      <c r="I5" s="63">
        <f>IF(D5&lt;='ASSUMPTIONS '!$J$7,F5*(1-($I$2*(G5+H5))+($J$2*(G5*H5))),"")</f>
        <v>1.8842870307368069E-3</v>
      </c>
      <c r="J5" s="63">
        <f>IF(D5&lt;='ASSUMPTIONS '!$J$7,G5*(1-($I$2*(F5+H5))+($J$2*(F5*H5))),"")</f>
        <v>6.0606082573680668E-4</v>
      </c>
      <c r="K5" s="63">
        <f>IF(D5&lt;='ASSUMPTIONS '!$J$7,H5*(1-($I$2*(G5+F5))+($J$2*(G5*F5))),"")</f>
        <v>1.2084921967368066E-3</v>
      </c>
      <c r="L5" s="63">
        <f>IF(D5&lt;='ASSUMPTIONS '!$J$7,(1-I5-J5),"")</f>
        <v>0.99750965214352638</v>
      </c>
      <c r="M5" s="63">
        <v>1</v>
      </c>
      <c r="N5" s="7"/>
    </row>
    <row r="6" spans="4:14" x14ac:dyDescent="0.25">
      <c r="D6" s="2">
        <v>2</v>
      </c>
      <c r="E6" s="2">
        <f>IF(D6&lt;='ASSUMPTIONS '!$J$7,'DECREMENT TABLE '!E5+1,"")</f>
        <v>31</v>
      </c>
      <c r="F6" s="12">
        <f>IF(D6&lt;='ASSUMPTIONS '!$J$7,IF('ASSUMPTIONS '!$J$5 = "MALE",VLOOKUP(E6,'[1]MORTALITY '!A4:B88,2,FALSE),VLOOKUP(E6,'[1]MORTALITY '!L4:M88,2,FALSE)),"")</f>
        <v>1.8400000000000001E-3</v>
      </c>
      <c r="G6" s="63">
        <f>IF(D6&lt;='ASSUMPTIONS '!$J$7,IF('ASSUMPTIONS '!$J$5="MALE",VLOOKUP(E6,'DISABILITY RATES '!A2:B61,2,FALSE),VLOOKUP(E6,'DISABILITY RATES '!E2:F61,2,FALSE)),"")</f>
        <v>6.2699999999999995E-4</v>
      </c>
      <c r="H6" s="63">
        <f>IF(D6&lt;='ASSUMPTIONS '!$J$7,IF('ASSUMPTIONS '!$J$5="MALE",VLOOKUP(E6,'CRITICAL ILLNESS RATES '!A2:B61,2,FALSE),VLOOKUP(E6,'CRITICAL ILLNESS RATES '!E2:F61,2,FALSE)),"")</f>
        <v>1.2310000000000001E-3</v>
      </c>
      <c r="I6" s="63">
        <f>IF(D6&lt;='ASSUMPTIONS '!$J$7,F6*(1-($I$2*(G6+H6))+($J$2*(G6*H6))),"")</f>
        <v>1.8382911133933602E-3</v>
      </c>
      <c r="J6" s="63">
        <f>IF(D6&lt;='ASSUMPTIONS '!$J$7,G6*(1-($I$2*(F6+H6))+($J$2*(F6*H6))),"")</f>
        <v>6.2603771489335987E-4</v>
      </c>
      <c r="K6" s="63">
        <f>IF(D6&lt;='ASSUMPTIONS '!$J$7,H6*(1-($I$2*(G6+F6))+($J$2*(G6*F6))),"")</f>
        <v>1.22948203489336E-3</v>
      </c>
      <c r="L6" s="63">
        <f>IF(D6&lt;='ASSUMPTIONS '!$J$7,(1-I6-J6),"")</f>
        <v>0.99753567117171327</v>
      </c>
      <c r="M6" s="63">
        <f>IF(D6&lt;='ASSUMPTIONS '!$J$7,M5*L5,"")</f>
        <v>0.99750965214352638</v>
      </c>
      <c r="N6" s="7"/>
    </row>
    <row r="7" spans="4:14" x14ac:dyDescent="0.25">
      <c r="D7" s="2">
        <v>3</v>
      </c>
      <c r="E7" s="2">
        <f>IF(D7&lt;='ASSUMPTIONS '!$J$7,'DECREMENT TABLE '!E6+1,"")</f>
        <v>32</v>
      </c>
      <c r="F7" s="12">
        <f>IF(D7&lt;='ASSUMPTIONS '!$J$7,IF('ASSUMPTIONS '!$J$5 = "MALE",VLOOKUP(E7,'[1]MORTALITY '!A5:B89,2,FALSE),VLOOKUP(E7,'[1]MORTALITY '!L5:M89,2,FALSE)),"")</f>
        <v>1.8029999999999999E-3</v>
      </c>
      <c r="G7" s="63">
        <f>IF(D7&lt;='ASSUMPTIONS '!$J$7,IF('ASSUMPTIONS '!$J$5="MALE",VLOOKUP(E7,'DISABILITY RATES '!A3:B62,2,FALSE),VLOOKUP(E7,'DISABILITY RATES '!E3:F62,2,FALSE)),"")</f>
        <v>6.5399999999999996E-4</v>
      </c>
      <c r="H7" s="63">
        <f>IF(D7&lt;='ASSUMPTIONS '!$J$7,IF('ASSUMPTIONS '!$J$5="MALE",VLOOKUP(E7,'CRITICAL ILLNESS RATES '!A3:B62,2,FALSE),VLOOKUP(E7,'CRITICAL ILLNESS RATES '!E3:F62,2,FALSE)),"")</f>
        <v>1.253E-3</v>
      </c>
      <c r="I7" s="63">
        <f>IF(D7&lt;='ASSUMPTIONS '!$J$7,F7*(1-($I$2*(G7+H7))+($J$2*(G7*H7))),"")</f>
        <v>1.8012813319966618E-3</v>
      </c>
      <c r="J7" s="63">
        <f>IF(D7&lt;='ASSUMPTIONS '!$J$7,G7*(1-($I$2*(F7+H7))+($J$2*(F7*H7))),"")</f>
        <v>6.5300118049666195E-4</v>
      </c>
      <c r="K7" s="63">
        <f>IF(D7&lt;='ASSUMPTIONS '!$J$7,H7*(1-($I$2*(G7+F7))+($J$2*(G7*F7))),"")</f>
        <v>1.251461181996662E-3</v>
      </c>
      <c r="L7" s="63">
        <f>IF(D7&lt;='ASSUMPTIONS '!$J$7,(1-I7-J7),"")</f>
        <v>0.99754571748750664</v>
      </c>
      <c r="M7" s="63">
        <f>IF(D7&lt;='ASSUMPTIONS '!$J$7,M6*L6,"")</f>
        <v>0.9950514603512548</v>
      </c>
      <c r="N7" s="7"/>
    </row>
    <row r="8" spans="4:14" x14ac:dyDescent="0.25">
      <c r="D8" s="2">
        <v>4</v>
      </c>
      <c r="E8" s="2">
        <f>IF(D8&lt;='ASSUMPTIONS '!$J$7,'DECREMENT TABLE '!E7+1,"")</f>
        <v>33</v>
      </c>
      <c r="F8" s="12">
        <f>IF(D8&lt;='ASSUMPTIONS '!$J$7,IF('ASSUMPTIONS '!$J$5 = "MALE",VLOOKUP(E8,'[1]MORTALITY '!A6:B90,2,FALSE),VLOOKUP(E8,'[1]MORTALITY '!L6:M90,2,FALSE)),"")</f>
        <v>1.7819999999999999E-3</v>
      </c>
      <c r="G8" s="63">
        <f>IF(D8&lt;='ASSUMPTIONS '!$J$7,IF('ASSUMPTIONS '!$J$5="MALE",VLOOKUP(E8,'DISABILITY RATES '!A4:B63,2,FALSE),VLOOKUP(E8,'DISABILITY RATES '!E4:F63,2,FALSE)),"")</f>
        <v>6.8900000000000005E-4</v>
      </c>
      <c r="H8" s="63">
        <f>IF(D8&lt;='ASSUMPTIONS '!$J$7,IF('ASSUMPTIONS '!$J$5="MALE",VLOOKUP(E8,'CRITICAL ILLNESS RATES '!A4:B63,2,FALSE),VLOOKUP(E8,'CRITICAL ILLNESS RATES '!E4:F63,2,FALSE)),"")</f>
        <v>1.328E-3</v>
      </c>
      <c r="I8" s="63">
        <f>IF(D8&lt;='ASSUMPTIONS '!$J$7,F8*(1-($I$2*(G8+H8))+($J$2*(G8*H8))),"")</f>
        <v>1.7802033965052479E-3</v>
      </c>
      <c r="J8" s="63">
        <f>IF(D8&lt;='ASSUMPTIONS '!$J$7,G8*(1-($I$2*(F8+H8))+($J$2*(F8*H8))),"")</f>
        <v>6.8792914850524813E-4</v>
      </c>
      <c r="K8" s="63">
        <f>IF(D8&lt;='ASSUMPTIONS '!$J$7,H8*(1-($I$2*(G8+F8))+($J$2*(G8*F8))),"")</f>
        <v>1.3263597995052481E-3</v>
      </c>
      <c r="L8" s="63">
        <f>IF(D8&lt;='ASSUMPTIONS '!$J$7,(1-I8-J8),"")</f>
        <v>0.99753186745498956</v>
      </c>
      <c r="M8" s="63">
        <f>IF(D8&lt;='ASSUMPTIONS '!$J$7,M7*L7,"")</f>
        <v>0.99260932295308379</v>
      </c>
      <c r="N8" s="7"/>
    </row>
    <row r="9" spans="4:14" x14ac:dyDescent="0.25">
      <c r="D9" s="2">
        <v>5</v>
      </c>
      <c r="E9" s="2">
        <f>IF(D9&lt;='ASSUMPTIONS '!$J$7,'DECREMENT TABLE '!E8+1,"")</f>
        <v>34</v>
      </c>
      <c r="F9" s="12">
        <f>IF(D9&lt;='ASSUMPTIONS '!$J$7,IF('ASSUMPTIONS '!$J$5 = "MALE",VLOOKUP(E9,'[1]MORTALITY '!A7:B91,2,FALSE),VLOOKUP(E9,'[1]MORTALITY '!L7:M91,2,FALSE)),"")</f>
        <v>1.787E-3</v>
      </c>
      <c r="G9" s="63">
        <f>IF(D9&lt;='ASSUMPTIONS '!$J$7,IF('ASSUMPTIONS '!$J$5="MALE",VLOOKUP(E9,'DISABILITY RATES '!A5:B64,2,FALSE),VLOOKUP(E9,'DISABILITY RATES '!E5:F64,2,FALSE)),"")</f>
        <v>7.3099999999999999E-4</v>
      </c>
      <c r="H9" s="63">
        <f>IF(D9&lt;='ASSUMPTIONS '!$J$7,IF('ASSUMPTIONS '!$J$5="MALE",VLOOKUP(E9,'CRITICAL ILLNESS RATES '!A5:B64,2,FALSE),VLOOKUP(E9,'CRITICAL ILLNESS RATES '!E5:F64,2,FALSE)),"")</f>
        <v>1.4059999999999999E-3</v>
      </c>
      <c r="I9" s="63">
        <f>IF(D9&lt;='ASSUMPTIONS '!$J$7,F9*(1-($I$2*(G9+H9))+($J$2*(G9*H9))),"")</f>
        <v>1.7850912027178607E-3</v>
      </c>
      <c r="J9" s="63">
        <f>IF(D9&lt;='ASSUMPTIONS '!$J$7,G9*(1-($I$2*(F9+H9))+($J$2*(F9*H9))),"")</f>
        <v>7.2983357071786071E-4</v>
      </c>
      <c r="K9" s="63">
        <f>IF(D9&lt;='ASSUMPTIONS '!$J$7,H9*(1-($I$2*(G9+F9))+($J$2*(G9*F9))),"")</f>
        <v>1.4042304582178606E-3</v>
      </c>
      <c r="L9" s="63">
        <f>IF(D9&lt;='ASSUMPTIONS '!$J$7,(1-I9-J9),"")</f>
        <v>0.99748507522656427</v>
      </c>
      <c r="M9" s="63">
        <f>IF(D9&lt;='ASSUMPTIONS '!$J$7,M8*L8,"")</f>
        <v>0.99015943157862252</v>
      </c>
      <c r="N9" s="7"/>
    </row>
    <row r="10" spans="4:14" x14ac:dyDescent="0.25">
      <c r="D10" s="2">
        <v>6</v>
      </c>
      <c r="E10" s="2">
        <f>IF(D10&lt;='ASSUMPTIONS '!$J$7,'DECREMENT TABLE '!E9+1,"")</f>
        <v>35</v>
      </c>
      <c r="F10" s="12">
        <f>IF(D10&lt;='ASSUMPTIONS '!$J$7,IF('ASSUMPTIONS '!$J$5 = "MALE",VLOOKUP(E10,'[1]MORTALITY '!A8:B92,2,FALSE),VLOOKUP(E10,'[1]MORTALITY '!L8:M92,2,FALSE)),"")</f>
        <v>1.8209999999999999E-3</v>
      </c>
      <c r="G10" s="63">
        <f>IF(D10&lt;='ASSUMPTIONS '!$J$7,IF('ASSUMPTIONS '!$J$5="MALE",VLOOKUP(E10,'DISABILITY RATES '!A6:B65,2,FALSE),VLOOKUP(E10,'DISABILITY RATES '!E6:F65,2,FALSE)),"")</f>
        <v>7.7800000000000005E-4</v>
      </c>
      <c r="H10" s="63">
        <f>IF(D10&lt;='ASSUMPTIONS '!$J$7,IF('ASSUMPTIONS '!$J$5="MALE",VLOOKUP(E10,'CRITICAL ILLNESS RATES '!A6:B65,2,FALSE),VLOOKUP(E10,'CRITICAL ILLNESS RATES '!E6:F65,2,FALSE)),"")</f>
        <v>1.4909999999999999E-3</v>
      </c>
      <c r="I10" s="63">
        <f>IF(D10&lt;='ASSUMPTIONS '!$J$7,F10*(1-($I$2*(G10+H10))+($J$2*(G10*H10))),"")</f>
        <v>1.8189347796187859E-3</v>
      </c>
      <c r="J10" s="63">
        <f>IF(D10&lt;='ASSUMPTIONS '!$J$7,G10*(1-($I$2*(F10+H10))+($J$2*(F10*H10))),"")</f>
        <v>7.7671233611878606E-4</v>
      </c>
      <c r="K10" s="63">
        <f>IF(D10&lt;='ASSUMPTIONS '!$J$7,H10*(1-($I$2*(G10+F10))+($J$2*(G10*F10))),"")</f>
        <v>1.4890631496187858E-3</v>
      </c>
      <c r="L10" s="63">
        <f>IF(D10&lt;='ASSUMPTIONS '!$J$7,(1-I10-J10),"")</f>
        <v>0.99740435288426244</v>
      </c>
      <c r="M10" s="63">
        <f>IF(D10&lt;='ASSUMPTIONS '!$J$7,M9*L9,"")</f>
        <v>0.98766925509449444</v>
      </c>
      <c r="N10" s="7"/>
    </row>
    <row r="11" spans="4:14" x14ac:dyDescent="0.25">
      <c r="D11" s="2">
        <v>7</v>
      </c>
      <c r="E11" s="2">
        <f>IF(D11&lt;='ASSUMPTIONS '!$J$7,'DECREMENT TABLE '!E10+1,"")</f>
        <v>36</v>
      </c>
      <c r="F11" s="12">
        <f>IF(D11&lt;='ASSUMPTIONS '!$J$7,IF('ASSUMPTIONS '!$J$5 = "MALE",VLOOKUP(E11,'[1]MORTALITY '!A9:B93,2,FALSE),VLOOKUP(E11,'[1]MORTALITY '!L9:M93,2,FALSE)),"")</f>
        <v>1.884E-3</v>
      </c>
      <c r="G11" s="63">
        <f>IF(D11&lt;='ASSUMPTIONS '!$J$7,IF('ASSUMPTIONS '!$J$5="MALE",VLOOKUP(E11,'DISABILITY RATES '!A7:B66,2,FALSE),VLOOKUP(E11,'DISABILITY RATES '!E7:F66,2,FALSE)),"")</f>
        <v>8.2899999999999998E-4</v>
      </c>
      <c r="H11" s="63">
        <f>IF(D11&lt;='ASSUMPTIONS '!$J$7,IF('ASSUMPTIONS '!$J$5="MALE",VLOOKUP(E11,'CRITICAL ILLNESS RATES '!A7:B66,2,FALSE),VLOOKUP(E11,'CRITICAL ILLNESS RATES '!E7:F66,2,FALSE)),"")</f>
        <v>1.565E-3</v>
      </c>
      <c r="I11" s="63">
        <f>IF(D11&lt;='ASSUMPTIONS '!$J$7,F11*(1-($I$2*(G11+H11))+($J$2*(G11*H11))),"")</f>
        <v>1.8817456667577801E-3</v>
      </c>
      <c r="J11" s="63">
        <f>IF(D11&lt;='ASSUMPTIONS '!$J$7,G11*(1-($I$2*(F11+H11))+($J$2*(F11*H11))),"")</f>
        <v>8.2757120425778E-4</v>
      </c>
      <c r="K11" s="63">
        <f>IF(D11&lt;='ASSUMPTIONS '!$J$7,H11*(1-($I$2*(G11+F11))+($J$2*(G11*F11))),"")</f>
        <v>1.5628778922577799E-3</v>
      </c>
      <c r="L11" s="63">
        <f>IF(D11&lt;='ASSUMPTIONS '!$J$7,(1-I11-J11),"")</f>
        <v>0.99729068312898439</v>
      </c>
      <c r="M11" s="63">
        <f>IF(D11&lt;='ASSUMPTIONS '!$J$7,M10*L10,"")</f>
        <v>0.9851056142412058</v>
      </c>
      <c r="N11" s="7"/>
    </row>
    <row r="12" spans="4:14" x14ac:dyDescent="0.25">
      <c r="D12" s="2">
        <v>8</v>
      </c>
      <c r="E12" s="2">
        <f>IF(D12&lt;='ASSUMPTIONS '!$J$7,'DECREMENT TABLE '!E11+1,"")</f>
        <v>37</v>
      </c>
      <c r="F12" s="12">
        <f>IF(D12&lt;='ASSUMPTIONS '!$J$7,IF('ASSUMPTIONS '!$J$5 = "MALE",VLOOKUP(E12,'[1]MORTALITY '!A10:B94,2,FALSE),VLOOKUP(E12,'[1]MORTALITY '!L10:M94,2,FALSE)),"")</f>
        <v>1.97E-3</v>
      </c>
      <c r="G12" s="63">
        <f>IF(D12&lt;='ASSUMPTIONS '!$J$7,IF('ASSUMPTIONS '!$J$5="MALE",VLOOKUP(E12,'DISABILITY RATES '!A8:B67,2,FALSE),VLOOKUP(E12,'DISABILITY RATES '!E8:F67,2,FALSE)),"")</f>
        <v>8.8099999999999995E-4</v>
      </c>
      <c r="H12" s="63">
        <f>IF(D12&lt;='ASSUMPTIONS '!$J$7,IF('ASSUMPTIONS '!$J$5="MALE",VLOOKUP(E12,'CRITICAL ILLNESS RATES '!A8:B67,2,FALSE),VLOOKUP(E12,'CRITICAL ILLNESS RATES '!E8:F67,2,FALSE)),"")</f>
        <v>1.64E-3</v>
      </c>
      <c r="I12" s="63">
        <f>IF(D12&lt;='ASSUMPTIONS '!$J$7,F12*(1-($I$2*(G12+H12))+($J$2*(G12*H12))),"")</f>
        <v>1.9675177637782666E-3</v>
      </c>
      <c r="J12" s="63">
        <f>IF(D12&lt;='ASSUMPTIONS '!$J$7,G12*(1-($I$2*(F12+H12))+($J$2*(F12*H12))),"")</f>
        <v>8.7941074377826658E-4</v>
      </c>
      <c r="K12" s="63">
        <f>IF(D12&lt;='ASSUMPTIONS '!$J$7,H12*(1-($I$2*(G12+F12))+($J$2*(G12*F12))),"")</f>
        <v>1.6376631287782666E-3</v>
      </c>
      <c r="L12" s="63">
        <f>IF(D12&lt;='ASSUMPTIONS '!$J$7,(1-I12-J12),"")</f>
        <v>0.99715307149244348</v>
      </c>
      <c r="M12" s="63">
        <f>IF(D12&lt;='ASSUMPTIONS '!$J$7,M11*L11,"")</f>
        <v>0.9824366509808099</v>
      </c>
      <c r="N12" s="7"/>
    </row>
    <row r="13" spans="4:14" x14ac:dyDescent="0.25">
      <c r="D13" s="2">
        <v>9</v>
      </c>
      <c r="E13" s="2">
        <f>IF(D13&lt;='ASSUMPTIONS '!$J$7,'DECREMENT TABLE '!E12+1,"")</f>
        <v>38</v>
      </c>
      <c r="F13" s="12">
        <f>IF(D13&lt;='ASSUMPTIONS '!$J$7,IF('ASSUMPTIONS '!$J$5 = "MALE",VLOOKUP(E13,'[1]MORTALITY '!A11:B95,2,FALSE),VLOOKUP(E13,'[1]MORTALITY '!L11:M95,2,FALSE)),"")</f>
        <v>2.0739999999999999E-3</v>
      </c>
      <c r="G13" s="63">
        <f>IF(D13&lt;='ASSUMPTIONS '!$J$7,IF('ASSUMPTIONS '!$J$5="MALE",VLOOKUP(E13,'DISABILITY RATES '!A9:B68,2,FALSE),VLOOKUP(E13,'DISABILITY RATES '!E9:F68,2,FALSE)),"")</f>
        <v>9.3499999999999996E-4</v>
      </c>
      <c r="H13" s="63">
        <f>IF(D13&lt;='ASSUMPTIONS '!$J$7,IF('ASSUMPTIONS '!$J$5="MALE",VLOOKUP(E13,'CRITICAL ILLNESS RATES '!A9:B68,2,FALSE),VLOOKUP(E13,'CRITICAL ILLNESS RATES '!E9:F68,2,FALSE)),"")</f>
        <v>1.7949999999999999E-3</v>
      </c>
      <c r="I13" s="63">
        <f>IF(D13&lt;='ASSUMPTIONS '!$J$7,F13*(1-($I$2*(G13+H13))+($J$2*(G13*H13))),"")</f>
        <v>2.0711701502820166E-3</v>
      </c>
      <c r="J13" s="63">
        <f>IF(D13&lt;='ASSUMPTIONS '!$J$7,G13*(1-($I$2*(F13+H13))+($J$2*(F13*H13))),"")</f>
        <v>9.3319240278201662E-4</v>
      </c>
      <c r="K13" s="63">
        <f>IF(D13&lt;='ASSUMPTIONS '!$J$7,H13*(1-($I$2*(G13+F13))+($J$2*(G13*F13))),"")</f>
        <v>1.7923005827820166E-3</v>
      </c>
      <c r="L13" s="63">
        <f>IF(D13&lt;='ASSUMPTIONS '!$J$7,(1-I13-J13),"")</f>
        <v>0.99699563744693598</v>
      </c>
      <c r="M13" s="63">
        <f>IF(D13&lt;='ASSUMPTIONS '!$J$7,M12*L12,"")</f>
        <v>0.9796397240722643</v>
      </c>
      <c r="N13" s="7"/>
    </row>
    <row r="14" spans="4:14" x14ac:dyDescent="0.25">
      <c r="D14" s="2">
        <v>10</v>
      </c>
      <c r="E14" s="2">
        <f>IF(D14&lt;='ASSUMPTIONS '!$J$7,'DECREMENT TABLE '!E13+1,"")</f>
        <v>39</v>
      </c>
      <c r="F14" s="12">
        <f>IF(D14&lt;='ASSUMPTIONS '!$J$7,IF('ASSUMPTIONS '!$J$5 = "MALE",VLOOKUP(E14,'[1]MORTALITY '!A12:B96,2,FALSE),VLOOKUP(E14,'[1]MORTALITY '!L12:M96,2,FALSE)),"")</f>
        <v>2.1930000000000001E-3</v>
      </c>
      <c r="G14" s="63">
        <f>IF(D14&lt;='ASSUMPTIONS '!$J$7,IF('ASSUMPTIONS '!$J$5="MALE",VLOOKUP(E14,'DISABILITY RATES '!A10:B69,2,FALSE),VLOOKUP(E14,'DISABILITY RATES '!E10:F69,2,FALSE)),"")</f>
        <v>9.9099999999999991E-4</v>
      </c>
      <c r="H14" s="63">
        <f>IF(D14&lt;='ASSUMPTIONS '!$J$7,IF('ASSUMPTIONS '!$J$5="MALE",VLOOKUP(E14,'CRITICAL ILLNESS RATES '!A10:B69,2,FALSE),VLOOKUP(E14,'CRITICAL ILLNESS RATES '!E10:F69,2,FALSE)),"")</f>
        <v>1.9419999999999999E-3</v>
      </c>
      <c r="I14" s="63">
        <f>IF(D14&lt;='ASSUMPTIONS '!$J$7,F14*(1-($I$2*(G14+H14))+($J$2*(G14*H14))),"")</f>
        <v>2.1897853723255819E-3</v>
      </c>
      <c r="J14" s="63">
        <f>IF(D14&lt;='ASSUMPTIONS '!$J$7,G14*(1-($I$2*(F14+H14))+($J$2*(F14*H14))),"")</f>
        <v>9.8895251432558188E-4</v>
      </c>
      <c r="K14" s="63">
        <f>IF(D14&lt;='ASSUMPTIONS '!$J$7,H14*(1-($I$2*(G14+F14))+($J$2*(G14*F14))),"")</f>
        <v>1.9389097428255818E-3</v>
      </c>
      <c r="L14" s="63">
        <f>IF(D14&lt;='ASSUMPTIONS '!$J$7,(1-I14-J14),"")</f>
        <v>0.99682126211334876</v>
      </c>
      <c r="M14" s="63">
        <f>IF(D14&lt;='ASSUMPTIONS '!$J$7,M13*L13,"")</f>
        <v>0.97669653116976762</v>
      </c>
      <c r="N14" s="7"/>
    </row>
    <row r="15" spans="4:14" x14ac:dyDescent="0.25">
      <c r="D15" s="2">
        <v>11</v>
      </c>
      <c r="E15" s="2" t="str">
        <f>IF(D15&lt;='ASSUMPTIONS '!$J$7,'DECREMENT TABLE '!E14+1,"")</f>
        <v/>
      </c>
      <c r="F15" s="12" t="str">
        <f>IF(D15&lt;='ASSUMPTIONS '!$J$7,IF('ASSUMPTIONS '!$J$5 = "MALE",VLOOKUP(E15,'[1]MORTALITY '!A13:B97,2,FALSE),VLOOKUP(E15,'[1]MORTALITY '!L13:M97,2,FALSE)),"")</f>
        <v/>
      </c>
      <c r="G15" s="12" t="str">
        <f>IF(D15&lt;='ASSUMPTIONS '!$J$7,IF('ASSUMPTIONS '!$J$5="MALE",VLOOKUP(E15,'DISABILITY RATES '!A11:B70,2,FALSE),VLOOKUP(E15,'DISABILITY RATES '!E11:F70,2,FALSE)),"")</f>
        <v/>
      </c>
      <c r="H15" s="63" t="str">
        <f>IF(D15&lt;='ASSUMPTIONS '!$J$7,IF('ASSUMPTIONS '!$J$5="MALE",VLOOKUP(E15,'CRITICAL ILLNESS RATES '!A11:B70,2,FALSE),VLOOKUP(E15,'CRITICAL ILLNESS RATES '!E11:F70,2,FALSE)),"")</f>
        <v/>
      </c>
      <c r="I15" s="63" t="str">
        <f>IF(D15&lt;='ASSUMPTIONS '!$J$7,F15*(1-($I$2*(G15+H15))+($J$2*(G15*H15))),"")</f>
        <v/>
      </c>
      <c r="J15" s="63" t="str">
        <f>IF(D15&lt;='ASSUMPTIONS '!$J$7,G15*(1-($I$2*(F15+H15))+($J$2*(F15*H15))),"")</f>
        <v/>
      </c>
      <c r="K15" s="63" t="str">
        <f>IF(D15&lt;='ASSUMPTIONS '!$J$7,H15*(1-($I$2*(G15+F15))+($J$2*(G15*F15))),"")</f>
        <v/>
      </c>
      <c r="L15" s="12" t="str">
        <f>IF(D15&lt;='ASSUMPTIONS '!$J$7,(1-I15-J15),"")</f>
        <v/>
      </c>
      <c r="M15" s="12" t="str">
        <f>IF(D15&lt;='ASSUMPTIONS '!$J$7,M14*L14,"")</f>
        <v/>
      </c>
      <c r="N15" s="7"/>
    </row>
    <row r="16" spans="4:14" x14ac:dyDescent="0.25">
      <c r="D16" s="2">
        <v>12</v>
      </c>
      <c r="E16" s="2" t="str">
        <f>IF(D16&lt;='ASSUMPTIONS '!$J$7,'DECREMENT TABLE '!E15+1,"")</f>
        <v/>
      </c>
      <c r="F16" s="12" t="str">
        <f>IF(D16&lt;='ASSUMPTIONS '!$J$7,IF('ASSUMPTIONS '!$J$5 = "MALE",VLOOKUP(E16,'[1]MORTALITY '!A14:B98,2,FALSE),VLOOKUP(E16,'[1]MORTALITY '!L14:M98,2,FALSE)),"")</f>
        <v/>
      </c>
      <c r="G16" s="12" t="str">
        <f>IF(D16&lt;='ASSUMPTIONS '!$J$7,IF('ASSUMPTIONS '!$J$5="MALE",VLOOKUP(E16,'DISABILITY RATES '!A12:B71,2,FALSE),VLOOKUP(E16,'DISABILITY RATES '!E12:F71,2,FALSE)),"")</f>
        <v/>
      </c>
      <c r="H16" s="63" t="str">
        <f>IF(D16&lt;='ASSUMPTIONS '!$J$7,IF('ASSUMPTIONS '!$J$5="MALE",VLOOKUP(E16,'CRITICAL ILLNESS RATES '!A12:B71,2,FALSE),VLOOKUP(E16,'CRITICAL ILLNESS RATES '!E12:F71,2,FALSE)),"")</f>
        <v/>
      </c>
      <c r="I16" s="63" t="str">
        <f>IF(D16&lt;='ASSUMPTIONS '!$J$7,F16*(1-($I$2*(G16+H16))+($J$2*(G16*H16))),"")</f>
        <v/>
      </c>
      <c r="J16" s="63" t="str">
        <f>IF(D16&lt;='ASSUMPTIONS '!$J$7,G16*(1-($I$2*(F16+H16))+($J$2*(F16*H16))),"")</f>
        <v/>
      </c>
      <c r="K16" s="63" t="str">
        <f>IF(D16&lt;='ASSUMPTIONS '!$J$7,H16*(1-($I$2*(G16+F16))+($J$2*(G16*F16))),"")</f>
        <v/>
      </c>
      <c r="L16" s="12" t="str">
        <f>IF(D16&lt;='ASSUMPTIONS '!$J$7,(1-I16-J16),"")</f>
        <v/>
      </c>
      <c r="M16" s="12" t="str">
        <f>IF(D16&lt;='ASSUMPTIONS '!$J$7,M15*L15,"")</f>
        <v/>
      </c>
      <c r="N16" s="7"/>
    </row>
    <row r="17" spans="4:14" x14ac:dyDescent="0.25">
      <c r="D17" s="2">
        <v>13</v>
      </c>
      <c r="E17" s="2" t="str">
        <f>IF(D17&lt;='ASSUMPTIONS '!$J$7,'DECREMENT TABLE '!E16+1,"")</f>
        <v/>
      </c>
      <c r="F17" s="12" t="str">
        <f>IF(D17&lt;='ASSUMPTIONS '!$J$7,IF('ASSUMPTIONS '!$J$5 = "MALE",VLOOKUP(E17,'[1]MORTALITY '!A15:B99,2,FALSE),VLOOKUP(E17,'[1]MORTALITY '!L15:M99,2,FALSE)),"")</f>
        <v/>
      </c>
      <c r="G17" s="12" t="str">
        <f>IF(D17&lt;='ASSUMPTIONS '!$J$7,IF('ASSUMPTIONS '!$J$5="MALE",VLOOKUP(E17,'DISABILITY RATES '!A13:B72,2,FALSE),VLOOKUP(E17,'DISABILITY RATES '!E13:F72,2,FALSE)),"")</f>
        <v/>
      </c>
      <c r="H17" s="63" t="str">
        <f>IF(D17&lt;='ASSUMPTIONS '!$J$7,IF('ASSUMPTIONS '!$J$5="MALE",VLOOKUP(E17,'CRITICAL ILLNESS RATES '!A13:B72,2,FALSE),VLOOKUP(E17,'CRITICAL ILLNESS RATES '!E13:F72,2,FALSE)),"")</f>
        <v/>
      </c>
      <c r="I17" s="63" t="str">
        <f>IF(D17&lt;='ASSUMPTIONS '!$J$7,F17*(1-($I$2*(G17+H17))+($J$2*(G17*H17))),"")</f>
        <v/>
      </c>
      <c r="J17" s="63" t="str">
        <f>IF(D17&lt;='ASSUMPTIONS '!$J$7,G17*(1-($I$2*(F17+H17))+($J$2*(F17*H17))),"")</f>
        <v/>
      </c>
      <c r="K17" s="63" t="str">
        <f>IF(D17&lt;='ASSUMPTIONS '!$J$7,H17*(1-($I$2*(G17+F17))+($J$2*(G17*F17))),"")</f>
        <v/>
      </c>
      <c r="L17" s="12" t="str">
        <f>IF(D17&lt;='ASSUMPTIONS '!$J$7,(1-I17-J17),"")</f>
        <v/>
      </c>
      <c r="M17" s="12" t="str">
        <f>IF(D17&lt;='ASSUMPTIONS '!$J$7,M16*L16,"")</f>
        <v/>
      </c>
      <c r="N17" s="7"/>
    </row>
    <row r="18" spans="4:14" x14ac:dyDescent="0.25">
      <c r="D18" s="2">
        <v>14</v>
      </c>
      <c r="E18" s="2" t="str">
        <f>IF(D18&lt;='ASSUMPTIONS '!$J$7,'DECREMENT TABLE '!E17+1,"")</f>
        <v/>
      </c>
      <c r="F18" s="12" t="str">
        <f>IF(D18&lt;='ASSUMPTIONS '!$J$7,IF('ASSUMPTIONS '!$J$5 = "MALE",VLOOKUP(E18,'[1]MORTALITY '!A16:B100,2,FALSE),VLOOKUP(E18,'[1]MORTALITY '!L16:M100,2,FALSE)),"")</f>
        <v/>
      </c>
      <c r="G18" s="12" t="str">
        <f>IF(D18&lt;='ASSUMPTIONS '!$J$7,IF('ASSUMPTIONS '!$J$5="MALE",VLOOKUP(E18,'DISABILITY RATES '!A14:B73,2,FALSE),VLOOKUP(E18,'DISABILITY RATES '!E14:F73,2,FALSE)),"")</f>
        <v/>
      </c>
      <c r="H18" s="63" t="str">
        <f>IF(D18&lt;='ASSUMPTIONS '!$J$7,IF('ASSUMPTIONS '!$J$5="MALE",VLOOKUP(E18,'CRITICAL ILLNESS RATES '!A14:B73,2,FALSE),VLOOKUP(E18,'CRITICAL ILLNESS RATES '!E14:F73,2,FALSE)),"")</f>
        <v/>
      </c>
      <c r="I18" s="63" t="str">
        <f>IF(D18&lt;='ASSUMPTIONS '!$J$7,F18*(1-($I$2*(G18+H18))+($J$2*(G18*H18))),"")</f>
        <v/>
      </c>
      <c r="J18" s="63" t="str">
        <f>IF(D18&lt;='ASSUMPTIONS '!$J$7,G18*(1-($I$2*(F18+H18))+($J$2*(F18*H18))),"")</f>
        <v/>
      </c>
      <c r="K18" s="63" t="str">
        <f>IF(D18&lt;='ASSUMPTIONS '!$J$7,H18*(1-($I$2*(G18+F18))+($J$2*(G18*F18))),"")</f>
        <v/>
      </c>
      <c r="L18" s="12" t="str">
        <f>IF(D18&lt;='ASSUMPTIONS '!$J$7,(1-I18-J18),"")</f>
        <v/>
      </c>
      <c r="M18" s="12" t="str">
        <f>IF(D18&lt;='ASSUMPTIONS '!$J$7,M17*L17,"")</f>
        <v/>
      </c>
      <c r="N18" s="7"/>
    </row>
    <row r="19" spans="4:14" x14ac:dyDescent="0.25">
      <c r="D19" s="2">
        <v>15</v>
      </c>
      <c r="E19" s="2" t="str">
        <f>IF(D19&lt;='ASSUMPTIONS '!$J$7,'DECREMENT TABLE '!E18+1,"")</f>
        <v/>
      </c>
      <c r="F19" s="12" t="str">
        <f>IF(D19&lt;='ASSUMPTIONS '!$J$7,IF('ASSUMPTIONS '!$J$5 = "MALE",VLOOKUP(E19,'[1]MORTALITY '!A17:B101,2,FALSE),VLOOKUP(E19,'[1]MORTALITY '!L17:M101,2,FALSE)),"")</f>
        <v/>
      </c>
      <c r="G19" s="12" t="str">
        <f>IF(D19&lt;='ASSUMPTIONS '!$J$7,IF('ASSUMPTIONS '!$J$5="MALE",VLOOKUP(E19,'DISABILITY RATES '!A15:B74,2,FALSE),VLOOKUP(E19,'DISABILITY RATES '!E15:F74,2,FALSE)),"")</f>
        <v/>
      </c>
      <c r="H19" s="63" t="str">
        <f>IF(D19&lt;='ASSUMPTIONS '!$J$7,IF('ASSUMPTIONS '!$J$5="MALE",VLOOKUP(E19,'CRITICAL ILLNESS RATES '!A15:B74,2,FALSE),VLOOKUP(E19,'CRITICAL ILLNESS RATES '!E15:F74,2,FALSE)),"")</f>
        <v/>
      </c>
      <c r="I19" s="63" t="str">
        <f>IF(D19&lt;='ASSUMPTIONS '!$J$7,F19*(1-($I$2*(G19+H19))+($J$2*(G19*H19))),"")</f>
        <v/>
      </c>
      <c r="J19" s="63" t="str">
        <f>IF(D19&lt;='ASSUMPTIONS '!$J$7,G19*(1-($I$2*(F19+H19))+($J$2*(F19*H19))),"")</f>
        <v/>
      </c>
      <c r="K19" s="63" t="str">
        <f>IF(D19&lt;='ASSUMPTIONS '!$J$7,H19*(1-($I$2*(G19+F19))+($J$2*(G19*F19))),"")</f>
        <v/>
      </c>
      <c r="L19" s="12" t="str">
        <f>IF(D19&lt;='ASSUMPTIONS '!$J$7,(1-I19-J19),"")</f>
        <v/>
      </c>
      <c r="M19" s="12" t="str">
        <f>IF(D19&lt;='ASSUMPTIONS '!$J$7,M18*L18,"")</f>
        <v/>
      </c>
      <c r="N19" s="7"/>
    </row>
    <row r="20" spans="4:14" x14ac:dyDescent="0.25">
      <c r="D20" s="2">
        <v>16</v>
      </c>
      <c r="E20" s="2" t="str">
        <f>IF(D20&lt;='ASSUMPTIONS '!$J$7,'DECREMENT TABLE '!E19+1,"")</f>
        <v/>
      </c>
      <c r="F20" s="12" t="str">
        <f>IF(D20&lt;='ASSUMPTIONS '!$J$7,IF('ASSUMPTIONS '!$J$5 = "MALE",VLOOKUP(E20,'[1]MORTALITY '!A18:B102,2,FALSE),VLOOKUP(E20,'[1]MORTALITY '!L18:M102,2,FALSE)),"")</f>
        <v/>
      </c>
      <c r="G20" s="12" t="str">
        <f>IF(D20&lt;='ASSUMPTIONS '!$J$7,IF('ASSUMPTIONS '!$J$5="MALE",VLOOKUP(E20,'DISABILITY RATES '!A16:B75,2,FALSE),VLOOKUP(E20,'DISABILITY RATES '!E16:F75,2,FALSE)),"")</f>
        <v/>
      </c>
      <c r="H20" s="63" t="str">
        <f>IF(D20&lt;='ASSUMPTIONS '!$J$7,IF('ASSUMPTIONS '!$J$5="MALE",VLOOKUP(E20,'CRITICAL ILLNESS RATES '!A16:B75,2,FALSE),VLOOKUP(E20,'CRITICAL ILLNESS RATES '!E16:F75,2,FALSE)),"")</f>
        <v/>
      </c>
      <c r="I20" s="63" t="str">
        <f>IF(D20&lt;='ASSUMPTIONS '!$J$7,F20*(1-($I$2*(G20+H20))+($J$2*(G20*H20))),"")</f>
        <v/>
      </c>
      <c r="J20" s="63" t="str">
        <f>IF(D20&lt;='ASSUMPTIONS '!$J$7,G20*(1-($I$2*(F20+H20))+($J$2*(F20*H20))),"")</f>
        <v/>
      </c>
      <c r="K20" s="63" t="str">
        <f>IF(D20&lt;='ASSUMPTIONS '!$J$7,H20*(1-($I$2*(G20+F20))+($J$2*(G20*F20))),"")</f>
        <v/>
      </c>
      <c r="L20" s="12" t="str">
        <f>IF(D20&lt;='ASSUMPTIONS '!$J$7,(1-I20-J20),"")</f>
        <v/>
      </c>
      <c r="M20" s="12" t="str">
        <f>IF(D20&lt;='ASSUMPTIONS '!$J$7,M19*L19,"")</f>
        <v/>
      </c>
      <c r="N20" s="7"/>
    </row>
    <row r="21" spans="4:14" x14ac:dyDescent="0.25">
      <c r="D21" s="2">
        <v>17</v>
      </c>
      <c r="E21" s="2" t="str">
        <f>IF(D21&lt;='ASSUMPTIONS '!$J$7,'DECREMENT TABLE '!E20+1,"")</f>
        <v/>
      </c>
      <c r="F21" s="12" t="str">
        <f>IF(D21&lt;='ASSUMPTIONS '!$J$7,IF('ASSUMPTIONS '!$J$5 = "MALE",VLOOKUP(E21,'[1]MORTALITY '!A19:B103,2,FALSE),VLOOKUP(E21,'[1]MORTALITY '!L19:M103,2,FALSE)),"")</f>
        <v/>
      </c>
      <c r="G21" s="12" t="str">
        <f>IF(D21&lt;='ASSUMPTIONS '!$J$7,IF('ASSUMPTIONS '!$J$5="MALE",VLOOKUP(E21,'DISABILITY RATES '!A17:B76,2,FALSE),VLOOKUP(E21,'DISABILITY RATES '!E17:F76,2,FALSE)),"")</f>
        <v/>
      </c>
      <c r="H21" s="63" t="str">
        <f>IF(D21&lt;='ASSUMPTIONS '!$J$7,IF('ASSUMPTIONS '!$J$5="MALE",VLOOKUP(E21,'CRITICAL ILLNESS RATES '!A17:B76,2,FALSE),VLOOKUP(E21,'CRITICAL ILLNESS RATES '!E17:F76,2,FALSE)),"")</f>
        <v/>
      </c>
      <c r="I21" s="63" t="str">
        <f>IF(D21&lt;='ASSUMPTIONS '!$J$7,F21*(1-($I$2*(G21+H21))+($J$2*(G21*H21))),"")</f>
        <v/>
      </c>
      <c r="J21" s="63" t="str">
        <f>IF(D21&lt;='ASSUMPTIONS '!$J$7,G21*(1-($I$2*(F21+H21))+($J$2*(F21*H21))),"")</f>
        <v/>
      </c>
      <c r="K21" s="63" t="str">
        <f>IF(D21&lt;='ASSUMPTIONS '!$J$7,H21*(1-($I$2*(G21+F21))+($J$2*(G21*F21))),"")</f>
        <v/>
      </c>
      <c r="L21" s="12" t="str">
        <f>IF(D21&lt;='ASSUMPTIONS '!$J$7,(1-I21-J21),"")</f>
        <v/>
      </c>
      <c r="M21" s="12" t="str">
        <f>IF(D21&lt;='ASSUMPTIONS '!$J$7,M20*L20,"")</f>
        <v/>
      </c>
      <c r="N21" s="7"/>
    </row>
    <row r="22" spans="4:14" x14ac:dyDescent="0.25">
      <c r="D22" s="2">
        <v>18</v>
      </c>
      <c r="E22" s="2" t="str">
        <f>IF(D22&lt;='ASSUMPTIONS '!$J$7,'DECREMENT TABLE '!E21+1,"")</f>
        <v/>
      </c>
      <c r="F22" s="12" t="str">
        <f>IF(D22&lt;='ASSUMPTIONS '!$J$7,IF('ASSUMPTIONS '!$J$5 = "MALE",VLOOKUP(E22,'[1]MORTALITY '!A20:B104,2,FALSE),VLOOKUP(E22,'[1]MORTALITY '!L20:M104,2,FALSE)),"")</f>
        <v/>
      </c>
      <c r="G22" s="12" t="str">
        <f>IF(D22&lt;='ASSUMPTIONS '!$J$7,IF('ASSUMPTIONS '!$J$5="MALE",VLOOKUP(E22,'DISABILITY RATES '!A18:B77,2,FALSE),VLOOKUP(E22,'DISABILITY RATES '!E18:F77,2,FALSE)),"")</f>
        <v/>
      </c>
      <c r="H22" s="63" t="str">
        <f>IF(D22&lt;='ASSUMPTIONS '!$J$7,IF('ASSUMPTIONS '!$J$5="MALE",VLOOKUP(E22,'CRITICAL ILLNESS RATES '!A18:B77,2,FALSE),VLOOKUP(E22,'CRITICAL ILLNESS RATES '!E18:F77,2,FALSE)),"")</f>
        <v/>
      </c>
      <c r="I22" s="63" t="str">
        <f>IF(D22&lt;='ASSUMPTIONS '!$J$7,F22*(1-($I$2*(G22+H22))+($J$2*(G22*H22))),"")</f>
        <v/>
      </c>
      <c r="J22" s="63" t="str">
        <f>IF(D22&lt;='ASSUMPTIONS '!$J$7,G22*(1-($I$2*(F22+H22))+($J$2*(F22*H22))),"")</f>
        <v/>
      </c>
      <c r="K22" s="63" t="str">
        <f>IF(D22&lt;='ASSUMPTIONS '!$J$7,H22*(1-($I$2*(G22+F22))+($J$2*(G22*F22))),"")</f>
        <v/>
      </c>
      <c r="L22" s="12" t="str">
        <f>IF(D22&lt;='ASSUMPTIONS '!$J$7,(1-I22-J22),"")</f>
        <v/>
      </c>
      <c r="M22" s="12" t="str">
        <f>IF(D22&lt;='ASSUMPTIONS '!$J$7,M21*L21,"")</f>
        <v/>
      </c>
      <c r="N22" s="7"/>
    </row>
    <row r="23" spans="4:14" x14ac:dyDescent="0.25">
      <c r="D23" s="2">
        <v>19</v>
      </c>
      <c r="E23" s="2" t="str">
        <f>IF(D23&lt;='ASSUMPTIONS '!$J$7,'DECREMENT TABLE '!E22+1,"")</f>
        <v/>
      </c>
      <c r="F23" s="12" t="str">
        <f>IF(D23&lt;='ASSUMPTIONS '!$J$7,IF('ASSUMPTIONS '!$J$5 = "MALE",VLOOKUP(E23,'[1]MORTALITY '!A21:B105,2,FALSE),VLOOKUP(E23,'[1]MORTALITY '!L21:M105,2,FALSE)),"")</f>
        <v/>
      </c>
      <c r="G23" s="12" t="str">
        <f>IF(D23&lt;='ASSUMPTIONS '!$J$7,IF('ASSUMPTIONS '!$J$5="MALE",VLOOKUP(E23,'DISABILITY RATES '!A19:B78,2,FALSE),VLOOKUP(E23,'DISABILITY RATES '!E19:F78,2,FALSE)),"")</f>
        <v/>
      </c>
      <c r="H23" s="63" t="str">
        <f>IF(D23&lt;='ASSUMPTIONS '!$J$7,IF('ASSUMPTIONS '!$J$5="MALE",VLOOKUP(E23,'CRITICAL ILLNESS RATES '!A19:B78,2,FALSE),VLOOKUP(E23,'CRITICAL ILLNESS RATES '!E19:F78,2,FALSE)),"")</f>
        <v/>
      </c>
      <c r="I23" s="63" t="str">
        <f>IF(D23&lt;='ASSUMPTIONS '!$J$7,F23*(1-($I$2*(G23+H23))+($J$2*(G23*H23))),"")</f>
        <v/>
      </c>
      <c r="J23" s="63" t="str">
        <f>IF(D23&lt;='ASSUMPTIONS '!$J$7,G23*(1-($I$2*(F23+H23))+($J$2*(F23*H23))),"")</f>
        <v/>
      </c>
      <c r="K23" s="63" t="str">
        <f>IF(D23&lt;='ASSUMPTIONS '!$J$7,H23*(1-($I$2*(G23+F23))+($J$2*(G23*F23))),"")</f>
        <v/>
      </c>
      <c r="L23" s="12" t="str">
        <f>IF(D23&lt;='ASSUMPTIONS '!$J$7,(1-I23-J23),"")</f>
        <v/>
      </c>
      <c r="M23" s="12" t="str">
        <f>IF(D23&lt;='ASSUMPTIONS '!$J$7,M22*L22,"")</f>
        <v/>
      </c>
      <c r="N23" s="7"/>
    </row>
    <row r="24" spans="4:14" x14ac:dyDescent="0.25">
      <c r="D24" s="2">
        <v>20</v>
      </c>
      <c r="E24" s="2" t="str">
        <f>IF(D24&lt;='ASSUMPTIONS '!$J$7,'DECREMENT TABLE '!E23+1,"")</f>
        <v/>
      </c>
      <c r="F24" s="12" t="str">
        <f>IF(D24&lt;='ASSUMPTIONS '!$J$7,IF('ASSUMPTIONS '!$J$5 = "MALE",VLOOKUP(E24,'[1]MORTALITY '!A22:B106,2,FALSE),VLOOKUP(E24,'[1]MORTALITY '!L22:M106,2,FALSE)),"")</f>
        <v/>
      </c>
      <c r="G24" s="12" t="str">
        <f>IF(D24&lt;='ASSUMPTIONS '!$J$7,IF('ASSUMPTIONS '!$J$5="MALE",VLOOKUP(E24,'DISABILITY RATES '!A20:B79,2,FALSE),VLOOKUP(E24,'DISABILITY RATES '!E20:F79,2,FALSE)),"")</f>
        <v/>
      </c>
      <c r="H24" s="63" t="str">
        <f>IF(D24&lt;='ASSUMPTIONS '!$J$7,IF('ASSUMPTIONS '!$J$5="MALE",VLOOKUP(E24,'CRITICAL ILLNESS RATES '!A20:B79,2,FALSE),VLOOKUP(E24,'CRITICAL ILLNESS RATES '!E20:F79,2,FALSE)),"")</f>
        <v/>
      </c>
      <c r="I24" s="63" t="str">
        <f>IF(D24&lt;='ASSUMPTIONS '!$J$7,F24*(1-($I$2*(G24+H24))+($J$2*(G24*H24))),"")</f>
        <v/>
      </c>
      <c r="J24" s="63" t="str">
        <f>IF(D24&lt;='ASSUMPTIONS '!$J$7,G24*(1-($I$2*(F24+H24))+($J$2*(F24*H24))),"")</f>
        <v/>
      </c>
      <c r="K24" s="63" t="str">
        <f>IF(D24&lt;='ASSUMPTIONS '!$J$7,H24*(1-($I$2*(G24+F24))+($J$2*(G24*F24))),"")</f>
        <v/>
      </c>
      <c r="L24" s="12" t="str">
        <f>IF(D24&lt;='ASSUMPTIONS '!$J$7,(1-I24-J24),"")</f>
        <v/>
      </c>
      <c r="M24" s="12" t="str">
        <f>IF(D24&lt;='ASSUMPTIONS '!$J$7,M23*L23,"")</f>
        <v/>
      </c>
      <c r="N24" s="7"/>
    </row>
    <row r="25" spans="4:14" x14ac:dyDescent="0.25">
      <c r="D25" s="2">
        <v>21</v>
      </c>
      <c r="E25" s="2" t="str">
        <f>IF(D25&lt;='ASSUMPTIONS '!$J$7,'DECREMENT TABLE '!E24+1,"")</f>
        <v/>
      </c>
      <c r="F25" s="12" t="str">
        <f>IF(D25&lt;='ASSUMPTIONS '!$J$7,IF('ASSUMPTIONS '!$J$5 = "MALE",VLOOKUP(E25,'[1]MORTALITY '!A23:B107,2,FALSE),VLOOKUP(E25,'[1]MORTALITY '!L23:M107,2,FALSE)),"")</f>
        <v/>
      </c>
      <c r="G25" s="12" t="str">
        <f>IF(D25&lt;='ASSUMPTIONS '!$J$7,IF('ASSUMPTIONS '!$J$5="MALE",VLOOKUP(E25,'DISABILITY RATES '!A21:B80,2,FALSE),VLOOKUP(E25,'DISABILITY RATES '!E21:F80,2,FALSE)),"")</f>
        <v/>
      </c>
      <c r="H25" s="63" t="str">
        <f>IF(D25&lt;='ASSUMPTIONS '!$J$7,IF('ASSUMPTIONS '!$J$5="MALE",VLOOKUP(E25,'CRITICAL ILLNESS RATES '!A21:B80,2,FALSE),VLOOKUP(E25,'CRITICAL ILLNESS RATES '!E21:F80,2,FALSE)),"")</f>
        <v/>
      </c>
      <c r="I25" s="63" t="str">
        <f>IF(D25&lt;='ASSUMPTIONS '!$J$7,F25*(1-($I$2*(G25+H25))+($J$2*(G25*H25))),"")</f>
        <v/>
      </c>
      <c r="J25" s="63" t="str">
        <f>IF(D25&lt;='ASSUMPTIONS '!$J$7,G25*(1-($I$2*(F25+H25))+($J$2*(F25*H25))),"")</f>
        <v/>
      </c>
      <c r="K25" s="63" t="str">
        <f>IF(D25&lt;='ASSUMPTIONS '!$J$7,H25*(1-($I$2*(G25+F25))+($J$2*(G25*F25))),"")</f>
        <v/>
      </c>
      <c r="L25" s="12" t="str">
        <f>IF(D25&lt;='ASSUMPTIONS '!$J$7,(1-I25-J25),"")</f>
        <v/>
      </c>
      <c r="M25" s="12" t="str">
        <f>IF(D25&lt;='ASSUMPTIONS '!$J$7,M24*L24,"")</f>
        <v/>
      </c>
    </row>
    <row r="26" spans="4:14" x14ac:dyDescent="0.25">
      <c r="D26" s="2">
        <v>22</v>
      </c>
      <c r="E26" s="2" t="str">
        <f>IF(D26&lt;='ASSUMPTIONS '!$J$7,'DECREMENT TABLE '!E25+1,"")</f>
        <v/>
      </c>
      <c r="F26" s="12" t="str">
        <f>IF(D26&lt;='ASSUMPTIONS '!$J$7,IF('ASSUMPTIONS '!$J$5 = "MALE",VLOOKUP(E26,'[1]MORTALITY '!A24:B108,2,FALSE),VLOOKUP(E26,'[1]MORTALITY '!L24:M108,2,FALSE)),"")</f>
        <v/>
      </c>
      <c r="G26" s="12" t="str">
        <f>IF(D26&lt;='ASSUMPTIONS '!$J$7,IF('ASSUMPTIONS '!$J$5="MALE",VLOOKUP(E26,'DISABILITY RATES '!A22:B81,2,FALSE),VLOOKUP(E26,'DISABILITY RATES '!E22:F81,2,FALSE)),"")</f>
        <v/>
      </c>
      <c r="H26" s="63" t="str">
        <f>IF(D26&lt;='ASSUMPTIONS '!$J$7,IF('ASSUMPTIONS '!$J$5="MALE",VLOOKUP(E26,'CRITICAL ILLNESS RATES '!A22:B81,2,FALSE),VLOOKUP(E26,'CRITICAL ILLNESS RATES '!E22:F81,2,FALSE)),"")</f>
        <v/>
      </c>
      <c r="I26" s="63" t="str">
        <f>IF(D26&lt;='ASSUMPTIONS '!$J$7,F26*(1-($I$2*(G26+H26))+($J$2*(G26*H26))),"")</f>
        <v/>
      </c>
      <c r="J26" s="63" t="str">
        <f>IF(D26&lt;='ASSUMPTIONS '!$J$7,G26*(1-($I$2*(F26+H26))+($J$2*(F26*H26))),"")</f>
        <v/>
      </c>
      <c r="K26" s="63" t="str">
        <f>IF(D26&lt;='ASSUMPTIONS '!$J$7,H26*(1-($I$2*(G26+F26))+($J$2*(G26*F26))),"")</f>
        <v/>
      </c>
      <c r="L26" s="12" t="str">
        <f>IF(D26&lt;='ASSUMPTIONS '!$J$7,(1-I26-J26),"")</f>
        <v/>
      </c>
      <c r="M26" s="12" t="str">
        <f>IF(D26&lt;='ASSUMPTIONS '!$J$7,M25*L25,"")</f>
        <v/>
      </c>
    </row>
    <row r="27" spans="4:14" x14ac:dyDescent="0.25">
      <c r="D27" s="2">
        <v>23</v>
      </c>
      <c r="E27" s="2" t="str">
        <f>IF(D27&lt;='ASSUMPTIONS '!$J$7,'DECREMENT TABLE '!E26+1,"")</f>
        <v/>
      </c>
      <c r="F27" s="12" t="str">
        <f>IF(D27&lt;='ASSUMPTIONS '!$J$7,IF('ASSUMPTIONS '!$J$5 = "MALE",VLOOKUP(E27,'[1]MORTALITY '!A25:B109,2,FALSE),VLOOKUP(E27,'[1]MORTALITY '!L25:M109,2,FALSE)),"")</f>
        <v/>
      </c>
      <c r="G27" s="12" t="str">
        <f>IF(D27&lt;='ASSUMPTIONS '!$J$7,IF('ASSUMPTIONS '!$J$5="MALE",VLOOKUP(E27,'DISABILITY RATES '!A23:B82,2,FALSE),VLOOKUP(E27,'DISABILITY RATES '!E23:F82,2,FALSE)),"")</f>
        <v/>
      </c>
      <c r="H27" s="63" t="str">
        <f>IF(D27&lt;='ASSUMPTIONS '!$J$7,IF('ASSUMPTIONS '!$J$5="MALE",VLOOKUP(E27,'CRITICAL ILLNESS RATES '!A23:B82,2,FALSE),VLOOKUP(E27,'CRITICAL ILLNESS RATES '!E23:F82,2,FALSE)),"")</f>
        <v/>
      </c>
      <c r="I27" s="63" t="str">
        <f>IF(D27&lt;='ASSUMPTIONS '!$J$7,F27*(1-($I$2*(G27+H27))+($J$2*(G27*H27))),"")</f>
        <v/>
      </c>
      <c r="J27" s="63" t="str">
        <f>IF(D27&lt;='ASSUMPTIONS '!$J$7,G27*(1-($I$2*(F27+H27))+($J$2*(F27*H27))),"")</f>
        <v/>
      </c>
      <c r="K27" s="63" t="str">
        <f>IF(D27&lt;='ASSUMPTIONS '!$J$7,H27*(1-($I$2*(G27+F27))+($J$2*(G27*F27))),"")</f>
        <v/>
      </c>
      <c r="L27" s="12" t="str">
        <f>IF(D27&lt;='ASSUMPTIONS '!$J$7,(1-I27-J27),"")</f>
        <v/>
      </c>
      <c r="M27" s="12" t="str">
        <f>IF(D27&lt;='ASSUMPTIONS '!$J$7,M26*L26,"")</f>
        <v/>
      </c>
    </row>
    <row r="28" spans="4:14" x14ac:dyDescent="0.25">
      <c r="D28" s="2">
        <v>24</v>
      </c>
      <c r="E28" s="2" t="str">
        <f>IF(D28&lt;='ASSUMPTIONS '!$J$7,'DECREMENT TABLE '!E27+1,"")</f>
        <v/>
      </c>
      <c r="F28" s="12" t="str">
        <f>IF(D28&lt;='ASSUMPTIONS '!$J$7,IF('ASSUMPTIONS '!$J$5 = "MALE",VLOOKUP(E28,'[1]MORTALITY '!A26:B110,2,FALSE),VLOOKUP(E28,'[1]MORTALITY '!L26:M110,2,FALSE)),"")</f>
        <v/>
      </c>
      <c r="G28" s="12" t="str">
        <f>IF(D28&lt;='ASSUMPTIONS '!$J$7,IF('ASSUMPTIONS '!$J$5="MALE",VLOOKUP(E28,'DISABILITY RATES '!A24:B83,2,FALSE),VLOOKUP(E28,'DISABILITY RATES '!E24:F83,2,FALSE)),"")</f>
        <v/>
      </c>
      <c r="H28" s="63" t="str">
        <f>IF(D28&lt;='ASSUMPTIONS '!$J$7,IF('ASSUMPTIONS '!$J$5="MALE",VLOOKUP(E28,'CRITICAL ILLNESS RATES '!A24:B83,2,FALSE),VLOOKUP(E28,'CRITICAL ILLNESS RATES '!E24:F83,2,FALSE)),"")</f>
        <v/>
      </c>
      <c r="I28" s="63" t="str">
        <f>IF(D28&lt;='ASSUMPTIONS '!$J$7,F28*(1-($I$2*(G28+H28))+($J$2*(G28*H28))),"")</f>
        <v/>
      </c>
      <c r="J28" s="63" t="str">
        <f>IF(D28&lt;='ASSUMPTIONS '!$J$7,G28*(1-($I$2*(F28+H28))+($J$2*(F28*H28))),"")</f>
        <v/>
      </c>
      <c r="K28" s="63" t="str">
        <f>IF(D28&lt;='ASSUMPTIONS '!$J$7,H28*(1-($I$2*(G28+F28))+($J$2*(G28*F28))),"")</f>
        <v/>
      </c>
      <c r="L28" s="12" t="str">
        <f>IF(D28&lt;='ASSUMPTIONS '!$J$7,(1-I28-J28),"")</f>
        <v/>
      </c>
      <c r="M28" s="12" t="str">
        <f>IF(D28&lt;='ASSUMPTIONS '!$J$7,M27*L27,"")</f>
        <v/>
      </c>
    </row>
    <row r="29" spans="4:14" x14ac:dyDescent="0.25">
      <c r="D29" s="2">
        <v>25</v>
      </c>
      <c r="E29" s="2" t="str">
        <f>IF(D29&lt;='ASSUMPTIONS '!$J$7,'DECREMENT TABLE '!E28+1,"")</f>
        <v/>
      </c>
      <c r="F29" s="12" t="str">
        <f>IF(D29&lt;='ASSUMPTIONS '!$J$7,IF('ASSUMPTIONS '!$J$5 = "MALE",VLOOKUP(E29,'[1]MORTALITY '!A27:B111,2,FALSE),VLOOKUP(E29,'[1]MORTALITY '!L27:M111,2,FALSE)),"")</f>
        <v/>
      </c>
      <c r="G29" s="12" t="str">
        <f>IF(D29&lt;='ASSUMPTIONS '!$J$7,IF('ASSUMPTIONS '!$J$5="MALE",VLOOKUP(E29,'DISABILITY RATES '!A25:B84,2,FALSE),VLOOKUP(E29,'DISABILITY RATES '!E25:F84,2,FALSE)),"")</f>
        <v/>
      </c>
      <c r="H29" s="63" t="str">
        <f>IF(D29&lt;='ASSUMPTIONS '!$J$7,IF('ASSUMPTIONS '!$J$5="MALE",VLOOKUP(E29,'CRITICAL ILLNESS RATES '!A25:B84,2,FALSE),VLOOKUP(E29,'CRITICAL ILLNESS RATES '!E25:F84,2,FALSE)),"")</f>
        <v/>
      </c>
      <c r="I29" s="63" t="str">
        <f>IF(D29&lt;='ASSUMPTIONS '!$J$7,F29*(1-($I$2*(G29+H29))+($J$2*(G29*H29))),"")</f>
        <v/>
      </c>
      <c r="J29" s="63" t="str">
        <f>IF(D29&lt;='ASSUMPTIONS '!$J$7,G29*(1-($I$2*(F29+H29))+($J$2*(F29*H29))),"")</f>
        <v/>
      </c>
      <c r="K29" s="63" t="str">
        <f>IF(D29&lt;='ASSUMPTIONS '!$J$7,H29*(1-($I$2*(G29+F29))+($J$2*(G29*F29))),"")</f>
        <v/>
      </c>
      <c r="L29" s="12" t="str">
        <f>IF(D29&lt;='ASSUMPTIONS '!$J$7,(1-I29-J29),"")</f>
        <v/>
      </c>
      <c r="M29" s="12" t="str">
        <f>IF(D29&lt;='ASSUMPTIONS '!$J$7,M28*L28,"")</f>
        <v/>
      </c>
    </row>
    <row r="30" spans="4:14" x14ac:dyDescent="0.25">
      <c r="D30" s="2">
        <v>26</v>
      </c>
      <c r="E30" s="2" t="str">
        <f>IF(D30&lt;='ASSUMPTIONS '!$J$7,'DECREMENT TABLE '!E29+1,"")</f>
        <v/>
      </c>
      <c r="F30" s="12" t="str">
        <f>IF(D30&lt;='ASSUMPTIONS '!$J$7,IF('ASSUMPTIONS '!$J$5 = "MALE",VLOOKUP(E30,'[1]MORTALITY '!A28:B112,2,FALSE),VLOOKUP(E30,'[1]MORTALITY '!L28:M112,2,FALSE)),"")</f>
        <v/>
      </c>
      <c r="G30" s="12" t="str">
        <f>IF(D30&lt;='ASSUMPTIONS '!$J$7,IF('ASSUMPTIONS '!$J$5="MALE",VLOOKUP(E30,'DISABILITY RATES '!A26:B85,2,FALSE),VLOOKUP(E30,'DISABILITY RATES '!E26:F85,2,FALSE)),"")</f>
        <v/>
      </c>
      <c r="H30" s="63" t="str">
        <f>IF(D30&lt;='ASSUMPTIONS '!$J$7,IF('ASSUMPTIONS '!$J$5="MALE",VLOOKUP(E30,'CRITICAL ILLNESS RATES '!A26:B85,2,FALSE),VLOOKUP(E30,'CRITICAL ILLNESS RATES '!E26:F85,2,FALSE)),"")</f>
        <v/>
      </c>
      <c r="I30" s="63" t="str">
        <f>IF(D30&lt;='ASSUMPTIONS '!$J$7,F30*(1-($I$2*(G30+H30))+($J$2*(G30*H30))),"")</f>
        <v/>
      </c>
      <c r="J30" s="63" t="str">
        <f>IF(D30&lt;='ASSUMPTIONS '!$J$7,G30*(1-($I$2*(F30+H30))+($J$2*(F30*H30))),"")</f>
        <v/>
      </c>
      <c r="K30" s="63" t="str">
        <f>IF(D30&lt;='ASSUMPTIONS '!$J$7,H30*(1-($I$2*(G30+F30))+($J$2*(G30*F30))),"")</f>
        <v/>
      </c>
      <c r="L30" s="12" t="str">
        <f>IF(D30&lt;='ASSUMPTIONS '!$J$7,(1-I30-J30),"")</f>
        <v/>
      </c>
      <c r="M30" s="12" t="str">
        <f>IF(D30&lt;='ASSUMPTIONS '!$J$7,M29*L29,"")</f>
        <v/>
      </c>
    </row>
    <row r="31" spans="4:14" x14ac:dyDescent="0.25">
      <c r="D31" s="2">
        <v>27</v>
      </c>
      <c r="E31" s="2" t="str">
        <f>IF(D31&lt;='ASSUMPTIONS '!$J$7,'DECREMENT TABLE '!E30+1,"")</f>
        <v/>
      </c>
      <c r="F31" s="12" t="str">
        <f>IF(D31&lt;='ASSUMPTIONS '!$J$7,IF('ASSUMPTIONS '!$J$5 = "MALE",VLOOKUP(E31,'[1]MORTALITY '!A29:B113,2,FALSE),VLOOKUP(E31,'[1]MORTALITY '!L29:M113,2,FALSE)),"")</f>
        <v/>
      </c>
      <c r="G31" s="12" t="str">
        <f>IF(D31&lt;='ASSUMPTIONS '!$J$7,IF('ASSUMPTIONS '!$J$5="MALE",VLOOKUP(E31,'DISABILITY RATES '!A27:B86,2,FALSE),VLOOKUP(E31,'DISABILITY RATES '!E27:F86,2,FALSE)),"")</f>
        <v/>
      </c>
      <c r="H31" s="63" t="str">
        <f>IF(D31&lt;='ASSUMPTIONS '!$J$7,IF('ASSUMPTIONS '!$J$5="MALE",VLOOKUP(E31,'CRITICAL ILLNESS RATES '!A27:B86,2,FALSE),VLOOKUP(E31,'CRITICAL ILLNESS RATES '!E27:F86,2,FALSE)),"")</f>
        <v/>
      </c>
      <c r="I31" s="63" t="str">
        <f>IF(D31&lt;='ASSUMPTIONS '!$J$7,F31*(1-($I$2*(G31+H31))+($J$2*(G31*H31))),"")</f>
        <v/>
      </c>
      <c r="J31" s="63" t="str">
        <f>IF(D31&lt;='ASSUMPTIONS '!$J$7,G31*(1-($I$2*(F31+H31))+($J$2*(F31*H31))),"")</f>
        <v/>
      </c>
      <c r="K31" s="63" t="str">
        <f>IF(D31&lt;='ASSUMPTIONS '!$J$7,H31*(1-($I$2*(G31+F31))+($J$2*(G31*F31))),"")</f>
        <v/>
      </c>
      <c r="L31" s="12" t="str">
        <f>IF(D31&lt;='ASSUMPTIONS '!$J$7,(1-I31-J31),"")</f>
        <v/>
      </c>
      <c r="M31" s="12" t="str">
        <f>IF(D31&lt;='ASSUMPTIONS '!$J$7,M30*L30,"")</f>
        <v/>
      </c>
    </row>
    <row r="32" spans="4:14" x14ac:dyDescent="0.25">
      <c r="D32" s="2">
        <v>28</v>
      </c>
      <c r="E32" s="2" t="str">
        <f>IF(D32&lt;='ASSUMPTIONS '!$J$7,'DECREMENT TABLE '!E31+1,"")</f>
        <v/>
      </c>
      <c r="F32" s="12" t="str">
        <f>IF(D32&lt;='ASSUMPTIONS '!$J$7,IF('ASSUMPTIONS '!$J$5 = "MALE",VLOOKUP(E32,'[1]MORTALITY '!A30:B114,2,FALSE),VLOOKUP(E32,'[1]MORTALITY '!L30:M114,2,FALSE)),"")</f>
        <v/>
      </c>
      <c r="G32" s="12" t="str">
        <f>IF(D32&lt;='ASSUMPTIONS '!$J$7,IF('ASSUMPTIONS '!$J$5="MALE",VLOOKUP(E32,'DISABILITY RATES '!A28:B87,2,FALSE),VLOOKUP(E32,'DISABILITY RATES '!E28:F87,2,FALSE)),"")</f>
        <v/>
      </c>
      <c r="H32" s="63" t="str">
        <f>IF(D32&lt;='ASSUMPTIONS '!$J$7,IF('ASSUMPTIONS '!$J$5="MALE",VLOOKUP(E32,'CRITICAL ILLNESS RATES '!A28:B87,2,FALSE),VLOOKUP(E32,'CRITICAL ILLNESS RATES '!E28:F87,2,FALSE)),"")</f>
        <v/>
      </c>
      <c r="I32" s="63" t="str">
        <f>IF(D32&lt;='ASSUMPTIONS '!$J$7,F32*(1-($I$2*(G32+H32))+($J$2*(G32*H32))),"")</f>
        <v/>
      </c>
      <c r="J32" s="63" t="str">
        <f>IF(D32&lt;='ASSUMPTIONS '!$J$7,G32*(1-($I$2*(F32+H32))+($J$2*(F32*H32))),"")</f>
        <v/>
      </c>
      <c r="K32" s="63" t="str">
        <f>IF(D32&lt;='ASSUMPTIONS '!$J$7,H32*(1-($I$2*(G32+F32))+($J$2*(G32*F32))),"")</f>
        <v/>
      </c>
      <c r="L32" s="12" t="str">
        <f>IF(D32&lt;='ASSUMPTIONS '!$J$7,(1-I32-J32),"")</f>
        <v/>
      </c>
      <c r="M32" s="12" t="str">
        <f>IF(D32&lt;='ASSUMPTIONS '!$J$7,M31*L31,"")</f>
        <v/>
      </c>
    </row>
    <row r="33" spans="4:13" x14ac:dyDescent="0.25">
      <c r="D33" s="2">
        <v>29</v>
      </c>
      <c r="E33" s="2" t="str">
        <f>IF(D33&lt;='ASSUMPTIONS '!$J$7,'DECREMENT TABLE '!E32+1,"")</f>
        <v/>
      </c>
      <c r="F33" s="12" t="str">
        <f>IF(D33&lt;='ASSUMPTIONS '!$J$7,IF('ASSUMPTIONS '!$J$5 = "MALE",VLOOKUP(E33,'[1]MORTALITY '!A31:B115,2,FALSE),VLOOKUP(E33,'[1]MORTALITY '!L31:M115,2,FALSE)),"")</f>
        <v/>
      </c>
      <c r="G33" s="12" t="str">
        <f>IF(D33&lt;='ASSUMPTIONS '!$J$7,IF('ASSUMPTIONS '!$J$5="MALE",VLOOKUP(E33,'DISABILITY RATES '!A29:B88,2,FALSE),VLOOKUP(E33,'DISABILITY RATES '!E29:F88,2,FALSE)),"")</f>
        <v/>
      </c>
      <c r="H33" s="63" t="str">
        <f>IF(D33&lt;='ASSUMPTIONS '!$J$7,IF('ASSUMPTIONS '!$J$5="MALE",VLOOKUP(E33,'CRITICAL ILLNESS RATES '!A29:B88,2,FALSE),VLOOKUP(E33,'CRITICAL ILLNESS RATES '!E29:F88,2,FALSE)),"")</f>
        <v/>
      </c>
      <c r="I33" s="63" t="str">
        <f>IF(D33&lt;='ASSUMPTIONS '!$J$7,F33*(1-($I$2*(G33+H33))+($J$2*(G33*H33))),"")</f>
        <v/>
      </c>
      <c r="J33" s="63" t="str">
        <f>IF(D33&lt;='ASSUMPTIONS '!$J$7,G33*(1-($I$2*(F33+H33))+($J$2*(F33*H33))),"")</f>
        <v/>
      </c>
      <c r="K33" s="63" t="str">
        <f>IF(D33&lt;='ASSUMPTIONS '!$J$7,H33*(1-($I$2*(G33+F33))+($J$2*(G33*F33))),"")</f>
        <v/>
      </c>
      <c r="L33" s="12" t="str">
        <f>IF(D33&lt;='ASSUMPTIONS '!$J$7,(1-I33-J33),"")</f>
        <v/>
      </c>
      <c r="M33" s="12" t="str">
        <f>IF(D33&lt;='ASSUMPTIONS '!$J$7,M32*L32,"")</f>
        <v/>
      </c>
    </row>
    <row r="34" spans="4:13" x14ac:dyDescent="0.25">
      <c r="D34" s="2">
        <v>30</v>
      </c>
      <c r="E34" s="2" t="str">
        <f>IF(D34&lt;='ASSUMPTIONS '!$J$7,'DECREMENT TABLE '!E33+1,"")</f>
        <v/>
      </c>
      <c r="F34" s="12" t="str">
        <f>IF(D34&lt;='ASSUMPTIONS '!$J$7,IF('ASSUMPTIONS '!$J$5 = "MALE",VLOOKUP(E34,'[1]MORTALITY '!A32:B116,2,FALSE),VLOOKUP(E34,'[1]MORTALITY '!L32:M116,2,FALSE)),"")</f>
        <v/>
      </c>
      <c r="G34" s="12" t="str">
        <f>IF(D34&lt;='ASSUMPTIONS '!$J$7,IF('ASSUMPTIONS '!$J$5="MALE",VLOOKUP(E34,'DISABILITY RATES '!A30:B89,2,FALSE),VLOOKUP(E34,'DISABILITY RATES '!E30:F89,2,FALSE)),"")</f>
        <v/>
      </c>
      <c r="H34" s="63" t="str">
        <f>IF(D34&lt;='ASSUMPTIONS '!$J$7,IF('ASSUMPTIONS '!$J$5="MALE",VLOOKUP(E34,'CRITICAL ILLNESS RATES '!A30:B89,2,FALSE),VLOOKUP(E34,'CRITICAL ILLNESS RATES '!E30:F89,2,FALSE)),"")</f>
        <v/>
      </c>
      <c r="I34" s="63" t="str">
        <f>IF(D34&lt;='ASSUMPTIONS '!$J$7,F34*(1-($I$2*(G34+H34))+($J$2*(G34*H34))),"")</f>
        <v/>
      </c>
      <c r="J34" s="63" t="str">
        <f>IF(D34&lt;='ASSUMPTIONS '!$J$7,G34*(1-($I$2*(F34+H34))+($J$2*(F34*H34))),"")</f>
        <v/>
      </c>
      <c r="K34" s="63" t="str">
        <f>IF(D34&lt;='ASSUMPTIONS '!$J$7,H34*(1-($I$2*(G34+F34))+($J$2*(G34*F34))),"")</f>
        <v/>
      </c>
      <c r="L34" s="12" t="str">
        <f>IF(D34&lt;='ASSUMPTIONS '!$J$7,(1-I34-J34),"")</f>
        <v/>
      </c>
      <c r="M34" s="12" t="str">
        <f>IF(D34&lt;='ASSUMPTIONS '!$J$7,M33*L33,"")</f>
        <v/>
      </c>
    </row>
    <row r="35" spans="4:13" x14ac:dyDescent="0.25">
      <c r="D35" s="2">
        <v>31</v>
      </c>
      <c r="E35" s="2" t="str">
        <f>IF(D35&lt;='ASSUMPTIONS '!$J$7,'DECREMENT TABLE '!E34+1,"")</f>
        <v/>
      </c>
      <c r="F35" s="12" t="str">
        <f>IF(D35&lt;='ASSUMPTIONS '!$J$7,IF('ASSUMPTIONS '!$J$5 = "MALE",VLOOKUP(E35,'[1]MORTALITY '!A33:B117,2,FALSE),VLOOKUP(E35,'[1]MORTALITY '!L33:M117,2,FALSE)),"")</f>
        <v/>
      </c>
      <c r="G35" s="12" t="str">
        <f>IF(D35&lt;='ASSUMPTIONS '!$J$7,IF('ASSUMPTIONS '!$J$5="MALE",VLOOKUP(E35,'DISABILITY RATES '!A31:B90,2,FALSE),VLOOKUP(E35,'DISABILITY RATES '!E31:F90,2,FALSE)),"")</f>
        <v/>
      </c>
      <c r="H35" s="63" t="str">
        <f>IF(D35&lt;='ASSUMPTIONS '!$J$7,IF('ASSUMPTIONS '!$J$5="MALE",VLOOKUP(E35,'CRITICAL ILLNESS RATES '!A31:B90,2,FALSE),VLOOKUP(E35,'CRITICAL ILLNESS RATES '!E31:F90,2,FALSE)),"")</f>
        <v/>
      </c>
      <c r="I35" s="63" t="str">
        <f>IF(D35&lt;='ASSUMPTIONS '!$J$7,F35*(1-($I$2*(G35+H35))+($J$2*(G35*H35))),"")</f>
        <v/>
      </c>
      <c r="J35" s="63" t="str">
        <f>IF(D35&lt;='ASSUMPTIONS '!$J$7,G35*(1-($I$2*(F35+H35))+($J$2*(F35*H35))),"")</f>
        <v/>
      </c>
      <c r="K35" s="63" t="str">
        <f>IF(D35&lt;='ASSUMPTIONS '!$J$7,H35*(1-($I$2*(G35+F35))+($J$2*(G35*F35))),"")</f>
        <v/>
      </c>
      <c r="L35" s="12" t="str">
        <f>IF(D35&lt;='ASSUMPTIONS '!$J$7,(1-I35-J35),"")</f>
        <v/>
      </c>
      <c r="M35" s="12" t="str">
        <f>IF(D35&lt;='ASSUMPTIONS '!$J$7,M34*L34,"")</f>
        <v/>
      </c>
    </row>
    <row r="36" spans="4:13" x14ac:dyDescent="0.25">
      <c r="D36" s="2">
        <v>32</v>
      </c>
      <c r="E36" s="2" t="str">
        <f>IF(D36&lt;='ASSUMPTIONS '!$J$7,'DECREMENT TABLE '!E35+1,"")</f>
        <v/>
      </c>
      <c r="F36" s="12" t="str">
        <f>IF(D36&lt;='ASSUMPTIONS '!$J$7,IF('ASSUMPTIONS '!$J$5 = "MALE",VLOOKUP(E36,'[1]MORTALITY '!A34:B118,2,FALSE),VLOOKUP(E36,'[1]MORTALITY '!L34:M118,2,FALSE)),"")</f>
        <v/>
      </c>
      <c r="G36" s="12" t="str">
        <f>IF(D36&lt;='ASSUMPTIONS '!$J$7,IF('ASSUMPTIONS '!$J$5="MALE",VLOOKUP(E36,'DISABILITY RATES '!A32:B91,2,FALSE),VLOOKUP(E36,'DISABILITY RATES '!E32:F91,2,FALSE)),"")</f>
        <v/>
      </c>
      <c r="H36" s="63" t="str">
        <f>IF(D36&lt;='ASSUMPTIONS '!$J$7,IF('ASSUMPTIONS '!$J$5="MALE",VLOOKUP(E36,'CRITICAL ILLNESS RATES '!A32:B91,2,FALSE),VLOOKUP(E36,'CRITICAL ILLNESS RATES '!E32:F91,2,FALSE)),"")</f>
        <v/>
      </c>
      <c r="I36" s="63" t="str">
        <f>IF(D36&lt;='ASSUMPTIONS '!$J$7,F36*(1-($I$2*(G36+H36))+($J$2*(G36*H36))),"")</f>
        <v/>
      </c>
      <c r="J36" s="63" t="str">
        <f>IF(D36&lt;='ASSUMPTIONS '!$J$7,G36*(1-($I$2*(F36+H36))+($J$2*(F36*H36))),"")</f>
        <v/>
      </c>
      <c r="K36" s="63" t="str">
        <f>IF(D36&lt;='ASSUMPTIONS '!$J$7,H36*(1-($I$2*(G36+F36))+($J$2*(G36*F36))),"")</f>
        <v/>
      </c>
      <c r="L36" s="12" t="str">
        <f>IF(D36&lt;='ASSUMPTIONS '!$J$7,(1-I36-J36),"")</f>
        <v/>
      </c>
      <c r="M36" s="12" t="str">
        <f>IF(D36&lt;='ASSUMPTIONS '!$J$7,M35*L35,"")</f>
        <v/>
      </c>
    </row>
    <row r="37" spans="4:13" x14ac:dyDescent="0.25">
      <c r="D37" s="2">
        <v>33</v>
      </c>
      <c r="E37" s="2" t="str">
        <f>IF(D37&lt;='ASSUMPTIONS '!$J$7,'DECREMENT TABLE '!E36+1,"")</f>
        <v/>
      </c>
      <c r="F37" s="12" t="str">
        <f>IF(D37&lt;='ASSUMPTIONS '!$J$7,IF('ASSUMPTIONS '!$J$5 = "MALE",VLOOKUP(E37,'[1]MORTALITY '!A35:B119,2,FALSE),VLOOKUP(E37,'[1]MORTALITY '!L35:M119,2,FALSE)),"")</f>
        <v/>
      </c>
      <c r="G37" s="12" t="str">
        <f>IF(D37&lt;='ASSUMPTIONS '!$J$7,IF('ASSUMPTIONS '!$J$5="MALE",VLOOKUP(E37,'DISABILITY RATES '!A33:B92,2,FALSE),VLOOKUP(E37,'DISABILITY RATES '!E33:F92,2,FALSE)),"")</f>
        <v/>
      </c>
      <c r="H37" s="63" t="str">
        <f>IF(D37&lt;='ASSUMPTIONS '!$J$7,IF('ASSUMPTIONS '!$J$5="MALE",VLOOKUP(E37,'CRITICAL ILLNESS RATES '!A33:B92,2,FALSE),VLOOKUP(E37,'CRITICAL ILLNESS RATES '!E33:F92,2,FALSE)),"")</f>
        <v/>
      </c>
      <c r="I37" s="63" t="str">
        <f>IF(D37&lt;='ASSUMPTIONS '!$J$7,F37*(1-($I$2*(G37+H37))+($J$2*(G37*H37))),"")</f>
        <v/>
      </c>
      <c r="J37" s="63" t="str">
        <f>IF(D37&lt;='ASSUMPTIONS '!$J$7,G37*(1-($I$2*(F37+H37))+($J$2*(F37*H37))),"")</f>
        <v/>
      </c>
      <c r="K37" s="63" t="str">
        <f>IF(D37&lt;='ASSUMPTIONS '!$J$7,H37*(1-($I$2*(G37+F37))+($J$2*(G37*F37))),"")</f>
        <v/>
      </c>
      <c r="L37" s="12" t="str">
        <f>IF(D37&lt;='ASSUMPTIONS '!$J$7,(1-I37-J37),"")</f>
        <v/>
      </c>
      <c r="M37" s="12" t="str">
        <f>IF(D37&lt;='ASSUMPTIONS '!$J$7,M36*L36,"")</f>
        <v/>
      </c>
    </row>
    <row r="38" spans="4:13" x14ac:dyDescent="0.25">
      <c r="D38" s="2">
        <v>34</v>
      </c>
      <c r="E38" s="2" t="str">
        <f>IF(D38&lt;='ASSUMPTIONS '!$J$7,'DECREMENT TABLE '!E37+1,"")</f>
        <v/>
      </c>
      <c r="F38" s="12" t="str">
        <f>IF(D38&lt;='ASSUMPTIONS '!$J$7,IF('ASSUMPTIONS '!$J$5 = "MALE",VLOOKUP(E38,'[1]MORTALITY '!A36:B120,2,FALSE),VLOOKUP(E38,'[1]MORTALITY '!L36:M120,2,FALSE)),"")</f>
        <v/>
      </c>
      <c r="G38" s="12" t="str">
        <f>IF(D38&lt;='ASSUMPTIONS '!$J$7,IF('ASSUMPTIONS '!$J$5="MALE",VLOOKUP(E38,'DISABILITY RATES '!A34:B93,2,FALSE),VLOOKUP(E38,'DISABILITY RATES '!E34:F93,2,FALSE)),"")</f>
        <v/>
      </c>
      <c r="H38" s="63" t="str">
        <f>IF(D38&lt;='ASSUMPTIONS '!$J$7,IF('ASSUMPTIONS '!$J$5="MALE",VLOOKUP(E38,'CRITICAL ILLNESS RATES '!A34:B93,2,FALSE),VLOOKUP(E38,'CRITICAL ILLNESS RATES '!E34:F93,2,FALSE)),"")</f>
        <v/>
      </c>
      <c r="I38" s="63" t="str">
        <f>IF(D38&lt;='ASSUMPTIONS '!$J$7,F38*(1-($I$2*(G38+H38))+($J$2*(G38*H38))),"")</f>
        <v/>
      </c>
      <c r="J38" s="63" t="str">
        <f>IF(D38&lt;='ASSUMPTIONS '!$J$7,G38*(1-($I$2*(F38+H38))+($J$2*(F38*H38))),"")</f>
        <v/>
      </c>
      <c r="K38" s="63" t="str">
        <f>IF(D38&lt;='ASSUMPTIONS '!$J$7,H38*(1-($I$2*(G38+F38))+($J$2*(G38*F38))),"")</f>
        <v/>
      </c>
      <c r="L38" s="12" t="str">
        <f>IF(D38&lt;='ASSUMPTIONS '!$J$7,(1-I38-J38),"")</f>
        <v/>
      </c>
      <c r="M38" s="12" t="str">
        <f>IF(D38&lt;='ASSUMPTIONS '!$J$7,M37*L37,"")</f>
        <v/>
      </c>
    </row>
    <row r="39" spans="4:13" x14ac:dyDescent="0.25">
      <c r="D39" s="2">
        <v>35</v>
      </c>
      <c r="E39" s="2" t="str">
        <f>IF(D39&lt;='ASSUMPTIONS '!$J$7,'DECREMENT TABLE '!E38+1,"")</f>
        <v/>
      </c>
      <c r="F39" s="12" t="str">
        <f>IF(D39&lt;='ASSUMPTIONS '!$J$7,IF('ASSUMPTIONS '!$J$5 = "MALE",VLOOKUP(E39,'[1]MORTALITY '!A37:B121,2,FALSE),VLOOKUP(E39,'[1]MORTALITY '!L37:M121,2,FALSE)),"")</f>
        <v/>
      </c>
      <c r="G39" s="12" t="str">
        <f>IF(D39&lt;='ASSUMPTIONS '!$J$7,IF('ASSUMPTIONS '!$J$5="MALE",VLOOKUP(E39,'DISABILITY RATES '!A35:B94,2,FALSE),VLOOKUP(E39,'DISABILITY RATES '!E35:F94,2,FALSE)),"")</f>
        <v/>
      </c>
      <c r="H39" s="63" t="str">
        <f>IF(D39&lt;='ASSUMPTIONS '!$J$7,IF('ASSUMPTIONS '!$J$5="MALE",VLOOKUP(E39,'CRITICAL ILLNESS RATES '!A35:B94,2,FALSE),VLOOKUP(E39,'CRITICAL ILLNESS RATES '!E35:F94,2,FALSE)),"")</f>
        <v/>
      </c>
      <c r="I39" s="63" t="str">
        <f>IF(D39&lt;='ASSUMPTIONS '!$J$7,F39*(1-($I$2*(G39+H39))+($J$2*(G39*H39))),"")</f>
        <v/>
      </c>
      <c r="J39" s="63" t="str">
        <f>IF(D39&lt;='ASSUMPTIONS '!$J$7,G39*(1-($I$2*(F39+H39))+($J$2*(F39*H39))),"")</f>
        <v/>
      </c>
      <c r="K39" s="63" t="str">
        <f>IF(D39&lt;='ASSUMPTIONS '!$J$7,H39*(1-($I$2*(G39+F39))+($J$2*(G39*F39))),"")</f>
        <v/>
      </c>
      <c r="L39" s="12" t="str">
        <f>IF(D39&lt;='ASSUMPTIONS '!$J$7,(1-I39-J39),"")</f>
        <v/>
      </c>
      <c r="M39" s="12" t="str">
        <f>IF(D39&lt;='ASSUMPTIONS '!$J$7,M38*L38,"")</f>
        <v/>
      </c>
    </row>
    <row r="40" spans="4:13" x14ac:dyDescent="0.25">
      <c r="D40" s="2">
        <v>36</v>
      </c>
      <c r="E40" s="2" t="str">
        <f>IF(D40&lt;='ASSUMPTIONS '!$J$7,'DECREMENT TABLE '!E39+1,"")</f>
        <v/>
      </c>
      <c r="F40" s="12" t="str">
        <f>IF(D40&lt;='ASSUMPTIONS '!$J$7,IF('ASSUMPTIONS '!$J$5 = "MALE",VLOOKUP(E40,'[1]MORTALITY '!A38:B122,2,FALSE),VLOOKUP(E40,'[1]MORTALITY '!L38:M122,2,FALSE)),"")</f>
        <v/>
      </c>
      <c r="G40" s="12" t="str">
        <f>IF(D40&lt;='ASSUMPTIONS '!$J$7,IF('ASSUMPTIONS '!$J$5="MALE",VLOOKUP(E40,'DISABILITY RATES '!A36:B95,2,FALSE),VLOOKUP(E40,'DISABILITY RATES '!E36:F95,2,FALSE)),"")</f>
        <v/>
      </c>
      <c r="H40" s="63" t="str">
        <f>IF(D40&lt;='ASSUMPTIONS '!$J$7,IF('ASSUMPTIONS '!$J$5="MALE",VLOOKUP(E40,'CRITICAL ILLNESS RATES '!A36:B95,2,FALSE),VLOOKUP(E40,'CRITICAL ILLNESS RATES '!E36:F95,2,FALSE)),"")</f>
        <v/>
      </c>
      <c r="I40" s="63" t="str">
        <f>IF(D40&lt;='ASSUMPTIONS '!$J$7,F40*(1-($I$2*(G40+H40))+($J$2*(G40*H40))),"")</f>
        <v/>
      </c>
      <c r="J40" s="63" t="str">
        <f>IF(D40&lt;='ASSUMPTIONS '!$J$7,G40*(1-($I$2*(F40+H40))+($J$2*(F40*H40))),"")</f>
        <v/>
      </c>
      <c r="K40" s="63" t="str">
        <f>IF(D40&lt;='ASSUMPTIONS '!$J$7,H40*(1-($I$2*(G40+F40))+($J$2*(G40*F40))),"")</f>
        <v/>
      </c>
      <c r="L40" s="12" t="str">
        <f>IF(D40&lt;='ASSUMPTIONS '!$J$7,(1-I40-J40),"")</f>
        <v/>
      </c>
      <c r="M40" s="12" t="str">
        <f>IF(D40&lt;='ASSUMPTIONS '!$J$7,M39*L39,"")</f>
        <v/>
      </c>
    </row>
    <row r="41" spans="4:13" x14ac:dyDescent="0.25">
      <c r="D41" s="2">
        <v>37</v>
      </c>
      <c r="E41" s="2" t="str">
        <f>IF(D41&lt;='ASSUMPTIONS '!$J$7,'DECREMENT TABLE '!E40+1,"")</f>
        <v/>
      </c>
      <c r="F41" s="12" t="str">
        <f>IF(D41&lt;='ASSUMPTIONS '!$J$7,IF('ASSUMPTIONS '!$J$5 = "MALE",VLOOKUP(E41,'[1]MORTALITY '!A39:B123,2,FALSE),VLOOKUP(E41,'[1]MORTALITY '!L39:M123,2,FALSE)),"")</f>
        <v/>
      </c>
      <c r="G41" s="12" t="str">
        <f>IF(D41&lt;='ASSUMPTIONS '!$J$7,IF('ASSUMPTIONS '!$J$5="MALE",VLOOKUP(E41,'DISABILITY RATES '!A37:B96,2,FALSE),VLOOKUP(E41,'DISABILITY RATES '!E37:F96,2,FALSE)),"")</f>
        <v/>
      </c>
      <c r="H41" s="63" t="str">
        <f>IF(D41&lt;='ASSUMPTIONS '!$J$7,IF('ASSUMPTIONS '!$J$5="MALE",VLOOKUP(E41,'CRITICAL ILLNESS RATES '!A37:B96,2,FALSE),VLOOKUP(E41,'CRITICAL ILLNESS RATES '!E37:F96,2,FALSE)),"")</f>
        <v/>
      </c>
      <c r="I41" s="63" t="str">
        <f>IF(D41&lt;='ASSUMPTIONS '!$J$7,F41*(1-($I$2*(G41+H41))+($J$2*(G41*H41))),"")</f>
        <v/>
      </c>
      <c r="J41" s="63" t="str">
        <f>IF(D41&lt;='ASSUMPTIONS '!$J$7,G41*(1-($I$2*(F41+H41))+($J$2*(F41*H41))),"")</f>
        <v/>
      </c>
      <c r="K41" s="63" t="str">
        <f>IF(D41&lt;='ASSUMPTIONS '!$J$7,H41*(1-($I$2*(G41+F41))+($J$2*(G41*F41))),"")</f>
        <v/>
      </c>
      <c r="L41" s="12" t="str">
        <f>IF(D41&lt;='ASSUMPTIONS '!$J$7,(1-I41-J41),"")</f>
        <v/>
      </c>
      <c r="M41" s="12" t="str">
        <f>IF(D41&lt;='ASSUMPTIONS '!$J$7,M40*L40,"")</f>
        <v/>
      </c>
    </row>
    <row r="42" spans="4:13" x14ac:dyDescent="0.25">
      <c r="D42" s="2">
        <v>38</v>
      </c>
      <c r="E42" s="2" t="str">
        <f>IF(D42&lt;='ASSUMPTIONS '!$J$7,'DECREMENT TABLE '!E41+1,"")</f>
        <v/>
      </c>
      <c r="F42" s="12" t="str">
        <f>IF(D42&lt;='ASSUMPTIONS '!$J$7,IF('ASSUMPTIONS '!$J$5 = "MALE",VLOOKUP(E42,'[1]MORTALITY '!A40:B124,2,FALSE),VLOOKUP(E42,'[1]MORTALITY '!L40:M124,2,FALSE)),"")</f>
        <v/>
      </c>
      <c r="G42" s="12" t="str">
        <f>IF(D42&lt;='ASSUMPTIONS '!$J$7,IF('ASSUMPTIONS '!$J$5="MALE",VLOOKUP(E42,'DISABILITY RATES '!A38:B97,2,FALSE),VLOOKUP(E42,'DISABILITY RATES '!E38:F97,2,FALSE)),"")</f>
        <v/>
      </c>
      <c r="H42" s="63" t="str">
        <f>IF(D42&lt;='ASSUMPTIONS '!$J$7,IF('ASSUMPTIONS '!$J$5="MALE",VLOOKUP(E42,'CRITICAL ILLNESS RATES '!A38:B97,2,FALSE),VLOOKUP(E42,'CRITICAL ILLNESS RATES '!E38:F97,2,FALSE)),"")</f>
        <v/>
      </c>
      <c r="I42" s="63" t="str">
        <f>IF(D42&lt;='ASSUMPTIONS '!$J$7,F42*(1-($I$2*(G42+H42))+($J$2*(G42*H42))),"")</f>
        <v/>
      </c>
      <c r="J42" s="63" t="str">
        <f>IF(D42&lt;='ASSUMPTIONS '!$J$7,G42*(1-($I$2*(F42+H42))+($J$2*(F42*H42))),"")</f>
        <v/>
      </c>
      <c r="K42" s="63" t="str">
        <f>IF(D42&lt;='ASSUMPTIONS '!$J$7,H42*(1-($I$2*(G42+F42))+($J$2*(G42*F42))),"")</f>
        <v/>
      </c>
      <c r="L42" s="12" t="str">
        <f>IF(D42&lt;='ASSUMPTIONS '!$J$7,(1-I42-J42),"")</f>
        <v/>
      </c>
      <c r="M42" s="12" t="str">
        <f>IF(D42&lt;='ASSUMPTIONS '!$J$7,M41*L41,"")</f>
        <v/>
      </c>
    </row>
    <row r="43" spans="4:13" x14ac:dyDescent="0.25">
      <c r="D43" s="2">
        <v>39</v>
      </c>
      <c r="E43" s="2" t="str">
        <f>IF(D43&lt;='ASSUMPTIONS '!$J$7,'DECREMENT TABLE '!E42+1,"")</f>
        <v/>
      </c>
      <c r="F43" s="12" t="str">
        <f>IF(D43&lt;='ASSUMPTIONS '!$J$7,IF('ASSUMPTIONS '!$J$5 = "MALE",VLOOKUP(E43,'[1]MORTALITY '!A41:B125,2,FALSE),VLOOKUP(E43,'[1]MORTALITY '!L41:M125,2,FALSE)),"")</f>
        <v/>
      </c>
      <c r="G43" s="12" t="str">
        <f>IF(D43&lt;='ASSUMPTIONS '!$J$7,IF('ASSUMPTIONS '!$J$5="MALE",VLOOKUP(E43,'DISABILITY RATES '!A39:B98,2,FALSE),VLOOKUP(E43,'DISABILITY RATES '!E39:F98,2,FALSE)),"")</f>
        <v/>
      </c>
      <c r="H43" s="63" t="str">
        <f>IF(D43&lt;='ASSUMPTIONS '!$J$7,IF('ASSUMPTIONS '!$J$5="MALE",VLOOKUP(E43,'CRITICAL ILLNESS RATES '!A39:B98,2,FALSE),VLOOKUP(E43,'CRITICAL ILLNESS RATES '!E39:F98,2,FALSE)),"")</f>
        <v/>
      </c>
      <c r="I43" s="63" t="str">
        <f>IF(D43&lt;='ASSUMPTIONS '!$J$7,F43*(1-($I$2*(G43+H43))+($J$2*(G43*H43))),"")</f>
        <v/>
      </c>
      <c r="J43" s="63" t="str">
        <f>IF(D43&lt;='ASSUMPTIONS '!$J$7,G43*(1-($I$2*(F43+H43))+($J$2*(F43*H43))),"")</f>
        <v/>
      </c>
      <c r="K43" s="63" t="str">
        <f>IF(D43&lt;='ASSUMPTIONS '!$J$7,H43*(1-($I$2*(G43+F43))+($J$2*(G43*F43))),"")</f>
        <v/>
      </c>
      <c r="L43" s="12" t="str">
        <f>IF(D43&lt;='ASSUMPTIONS '!$J$7,(1-I43-J43),"")</f>
        <v/>
      </c>
      <c r="M43" s="12" t="str">
        <f>IF(D43&lt;='ASSUMPTIONS '!$J$7,M42*L42,"")</f>
        <v/>
      </c>
    </row>
    <row r="44" spans="4:13" x14ac:dyDescent="0.25">
      <c r="D44" s="2">
        <v>40</v>
      </c>
      <c r="E44" s="2" t="str">
        <f>IF(D44&lt;='ASSUMPTIONS '!$J$7,'DECREMENT TABLE '!E43+1,"")</f>
        <v/>
      </c>
      <c r="F44" s="12" t="str">
        <f>IF(D44&lt;='ASSUMPTIONS '!$J$7,IF('ASSUMPTIONS '!$J$5 = "MALE",VLOOKUP(E44,'[1]MORTALITY '!A42:B126,2,FALSE),VLOOKUP(E44,'[1]MORTALITY '!L42:M126,2,FALSE)),"")</f>
        <v/>
      </c>
      <c r="G44" s="12" t="str">
        <f>IF(D44&lt;='ASSUMPTIONS '!$J$7,IF('ASSUMPTIONS '!$J$5="MALE",VLOOKUP(E44,'DISABILITY RATES '!A40:B99,2,FALSE),VLOOKUP(E44,'DISABILITY RATES '!E40:F99,2,FALSE)),"")</f>
        <v/>
      </c>
      <c r="H44" s="63" t="str">
        <f>IF(D44&lt;='ASSUMPTIONS '!$J$7,IF('ASSUMPTIONS '!$J$5="MALE",VLOOKUP(E44,'CRITICAL ILLNESS RATES '!A40:B99,2,FALSE),VLOOKUP(E44,'CRITICAL ILLNESS RATES '!E40:F99,2,FALSE)),"")</f>
        <v/>
      </c>
      <c r="I44" s="63" t="str">
        <f>IF(D44&lt;='ASSUMPTIONS '!$J$7,F44*(1-($I$2*(G44+H44))+($J$2*(G44*H44))),"")</f>
        <v/>
      </c>
      <c r="J44" s="63" t="str">
        <f>IF(D44&lt;='ASSUMPTIONS '!$J$7,G44*(1-($I$2*(F44+H44))+($J$2*(F44*H44))),"")</f>
        <v/>
      </c>
      <c r="K44" s="63" t="str">
        <f>IF(D44&lt;='ASSUMPTIONS '!$J$7,H44*(1-($I$2*(G44+F44))+($J$2*(G44*F44))),"")</f>
        <v/>
      </c>
      <c r="L44" s="12" t="str">
        <f>IF(D44&lt;='ASSUMPTIONS '!$J$7,(1-I44-J44),"")</f>
        <v/>
      </c>
      <c r="M44" s="12" t="str">
        <f>IF(D44&lt;='ASSUMPTIONS '!$J$7,M43*L43,"")</f>
        <v/>
      </c>
    </row>
    <row r="45" spans="4:13" x14ac:dyDescent="0.25">
      <c r="D45" s="2">
        <v>41</v>
      </c>
      <c r="E45" s="2" t="str">
        <f>IF(D45&lt;='ASSUMPTIONS '!$J$7,'DECREMENT TABLE '!E44+1,"")</f>
        <v/>
      </c>
      <c r="F45" s="12" t="str">
        <f>IF(D45&lt;='ASSUMPTIONS '!$J$7,IF('ASSUMPTIONS '!$J$5 = "MALE",VLOOKUP(E45,'[1]MORTALITY '!A43:B127,2,FALSE),VLOOKUP(E45,'[1]MORTALITY '!L43:M127,2,FALSE)),"")</f>
        <v/>
      </c>
      <c r="G45" s="12" t="str">
        <f>IF(D45&lt;='ASSUMPTIONS '!$J$7,IF('ASSUMPTIONS '!$J$5="MALE",VLOOKUP(E45,'DISABILITY RATES '!A41:B100,2,FALSE),VLOOKUP(E45,'DISABILITY RATES '!E41:F100,2,FALSE)),"")</f>
        <v/>
      </c>
      <c r="H45" s="63" t="str">
        <f>IF(D45&lt;='ASSUMPTIONS '!$J$7,IF('ASSUMPTIONS '!$J$5="MALE",VLOOKUP(E45,'CRITICAL ILLNESS RATES '!A41:B100,2,FALSE),VLOOKUP(E45,'CRITICAL ILLNESS RATES '!E41:F100,2,FALSE)),"")</f>
        <v/>
      </c>
      <c r="I45" s="63" t="str">
        <f>IF(D45&lt;='ASSUMPTIONS '!$J$7,F45*(1-($I$2*(G45+H45))+($J$2*(G45*H45))),"")</f>
        <v/>
      </c>
      <c r="J45" s="63" t="str">
        <f>IF(D45&lt;='ASSUMPTIONS '!$J$7,G45*(1-($I$2*(F45+H45))+($J$2*(F45*H45))),"")</f>
        <v/>
      </c>
      <c r="K45" s="63" t="str">
        <f>IF(D45&lt;='ASSUMPTIONS '!$J$7,H45*(1-($I$2*(G45+F45))+($J$2*(G45*F45))),"")</f>
        <v/>
      </c>
      <c r="L45" s="12" t="str">
        <f>IF(D45&lt;='ASSUMPTIONS '!$J$7,(1-I45-J45),"")</f>
        <v/>
      </c>
      <c r="M45" s="12" t="str">
        <f>IF(D45&lt;='ASSUMPTIONS '!$J$7,M44*L44,"")</f>
        <v/>
      </c>
    </row>
    <row r="46" spans="4:13" x14ac:dyDescent="0.25">
      <c r="D46" s="2">
        <v>42</v>
      </c>
      <c r="E46" s="2" t="str">
        <f>IF(D46&lt;='ASSUMPTIONS '!$J$7,'DECREMENT TABLE '!E45+1,"")</f>
        <v/>
      </c>
      <c r="F46" s="12" t="str">
        <f>IF(D46&lt;='ASSUMPTIONS '!$J$7,IF('ASSUMPTIONS '!$J$5 = "MALE",VLOOKUP(E46,'[1]MORTALITY '!A44:B128,2,FALSE),VLOOKUP(E46,'[1]MORTALITY '!L44:M128,2,FALSE)),"")</f>
        <v/>
      </c>
      <c r="G46" s="12" t="str">
        <f>IF(D46&lt;='ASSUMPTIONS '!$J$7,IF('ASSUMPTIONS '!$J$5="MALE",VLOOKUP(E46,'DISABILITY RATES '!A42:B101,2,FALSE),VLOOKUP(E46,'DISABILITY RATES '!E42:F101,2,FALSE)),"")</f>
        <v/>
      </c>
      <c r="H46" s="63" t="str">
        <f>IF(D46&lt;='ASSUMPTIONS '!$J$7,IF('ASSUMPTIONS '!$J$5="MALE",VLOOKUP(E46,'CRITICAL ILLNESS RATES '!A42:B101,2,FALSE),VLOOKUP(E46,'CRITICAL ILLNESS RATES '!E42:F101,2,FALSE)),"")</f>
        <v/>
      </c>
      <c r="I46" s="63" t="str">
        <f>IF(D46&lt;='ASSUMPTIONS '!$J$7,F46*(1-($I$2*(G46+H46))+($J$2*(G46*H46))),"")</f>
        <v/>
      </c>
      <c r="J46" s="63" t="str">
        <f>IF(D46&lt;='ASSUMPTIONS '!$J$7,G46*(1-($I$2*(F46+H46))+($J$2*(F46*H46))),"")</f>
        <v/>
      </c>
      <c r="K46" s="63" t="str">
        <f>IF(D46&lt;='ASSUMPTIONS '!$J$7,H46*(1-($I$2*(G46+F46))+($J$2*(G46*F46))),"")</f>
        <v/>
      </c>
      <c r="L46" s="12" t="str">
        <f>IF(D46&lt;='ASSUMPTIONS '!$J$7,(1-I46-J46),"")</f>
        <v/>
      </c>
      <c r="M46" s="12" t="str">
        <f>IF(D46&lt;='ASSUMPTIONS '!$J$7,M45*L45,"")</f>
        <v/>
      </c>
    </row>
    <row r="47" spans="4:13" x14ac:dyDescent="0.25">
      <c r="D47" s="2">
        <v>43</v>
      </c>
      <c r="E47" s="2" t="str">
        <f>IF(D47&lt;='ASSUMPTIONS '!$J$7,'DECREMENT TABLE '!E46+1,"")</f>
        <v/>
      </c>
      <c r="F47" s="12" t="str">
        <f>IF(D47&lt;='ASSUMPTIONS '!$J$7,IF('ASSUMPTIONS '!$J$5 = "MALE",VLOOKUP(E47,'[1]MORTALITY '!A45:B129,2,FALSE),VLOOKUP(E47,'[1]MORTALITY '!L45:M129,2,FALSE)),"")</f>
        <v/>
      </c>
      <c r="G47" s="12" t="str">
        <f>IF(D47&lt;='ASSUMPTIONS '!$J$7,IF('ASSUMPTIONS '!$J$5="MALE",VLOOKUP(E47,'DISABILITY RATES '!A43:B102,2,FALSE),VLOOKUP(E47,'DISABILITY RATES '!E43:F102,2,FALSE)),"")</f>
        <v/>
      </c>
      <c r="H47" s="63" t="str">
        <f>IF(D47&lt;='ASSUMPTIONS '!$J$7,IF('ASSUMPTIONS '!$J$5="MALE",VLOOKUP(E47,'CRITICAL ILLNESS RATES '!A43:B102,2,FALSE),VLOOKUP(E47,'CRITICAL ILLNESS RATES '!E43:F102,2,FALSE)),"")</f>
        <v/>
      </c>
      <c r="I47" s="63" t="str">
        <f>IF(D47&lt;='ASSUMPTIONS '!$J$7,F47*(1-($I$2*(G47+H47))+($J$2*(G47*H47))),"")</f>
        <v/>
      </c>
      <c r="J47" s="63" t="str">
        <f>IF(D47&lt;='ASSUMPTIONS '!$J$7,G47*(1-($I$2*(F47+H47))+($J$2*(F47*H47))),"")</f>
        <v/>
      </c>
      <c r="K47" s="63" t="str">
        <f>IF(D47&lt;='ASSUMPTIONS '!$J$7,H47*(1-($I$2*(G47+F47))+($J$2*(G47*F47))),"")</f>
        <v/>
      </c>
      <c r="L47" s="12" t="str">
        <f>IF(D47&lt;='ASSUMPTIONS '!$J$7,(1-I47-J47),"")</f>
        <v/>
      </c>
      <c r="M47" s="12" t="str">
        <f>IF(D47&lt;='ASSUMPTIONS '!$J$7,M46*L46,"")</f>
        <v/>
      </c>
    </row>
    <row r="48" spans="4:13" x14ac:dyDescent="0.25">
      <c r="D48" s="2"/>
      <c r="E48" s="2"/>
    </row>
  </sheetData>
  <mergeCells count="1">
    <mergeCell ref="D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04D4-7341-47BA-B3CA-52FA2688D659}">
  <dimension ref="A2:I45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t="s">
        <v>18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</row>
    <row r="3" spans="1:9" x14ac:dyDescent="0.25">
      <c r="A3">
        <v>18</v>
      </c>
      <c r="B3">
        <v>1.227E-3</v>
      </c>
      <c r="C3">
        <v>4.6500000000000003E-4</v>
      </c>
      <c r="D3">
        <v>4.8799999999999999E-4</v>
      </c>
      <c r="E3">
        <v>1.2264154273102801E-3</v>
      </c>
      <c r="F3">
        <v>4.6460135531028009E-4</v>
      </c>
      <c r="G3">
        <v>4.8758724481027995E-4</v>
      </c>
      <c r="H3">
        <v>0.99830898321737949</v>
      </c>
      <c r="I3">
        <v>1</v>
      </c>
    </row>
    <row r="4" spans="1:9" x14ac:dyDescent="0.25">
      <c r="A4">
        <v>19</v>
      </c>
      <c r="B4">
        <v>1.359E-3</v>
      </c>
      <c r="C4">
        <v>4.6500000000000003E-4</v>
      </c>
      <c r="D4">
        <v>4.8799999999999999E-4</v>
      </c>
      <c r="E4">
        <v>1.3583525392947601E-3</v>
      </c>
      <c r="F4">
        <v>4.6457067529476003E-4</v>
      </c>
      <c r="G4">
        <v>4.8755504679475999E-4</v>
      </c>
      <c r="H4">
        <v>0.99817707678541057</v>
      </c>
      <c r="I4">
        <v>0.99830898321737949</v>
      </c>
    </row>
    <row r="5" spans="1:9" x14ac:dyDescent="0.25">
      <c r="A5">
        <v>20</v>
      </c>
      <c r="B5">
        <v>1.48E-3</v>
      </c>
      <c r="C5">
        <v>4.6500000000000003E-4</v>
      </c>
      <c r="D5">
        <v>4.8799999999999999E-4</v>
      </c>
      <c r="E5">
        <v>1.4792948919472E-3</v>
      </c>
      <c r="F5">
        <v>4.6454255194720005E-4</v>
      </c>
      <c r="G5">
        <v>4.8752553194719998E-4</v>
      </c>
      <c r="H5">
        <v>0.99805616255610563</v>
      </c>
      <c r="I5">
        <v>0.99648914259653931</v>
      </c>
    </row>
    <row r="6" spans="1:9" x14ac:dyDescent="0.25">
      <c r="A6">
        <v>21</v>
      </c>
      <c r="B6">
        <v>1.5870000000000001E-3</v>
      </c>
      <c r="C6">
        <v>4.6299999999999998E-4</v>
      </c>
      <c r="D6">
        <v>5.2499999999999997E-4</v>
      </c>
      <c r="E6">
        <v>1.5862161505866752E-3</v>
      </c>
      <c r="F6">
        <v>4.6251120058667501E-4</v>
      </c>
      <c r="G6">
        <v>5.2446200358667496E-4</v>
      </c>
      <c r="H6">
        <v>0.99795127264882666</v>
      </c>
      <c r="I6">
        <v>0.99455212968872597</v>
      </c>
    </row>
    <row r="7" spans="1:9" x14ac:dyDescent="0.25">
      <c r="A7">
        <v>22</v>
      </c>
      <c r="B7">
        <v>1.676E-3</v>
      </c>
      <c r="C7">
        <v>4.6099999999999998E-4</v>
      </c>
      <c r="D7">
        <v>5.5699999999999999E-4</v>
      </c>
      <c r="E7">
        <v>1.6751470594527508E-3</v>
      </c>
      <c r="F7">
        <v>4.6048543695275068E-4</v>
      </c>
      <c r="G7">
        <v>5.5640498895275056E-4</v>
      </c>
      <c r="H7">
        <v>0.99786436750359453</v>
      </c>
      <c r="I7">
        <v>0.99251456353846501</v>
      </c>
    </row>
    <row r="8" spans="1:9" x14ac:dyDescent="0.25">
      <c r="A8">
        <v>23</v>
      </c>
      <c r="B8">
        <v>1.743E-3</v>
      </c>
      <c r="C8">
        <v>4.5899999999999999E-4</v>
      </c>
      <c r="D8">
        <v>6.1200000000000002E-4</v>
      </c>
      <c r="E8">
        <v>1.7420667867075479E-3</v>
      </c>
      <c r="F8">
        <v>4.5845969070754794E-4</v>
      </c>
      <c r="G8">
        <v>6.11326351207548E-4</v>
      </c>
      <c r="H8">
        <v>0.99779947352258491</v>
      </c>
      <c r="I8">
        <v>0.99039491718341655</v>
      </c>
    </row>
    <row r="9" spans="1:9" x14ac:dyDescent="0.25">
      <c r="A9">
        <v>24</v>
      </c>
      <c r="B9">
        <v>1.786E-3</v>
      </c>
      <c r="C9">
        <v>4.57E-4</v>
      </c>
      <c r="D9">
        <v>6.5899999999999997E-4</v>
      </c>
      <c r="E9">
        <v>1.7850035912923728E-3</v>
      </c>
      <c r="F9">
        <v>4.5644149679237262E-4</v>
      </c>
      <c r="G9">
        <v>6.5826111079237261E-4</v>
      </c>
      <c r="H9">
        <v>0.99775855491191523</v>
      </c>
      <c r="I9">
        <v>0.9882155269450571</v>
      </c>
    </row>
    <row r="10" spans="1:9" x14ac:dyDescent="0.25">
      <c r="A10">
        <v>25</v>
      </c>
      <c r="B10">
        <v>1.8010000000000001E-3</v>
      </c>
      <c r="C10">
        <v>4.5600000000000003E-4</v>
      </c>
      <c r="D10">
        <v>7.0399999999999998E-4</v>
      </c>
      <c r="E10">
        <v>1.7999556127214081E-3</v>
      </c>
      <c r="F10">
        <v>4.5542905272140806E-4</v>
      </c>
      <c r="G10">
        <v>7.0320572872140802E-4</v>
      </c>
      <c r="H10">
        <v>0.99774461533455716</v>
      </c>
      <c r="I10">
        <v>0.98600049610621698</v>
      </c>
    </row>
    <row r="11" spans="1:9" x14ac:dyDescent="0.25">
      <c r="A11">
        <v>26</v>
      </c>
      <c r="B11">
        <v>1.7849999999999999E-3</v>
      </c>
      <c r="C11">
        <v>4.5399999999999998E-4</v>
      </c>
      <c r="D11">
        <v>7.4600000000000003E-4</v>
      </c>
      <c r="E11">
        <v>1.7839292015169798E-3</v>
      </c>
      <c r="F11">
        <v>4.5342566451697994E-4</v>
      </c>
      <c r="G11">
        <v>7.4516505451698001E-4</v>
      </c>
      <c r="H11">
        <v>0.99776264513396606</v>
      </c>
      <c r="I11">
        <v>0.98377668570718002</v>
      </c>
    </row>
    <row r="12" spans="1:9" x14ac:dyDescent="0.25">
      <c r="A12">
        <v>27</v>
      </c>
      <c r="B12">
        <v>1.7440000000000001E-3</v>
      </c>
      <c r="C12">
        <v>4.5399999999999998E-4</v>
      </c>
      <c r="D12">
        <v>7.8700000000000005E-4</v>
      </c>
      <c r="E12">
        <v>1.7429180557092373E-3</v>
      </c>
      <c r="F12">
        <v>4.5342567070923726E-4</v>
      </c>
      <c r="G12">
        <v>7.8613529470923746E-4</v>
      </c>
      <c r="H12">
        <v>0.99780365627358147</v>
      </c>
      <c r="I12">
        <v>0.98157562815232235</v>
      </c>
    </row>
    <row r="13" spans="1:9" x14ac:dyDescent="0.25">
      <c r="A13">
        <v>28</v>
      </c>
      <c r="B13">
        <v>1.684E-3</v>
      </c>
      <c r="C13">
        <v>4.55E-4</v>
      </c>
      <c r="D13">
        <v>8.3600000000000005E-4</v>
      </c>
      <c r="E13">
        <v>1.6829131915199733E-3</v>
      </c>
      <c r="F13">
        <v>4.5442691351997333E-4</v>
      </c>
      <c r="G13">
        <v>8.3510611151997344E-4</v>
      </c>
      <c r="H13">
        <v>0.99786265989496015</v>
      </c>
      <c r="I13">
        <v>0.97941975067942466</v>
      </c>
    </row>
    <row r="14" spans="1:9" x14ac:dyDescent="0.25">
      <c r="A14">
        <v>29</v>
      </c>
      <c r="B14">
        <v>1.6119999999999999E-3</v>
      </c>
      <c r="C14">
        <v>4.5899999999999999E-4</v>
      </c>
      <c r="D14">
        <v>8.8199999999999997E-4</v>
      </c>
      <c r="E14">
        <v>1.6109193715329519E-3</v>
      </c>
      <c r="F14">
        <v>4.5842784453295195E-4</v>
      </c>
      <c r="G14">
        <v>8.81086906532952E-4</v>
      </c>
      <c r="H14">
        <v>0.99793065278393411</v>
      </c>
      <c r="I14">
        <v>0.97732639756662942</v>
      </c>
    </row>
    <row r="15" spans="1:9" x14ac:dyDescent="0.25">
      <c r="A15">
        <v>30</v>
      </c>
      <c r="B15">
        <v>1.534E-3</v>
      </c>
      <c r="C15">
        <v>4.6799999999999999E-4</v>
      </c>
      <c r="D15">
        <v>9.2599999999999996E-4</v>
      </c>
      <c r="E15">
        <v>1.5329310235955042E-3</v>
      </c>
      <c r="F15">
        <v>4.6742458159550405E-4</v>
      </c>
      <c r="G15">
        <v>9.2507329559550391E-4</v>
      </c>
      <c r="H15">
        <v>0.99799964439480893</v>
      </c>
      <c r="I15">
        <v>0.97530396990663726</v>
      </c>
    </row>
    <row r="16" spans="1:9" x14ac:dyDescent="0.25">
      <c r="A16">
        <v>31</v>
      </c>
      <c r="B16">
        <v>1.456E-3</v>
      </c>
      <c r="C16">
        <v>4.8099999999999998E-4</v>
      </c>
      <c r="D16">
        <v>9.6599999999999995E-4</v>
      </c>
      <c r="E16">
        <v>1.454946809508192E-3</v>
      </c>
      <c r="F16">
        <v>4.8041773450819203E-4</v>
      </c>
      <c r="G16">
        <v>9.6506465450819185E-4</v>
      </c>
      <c r="H16">
        <v>0.99806463545598356</v>
      </c>
      <c r="I16">
        <v>0.97335301514366945</v>
      </c>
    </row>
    <row r="17" spans="1:9" x14ac:dyDescent="0.25">
      <c r="A17">
        <v>32</v>
      </c>
      <c r="B17">
        <v>1.3860000000000001E-3</v>
      </c>
      <c r="C17">
        <v>5.0100000000000003E-4</v>
      </c>
      <c r="D17">
        <v>1.005E-3</v>
      </c>
      <c r="E17">
        <v>1.3849565746193102E-3</v>
      </c>
      <c r="F17">
        <v>5.0040128711931003E-4</v>
      </c>
      <c r="G17">
        <v>1.00405201511931E-3</v>
      </c>
      <c r="H17">
        <v>0.9981146421382614</v>
      </c>
      <c r="I17">
        <v>0.97146922222934895</v>
      </c>
    </row>
    <row r="18" spans="1:9" x14ac:dyDescent="0.25">
      <c r="A18">
        <v>33</v>
      </c>
      <c r="B18">
        <v>1.33E-3</v>
      </c>
      <c r="C18">
        <v>5.2700000000000002E-4</v>
      </c>
      <c r="D18">
        <v>1.0970000000000001E-3</v>
      </c>
      <c r="E18">
        <v>1.3289202962994233E-3</v>
      </c>
      <c r="F18">
        <v>5.2636074179942334E-4</v>
      </c>
      <c r="G18">
        <v>1.0959816917994235E-3</v>
      </c>
      <c r="H18">
        <v>0.99814471896190116</v>
      </c>
      <c r="I18">
        <v>0.96963765509378175</v>
      </c>
    </row>
    <row r="19" spans="1:9" x14ac:dyDescent="0.25">
      <c r="A19">
        <v>34</v>
      </c>
      <c r="B19">
        <v>1.294E-3</v>
      </c>
      <c r="C19">
        <v>5.5699999999999999E-4</v>
      </c>
      <c r="D19">
        <v>1.1869999999999999E-3</v>
      </c>
      <c r="E19">
        <v>1.2928719171799153E-3</v>
      </c>
      <c r="F19">
        <v>5.5630932667991538E-4</v>
      </c>
      <c r="G19">
        <v>1.1859017166799151E-3</v>
      </c>
      <c r="H19">
        <v>0.9981508187561402</v>
      </c>
      <c r="I19">
        <v>0.96783870473845968</v>
      </c>
    </row>
    <row r="20" spans="1:9" x14ac:dyDescent="0.25">
      <c r="A20">
        <v>35</v>
      </c>
      <c r="B20">
        <v>1.2830000000000001E-3</v>
      </c>
      <c r="C20">
        <v>5.9199999999999997E-4</v>
      </c>
      <c r="D20">
        <v>1.2849999999999999E-3</v>
      </c>
      <c r="E20">
        <v>1.2817962298345869E-3</v>
      </c>
      <c r="F20">
        <v>5.9124019733458664E-4</v>
      </c>
      <c r="G20">
        <v>1.2837956378345865E-3</v>
      </c>
      <c r="H20">
        <v>0.99812696357283082</v>
      </c>
      <c r="I20">
        <v>0.96604899555857571</v>
      </c>
    </row>
    <row r="21" spans="1:9" x14ac:dyDescent="0.25">
      <c r="A21">
        <v>36</v>
      </c>
      <c r="B21">
        <v>1.2960000000000001E-3</v>
      </c>
      <c r="C21">
        <v>6.29E-4</v>
      </c>
      <c r="D21">
        <v>1.3960000000000001E-3</v>
      </c>
      <c r="E21">
        <v>1.294688179332288E-3</v>
      </c>
      <c r="F21">
        <v>6.2815374533228808E-4</v>
      </c>
      <c r="G21">
        <v>1.3946567293322881E-3</v>
      </c>
      <c r="H21">
        <v>0.99807715807533537</v>
      </c>
      <c r="I21">
        <v>0.96423955059946431</v>
      </c>
    </row>
    <row r="22" spans="1:9" x14ac:dyDescent="0.25">
      <c r="A22">
        <v>37</v>
      </c>
      <c r="B22">
        <v>1.33E-3</v>
      </c>
      <c r="C22">
        <v>6.6699999999999995E-4</v>
      </c>
      <c r="D22">
        <v>1.513E-3</v>
      </c>
      <c r="E22">
        <v>1.3285507473991434E-3</v>
      </c>
      <c r="F22">
        <v>6.6605230689914335E-4</v>
      </c>
      <c r="G22">
        <v>1.5114897168991433E-3</v>
      </c>
      <c r="H22">
        <v>0.99800539694570178</v>
      </c>
      <c r="I22">
        <v>0.96238547036615185</v>
      </c>
    </row>
    <row r="23" spans="1:9" x14ac:dyDescent="0.25">
      <c r="A23">
        <v>38</v>
      </c>
      <c r="B23">
        <v>1.3810000000000001E-3</v>
      </c>
      <c r="C23">
        <v>7.0500000000000001E-4</v>
      </c>
      <c r="D23">
        <v>1.688E-3</v>
      </c>
      <c r="E23">
        <v>1.37934818131508E-3</v>
      </c>
      <c r="F23">
        <v>7.0391872531508002E-4</v>
      </c>
      <c r="G23">
        <v>1.68623996381508E-3</v>
      </c>
      <c r="H23">
        <v>0.99791673309336981</v>
      </c>
      <c r="I23">
        <v>0.96046589336754729</v>
      </c>
    </row>
    <row r="24" spans="1:9" x14ac:dyDescent="0.25">
      <c r="A24">
        <v>39</v>
      </c>
      <c r="B24">
        <v>1.4469999999999999E-3</v>
      </c>
      <c r="C24">
        <v>7.4600000000000003E-4</v>
      </c>
      <c r="D24">
        <v>1.859E-3</v>
      </c>
      <c r="E24">
        <v>1.4451159514066194E-3</v>
      </c>
      <c r="F24">
        <v>7.4476753090661936E-4</v>
      </c>
      <c r="G24">
        <v>1.8569622754066196E-3</v>
      </c>
      <c r="H24">
        <v>0.99781011651768681</v>
      </c>
      <c r="I24">
        <v>0.95846498655694767</v>
      </c>
    </row>
    <row r="25" spans="1:9" x14ac:dyDescent="0.25">
      <c r="A25">
        <v>40</v>
      </c>
      <c r="B25">
        <v>1.524E-3</v>
      </c>
      <c r="C25">
        <v>7.9000000000000001E-4</v>
      </c>
      <c r="D25">
        <v>2.0339999999999998E-3</v>
      </c>
      <c r="E25">
        <v>1.5218489282848801E-3</v>
      </c>
      <c r="F25">
        <v>7.8859540628487999E-4</v>
      </c>
      <c r="G25">
        <v>2.0316474782848797E-3</v>
      </c>
      <c r="H25">
        <v>0.99768955566543027</v>
      </c>
      <c r="I25">
        <v>0.95636605991451107</v>
      </c>
    </row>
    <row r="26" spans="1:9" x14ac:dyDescent="0.25">
      <c r="A26">
        <v>41</v>
      </c>
      <c r="B26">
        <v>1.6100000000000001E-3</v>
      </c>
      <c r="C26">
        <v>8.4099999999999995E-4</v>
      </c>
      <c r="D26">
        <v>2.2079999999999999E-3</v>
      </c>
      <c r="E26">
        <v>1.60754655155136E-3</v>
      </c>
      <c r="F26">
        <v>8.3939552755135996E-4</v>
      </c>
      <c r="G26">
        <v>2.2052950925513602E-3</v>
      </c>
      <c r="H26">
        <v>0.99755305792089721</v>
      </c>
      <c r="I26">
        <v>0.95415642936960676</v>
      </c>
    </row>
    <row r="27" spans="1:9" x14ac:dyDescent="0.25">
      <c r="A27">
        <v>42</v>
      </c>
      <c r="B27">
        <v>1.701E-3</v>
      </c>
      <c r="C27">
        <v>9.0200000000000002E-4</v>
      </c>
      <c r="D27">
        <v>2.3839999999999998E-3</v>
      </c>
      <c r="E27">
        <v>1.6982064762586561E-3</v>
      </c>
      <c r="F27">
        <v>9.0015888425865607E-4</v>
      </c>
      <c r="G27">
        <v>2.3808984432586561E-3</v>
      </c>
      <c r="H27">
        <v>0.99740163463948273</v>
      </c>
      <c r="I27">
        <v>0.95182166385253586</v>
      </c>
    </row>
    <row r="28" spans="1:9" x14ac:dyDescent="0.25">
      <c r="A28">
        <v>43</v>
      </c>
      <c r="B28">
        <v>1.7930000000000001E-3</v>
      </c>
      <c r="C28">
        <v>9.7400000000000004E-4</v>
      </c>
      <c r="D28">
        <v>2.66E-3</v>
      </c>
      <c r="E28">
        <v>1.7897436674587067E-3</v>
      </c>
      <c r="F28">
        <v>9.7183293745870664E-4</v>
      </c>
      <c r="G28">
        <v>2.656321438458707E-3</v>
      </c>
      <c r="H28">
        <v>0.99723842339508262</v>
      </c>
      <c r="I28">
        <v>0.94934848341179157</v>
      </c>
    </row>
    <row r="29" spans="1:9" x14ac:dyDescent="0.25">
      <c r="A29">
        <v>44</v>
      </c>
      <c r="B29">
        <v>1.885E-3</v>
      </c>
      <c r="C29">
        <v>1.0579999999999999E-3</v>
      </c>
      <c r="D29">
        <v>2.9329999999999998E-3</v>
      </c>
      <c r="E29">
        <v>1.8812404322899633E-3</v>
      </c>
      <c r="F29">
        <v>1.0554532277899634E-3</v>
      </c>
      <c r="G29">
        <v>2.9286860402899634E-3</v>
      </c>
      <c r="H29">
        <v>0.99706330633992002</v>
      </c>
      <c r="I29">
        <v>0.94672678485008777</v>
      </c>
    </row>
    <row r="30" spans="1:9" x14ac:dyDescent="0.25">
      <c r="A30">
        <v>45</v>
      </c>
      <c r="B30">
        <v>2.1229999999999999E-3</v>
      </c>
      <c r="C30">
        <v>1.1540000000000001E-3</v>
      </c>
      <c r="D30">
        <v>3.1960000000000001E-3</v>
      </c>
      <c r="E30">
        <v>2.1183850850048772E-3</v>
      </c>
      <c r="F30">
        <v>1.1509335470048774E-3</v>
      </c>
      <c r="G30">
        <v>3.1907659640048776E-3</v>
      </c>
      <c r="H30">
        <v>0.99673068136799026</v>
      </c>
      <c r="I30">
        <v>0.94394653830319064</v>
      </c>
    </row>
    <row r="31" spans="1:9" x14ac:dyDescent="0.25">
      <c r="A31">
        <v>46</v>
      </c>
      <c r="B31">
        <v>2.3479999999999998E-3</v>
      </c>
      <c r="C31">
        <v>1.256E-3</v>
      </c>
      <c r="D31">
        <v>3.4350000000000001E-3</v>
      </c>
      <c r="E31">
        <v>2.3424961427057599E-3</v>
      </c>
      <c r="F31">
        <v>1.2523716527057598E-3</v>
      </c>
      <c r="G31">
        <v>3.4288135067057604E-3</v>
      </c>
      <c r="H31">
        <v>0.99640513220458848</v>
      </c>
      <c r="I31">
        <v>0.94086047629789493</v>
      </c>
    </row>
    <row r="32" spans="1:9" x14ac:dyDescent="0.25">
      <c r="A32">
        <v>47</v>
      </c>
      <c r="B32">
        <v>2.5969999999999999E-3</v>
      </c>
      <c r="C32">
        <v>1.3630000000000001E-3</v>
      </c>
      <c r="D32">
        <v>3.6740000000000002E-3</v>
      </c>
      <c r="E32">
        <v>2.5904637904660714E-3</v>
      </c>
      <c r="F32">
        <v>1.3587306484660715E-3</v>
      </c>
      <c r="G32">
        <v>3.6667298149660717E-3</v>
      </c>
      <c r="H32">
        <v>0.99605080556106784</v>
      </c>
      <c r="I32">
        <v>0.93747820727167608</v>
      </c>
    </row>
    <row r="33" spans="1:9" x14ac:dyDescent="0.25">
      <c r="A33">
        <v>48</v>
      </c>
      <c r="B33">
        <v>2.8730000000000001E-3</v>
      </c>
      <c r="C33">
        <v>1.47E-3</v>
      </c>
      <c r="D33">
        <v>3.9719999999999998E-3</v>
      </c>
      <c r="E33">
        <v>2.8651881586624402E-3</v>
      </c>
      <c r="F33">
        <v>1.46497451666244E-3</v>
      </c>
      <c r="G33">
        <v>3.9633803936624402E-3</v>
      </c>
      <c r="H33">
        <v>0.99566983732467518</v>
      </c>
      <c r="I33">
        <v>0.93377592354889871</v>
      </c>
    </row>
    <row r="34" spans="1:9" x14ac:dyDescent="0.25">
      <c r="A34">
        <v>49</v>
      </c>
      <c r="B34">
        <v>3.1779999999999998E-3</v>
      </c>
      <c r="C34">
        <v>1.5740000000000001E-3</v>
      </c>
      <c r="D34">
        <v>4.2719999999999998E-3</v>
      </c>
      <c r="E34">
        <v>3.1687178290929277E-3</v>
      </c>
      <c r="F34">
        <v>1.5681439730929282E-3</v>
      </c>
      <c r="G34">
        <v>4.2618568510929275E-3</v>
      </c>
      <c r="H34">
        <v>0.9952631381978142</v>
      </c>
      <c r="I34">
        <v>0.92973252189763034</v>
      </c>
    </row>
    <row r="35" spans="1:9" x14ac:dyDescent="0.25">
      <c r="A35">
        <v>50</v>
      </c>
      <c r="B35">
        <v>3.5149999999999999E-3</v>
      </c>
      <c r="C35">
        <v>1.6770000000000001E-3</v>
      </c>
      <c r="D35">
        <v>4.5659999999999997E-3</v>
      </c>
      <c r="E35">
        <v>3.5040368991649099E-3</v>
      </c>
      <c r="F35">
        <v>1.6702330531649101E-3</v>
      </c>
      <c r="G35">
        <v>4.5541556356649094E-3</v>
      </c>
      <c r="H35">
        <v>0.99482573004767016</v>
      </c>
      <c r="I35">
        <v>0.92532850742840356</v>
      </c>
    </row>
    <row r="36" spans="1:9" x14ac:dyDescent="0.25">
      <c r="A36">
        <v>51</v>
      </c>
      <c r="B36">
        <v>3.888E-3</v>
      </c>
      <c r="C36">
        <v>1.7799999999999999E-3</v>
      </c>
      <c r="D36">
        <v>4.8609999999999999E-3</v>
      </c>
      <c r="E36">
        <v>3.8751011097436804E-3</v>
      </c>
      <c r="F36">
        <v>1.77222460374368E-3</v>
      </c>
      <c r="G36">
        <v>4.8472351397436803E-3</v>
      </c>
      <c r="H36">
        <v>0.99435267428651264</v>
      </c>
      <c r="I36">
        <v>0.92054060793638259</v>
      </c>
    </row>
    <row r="37" spans="1:9" x14ac:dyDescent="0.25">
      <c r="A37">
        <v>52</v>
      </c>
      <c r="B37">
        <v>4.3010000000000001E-3</v>
      </c>
      <c r="C37">
        <v>1.89E-3</v>
      </c>
      <c r="D37">
        <v>5.1450000000000003E-3</v>
      </c>
      <c r="E37">
        <v>4.2858851735463506E-3</v>
      </c>
      <c r="F37">
        <v>1.88108747104635E-3</v>
      </c>
      <c r="G37">
        <v>5.1290875935463501E-3</v>
      </c>
      <c r="H37">
        <v>0.99383302735540735</v>
      </c>
      <c r="I37">
        <v>0.91534201529087422</v>
      </c>
    </row>
    <row r="38" spans="1:9" x14ac:dyDescent="0.25">
      <c r="A38">
        <v>53</v>
      </c>
      <c r="B38">
        <v>4.7569999999999999E-3</v>
      </c>
      <c r="C38">
        <v>2.0110000000000002E-3</v>
      </c>
      <c r="D38">
        <v>5.4029999999999998E-3</v>
      </c>
      <c r="E38">
        <v>4.7393830299549272E-3</v>
      </c>
      <c r="F38">
        <v>2.0008013489549274E-3</v>
      </c>
      <c r="G38">
        <v>5.3847334769549261E-3</v>
      </c>
      <c r="H38">
        <v>0.99325981562109011</v>
      </c>
      <c r="I38">
        <v>0.90969712612212905</v>
      </c>
    </row>
    <row r="39" spans="1:9" x14ac:dyDescent="0.25">
      <c r="A39">
        <v>54</v>
      </c>
      <c r="B39">
        <v>5.2610000000000001E-3</v>
      </c>
      <c r="C39">
        <v>2.1519999999999998E-3</v>
      </c>
      <c r="D39">
        <v>5.6540000000000002E-3</v>
      </c>
      <c r="E39">
        <v>5.2404876545778297E-3</v>
      </c>
      <c r="F39">
        <v>2.1402767975778293E-3</v>
      </c>
      <c r="G39">
        <v>5.6330647865778299E-3</v>
      </c>
      <c r="H39">
        <v>0.99261923554784437</v>
      </c>
      <c r="I39">
        <v>0.90356559976310147</v>
      </c>
    </row>
    <row r="40" spans="1:9" x14ac:dyDescent="0.25">
      <c r="A40">
        <v>55</v>
      </c>
      <c r="B40">
        <v>5.8190000000000004E-3</v>
      </c>
      <c r="C40">
        <v>2.3189999999999999E-3</v>
      </c>
      <c r="D40">
        <v>5.8910000000000004E-3</v>
      </c>
      <c r="E40">
        <v>5.7951395032305175E-3</v>
      </c>
      <c r="F40">
        <v>2.3054487532305169E-3</v>
      </c>
      <c r="G40">
        <v>5.8670560192305172E-3</v>
      </c>
      <c r="H40">
        <v>0.99189941174353902</v>
      </c>
      <c r="I40">
        <v>0.89689659490417928</v>
      </c>
    </row>
    <row r="41" spans="1:9" x14ac:dyDescent="0.25">
      <c r="A41">
        <v>56</v>
      </c>
      <c r="B41">
        <v>6.4359999999999999E-3</v>
      </c>
      <c r="C41">
        <v>2.5170000000000001E-3</v>
      </c>
      <c r="D41">
        <v>6.1110000000000001E-3</v>
      </c>
      <c r="E41">
        <v>6.408268094202244E-3</v>
      </c>
      <c r="F41">
        <v>2.5012425987022439E-3</v>
      </c>
      <c r="G41">
        <v>6.0836771067022443E-3</v>
      </c>
      <c r="H41">
        <v>0.99109048930709553</v>
      </c>
      <c r="I41">
        <v>0.88963120488023861</v>
      </c>
    </row>
    <row r="42" spans="1:9" x14ac:dyDescent="0.25">
      <c r="A42">
        <v>57</v>
      </c>
      <c r="B42">
        <v>7.1180000000000002E-3</v>
      </c>
      <c r="C42">
        <v>2.751E-3</v>
      </c>
      <c r="D42">
        <v>6.3249999999999999E-3</v>
      </c>
      <c r="E42">
        <v>7.0857398005779492E-3</v>
      </c>
      <c r="F42">
        <v>2.73255043807795E-3</v>
      </c>
      <c r="G42">
        <v>6.2938305720779504E-3</v>
      </c>
      <c r="H42">
        <v>0.99018170976134412</v>
      </c>
      <c r="I42">
        <v>0.88170502614761659</v>
      </c>
    </row>
    <row r="43" spans="1:9" x14ac:dyDescent="0.25">
      <c r="A43">
        <v>58</v>
      </c>
      <c r="B43">
        <v>7.8709999999999995E-3</v>
      </c>
      <c r="C43">
        <v>3.026E-3</v>
      </c>
      <c r="D43">
        <v>6.6439999999999997E-3</v>
      </c>
      <c r="E43">
        <v>7.8329964631466738E-3</v>
      </c>
      <c r="F43">
        <v>3.0040915531466747E-3</v>
      </c>
      <c r="G43">
        <v>6.607852914146675E-3</v>
      </c>
      <c r="H43">
        <v>0.98916291198370665</v>
      </c>
      <c r="I43">
        <v>0.87304819029601766</v>
      </c>
    </row>
    <row r="44" spans="1:9" x14ac:dyDescent="0.25">
      <c r="A44">
        <v>59</v>
      </c>
      <c r="B44">
        <v>8.7049999999999992E-3</v>
      </c>
      <c r="C44">
        <v>3.3449999999999999E-3</v>
      </c>
      <c r="D44">
        <v>6.9810000000000002E-3</v>
      </c>
      <c r="E44">
        <v>8.6601238431095739E-3</v>
      </c>
      <c r="F44">
        <v>3.3188329231095747E-3</v>
      </c>
      <c r="G44">
        <v>6.9390072331095756E-3</v>
      </c>
      <c r="H44">
        <v>0.98802104323378093</v>
      </c>
      <c r="I44">
        <v>0.8635868902153141</v>
      </c>
    </row>
    <row r="45" spans="1:9" x14ac:dyDescent="0.25">
      <c r="A45">
        <v>60</v>
      </c>
      <c r="B45">
        <v>9.6259999999999991E-3</v>
      </c>
      <c r="C45">
        <v>3.7100000000000002E-3</v>
      </c>
      <c r="D45">
        <v>7.306E-3</v>
      </c>
      <c r="E45">
        <v>9.5730669637442527E-3</v>
      </c>
      <c r="F45">
        <v>3.6786781117442539E-3</v>
      </c>
      <c r="G45">
        <v>7.2573705637442526E-3</v>
      </c>
      <c r="H45">
        <v>0.98674825492451146</v>
      </c>
      <c r="I45">
        <v>0.85324202019355122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O128"/>
  <sheetViews>
    <sheetView zoomScale="93" zoomScaleNormal="93" workbookViewId="0">
      <selection activeCell="K11" sqref="K11"/>
    </sheetView>
  </sheetViews>
  <sheetFormatPr defaultRowHeight="15" x14ac:dyDescent="0.25"/>
  <cols>
    <col min="4" max="4" width="14.28515625" customWidth="1"/>
    <col min="5" max="5" width="19.28515625" customWidth="1"/>
    <col min="6" max="6" width="16.5703125" customWidth="1"/>
    <col min="7" max="7" width="15.42578125" customWidth="1"/>
    <col min="8" max="8" width="18.42578125" customWidth="1"/>
    <col min="10" max="10" width="24.42578125" customWidth="1"/>
    <col min="11" max="11" width="23" customWidth="1"/>
    <col min="14" max="14" width="13" customWidth="1"/>
  </cols>
  <sheetData>
    <row r="1" spans="4:15" x14ac:dyDescent="0.25">
      <c r="N1" t="s">
        <v>54</v>
      </c>
      <c r="O1">
        <v>12</v>
      </c>
    </row>
    <row r="2" spans="4:15" x14ac:dyDescent="0.25">
      <c r="N2" t="s">
        <v>55</v>
      </c>
      <c r="O2">
        <v>1</v>
      </c>
    </row>
    <row r="3" spans="4:15" ht="23.25" x14ac:dyDescent="0.35">
      <c r="D3" s="84" t="s">
        <v>44</v>
      </c>
      <c r="E3" s="84"/>
      <c r="F3" s="84"/>
      <c r="G3" s="84"/>
      <c r="H3" s="84"/>
      <c r="J3" s="77" t="s">
        <v>48</v>
      </c>
      <c r="K3" s="77"/>
    </row>
    <row r="4" spans="4:15" x14ac:dyDescent="0.25">
      <c r="D4" s="6" t="s">
        <v>57</v>
      </c>
      <c r="E4" s="6" t="s">
        <v>45</v>
      </c>
      <c r="F4" s="6" t="s">
        <v>34</v>
      </c>
      <c r="G4" s="6" t="s">
        <v>46</v>
      </c>
      <c r="H4" s="6" t="s">
        <v>47</v>
      </c>
      <c r="J4" s="2" t="s">
        <v>49</v>
      </c>
      <c r="K4" s="3">
        <f>'ASSUMPTIONS '!$J$4</f>
        <v>70000000</v>
      </c>
    </row>
    <row r="5" spans="4:15" x14ac:dyDescent="0.25">
      <c r="D5" s="2">
        <v>0</v>
      </c>
      <c r="E5" s="2"/>
      <c r="F5" s="2"/>
      <c r="G5" s="2"/>
      <c r="H5" s="3">
        <f>K4</f>
        <v>70000000</v>
      </c>
      <c r="J5" s="2" t="s">
        <v>50</v>
      </c>
      <c r="K5" s="2">
        <f>'ASSUMPTIONS '!$J$7</f>
        <v>10</v>
      </c>
    </row>
    <row r="6" spans="4:15" x14ac:dyDescent="0.25">
      <c r="D6" s="2">
        <f>IF(D5="","",IF((D5+1)&lt;=$K$9,D5+1,""))</f>
        <v>1</v>
      </c>
      <c r="E6" s="17">
        <f>IF(D6 &lt;&gt;"",$K$11,"")</f>
        <v>9961818.7131807264</v>
      </c>
      <c r="F6" s="17">
        <f t="shared" ref="F6:F37" si="0">IF(D6&lt;&gt;"",IPMT($K$6/$K$8,$D6,$K$9,-$K$4),"")</f>
        <v>4893000</v>
      </c>
      <c r="G6" s="17">
        <f t="shared" ref="G6:G37" si="1">IF(D6&lt;&gt;"",PPMT($K$6/$K$8,$D6,$K$9,-$K$4),"")</f>
        <v>5068818.7131807264</v>
      </c>
      <c r="H6" s="17">
        <f>IF(D6&lt;&gt;"",H5-G6,"")</f>
        <v>64931181.286819272</v>
      </c>
      <c r="J6" s="2" t="s">
        <v>71</v>
      </c>
      <c r="K6" s="66">
        <v>6.9900000000000004E-2</v>
      </c>
    </row>
    <row r="7" spans="4:15" x14ac:dyDescent="0.25">
      <c r="D7" s="2">
        <f t="shared" ref="D7:D70" si="2">IF(D6="","",IF((D6+1)&lt;=$K$9,D6+1,""))</f>
        <v>2</v>
      </c>
      <c r="E7" s="17">
        <f t="shared" ref="E7:E70" si="3">IF(D7 &lt;&gt;"",$K$11,"")</f>
        <v>9961818.7131807264</v>
      </c>
      <c r="F7" s="17">
        <f t="shared" si="0"/>
        <v>4538689.5719486671</v>
      </c>
      <c r="G7" s="17">
        <f t="shared" si="1"/>
        <v>5423129.1412320593</v>
      </c>
      <c r="H7" s="17">
        <f t="shared" ref="H7:H70" si="4">IF(D7&lt;&gt;"",H6-G7,"")</f>
        <v>59508052.145587213</v>
      </c>
      <c r="J7" s="2" t="s">
        <v>53</v>
      </c>
      <c r="K7" s="2" t="s">
        <v>55</v>
      </c>
    </row>
    <row r="8" spans="4:15" x14ac:dyDescent="0.25">
      <c r="D8" s="2">
        <f t="shared" si="2"/>
        <v>3</v>
      </c>
      <c r="E8" s="17">
        <f t="shared" si="3"/>
        <v>9961818.7131807264</v>
      </c>
      <c r="F8" s="17">
        <f t="shared" si="0"/>
        <v>4159612.8449765462</v>
      </c>
      <c r="G8" s="17">
        <f t="shared" si="1"/>
        <v>5802205.8682041811</v>
      </c>
      <c r="H8" s="17">
        <f t="shared" si="4"/>
        <v>53705846.277383029</v>
      </c>
      <c r="J8" s="2" t="s">
        <v>51</v>
      </c>
      <c r="K8" s="2">
        <f>VLOOKUP(K7,$N$1:$O$2,2,0)</f>
        <v>1</v>
      </c>
    </row>
    <row r="9" spans="4:15" x14ac:dyDescent="0.25">
      <c r="D9" s="2">
        <f t="shared" si="2"/>
        <v>4</v>
      </c>
      <c r="E9" s="17">
        <f t="shared" si="3"/>
        <v>9961818.7131807264</v>
      </c>
      <c r="F9" s="17">
        <f t="shared" si="0"/>
        <v>3754038.6547890739</v>
      </c>
      <c r="G9" s="17">
        <f t="shared" si="1"/>
        <v>6207780.058391653</v>
      </c>
      <c r="H9" s="17">
        <f t="shared" si="4"/>
        <v>47498066.218991376</v>
      </c>
      <c r="J9" s="2" t="s">
        <v>52</v>
      </c>
      <c r="K9" s="2">
        <f>K5*K8</f>
        <v>10</v>
      </c>
    </row>
    <row r="10" spans="4:15" x14ac:dyDescent="0.25">
      <c r="D10" s="2">
        <f t="shared" si="2"/>
        <v>5</v>
      </c>
      <c r="E10" s="17">
        <f t="shared" si="3"/>
        <v>9961818.7131807264</v>
      </c>
      <c r="F10" s="17">
        <f t="shared" si="0"/>
        <v>3320114.828707498</v>
      </c>
      <c r="G10" s="17">
        <f t="shared" si="1"/>
        <v>6641703.8844732288</v>
      </c>
      <c r="H10" s="17">
        <f t="shared" si="4"/>
        <v>40856362.334518149</v>
      </c>
      <c r="J10" s="2"/>
      <c r="K10" s="2"/>
    </row>
    <row r="11" spans="4:15" x14ac:dyDescent="0.25">
      <c r="D11" s="2">
        <f t="shared" si="2"/>
        <v>6</v>
      </c>
      <c r="E11" s="17">
        <f t="shared" si="3"/>
        <v>9961818.7131807264</v>
      </c>
      <c r="F11" s="17">
        <f t="shared" si="0"/>
        <v>2855859.7271828186</v>
      </c>
      <c r="G11" s="17">
        <f t="shared" si="1"/>
        <v>7105958.9859979069</v>
      </c>
      <c r="H11" s="17">
        <f t="shared" si="4"/>
        <v>33750403.348520242</v>
      </c>
      <c r="J11" s="2" t="s">
        <v>56</v>
      </c>
      <c r="K11" s="17">
        <f>PMT($K$6/K8,K9,-K4)</f>
        <v>9961818.7131807264</v>
      </c>
    </row>
    <row r="12" spans="4:15" x14ac:dyDescent="0.25">
      <c r="D12" s="2">
        <f t="shared" si="2"/>
        <v>7</v>
      </c>
      <c r="E12" s="17">
        <f t="shared" si="3"/>
        <v>9961818.7131807264</v>
      </c>
      <c r="F12" s="17">
        <f t="shared" si="0"/>
        <v>2359153.1940615657</v>
      </c>
      <c r="G12" s="17">
        <f t="shared" si="1"/>
        <v>7602665.5191191612</v>
      </c>
      <c r="H12" s="17">
        <f t="shared" si="4"/>
        <v>26147737.82940108</v>
      </c>
    </row>
    <row r="13" spans="4:15" x14ac:dyDescent="0.25">
      <c r="D13" s="2">
        <f t="shared" si="2"/>
        <v>8</v>
      </c>
      <c r="E13" s="17">
        <f t="shared" si="3"/>
        <v>9961818.7131807264</v>
      </c>
      <c r="F13" s="17">
        <f t="shared" si="0"/>
        <v>1827726.8742751363</v>
      </c>
      <c r="G13" s="17">
        <f t="shared" si="1"/>
        <v>8134091.8389055906</v>
      </c>
      <c r="H13" s="17">
        <f t="shared" si="4"/>
        <v>18013645.990495488</v>
      </c>
    </row>
    <row r="14" spans="4:15" x14ac:dyDescent="0.25">
      <c r="D14" s="2">
        <f t="shared" si="2"/>
        <v>9</v>
      </c>
      <c r="E14" s="17">
        <f t="shared" si="3"/>
        <v>9961818.7131807264</v>
      </c>
      <c r="F14" s="17">
        <f t="shared" si="0"/>
        <v>1259153.8547356352</v>
      </c>
      <c r="G14" s="17">
        <f t="shared" si="1"/>
        <v>8702664.858445093</v>
      </c>
      <c r="H14" s="17">
        <f t="shared" si="4"/>
        <v>9310981.132050395</v>
      </c>
    </row>
    <row r="15" spans="4:15" x14ac:dyDescent="0.25">
      <c r="D15" s="2">
        <f t="shared" si="2"/>
        <v>10</v>
      </c>
      <c r="E15" s="17">
        <f t="shared" si="3"/>
        <v>9961818.7131807264</v>
      </c>
      <c r="F15" s="17">
        <f t="shared" si="0"/>
        <v>650837.58113032312</v>
      </c>
      <c r="G15" s="17">
        <f t="shared" si="1"/>
        <v>9310981.1320504025</v>
      </c>
      <c r="H15" s="17">
        <f t="shared" si="4"/>
        <v>-7.4505805969238281E-9</v>
      </c>
      <c r="J15" s="26"/>
    </row>
    <row r="16" spans="4:15" x14ac:dyDescent="0.25">
      <c r="D16" s="2" t="str">
        <f t="shared" si="2"/>
        <v/>
      </c>
      <c r="E16" s="17" t="str">
        <f t="shared" si="3"/>
        <v/>
      </c>
      <c r="F16" s="17" t="str">
        <f t="shared" si="0"/>
        <v/>
      </c>
      <c r="G16" s="17" t="str">
        <f t="shared" si="1"/>
        <v/>
      </c>
      <c r="H16" s="17" t="str">
        <f t="shared" si="4"/>
        <v/>
      </c>
    </row>
    <row r="17" spans="4:8" x14ac:dyDescent="0.25">
      <c r="D17" s="2" t="str">
        <f t="shared" si="2"/>
        <v/>
      </c>
      <c r="E17" s="17" t="str">
        <f t="shared" si="3"/>
        <v/>
      </c>
      <c r="F17" s="17" t="str">
        <f t="shared" si="0"/>
        <v/>
      </c>
      <c r="G17" s="17" t="str">
        <f t="shared" si="1"/>
        <v/>
      </c>
      <c r="H17" s="17" t="str">
        <f t="shared" si="4"/>
        <v/>
      </c>
    </row>
    <row r="18" spans="4:8" x14ac:dyDescent="0.25">
      <c r="D18" s="2" t="str">
        <f t="shared" si="2"/>
        <v/>
      </c>
      <c r="E18" s="17" t="str">
        <f t="shared" si="3"/>
        <v/>
      </c>
      <c r="F18" s="17" t="str">
        <f t="shared" si="0"/>
        <v/>
      </c>
      <c r="G18" s="17" t="str">
        <f t="shared" si="1"/>
        <v/>
      </c>
      <c r="H18" s="17" t="str">
        <f t="shared" si="4"/>
        <v/>
      </c>
    </row>
    <row r="19" spans="4:8" x14ac:dyDescent="0.25">
      <c r="D19" s="2" t="str">
        <f t="shared" si="2"/>
        <v/>
      </c>
      <c r="E19" s="17" t="str">
        <f t="shared" si="3"/>
        <v/>
      </c>
      <c r="F19" s="17" t="str">
        <f t="shared" si="0"/>
        <v/>
      </c>
      <c r="G19" s="17" t="str">
        <f t="shared" si="1"/>
        <v/>
      </c>
      <c r="H19" s="17" t="str">
        <f t="shared" si="4"/>
        <v/>
      </c>
    </row>
    <row r="20" spans="4:8" x14ac:dyDescent="0.25">
      <c r="D20" s="2" t="str">
        <f t="shared" si="2"/>
        <v/>
      </c>
      <c r="E20" s="17" t="str">
        <f t="shared" si="3"/>
        <v/>
      </c>
      <c r="F20" s="17" t="str">
        <f t="shared" si="0"/>
        <v/>
      </c>
      <c r="G20" s="17" t="str">
        <f t="shared" si="1"/>
        <v/>
      </c>
      <c r="H20" s="17" t="str">
        <f t="shared" si="4"/>
        <v/>
      </c>
    </row>
    <row r="21" spans="4:8" x14ac:dyDescent="0.25">
      <c r="D21" s="2" t="str">
        <f t="shared" si="2"/>
        <v/>
      </c>
      <c r="E21" s="17" t="str">
        <f t="shared" si="3"/>
        <v/>
      </c>
      <c r="F21" s="17" t="str">
        <f t="shared" si="0"/>
        <v/>
      </c>
      <c r="G21" s="17" t="str">
        <f t="shared" si="1"/>
        <v/>
      </c>
      <c r="H21" s="17" t="str">
        <f t="shared" si="4"/>
        <v/>
      </c>
    </row>
    <row r="22" spans="4:8" x14ac:dyDescent="0.25">
      <c r="D22" s="2" t="str">
        <f t="shared" si="2"/>
        <v/>
      </c>
      <c r="E22" s="17" t="str">
        <f t="shared" si="3"/>
        <v/>
      </c>
      <c r="F22" s="17" t="str">
        <f t="shared" si="0"/>
        <v/>
      </c>
      <c r="G22" s="17" t="str">
        <f t="shared" si="1"/>
        <v/>
      </c>
      <c r="H22" s="17" t="str">
        <f t="shared" si="4"/>
        <v/>
      </c>
    </row>
    <row r="23" spans="4:8" x14ac:dyDescent="0.25">
      <c r="D23" s="2" t="str">
        <f t="shared" si="2"/>
        <v/>
      </c>
      <c r="E23" s="17" t="str">
        <f t="shared" si="3"/>
        <v/>
      </c>
      <c r="F23" s="17" t="str">
        <f t="shared" si="0"/>
        <v/>
      </c>
      <c r="G23" s="17" t="str">
        <f t="shared" si="1"/>
        <v/>
      </c>
      <c r="H23" s="17" t="str">
        <f t="shared" si="4"/>
        <v/>
      </c>
    </row>
    <row r="24" spans="4:8" x14ac:dyDescent="0.25">
      <c r="D24" s="2" t="str">
        <f t="shared" si="2"/>
        <v/>
      </c>
      <c r="E24" s="17" t="str">
        <f t="shared" si="3"/>
        <v/>
      </c>
      <c r="F24" s="17" t="str">
        <f t="shared" si="0"/>
        <v/>
      </c>
      <c r="G24" s="17" t="str">
        <f t="shared" si="1"/>
        <v/>
      </c>
      <c r="H24" s="17" t="str">
        <f t="shared" si="4"/>
        <v/>
      </c>
    </row>
    <row r="25" spans="4:8" x14ac:dyDescent="0.25">
      <c r="D25" s="2" t="str">
        <f t="shared" si="2"/>
        <v/>
      </c>
      <c r="E25" s="17" t="str">
        <f t="shared" si="3"/>
        <v/>
      </c>
      <c r="F25" s="17" t="str">
        <f t="shared" si="0"/>
        <v/>
      </c>
      <c r="G25" s="17" t="str">
        <f t="shared" si="1"/>
        <v/>
      </c>
      <c r="H25" s="17" t="str">
        <f t="shared" si="4"/>
        <v/>
      </c>
    </row>
    <row r="26" spans="4:8" x14ac:dyDescent="0.25">
      <c r="D26" s="2" t="str">
        <f t="shared" si="2"/>
        <v/>
      </c>
      <c r="E26" s="17" t="str">
        <f t="shared" si="3"/>
        <v/>
      </c>
      <c r="F26" s="17" t="str">
        <f t="shared" si="0"/>
        <v/>
      </c>
      <c r="G26" s="17" t="str">
        <f t="shared" si="1"/>
        <v/>
      </c>
      <c r="H26" s="17" t="str">
        <f t="shared" si="4"/>
        <v/>
      </c>
    </row>
    <row r="27" spans="4:8" x14ac:dyDescent="0.25">
      <c r="D27" s="2" t="str">
        <f t="shared" si="2"/>
        <v/>
      </c>
      <c r="E27" s="17" t="str">
        <f t="shared" si="3"/>
        <v/>
      </c>
      <c r="F27" s="17" t="str">
        <f t="shared" si="0"/>
        <v/>
      </c>
      <c r="G27" s="17" t="str">
        <f t="shared" si="1"/>
        <v/>
      </c>
      <c r="H27" s="17" t="str">
        <f t="shared" si="4"/>
        <v/>
      </c>
    </row>
    <row r="28" spans="4:8" x14ac:dyDescent="0.25">
      <c r="D28" s="2" t="str">
        <f t="shared" si="2"/>
        <v/>
      </c>
      <c r="E28" s="17" t="str">
        <f t="shared" si="3"/>
        <v/>
      </c>
      <c r="F28" s="17" t="str">
        <f t="shared" si="0"/>
        <v/>
      </c>
      <c r="G28" s="17" t="str">
        <f t="shared" si="1"/>
        <v/>
      </c>
      <c r="H28" s="17" t="str">
        <f t="shared" si="4"/>
        <v/>
      </c>
    </row>
    <row r="29" spans="4:8" x14ac:dyDescent="0.25">
      <c r="D29" s="2" t="str">
        <f t="shared" si="2"/>
        <v/>
      </c>
      <c r="E29" s="17" t="str">
        <f t="shared" si="3"/>
        <v/>
      </c>
      <c r="F29" s="17" t="str">
        <f t="shared" si="0"/>
        <v/>
      </c>
      <c r="G29" s="17" t="str">
        <f t="shared" si="1"/>
        <v/>
      </c>
      <c r="H29" s="17" t="str">
        <f t="shared" si="4"/>
        <v/>
      </c>
    </row>
    <row r="30" spans="4:8" x14ac:dyDescent="0.25">
      <c r="D30" s="2" t="str">
        <f t="shared" si="2"/>
        <v/>
      </c>
      <c r="E30" s="17" t="str">
        <f t="shared" si="3"/>
        <v/>
      </c>
      <c r="F30" s="17" t="str">
        <f t="shared" si="0"/>
        <v/>
      </c>
      <c r="G30" s="17" t="str">
        <f t="shared" si="1"/>
        <v/>
      </c>
      <c r="H30" s="17" t="str">
        <f t="shared" si="4"/>
        <v/>
      </c>
    </row>
    <row r="31" spans="4:8" x14ac:dyDescent="0.25">
      <c r="D31" s="2" t="str">
        <f t="shared" si="2"/>
        <v/>
      </c>
      <c r="E31" s="17" t="str">
        <f t="shared" si="3"/>
        <v/>
      </c>
      <c r="F31" s="17" t="str">
        <f t="shared" si="0"/>
        <v/>
      </c>
      <c r="G31" s="17" t="str">
        <f t="shared" si="1"/>
        <v/>
      </c>
      <c r="H31" s="17" t="str">
        <f t="shared" si="4"/>
        <v/>
      </c>
    </row>
    <row r="32" spans="4:8" x14ac:dyDescent="0.25">
      <c r="D32" s="2" t="str">
        <f t="shared" si="2"/>
        <v/>
      </c>
      <c r="E32" s="17" t="str">
        <f t="shared" si="3"/>
        <v/>
      </c>
      <c r="F32" s="17" t="str">
        <f t="shared" si="0"/>
        <v/>
      </c>
      <c r="G32" s="17" t="str">
        <f t="shared" si="1"/>
        <v/>
      </c>
      <c r="H32" s="17" t="str">
        <f t="shared" si="4"/>
        <v/>
      </c>
    </row>
    <row r="33" spans="4:8" x14ac:dyDescent="0.25">
      <c r="D33" s="2" t="str">
        <f t="shared" si="2"/>
        <v/>
      </c>
      <c r="E33" s="17" t="str">
        <f t="shared" si="3"/>
        <v/>
      </c>
      <c r="F33" s="17" t="str">
        <f t="shared" si="0"/>
        <v/>
      </c>
      <c r="G33" s="17" t="str">
        <f t="shared" si="1"/>
        <v/>
      </c>
      <c r="H33" s="17" t="str">
        <f t="shared" si="4"/>
        <v/>
      </c>
    </row>
    <row r="34" spans="4:8" x14ac:dyDescent="0.25">
      <c r="D34" s="2" t="str">
        <f t="shared" si="2"/>
        <v/>
      </c>
      <c r="E34" s="17" t="str">
        <f t="shared" si="3"/>
        <v/>
      </c>
      <c r="F34" s="17" t="str">
        <f t="shared" si="0"/>
        <v/>
      </c>
      <c r="G34" s="17" t="str">
        <f t="shared" si="1"/>
        <v/>
      </c>
      <c r="H34" s="17" t="str">
        <f t="shared" si="4"/>
        <v/>
      </c>
    </row>
    <row r="35" spans="4:8" x14ac:dyDescent="0.25">
      <c r="D35" s="2" t="str">
        <f t="shared" si="2"/>
        <v/>
      </c>
      <c r="E35" s="17" t="str">
        <f t="shared" si="3"/>
        <v/>
      </c>
      <c r="F35" s="17" t="str">
        <f t="shared" si="0"/>
        <v/>
      </c>
      <c r="G35" s="17" t="str">
        <f t="shared" si="1"/>
        <v/>
      </c>
      <c r="H35" s="17" t="str">
        <f t="shared" si="4"/>
        <v/>
      </c>
    </row>
    <row r="36" spans="4:8" x14ac:dyDescent="0.25">
      <c r="D36" s="2" t="str">
        <f t="shared" si="2"/>
        <v/>
      </c>
      <c r="E36" s="17" t="str">
        <f t="shared" si="3"/>
        <v/>
      </c>
      <c r="F36" s="17" t="str">
        <f t="shared" si="0"/>
        <v/>
      </c>
      <c r="G36" s="17" t="str">
        <f t="shared" si="1"/>
        <v/>
      </c>
      <c r="H36" s="17" t="str">
        <f t="shared" si="4"/>
        <v/>
      </c>
    </row>
    <row r="37" spans="4:8" x14ac:dyDescent="0.25">
      <c r="D37" s="2" t="str">
        <f t="shared" si="2"/>
        <v/>
      </c>
      <c r="E37" s="17" t="str">
        <f t="shared" si="3"/>
        <v/>
      </c>
      <c r="F37" s="17" t="str">
        <f t="shared" si="0"/>
        <v/>
      </c>
      <c r="G37" s="17" t="str">
        <f t="shared" si="1"/>
        <v/>
      </c>
      <c r="H37" s="17" t="str">
        <f t="shared" si="4"/>
        <v/>
      </c>
    </row>
    <row r="38" spans="4:8" x14ac:dyDescent="0.25">
      <c r="D38" s="2" t="str">
        <f t="shared" si="2"/>
        <v/>
      </c>
      <c r="E38" s="17" t="str">
        <f t="shared" si="3"/>
        <v/>
      </c>
      <c r="F38" s="17" t="str">
        <f t="shared" ref="F38:F69" si="5">IF(D38&lt;&gt;"",IPMT($K$6/$K$8,$D38,$K$9,-$K$4),"")</f>
        <v/>
      </c>
      <c r="G38" s="17" t="str">
        <f t="shared" ref="G38:G69" si="6">IF(D38&lt;&gt;"",PPMT($K$6/$K$8,$D38,$K$9,-$K$4),"")</f>
        <v/>
      </c>
      <c r="H38" s="17" t="str">
        <f t="shared" si="4"/>
        <v/>
      </c>
    </row>
    <row r="39" spans="4:8" x14ac:dyDescent="0.25">
      <c r="D39" s="2" t="str">
        <f t="shared" si="2"/>
        <v/>
      </c>
      <c r="E39" s="17" t="str">
        <f t="shared" si="3"/>
        <v/>
      </c>
      <c r="F39" s="17" t="str">
        <f t="shared" si="5"/>
        <v/>
      </c>
      <c r="G39" s="17" t="str">
        <f t="shared" si="6"/>
        <v/>
      </c>
      <c r="H39" s="17" t="str">
        <f t="shared" si="4"/>
        <v/>
      </c>
    </row>
    <row r="40" spans="4:8" x14ac:dyDescent="0.25">
      <c r="D40" s="2" t="str">
        <f t="shared" si="2"/>
        <v/>
      </c>
      <c r="E40" s="17" t="str">
        <f t="shared" si="3"/>
        <v/>
      </c>
      <c r="F40" s="17" t="str">
        <f t="shared" si="5"/>
        <v/>
      </c>
      <c r="G40" s="17" t="str">
        <f t="shared" si="6"/>
        <v/>
      </c>
      <c r="H40" s="17" t="str">
        <f t="shared" si="4"/>
        <v/>
      </c>
    </row>
    <row r="41" spans="4:8" x14ac:dyDescent="0.25">
      <c r="D41" t="str">
        <f t="shared" si="2"/>
        <v/>
      </c>
      <c r="E41" s="16" t="str">
        <f t="shared" si="3"/>
        <v/>
      </c>
      <c r="F41" s="16" t="str">
        <f t="shared" si="5"/>
        <v/>
      </c>
      <c r="G41" s="16" t="str">
        <f t="shared" si="6"/>
        <v/>
      </c>
      <c r="H41" s="16" t="str">
        <f t="shared" si="4"/>
        <v/>
      </c>
    </row>
    <row r="42" spans="4:8" x14ac:dyDescent="0.25">
      <c r="D42" t="str">
        <f t="shared" si="2"/>
        <v/>
      </c>
      <c r="E42" s="16" t="str">
        <f t="shared" si="3"/>
        <v/>
      </c>
      <c r="F42" s="16" t="str">
        <f t="shared" si="5"/>
        <v/>
      </c>
      <c r="G42" s="16" t="str">
        <f t="shared" si="6"/>
        <v/>
      </c>
      <c r="H42" s="16" t="str">
        <f t="shared" si="4"/>
        <v/>
      </c>
    </row>
    <row r="43" spans="4:8" x14ac:dyDescent="0.25">
      <c r="D43" t="str">
        <f t="shared" si="2"/>
        <v/>
      </c>
      <c r="E43" s="16" t="str">
        <f t="shared" si="3"/>
        <v/>
      </c>
      <c r="F43" s="16" t="str">
        <f t="shared" si="5"/>
        <v/>
      </c>
      <c r="G43" s="16" t="str">
        <f t="shared" si="6"/>
        <v/>
      </c>
      <c r="H43" s="16" t="str">
        <f t="shared" si="4"/>
        <v/>
      </c>
    </row>
    <row r="44" spans="4:8" x14ac:dyDescent="0.25">
      <c r="D44" t="str">
        <f t="shared" si="2"/>
        <v/>
      </c>
      <c r="E44" s="16" t="str">
        <f t="shared" si="3"/>
        <v/>
      </c>
      <c r="F44" s="16" t="str">
        <f t="shared" si="5"/>
        <v/>
      </c>
      <c r="G44" s="16" t="str">
        <f t="shared" si="6"/>
        <v/>
      </c>
      <c r="H44" s="16" t="str">
        <f t="shared" si="4"/>
        <v/>
      </c>
    </row>
    <row r="45" spans="4:8" x14ac:dyDescent="0.25">
      <c r="D45" t="str">
        <f t="shared" si="2"/>
        <v/>
      </c>
      <c r="E45" s="16" t="str">
        <f t="shared" si="3"/>
        <v/>
      </c>
      <c r="F45" s="16" t="str">
        <f t="shared" si="5"/>
        <v/>
      </c>
      <c r="G45" s="16" t="str">
        <f t="shared" si="6"/>
        <v/>
      </c>
      <c r="H45" s="16" t="str">
        <f t="shared" si="4"/>
        <v/>
      </c>
    </row>
    <row r="46" spans="4:8" x14ac:dyDescent="0.25">
      <c r="D46" t="str">
        <f t="shared" si="2"/>
        <v/>
      </c>
      <c r="E46" s="16" t="str">
        <f t="shared" si="3"/>
        <v/>
      </c>
      <c r="F46" s="16" t="str">
        <f t="shared" si="5"/>
        <v/>
      </c>
      <c r="G46" s="16" t="str">
        <f t="shared" si="6"/>
        <v/>
      </c>
      <c r="H46" s="16" t="str">
        <f t="shared" si="4"/>
        <v/>
      </c>
    </row>
    <row r="47" spans="4:8" x14ac:dyDescent="0.25">
      <c r="D47" t="str">
        <f t="shared" si="2"/>
        <v/>
      </c>
      <c r="E47" s="16" t="str">
        <f t="shared" si="3"/>
        <v/>
      </c>
      <c r="F47" s="16" t="str">
        <f t="shared" si="5"/>
        <v/>
      </c>
      <c r="G47" s="16" t="str">
        <f t="shared" si="6"/>
        <v/>
      </c>
      <c r="H47" s="16" t="str">
        <f t="shared" si="4"/>
        <v/>
      </c>
    </row>
    <row r="48" spans="4:8" x14ac:dyDescent="0.25">
      <c r="D48" t="str">
        <f t="shared" si="2"/>
        <v/>
      </c>
      <c r="E48" s="16" t="str">
        <f t="shared" si="3"/>
        <v/>
      </c>
      <c r="F48" s="16" t="str">
        <f t="shared" si="5"/>
        <v/>
      </c>
      <c r="G48" s="16" t="str">
        <f t="shared" si="6"/>
        <v/>
      </c>
      <c r="H48" s="16" t="str">
        <f t="shared" si="4"/>
        <v/>
      </c>
    </row>
    <row r="49" spans="4:8" x14ac:dyDescent="0.25">
      <c r="D49" t="str">
        <f t="shared" si="2"/>
        <v/>
      </c>
      <c r="E49" s="16" t="str">
        <f t="shared" si="3"/>
        <v/>
      </c>
      <c r="F49" s="16" t="str">
        <f t="shared" si="5"/>
        <v/>
      </c>
      <c r="G49" s="16" t="str">
        <f t="shared" si="6"/>
        <v/>
      </c>
      <c r="H49" s="16" t="str">
        <f t="shared" si="4"/>
        <v/>
      </c>
    </row>
    <row r="50" spans="4:8" x14ac:dyDescent="0.25">
      <c r="D50" t="str">
        <f t="shared" si="2"/>
        <v/>
      </c>
      <c r="E50" s="16" t="str">
        <f t="shared" si="3"/>
        <v/>
      </c>
      <c r="F50" s="16" t="str">
        <f t="shared" si="5"/>
        <v/>
      </c>
      <c r="G50" s="16" t="str">
        <f t="shared" si="6"/>
        <v/>
      </c>
      <c r="H50" s="16" t="str">
        <f t="shared" si="4"/>
        <v/>
      </c>
    </row>
    <row r="51" spans="4:8" x14ac:dyDescent="0.25">
      <c r="D51" t="str">
        <f t="shared" si="2"/>
        <v/>
      </c>
      <c r="E51" s="16" t="str">
        <f t="shared" si="3"/>
        <v/>
      </c>
      <c r="F51" s="16" t="str">
        <f t="shared" si="5"/>
        <v/>
      </c>
      <c r="G51" s="16" t="str">
        <f t="shared" si="6"/>
        <v/>
      </c>
      <c r="H51" s="16" t="str">
        <f t="shared" si="4"/>
        <v/>
      </c>
    </row>
    <row r="52" spans="4:8" x14ac:dyDescent="0.25">
      <c r="D52" t="str">
        <f t="shared" si="2"/>
        <v/>
      </c>
      <c r="E52" s="16" t="str">
        <f t="shared" si="3"/>
        <v/>
      </c>
      <c r="F52" s="16" t="str">
        <f t="shared" si="5"/>
        <v/>
      </c>
      <c r="G52" s="16" t="str">
        <f t="shared" si="6"/>
        <v/>
      </c>
      <c r="H52" s="16" t="str">
        <f t="shared" si="4"/>
        <v/>
      </c>
    </row>
    <row r="53" spans="4:8" x14ac:dyDescent="0.25">
      <c r="D53" t="str">
        <f t="shared" si="2"/>
        <v/>
      </c>
      <c r="E53" s="16" t="str">
        <f t="shared" si="3"/>
        <v/>
      </c>
      <c r="F53" s="16" t="str">
        <f t="shared" si="5"/>
        <v/>
      </c>
      <c r="G53" s="16" t="str">
        <f t="shared" si="6"/>
        <v/>
      </c>
      <c r="H53" s="16" t="str">
        <f t="shared" si="4"/>
        <v/>
      </c>
    </row>
    <row r="54" spans="4:8" x14ac:dyDescent="0.25">
      <c r="D54" t="str">
        <f t="shared" si="2"/>
        <v/>
      </c>
      <c r="E54" s="16" t="str">
        <f t="shared" si="3"/>
        <v/>
      </c>
      <c r="F54" s="16" t="str">
        <f t="shared" si="5"/>
        <v/>
      </c>
      <c r="G54" s="16" t="str">
        <f t="shared" si="6"/>
        <v/>
      </c>
      <c r="H54" s="16" t="str">
        <f t="shared" si="4"/>
        <v/>
      </c>
    </row>
    <row r="55" spans="4:8" x14ac:dyDescent="0.25">
      <c r="D55" t="str">
        <f t="shared" si="2"/>
        <v/>
      </c>
      <c r="E55" s="16" t="str">
        <f t="shared" si="3"/>
        <v/>
      </c>
      <c r="F55" s="16" t="str">
        <f t="shared" si="5"/>
        <v/>
      </c>
      <c r="G55" s="16" t="str">
        <f t="shared" si="6"/>
        <v/>
      </c>
      <c r="H55" s="16" t="str">
        <f t="shared" si="4"/>
        <v/>
      </c>
    </row>
    <row r="56" spans="4:8" x14ac:dyDescent="0.25">
      <c r="D56" t="str">
        <f t="shared" si="2"/>
        <v/>
      </c>
      <c r="E56" s="16" t="str">
        <f t="shared" si="3"/>
        <v/>
      </c>
      <c r="F56" s="16" t="str">
        <f t="shared" si="5"/>
        <v/>
      </c>
      <c r="G56" s="16" t="str">
        <f t="shared" si="6"/>
        <v/>
      </c>
      <c r="H56" s="16" t="str">
        <f t="shared" si="4"/>
        <v/>
      </c>
    </row>
    <row r="57" spans="4:8" x14ac:dyDescent="0.25">
      <c r="D57" t="str">
        <f t="shared" si="2"/>
        <v/>
      </c>
      <c r="E57" s="16" t="str">
        <f t="shared" si="3"/>
        <v/>
      </c>
      <c r="F57" s="16" t="str">
        <f t="shared" si="5"/>
        <v/>
      </c>
      <c r="G57" s="16" t="str">
        <f t="shared" si="6"/>
        <v/>
      </c>
      <c r="H57" s="16" t="str">
        <f t="shared" si="4"/>
        <v/>
      </c>
    </row>
    <row r="58" spans="4:8" x14ac:dyDescent="0.25">
      <c r="D58" t="str">
        <f t="shared" si="2"/>
        <v/>
      </c>
      <c r="E58" s="16" t="str">
        <f t="shared" si="3"/>
        <v/>
      </c>
      <c r="F58" s="16" t="str">
        <f t="shared" si="5"/>
        <v/>
      </c>
      <c r="G58" s="16" t="str">
        <f t="shared" si="6"/>
        <v/>
      </c>
      <c r="H58" s="16" t="str">
        <f t="shared" si="4"/>
        <v/>
      </c>
    </row>
    <row r="59" spans="4:8" x14ac:dyDescent="0.25">
      <c r="D59" t="str">
        <f t="shared" si="2"/>
        <v/>
      </c>
      <c r="E59" s="16" t="str">
        <f t="shared" si="3"/>
        <v/>
      </c>
      <c r="F59" s="16" t="str">
        <f t="shared" si="5"/>
        <v/>
      </c>
      <c r="G59" s="16" t="str">
        <f t="shared" si="6"/>
        <v/>
      </c>
      <c r="H59" s="16" t="str">
        <f t="shared" si="4"/>
        <v/>
      </c>
    </row>
    <row r="60" spans="4:8" x14ac:dyDescent="0.25">
      <c r="D60" t="str">
        <f t="shared" si="2"/>
        <v/>
      </c>
      <c r="E60" s="16" t="str">
        <f t="shared" si="3"/>
        <v/>
      </c>
      <c r="F60" s="16" t="str">
        <f t="shared" si="5"/>
        <v/>
      </c>
      <c r="G60" s="16" t="str">
        <f t="shared" si="6"/>
        <v/>
      </c>
      <c r="H60" s="16" t="str">
        <f t="shared" si="4"/>
        <v/>
      </c>
    </row>
    <row r="61" spans="4:8" x14ac:dyDescent="0.25">
      <c r="D61" t="str">
        <f t="shared" si="2"/>
        <v/>
      </c>
      <c r="E61" s="16" t="str">
        <f t="shared" si="3"/>
        <v/>
      </c>
      <c r="F61" s="16" t="str">
        <f t="shared" si="5"/>
        <v/>
      </c>
      <c r="G61" s="16" t="str">
        <f t="shared" si="6"/>
        <v/>
      </c>
      <c r="H61" s="16" t="str">
        <f t="shared" si="4"/>
        <v/>
      </c>
    </row>
    <row r="62" spans="4:8" x14ac:dyDescent="0.25">
      <c r="D62" t="str">
        <f t="shared" si="2"/>
        <v/>
      </c>
      <c r="E62" s="16" t="str">
        <f t="shared" si="3"/>
        <v/>
      </c>
      <c r="F62" s="16" t="str">
        <f t="shared" si="5"/>
        <v/>
      </c>
      <c r="G62" s="16" t="str">
        <f t="shared" si="6"/>
        <v/>
      </c>
      <c r="H62" s="16" t="str">
        <f t="shared" si="4"/>
        <v/>
      </c>
    </row>
    <row r="63" spans="4:8" x14ac:dyDescent="0.25">
      <c r="D63" t="str">
        <f t="shared" si="2"/>
        <v/>
      </c>
      <c r="E63" s="16" t="str">
        <f t="shared" si="3"/>
        <v/>
      </c>
      <c r="F63" s="16" t="str">
        <f t="shared" si="5"/>
        <v/>
      </c>
      <c r="G63" s="16" t="str">
        <f t="shared" si="6"/>
        <v/>
      </c>
      <c r="H63" s="16" t="str">
        <f t="shared" si="4"/>
        <v/>
      </c>
    </row>
    <row r="64" spans="4:8" x14ac:dyDescent="0.25">
      <c r="D64" t="str">
        <f t="shared" si="2"/>
        <v/>
      </c>
      <c r="E64" s="16" t="str">
        <f t="shared" si="3"/>
        <v/>
      </c>
      <c r="F64" s="16" t="str">
        <f t="shared" si="5"/>
        <v/>
      </c>
      <c r="G64" s="16" t="str">
        <f t="shared" si="6"/>
        <v/>
      </c>
      <c r="H64" s="16" t="str">
        <f t="shared" si="4"/>
        <v/>
      </c>
    </row>
    <row r="65" spans="4:8" x14ac:dyDescent="0.25">
      <c r="D65" t="str">
        <f t="shared" si="2"/>
        <v/>
      </c>
      <c r="E65" s="16" t="str">
        <f t="shared" si="3"/>
        <v/>
      </c>
      <c r="F65" s="16" t="str">
        <f t="shared" si="5"/>
        <v/>
      </c>
      <c r="G65" s="16" t="str">
        <f t="shared" si="6"/>
        <v/>
      </c>
      <c r="H65" s="16" t="str">
        <f t="shared" si="4"/>
        <v/>
      </c>
    </row>
    <row r="66" spans="4:8" x14ac:dyDescent="0.25">
      <c r="D66" t="str">
        <f t="shared" si="2"/>
        <v/>
      </c>
      <c r="E66" s="16" t="str">
        <f t="shared" si="3"/>
        <v/>
      </c>
      <c r="F66" s="16" t="str">
        <f t="shared" si="5"/>
        <v/>
      </c>
      <c r="G66" s="16" t="str">
        <f t="shared" si="6"/>
        <v/>
      </c>
      <c r="H66" s="16" t="str">
        <f t="shared" si="4"/>
        <v/>
      </c>
    </row>
    <row r="67" spans="4:8" x14ac:dyDescent="0.25">
      <c r="D67" t="str">
        <f t="shared" si="2"/>
        <v/>
      </c>
      <c r="E67" s="16" t="str">
        <f t="shared" si="3"/>
        <v/>
      </c>
      <c r="F67" s="16" t="str">
        <f t="shared" si="5"/>
        <v/>
      </c>
      <c r="G67" s="16" t="str">
        <f t="shared" si="6"/>
        <v/>
      </c>
      <c r="H67" s="16" t="str">
        <f t="shared" si="4"/>
        <v/>
      </c>
    </row>
    <row r="68" spans="4:8" x14ac:dyDescent="0.25">
      <c r="D68" t="str">
        <f t="shared" si="2"/>
        <v/>
      </c>
      <c r="E68" s="16" t="str">
        <f t="shared" si="3"/>
        <v/>
      </c>
      <c r="F68" s="16" t="str">
        <f t="shared" si="5"/>
        <v/>
      </c>
      <c r="G68" s="16" t="str">
        <f t="shared" si="6"/>
        <v/>
      </c>
      <c r="H68" s="16" t="str">
        <f t="shared" si="4"/>
        <v/>
      </c>
    </row>
    <row r="69" spans="4:8" x14ac:dyDescent="0.25">
      <c r="D69" t="str">
        <f t="shared" si="2"/>
        <v/>
      </c>
      <c r="E69" s="16" t="str">
        <f t="shared" si="3"/>
        <v/>
      </c>
      <c r="F69" s="16" t="str">
        <f t="shared" si="5"/>
        <v/>
      </c>
      <c r="G69" s="16" t="str">
        <f t="shared" si="6"/>
        <v/>
      </c>
      <c r="H69" s="16" t="str">
        <f t="shared" si="4"/>
        <v/>
      </c>
    </row>
    <row r="70" spans="4:8" x14ac:dyDescent="0.25">
      <c r="D70" t="str">
        <f t="shared" si="2"/>
        <v/>
      </c>
      <c r="E70" s="16" t="str">
        <f t="shared" si="3"/>
        <v/>
      </c>
      <c r="F70" s="16" t="str">
        <f t="shared" ref="F70:F101" si="7">IF(D70&lt;&gt;"",IPMT($K$6/$K$8,$D70,$K$9,-$K$4),"")</f>
        <v/>
      </c>
      <c r="G70" s="16" t="str">
        <f t="shared" ref="G70:G101" si="8">IF(D70&lt;&gt;"",PPMT($K$6/$K$8,$D70,$K$9,-$K$4),"")</f>
        <v/>
      </c>
      <c r="H70" s="16" t="str">
        <f t="shared" si="4"/>
        <v/>
      </c>
    </row>
    <row r="71" spans="4:8" x14ac:dyDescent="0.25">
      <c r="D71" t="str">
        <f t="shared" ref="D71:D128" si="9">IF(D70="","",IF((D70+1)&lt;=$K$9,D70+1,""))</f>
        <v/>
      </c>
      <c r="E71" s="16" t="str">
        <f t="shared" ref="E71:E128" si="10">IF(D71 &lt;&gt;"",$K$11,"")</f>
        <v/>
      </c>
      <c r="F71" s="16" t="str">
        <f t="shared" si="7"/>
        <v/>
      </c>
      <c r="G71" s="16" t="str">
        <f t="shared" si="8"/>
        <v/>
      </c>
      <c r="H71" s="16" t="str">
        <f t="shared" ref="H71:H128" si="11">IF(D71&lt;&gt;"",H70-G71,"")</f>
        <v/>
      </c>
    </row>
    <row r="72" spans="4:8" x14ac:dyDescent="0.25">
      <c r="D72" t="str">
        <f t="shared" si="9"/>
        <v/>
      </c>
      <c r="E72" s="16" t="str">
        <f t="shared" si="10"/>
        <v/>
      </c>
      <c r="F72" s="16" t="str">
        <f t="shared" si="7"/>
        <v/>
      </c>
      <c r="G72" s="16" t="str">
        <f t="shared" si="8"/>
        <v/>
      </c>
      <c r="H72" s="16" t="str">
        <f t="shared" si="11"/>
        <v/>
      </c>
    </row>
    <row r="73" spans="4:8" x14ac:dyDescent="0.25">
      <c r="D73" t="str">
        <f t="shared" si="9"/>
        <v/>
      </c>
      <c r="E73" s="16" t="str">
        <f t="shared" si="10"/>
        <v/>
      </c>
      <c r="F73" s="16" t="str">
        <f t="shared" si="7"/>
        <v/>
      </c>
      <c r="G73" s="16" t="str">
        <f t="shared" si="8"/>
        <v/>
      </c>
      <c r="H73" s="16" t="str">
        <f t="shared" si="11"/>
        <v/>
      </c>
    </row>
    <row r="74" spans="4:8" x14ac:dyDescent="0.25">
      <c r="D74" t="str">
        <f t="shared" si="9"/>
        <v/>
      </c>
      <c r="E74" s="16" t="str">
        <f t="shared" si="10"/>
        <v/>
      </c>
      <c r="F74" s="16" t="str">
        <f t="shared" si="7"/>
        <v/>
      </c>
      <c r="G74" s="16" t="str">
        <f t="shared" si="8"/>
        <v/>
      </c>
      <c r="H74" s="16" t="str">
        <f t="shared" si="11"/>
        <v/>
      </c>
    </row>
    <row r="75" spans="4:8" x14ac:dyDescent="0.25">
      <c r="D75" t="str">
        <f t="shared" si="9"/>
        <v/>
      </c>
      <c r="E75" s="16" t="str">
        <f t="shared" si="10"/>
        <v/>
      </c>
      <c r="F75" s="16" t="str">
        <f t="shared" si="7"/>
        <v/>
      </c>
      <c r="G75" s="16" t="str">
        <f t="shared" si="8"/>
        <v/>
      </c>
      <c r="H75" s="16" t="str">
        <f t="shared" si="11"/>
        <v/>
      </c>
    </row>
    <row r="76" spans="4:8" x14ac:dyDescent="0.25">
      <c r="D76" t="str">
        <f t="shared" si="9"/>
        <v/>
      </c>
      <c r="E76" s="16" t="str">
        <f t="shared" si="10"/>
        <v/>
      </c>
      <c r="F76" s="16" t="str">
        <f t="shared" si="7"/>
        <v/>
      </c>
      <c r="G76" s="16" t="str">
        <f t="shared" si="8"/>
        <v/>
      </c>
      <c r="H76" s="16" t="str">
        <f t="shared" si="11"/>
        <v/>
      </c>
    </row>
    <row r="77" spans="4:8" x14ac:dyDescent="0.25">
      <c r="D77" t="str">
        <f t="shared" si="9"/>
        <v/>
      </c>
      <c r="E77" s="16" t="str">
        <f t="shared" si="10"/>
        <v/>
      </c>
      <c r="F77" s="16" t="str">
        <f t="shared" si="7"/>
        <v/>
      </c>
      <c r="G77" s="16" t="str">
        <f t="shared" si="8"/>
        <v/>
      </c>
      <c r="H77" s="16" t="str">
        <f t="shared" si="11"/>
        <v/>
      </c>
    </row>
    <row r="78" spans="4:8" x14ac:dyDescent="0.25">
      <c r="D78" t="str">
        <f t="shared" si="9"/>
        <v/>
      </c>
      <c r="E78" s="16" t="str">
        <f t="shared" si="10"/>
        <v/>
      </c>
      <c r="F78" s="16" t="str">
        <f t="shared" si="7"/>
        <v/>
      </c>
      <c r="G78" s="16" t="str">
        <f t="shared" si="8"/>
        <v/>
      </c>
      <c r="H78" s="16" t="str">
        <f t="shared" si="11"/>
        <v/>
      </c>
    </row>
    <row r="79" spans="4:8" x14ac:dyDescent="0.25">
      <c r="D79" t="str">
        <f t="shared" si="9"/>
        <v/>
      </c>
      <c r="E79" s="16" t="str">
        <f t="shared" si="10"/>
        <v/>
      </c>
      <c r="F79" s="16" t="str">
        <f t="shared" si="7"/>
        <v/>
      </c>
      <c r="G79" s="16" t="str">
        <f t="shared" si="8"/>
        <v/>
      </c>
      <c r="H79" s="16" t="str">
        <f t="shared" si="11"/>
        <v/>
      </c>
    </row>
    <row r="80" spans="4:8" x14ac:dyDescent="0.25">
      <c r="D80" t="str">
        <f t="shared" si="9"/>
        <v/>
      </c>
      <c r="E80" s="16" t="str">
        <f t="shared" si="10"/>
        <v/>
      </c>
      <c r="F80" s="16" t="str">
        <f t="shared" si="7"/>
        <v/>
      </c>
      <c r="G80" s="16" t="str">
        <f t="shared" si="8"/>
        <v/>
      </c>
      <c r="H80" s="16" t="str">
        <f t="shared" si="11"/>
        <v/>
      </c>
    </row>
    <row r="81" spans="4:8" x14ac:dyDescent="0.25">
      <c r="D81" t="str">
        <f t="shared" si="9"/>
        <v/>
      </c>
      <c r="E81" s="16" t="str">
        <f t="shared" si="10"/>
        <v/>
      </c>
      <c r="F81" s="16" t="str">
        <f t="shared" si="7"/>
        <v/>
      </c>
      <c r="G81" s="16" t="str">
        <f t="shared" si="8"/>
        <v/>
      </c>
      <c r="H81" s="16" t="str">
        <f t="shared" si="11"/>
        <v/>
      </c>
    </row>
    <row r="82" spans="4:8" x14ac:dyDescent="0.25">
      <c r="D82" t="str">
        <f t="shared" si="9"/>
        <v/>
      </c>
      <c r="E82" s="16" t="str">
        <f t="shared" si="10"/>
        <v/>
      </c>
      <c r="F82" s="16" t="str">
        <f t="shared" si="7"/>
        <v/>
      </c>
      <c r="G82" s="16" t="str">
        <f t="shared" si="8"/>
        <v/>
      </c>
      <c r="H82" s="16" t="str">
        <f t="shared" si="11"/>
        <v/>
      </c>
    </row>
    <row r="83" spans="4:8" x14ac:dyDescent="0.25">
      <c r="D83" t="str">
        <f t="shared" si="9"/>
        <v/>
      </c>
      <c r="E83" s="16" t="str">
        <f t="shared" si="10"/>
        <v/>
      </c>
      <c r="F83" s="16" t="str">
        <f t="shared" si="7"/>
        <v/>
      </c>
      <c r="G83" s="16" t="str">
        <f t="shared" si="8"/>
        <v/>
      </c>
      <c r="H83" s="16" t="str">
        <f t="shared" si="11"/>
        <v/>
      </c>
    </row>
    <row r="84" spans="4:8" x14ac:dyDescent="0.25">
      <c r="D84" t="str">
        <f t="shared" si="9"/>
        <v/>
      </c>
      <c r="E84" s="16" t="str">
        <f t="shared" si="10"/>
        <v/>
      </c>
      <c r="F84" s="16" t="str">
        <f t="shared" si="7"/>
        <v/>
      </c>
      <c r="G84" s="16" t="str">
        <f t="shared" si="8"/>
        <v/>
      </c>
      <c r="H84" s="16" t="str">
        <f t="shared" si="11"/>
        <v/>
      </c>
    </row>
    <row r="85" spans="4:8" x14ac:dyDescent="0.25">
      <c r="D85" t="str">
        <f t="shared" si="9"/>
        <v/>
      </c>
      <c r="E85" s="16" t="str">
        <f t="shared" si="10"/>
        <v/>
      </c>
      <c r="F85" s="16" t="str">
        <f t="shared" si="7"/>
        <v/>
      </c>
      <c r="G85" s="16" t="str">
        <f t="shared" si="8"/>
        <v/>
      </c>
      <c r="H85" s="16" t="str">
        <f t="shared" si="11"/>
        <v/>
      </c>
    </row>
    <row r="86" spans="4:8" x14ac:dyDescent="0.25">
      <c r="D86" t="str">
        <f t="shared" si="9"/>
        <v/>
      </c>
      <c r="E86" s="16" t="str">
        <f t="shared" si="10"/>
        <v/>
      </c>
      <c r="F86" s="16" t="str">
        <f t="shared" si="7"/>
        <v/>
      </c>
      <c r="G86" s="16" t="str">
        <f t="shared" si="8"/>
        <v/>
      </c>
      <c r="H86" s="16" t="str">
        <f t="shared" si="11"/>
        <v/>
      </c>
    </row>
    <row r="87" spans="4:8" x14ac:dyDescent="0.25">
      <c r="D87" t="str">
        <f t="shared" si="9"/>
        <v/>
      </c>
      <c r="E87" s="16" t="str">
        <f t="shared" si="10"/>
        <v/>
      </c>
      <c r="F87" s="16" t="str">
        <f t="shared" si="7"/>
        <v/>
      </c>
      <c r="G87" s="16" t="str">
        <f t="shared" si="8"/>
        <v/>
      </c>
      <c r="H87" s="16" t="str">
        <f t="shared" si="11"/>
        <v/>
      </c>
    </row>
    <row r="88" spans="4:8" x14ac:dyDescent="0.25">
      <c r="D88" t="str">
        <f t="shared" si="9"/>
        <v/>
      </c>
      <c r="E88" s="16" t="str">
        <f t="shared" si="10"/>
        <v/>
      </c>
      <c r="F88" s="16" t="str">
        <f t="shared" si="7"/>
        <v/>
      </c>
      <c r="G88" s="16" t="str">
        <f t="shared" si="8"/>
        <v/>
      </c>
      <c r="H88" s="16" t="str">
        <f t="shared" si="11"/>
        <v/>
      </c>
    </row>
    <row r="89" spans="4:8" x14ac:dyDescent="0.25">
      <c r="D89" t="str">
        <f t="shared" si="9"/>
        <v/>
      </c>
      <c r="E89" s="16" t="str">
        <f t="shared" si="10"/>
        <v/>
      </c>
      <c r="F89" s="16" t="str">
        <f t="shared" si="7"/>
        <v/>
      </c>
      <c r="G89" s="16" t="str">
        <f t="shared" si="8"/>
        <v/>
      </c>
      <c r="H89" s="16" t="str">
        <f t="shared" si="11"/>
        <v/>
      </c>
    </row>
    <row r="90" spans="4:8" x14ac:dyDescent="0.25">
      <c r="D90" t="str">
        <f t="shared" si="9"/>
        <v/>
      </c>
      <c r="E90" s="16" t="str">
        <f t="shared" si="10"/>
        <v/>
      </c>
      <c r="F90" s="16" t="str">
        <f t="shared" si="7"/>
        <v/>
      </c>
      <c r="G90" s="16" t="str">
        <f t="shared" si="8"/>
        <v/>
      </c>
      <c r="H90" s="16" t="str">
        <f t="shared" si="11"/>
        <v/>
      </c>
    </row>
    <row r="91" spans="4:8" x14ac:dyDescent="0.25">
      <c r="D91" t="str">
        <f t="shared" si="9"/>
        <v/>
      </c>
      <c r="E91" s="16" t="str">
        <f t="shared" si="10"/>
        <v/>
      </c>
      <c r="F91" s="16" t="str">
        <f t="shared" si="7"/>
        <v/>
      </c>
      <c r="G91" s="16" t="str">
        <f t="shared" si="8"/>
        <v/>
      </c>
      <c r="H91" s="16" t="str">
        <f t="shared" si="11"/>
        <v/>
      </c>
    </row>
    <row r="92" spans="4:8" x14ac:dyDescent="0.25">
      <c r="D92" t="str">
        <f t="shared" si="9"/>
        <v/>
      </c>
      <c r="E92" s="16" t="str">
        <f t="shared" si="10"/>
        <v/>
      </c>
      <c r="F92" s="16" t="str">
        <f t="shared" si="7"/>
        <v/>
      </c>
      <c r="G92" s="16" t="str">
        <f t="shared" si="8"/>
        <v/>
      </c>
      <c r="H92" s="16" t="str">
        <f t="shared" si="11"/>
        <v/>
      </c>
    </row>
    <row r="93" spans="4:8" x14ac:dyDescent="0.25">
      <c r="D93" t="str">
        <f t="shared" si="9"/>
        <v/>
      </c>
      <c r="E93" s="16" t="str">
        <f t="shared" si="10"/>
        <v/>
      </c>
      <c r="F93" s="16" t="str">
        <f t="shared" si="7"/>
        <v/>
      </c>
      <c r="G93" s="16" t="str">
        <f t="shared" si="8"/>
        <v/>
      </c>
      <c r="H93" s="16" t="str">
        <f t="shared" si="11"/>
        <v/>
      </c>
    </row>
    <row r="94" spans="4:8" x14ac:dyDescent="0.25">
      <c r="D94" t="str">
        <f t="shared" si="9"/>
        <v/>
      </c>
      <c r="E94" s="16" t="str">
        <f t="shared" si="10"/>
        <v/>
      </c>
      <c r="F94" s="16" t="str">
        <f t="shared" si="7"/>
        <v/>
      </c>
      <c r="G94" s="16" t="str">
        <f t="shared" si="8"/>
        <v/>
      </c>
      <c r="H94" s="16" t="str">
        <f t="shared" si="11"/>
        <v/>
      </c>
    </row>
    <row r="95" spans="4:8" x14ac:dyDescent="0.25">
      <c r="D95" t="str">
        <f t="shared" si="9"/>
        <v/>
      </c>
      <c r="E95" s="16" t="str">
        <f t="shared" si="10"/>
        <v/>
      </c>
      <c r="F95" s="16" t="str">
        <f t="shared" si="7"/>
        <v/>
      </c>
      <c r="G95" s="16" t="str">
        <f t="shared" si="8"/>
        <v/>
      </c>
      <c r="H95" s="16" t="str">
        <f t="shared" si="11"/>
        <v/>
      </c>
    </row>
    <row r="96" spans="4:8" x14ac:dyDescent="0.25">
      <c r="D96" t="str">
        <f t="shared" si="9"/>
        <v/>
      </c>
      <c r="E96" s="16" t="str">
        <f t="shared" si="10"/>
        <v/>
      </c>
      <c r="F96" s="16" t="str">
        <f t="shared" si="7"/>
        <v/>
      </c>
      <c r="G96" s="16" t="str">
        <f t="shared" si="8"/>
        <v/>
      </c>
      <c r="H96" s="16" t="str">
        <f t="shared" si="11"/>
        <v/>
      </c>
    </row>
    <row r="97" spans="4:8" x14ac:dyDescent="0.25">
      <c r="D97" t="str">
        <f t="shared" si="9"/>
        <v/>
      </c>
      <c r="E97" s="16" t="str">
        <f t="shared" si="10"/>
        <v/>
      </c>
      <c r="F97" s="16" t="str">
        <f t="shared" si="7"/>
        <v/>
      </c>
      <c r="G97" s="16" t="str">
        <f t="shared" si="8"/>
        <v/>
      </c>
      <c r="H97" s="16" t="str">
        <f t="shared" si="11"/>
        <v/>
      </c>
    </row>
    <row r="98" spans="4:8" x14ac:dyDescent="0.25">
      <c r="D98" t="str">
        <f t="shared" si="9"/>
        <v/>
      </c>
      <c r="E98" s="16" t="str">
        <f t="shared" si="10"/>
        <v/>
      </c>
      <c r="F98" s="16" t="str">
        <f t="shared" si="7"/>
        <v/>
      </c>
      <c r="G98" s="16" t="str">
        <f t="shared" si="8"/>
        <v/>
      </c>
      <c r="H98" s="16" t="str">
        <f t="shared" si="11"/>
        <v/>
      </c>
    </row>
    <row r="99" spans="4:8" x14ac:dyDescent="0.25">
      <c r="D99" t="str">
        <f t="shared" si="9"/>
        <v/>
      </c>
      <c r="E99" s="16" t="str">
        <f t="shared" si="10"/>
        <v/>
      </c>
      <c r="F99" s="16" t="str">
        <f t="shared" si="7"/>
        <v/>
      </c>
      <c r="G99" s="16" t="str">
        <f t="shared" si="8"/>
        <v/>
      </c>
      <c r="H99" s="16" t="str">
        <f t="shared" si="11"/>
        <v/>
      </c>
    </row>
    <row r="100" spans="4:8" x14ac:dyDescent="0.25">
      <c r="D100" t="str">
        <f t="shared" si="9"/>
        <v/>
      </c>
      <c r="E100" s="16" t="str">
        <f t="shared" si="10"/>
        <v/>
      </c>
      <c r="F100" s="16" t="str">
        <f t="shared" si="7"/>
        <v/>
      </c>
      <c r="G100" s="16" t="str">
        <f t="shared" si="8"/>
        <v/>
      </c>
      <c r="H100" s="16" t="str">
        <f t="shared" si="11"/>
        <v/>
      </c>
    </row>
    <row r="101" spans="4:8" x14ac:dyDescent="0.25">
      <c r="D101" t="str">
        <f t="shared" si="9"/>
        <v/>
      </c>
      <c r="E101" s="16" t="str">
        <f t="shared" si="10"/>
        <v/>
      </c>
      <c r="F101" s="16" t="str">
        <f t="shared" si="7"/>
        <v/>
      </c>
      <c r="G101" s="16" t="str">
        <f t="shared" si="8"/>
        <v/>
      </c>
      <c r="H101" s="16" t="str">
        <f t="shared" si="11"/>
        <v/>
      </c>
    </row>
    <row r="102" spans="4:8" x14ac:dyDescent="0.25">
      <c r="D102" t="str">
        <f t="shared" si="9"/>
        <v/>
      </c>
      <c r="E102" s="16" t="str">
        <f t="shared" si="10"/>
        <v/>
      </c>
      <c r="F102" s="16" t="str">
        <f t="shared" ref="F102:F128" si="12">IF(D102&lt;&gt;"",IPMT($K$6/$K$8,$D102,$K$9,-$K$4),"")</f>
        <v/>
      </c>
      <c r="G102" s="16" t="str">
        <f t="shared" ref="G102:G128" si="13">IF(D102&lt;&gt;"",PPMT($K$6/$K$8,$D102,$K$9,-$K$4),"")</f>
        <v/>
      </c>
      <c r="H102" s="16" t="str">
        <f t="shared" si="11"/>
        <v/>
      </c>
    </row>
    <row r="103" spans="4:8" x14ac:dyDescent="0.25">
      <c r="D103" t="str">
        <f t="shared" si="9"/>
        <v/>
      </c>
      <c r="E103" s="16" t="str">
        <f t="shared" si="10"/>
        <v/>
      </c>
      <c r="F103" s="16" t="str">
        <f t="shared" si="12"/>
        <v/>
      </c>
      <c r="G103" s="16" t="str">
        <f t="shared" si="13"/>
        <v/>
      </c>
      <c r="H103" s="16" t="str">
        <f t="shared" si="11"/>
        <v/>
      </c>
    </row>
    <row r="104" spans="4:8" x14ac:dyDescent="0.25">
      <c r="D104" t="str">
        <f t="shared" si="9"/>
        <v/>
      </c>
      <c r="E104" s="16" t="str">
        <f t="shared" si="10"/>
        <v/>
      </c>
      <c r="F104" s="16" t="str">
        <f t="shared" si="12"/>
        <v/>
      </c>
      <c r="G104" s="16" t="str">
        <f t="shared" si="13"/>
        <v/>
      </c>
      <c r="H104" s="16" t="str">
        <f t="shared" si="11"/>
        <v/>
      </c>
    </row>
    <row r="105" spans="4:8" x14ac:dyDescent="0.25">
      <c r="D105" t="str">
        <f t="shared" si="9"/>
        <v/>
      </c>
      <c r="E105" s="16" t="str">
        <f t="shared" si="10"/>
        <v/>
      </c>
      <c r="F105" s="16" t="str">
        <f t="shared" si="12"/>
        <v/>
      </c>
      <c r="G105" s="16" t="str">
        <f t="shared" si="13"/>
        <v/>
      </c>
      <c r="H105" s="16" t="str">
        <f t="shared" si="11"/>
        <v/>
      </c>
    </row>
    <row r="106" spans="4:8" x14ac:dyDescent="0.25">
      <c r="D106" t="str">
        <f t="shared" si="9"/>
        <v/>
      </c>
      <c r="E106" s="16" t="str">
        <f t="shared" si="10"/>
        <v/>
      </c>
      <c r="F106" s="16" t="str">
        <f t="shared" si="12"/>
        <v/>
      </c>
      <c r="G106" s="16" t="str">
        <f t="shared" si="13"/>
        <v/>
      </c>
      <c r="H106" s="16" t="str">
        <f t="shared" si="11"/>
        <v/>
      </c>
    </row>
    <row r="107" spans="4:8" x14ac:dyDescent="0.25">
      <c r="D107" t="str">
        <f t="shared" si="9"/>
        <v/>
      </c>
      <c r="E107" s="16" t="str">
        <f t="shared" si="10"/>
        <v/>
      </c>
      <c r="F107" s="16" t="str">
        <f t="shared" si="12"/>
        <v/>
      </c>
      <c r="G107" s="16" t="str">
        <f t="shared" si="13"/>
        <v/>
      </c>
      <c r="H107" s="16" t="str">
        <f t="shared" si="11"/>
        <v/>
      </c>
    </row>
    <row r="108" spans="4:8" x14ac:dyDescent="0.25">
      <c r="D108" t="str">
        <f t="shared" si="9"/>
        <v/>
      </c>
      <c r="E108" s="16" t="str">
        <f t="shared" si="10"/>
        <v/>
      </c>
      <c r="F108" s="16" t="str">
        <f t="shared" si="12"/>
        <v/>
      </c>
      <c r="G108" s="16" t="str">
        <f t="shared" si="13"/>
        <v/>
      </c>
      <c r="H108" s="16" t="str">
        <f t="shared" si="11"/>
        <v/>
      </c>
    </row>
    <row r="109" spans="4:8" x14ac:dyDescent="0.25">
      <c r="D109" t="str">
        <f t="shared" si="9"/>
        <v/>
      </c>
      <c r="E109" s="16" t="str">
        <f t="shared" si="10"/>
        <v/>
      </c>
      <c r="F109" s="16" t="str">
        <f t="shared" si="12"/>
        <v/>
      </c>
      <c r="G109" s="16" t="str">
        <f t="shared" si="13"/>
        <v/>
      </c>
      <c r="H109" s="16" t="str">
        <f t="shared" si="11"/>
        <v/>
      </c>
    </row>
    <row r="110" spans="4:8" x14ac:dyDescent="0.25">
      <c r="D110" t="str">
        <f t="shared" si="9"/>
        <v/>
      </c>
      <c r="E110" s="16" t="str">
        <f t="shared" si="10"/>
        <v/>
      </c>
      <c r="F110" s="16" t="str">
        <f t="shared" si="12"/>
        <v/>
      </c>
      <c r="G110" s="16" t="str">
        <f t="shared" si="13"/>
        <v/>
      </c>
      <c r="H110" s="16" t="str">
        <f t="shared" si="11"/>
        <v/>
      </c>
    </row>
    <row r="111" spans="4:8" x14ac:dyDescent="0.25">
      <c r="D111" t="str">
        <f t="shared" si="9"/>
        <v/>
      </c>
      <c r="E111" s="16" t="str">
        <f t="shared" si="10"/>
        <v/>
      </c>
      <c r="F111" s="16" t="str">
        <f t="shared" si="12"/>
        <v/>
      </c>
      <c r="G111" s="16" t="str">
        <f t="shared" si="13"/>
        <v/>
      </c>
      <c r="H111" s="16" t="str">
        <f t="shared" si="11"/>
        <v/>
      </c>
    </row>
    <row r="112" spans="4:8" x14ac:dyDescent="0.25">
      <c r="D112" t="str">
        <f t="shared" si="9"/>
        <v/>
      </c>
      <c r="E112" s="16" t="str">
        <f t="shared" si="10"/>
        <v/>
      </c>
      <c r="F112" s="16" t="str">
        <f t="shared" si="12"/>
        <v/>
      </c>
      <c r="G112" s="16" t="str">
        <f t="shared" si="13"/>
        <v/>
      </c>
      <c r="H112" s="16" t="str">
        <f t="shared" si="11"/>
        <v/>
      </c>
    </row>
    <row r="113" spans="4:8" x14ac:dyDescent="0.25">
      <c r="D113" t="str">
        <f t="shared" si="9"/>
        <v/>
      </c>
      <c r="E113" s="16" t="str">
        <f t="shared" si="10"/>
        <v/>
      </c>
      <c r="F113" s="16" t="str">
        <f t="shared" si="12"/>
        <v/>
      </c>
      <c r="G113" s="16" t="str">
        <f t="shared" si="13"/>
        <v/>
      </c>
      <c r="H113" s="16" t="str">
        <f t="shared" si="11"/>
        <v/>
      </c>
    </row>
    <row r="114" spans="4:8" x14ac:dyDescent="0.25">
      <c r="D114" t="str">
        <f t="shared" si="9"/>
        <v/>
      </c>
      <c r="E114" s="16" t="str">
        <f t="shared" si="10"/>
        <v/>
      </c>
      <c r="F114" s="16" t="str">
        <f t="shared" si="12"/>
        <v/>
      </c>
      <c r="G114" s="16" t="str">
        <f t="shared" si="13"/>
        <v/>
      </c>
      <c r="H114" s="16" t="str">
        <f t="shared" si="11"/>
        <v/>
      </c>
    </row>
    <row r="115" spans="4:8" x14ac:dyDescent="0.25">
      <c r="D115" t="str">
        <f t="shared" si="9"/>
        <v/>
      </c>
      <c r="E115" s="16" t="str">
        <f t="shared" si="10"/>
        <v/>
      </c>
      <c r="F115" s="16" t="str">
        <f t="shared" si="12"/>
        <v/>
      </c>
      <c r="G115" s="16" t="str">
        <f t="shared" si="13"/>
        <v/>
      </c>
      <c r="H115" s="16" t="str">
        <f t="shared" si="11"/>
        <v/>
      </c>
    </row>
    <row r="116" spans="4:8" x14ac:dyDescent="0.25">
      <c r="D116" t="str">
        <f t="shared" si="9"/>
        <v/>
      </c>
      <c r="E116" s="16" t="str">
        <f t="shared" si="10"/>
        <v/>
      </c>
      <c r="F116" s="16" t="str">
        <f t="shared" si="12"/>
        <v/>
      </c>
      <c r="G116" s="16" t="str">
        <f t="shared" si="13"/>
        <v/>
      </c>
      <c r="H116" s="16" t="str">
        <f t="shared" si="11"/>
        <v/>
      </c>
    </row>
    <row r="117" spans="4:8" x14ac:dyDescent="0.25">
      <c r="D117" t="str">
        <f t="shared" si="9"/>
        <v/>
      </c>
      <c r="E117" s="16" t="str">
        <f t="shared" si="10"/>
        <v/>
      </c>
      <c r="F117" s="16" t="str">
        <f t="shared" si="12"/>
        <v/>
      </c>
      <c r="G117" s="16" t="str">
        <f t="shared" si="13"/>
        <v/>
      </c>
      <c r="H117" s="16" t="str">
        <f t="shared" si="11"/>
        <v/>
      </c>
    </row>
    <row r="118" spans="4:8" x14ac:dyDescent="0.25">
      <c r="D118" t="str">
        <f t="shared" si="9"/>
        <v/>
      </c>
      <c r="E118" s="16" t="str">
        <f t="shared" si="10"/>
        <v/>
      </c>
      <c r="F118" s="16" t="str">
        <f t="shared" si="12"/>
        <v/>
      </c>
      <c r="G118" s="16" t="str">
        <f t="shared" si="13"/>
        <v/>
      </c>
      <c r="H118" s="16" t="str">
        <f t="shared" si="11"/>
        <v/>
      </c>
    </row>
    <row r="119" spans="4:8" x14ac:dyDescent="0.25">
      <c r="D119" t="str">
        <f t="shared" si="9"/>
        <v/>
      </c>
      <c r="E119" s="16" t="str">
        <f t="shared" si="10"/>
        <v/>
      </c>
      <c r="F119" s="16" t="str">
        <f t="shared" si="12"/>
        <v/>
      </c>
      <c r="G119" s="16" t="str">
        <f t="shared" si="13"/>
        <v/>
      </c>
      <c r="H119" s="16" t="str">
        <f t="shared" si="11"/>
        <v/>
      </c>
    </row>
    <row r="120" spans="4:8" x14ac:dyDescent="0.25">
      <c r="D120" t="str">
        <f t="shared" si="9"/>
        <v/>
      </c>
      <c r="E120" s="16" t="str">
        <f t="shared" si="10"/>
        <v/>
      </c>
      <c r="F120" s="16" t="str">
        <f t="shared" si="12"/>
        <v/>
      </c>
      <c r="G120" s="16" t="str">
        <f t="shared" si="13"/>
        <v/>
      </c>
      <c r="H120" s="16" t="str">
        <f t="shared" si="11"/>
        <v/>
      </c>
    </row>
    <row r="121" spans="4:8" x14ac:dyDescent="0.25">
      <c r="D121" t="str">
        <f t="shared" si="9"/>
        <v/>
      </c>
      <c r="E121" s="16" t="str">
        <f t="shared" si="10"/>
        <v/>
      </c>
      <c r="F121" s="16" t="str">
        <f t="shared" si="12"/>
        <v/>
      </c>
      <c r="G121" s="16" t="str">
        <f t="shared" si="13"/>
        <v/>
      </c>
      <c r="H121" s="16" t="str">
        <f t="shared" si="11"/>
        <v/>
      </c>
    </row>
    <row r="122" spans="4:8" x14ac:dyDescent="0.25">
      <c r="D122" t="str">
        <f t="shared" si="9"/>
        <v/>
      </c>
      <c r="E122" s="16" t="str">
        <f t="shared" si="10"/>
        <v/>
      </c>
      <c r="F122" s="16" t="str">
        <f t="shared" si="12"/>
        <v/>
      </c>
      <c r="G122" s="16" t="str">
        <f t="shared" si="13"/>
        <v/>
      </c>
      <c r="H122" s="16" t="str">
        <f t="shared" si="11"/>
        <v/>
      </c>
    </row>
    <row r="123" spans="4:8" x14ac:dyDescent="0.25">
      <c r="D123" t="str">
        <f t="shared" si="9"/>
        <v/>
      </c>
      <c r="E123" s="16" t="str">
        <f t="shared" si="10"/>
        <v/>
      </c>
      <c r="F123" s="16" t="str">
        <f t="shared" si="12"/>
        <v/>
      </c>
      <c r="G123" s="16" t="str">
        <f t="shared" si="13"/>
        <v/>
      </c>
      <c r="H123" s="16" t="str">
        <f t="shared" si="11"/>
        <v/>
      </c>
    </row>
    <row r="124" spans="4:8" x14ac:dyDescent="0.25">
      <c r="D124" t="str">
        <f t="shared" si="9"/>
        <v/>
      </c>
      <c r="E124" s="16" t="str">
        <f t="shared" si="10"/>
        <v/>
      </c>
      <c r="F124" s="16" t="str">
        <f t="shared" si="12"/>
        <v/>
      </c>
      <c r="G124" s="16" t="str">
        <f t="shared" si="13"/>
        <v/>
      </c>
      <c r="H124" s="16" t="str">
        <f t="shared" si="11"/>
        <v/>
      </c>
    </row>
    <row r="125" spans="4:8" x14ac:dyDescent="0.25">
      <c r="D125" t="str">
        <f t="shared" si="9"/>
        <v/>
      </c>
      <c r="E125" s="16" t="str">
        <f t="shared" si="10"/>
        <v/>
      </c>
      <c r="F125" s="16" t="str">
        <f t="shared" si="12"/>
        <v/>
      </c>
      <c r="G125" s="16" t="str">
        <f t="shared" si="13"/>
        <v/>
      </c>
      <c r="H125" s="16" t="str">
        <f t="shared" si="11"/>
        <v/>
      </c>
    </row>
    <row r="126" spans="4:8" x14ac:dyDescent="0.25">
      <c r="D126" t="str">
        <f t="shared" si="9"/>
        <v/>
      </c>
      <c r="E126" s="16" t="str">
        <f t="shared" si="10"/>
        <v/>
      </c>
      <c r="F126" s="16" t="str">
        <f t="shared" si="12"/>
        <v/>
      </c>
      <c r="G126" s="16" t="str">
        <f t="shared" si="13"/>
        <v/>
      </c>
      <c r="H126" s="16" t="str">
        <f t="shared" si="11"/>
        <v/>
      </c>
    </row>
    <row r="127" spans="4:8" x14ac:dyDescent="0.25">
      <c r="D127" t="str">
        <f t="shared" si="9"/>
        <v/>
      </c>
      <c r="E127" s="16" t="str">
        <f t="shared" si="10"/>
        <v/>
      </c>
      <c r="F127" s="16" t="str">
        <f t="shared" si="12"/>
        <v/>
      </c>
      <c r="G127" s="16" t="str">
        <f t="shared" si="13"/>
        <v/>
      </c>
      <c r="H127" s="16" t="str">
        <f t="shared" si="11"/>
        <v/>
      </c>
    </row>
    <row r="128" spans="4:8" x14ac:dyDescent="0.25">
      <c r="D128" t="str">
        <f t="shared" si="9"/>
        <v/>
      </c>
      <c r="E128" s="16" t="str">
        <f t="shared" si="10"/>
        <v/>
      </c>
      <c r="F128" s="16" t="str">
        <f t="shared" si="12"/>
        <v/>
      </c>
      <c r="G128" s="16" t="str">
        <f t="shared" si="13"/>
        <v/>
      </c>
      <c r="H128" s="16" t="str">
        <f t="shared" si="11"/>
        <v/>
      </c>
    </row>
  </sheetData>
  <mergeCells count="2">
    <mergeCell ref="D3:H3"/>
    <mergeCell ref="J3:K3"/>
  </mergeCells>
  <dataValidations count="1">
    <dataValidation type="list" allowBlank="1" showInputMessage="1" showErrorMessage="1" sqref="K7" xr:uid="{00000000-0002-0000-0500-000000000000}">
      <formula1>"Monthly,Annually"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E70D-57E2-44DC-B07E-0EC1698B056A}">
  <dimension ref="A2:I45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t="s">
        <v>18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</row>
    <row r="3" spans="1:9" x14ac:dyDescent="0.25">
      <c r="A3">
        <v>18</v>
      </c>
      <c r="B3">
        <v>8.9700000000000001E-4</v>
      </c>
      <c r="C3">
        <v>5.9400000000000002E-4</v>
      </c>
      <c r="D3">
        <v>9.6400000000000001E-4</v>
      </c>
      <c r="E3">
        <v>8.9630140821218406E-4</v>
      </c>
      <c r="F3">
        <v>5.9344745421218402E-4</v>
      </c>
      <c r="G3">
        <v>9.6328150921218411E-4</v>
      </c>
      <c r="H3">
        <v>0.99851025113757563</v>
      </c>
      <c r="I3">
        <v>1</v>
      </c>
    </row>
    <row r="4" spans="1:9" x14ac:dyDescent="0.25">
      <c r="A4">
        <v>19</v>
      </c>
      <c r="B4">
        <v>1.111E-3</v>
      </c>
      <c r="C4">
        <v>5.9400000000000002E-4</v>
      </c>
      <c r="D4">
        <v>9.6400000000000001E-4</v>
      </c>
      <c r="E4">
        <v>1.110134743058792E-3</v>
      </c>
      <c r="F4">
        <v>5.9338393705879206E-4</v>
      </c>
      <c r="G4">
        <v>9.6317840205879205E-4</v>
      </c>
      <c r="H4">
        <v>0.99829648131988247</v>
      </c>
      <c r="I4">
        <v>0.99851025113757563</v>
      </c>
    </row>
    <row r="5" spans="1:9" x14ac:dyDescent="0.25">
      <c r="A5">
        <v>20</v>
      </c>
      <c r="B5">
        <v>1.3110000000000001E-3</v>
      </c>
      <c r="C5">
        <v>5.9400000000000002E-4</v>
      </c>
      <c r="D5">
        <v>9.6400000000000001E-4</v>
      </c>
      <c r="E5">
        <v>1.3099789812331922E-3</v>
      </c>
      <c r="F5">
        <v>5.9332457523319203E-4</v>
      </c>
      <c r="G5">
        <v>9.6308204023319197E-4</v>
      </c>
      <c r="H5">
        <v>0.9980966964435336</v>
      </c>
      <c r="I5">
        <v>0.9968092702724739</v>
      </c>
    </row>
    <row r="6" spans="1:9" x14ac:dyDescent="0.25">
      <c r="A6">
        <v>21</v>
      </c>
      <c r="B6">
        <v>1.4940000000000001E-3</v>
      </c>
      <c r="C6">
        <v>5.9199999999999997E-4</v>
      </c>
      <c r="D6">
        <v>1.0059999999999999E-3</v>
      </c>
      <c r="E6">
        <v>1.492806590584896E-3</v>
      </c>
      <c r="F6">
        <v>5.9126029658489599E-4</v>
      </c>
      <c r="G6">
        <v>1.0049510385848959E-3</v>
      </c>
      <c r="H6">
        <v>0.99791593311283022</v>
      </c>
      <c r="I6">
        <v>0.99491203964324559</v>
      </c>
    </row>
    <row r="7" spans="1:9" x14ac:dyDescent="0.25">
      <c r="A7">
        <v>22</v>
      </c>
      <c r="B7">
        <v>1.655E-3</v>
      </c>
      <c r="C7">
        <v>5.9000000000000003E-4</v>
      </c>
      <c r="D7">
        <v>1.041E-3</v>
      </c>
      <c r="E7">
        <v>1.6536506863281499E-3</v>
      </c>
      <c r="F7">
        <v>5.8920501882815007E-4</v>
      </c>
      <c r="G7">
        <v>1.03983181632815E-3</v>
      </c>
      <c r="H7">
        <v>0.99775714429484363</v>
      </c>
      <c r="I7">
        <v>0.99283857640577855</v>
      </c>
    </row>
    <row r="8" spans="1:9" x14ac:dyDescent="0.25">
      <c r="A8">
        <v>23</v>
      </c>
      <c r="B8">
        <v>1.7899999999999999E-3</v>
      </c>
      <c r="C8">
        <v>5.8900000000000001E-4</v>
      </c>
      <c r="D8">
        <v>1.075E-3</v>
      </c>
      <c r="E8">
        <v>1.7885110977944165E-3</v>
      </c>
      <c r="F8">
        <v>5.8815663529441673E-4</v>
      </c>
      <c r="G8">
        <v>1.0737216652944167E-3</v>
      </c>
      <c r="H8">
        <v>0.99762333226691113</v>
      </c>
      <c r="I8">
        <v>0.99061178274038753</v>
      </c>
    </row>
    <row r="9" spans="1:9" x14ac:dyDescent="0.25">
      <c r="A9">
        <v>24</v>
      </c>
      <c r="B9">
        <v>1.8940000000000001E-3</v>
      </c>
      <c r="C9">
        <v>5.8699999999999996E-4</v>
      </c>
      <c r="D9">
        <v>1.101E-3</v>
      </c>
      <c r="E9">
        <v>1.8924018720225262E-3</v>
      </c>
      <c r="F9">
        <v>5.8612137552252594E-4</v>
      </c>
      <c r="G9">
        <v>1.0996346175225261E-3</v>
      </c>
      <c r="H9">
        <v>0.99752147675245495</v>
      </c>
      <c r="I9">
        <v>0.98825742768033076</v>
      </c>
    </row>
    <row r="10" spans="1:9" x14ac:dyDescent="0.25">
      <c r="A10">
        <v>25</v>
      </c>
      <c r="B10">
        <v>1.9629999999999999E-3</v>
      </c>
      <c r="C10">
        <v>5.8600000000000004E-4</v>
      </c>
      <c r="D10">
        <v>1.124E-3</v>
      </c>
      <c r="E10">
        <v>1.9613220659858103E-3</v>
      </c>
      <c r="F10">
        <v>5.8509593998581075E-4</v>
      </c>
      <c r="G10">
        <v>1.1225678929858106E-3</v>
      </c>
      <c r="H10">
        <v>0.99745358199402845</v>
      </c>
      <c r="I10">
        <v>0.98580800867126595</v>
      </c>
    </row>
    <row r="11" spans="1:9" x14ac:dyDescent="0.25">
      <c r="A11">
        <v>26</v>
      </c>
      <c r="B11">
        <v>1.9940000000000001E-3</v>
      </c>
      <c r="C11">
        <v>5.8500000000000002E-4</v>
      </c>
      <c r="D11">
        <v>1.1440000000000001E-3</v>
      </c>
      <c r="E11">
        <v>1.9922766318215199E-3</v>
      </c>
      <c r="F11">
        <v>5.8408257982151999E-4</v>
      </c>
      <c r="G11">
        <v>1.1425252568215199E-3</v>
      </c>
      <c r="H11">
        <v>0.99742364078835688</v>
      </c>
      <c r="I11">
        <v>0.98329772940755444</v>
      </c>
    </row>
    <row r="12" spans="1:9" x14ac:dyDescent="0.25">
      <c r="A12">
        <v>27</v>
      </c>
      <c r="B12">
        <v>1.9940000000000001E-3</v>
      </c>
      <c r="C12">
        <v>5.8600000000000004E-4</v>
      </c>
      <c r="D12">
        <v>1.16E-3</v>
      </c>
      <c r="E12">
        <v>1.9922596898138134E-3</v>
      </c>
      <c r="F12">
        <v>5.8507632981381332E-4</v>
      </c>
      <c r="G12">
        <v>1.1585040518138133E-3</v>
      </c>
      <c r="H12">
        <v>0.99742266398037227</v>
      </c>
      <c r="I12">
        <v>0.98076440124460751</v>
      </c>
    </row>
    <row r="13" spans="1:9" x14ac:dyDescent="0.25">
      <c r="A13">
        <v>28</v>
      </c>
      <c r="B13">
        <v>1.9710000000000001E-3</v>
      </c>
      <c r="C13">
        <v>5.8799999999999998E-4</v>
      </c>
      <c r="D13">
        <v>1.175E-3</v>
      </c>
      <c r="E13">
        <v>1.9692630174213003E-3</v>
      </c>
      <c r="F13">
        <v>5.8707552992129993E-4</v>
      </c>
      <c r="G13">
        <v>1.1734970414213001E-3</v>
      </c>
      <c r="H13">
        <v>0.99744366145265739</v>
      </c>
      <c r="I13">
        <v>0.97823664182651116</v>
      </c>
    </row>
    <row r="14" spans="1:9" x14ac:dyDescent="0.25">
      <c r="A14">
        <v>29</v>
      </c>
      <c r="B14">
        <v>1.9319999999999999E-3</v>
      </c>
      <c r="C14">
        <v>5.9500000000000004E-4</v>
      </c>
      <c r="D14">
        <v>1.191E-3</v>
      </c>
      <c r="E14">
        <v>1.9302751803673798E-3</v>
      </c>
      <c r="F14">
        <v>5.9407136386738007E-4</v>
      </c>
      <c r="G14">
        <v>1.1894956278673799E-3</v>
      </c>
      <c r="H14">
        <v>0.99747565345576528</v>
      </c>
      <c r="I14">
        <v>0.97573593779058709</v>
      </c>
    </row>
    <row r="15" spans="1:9" x14ac:dyDescent="0.25">
      <c r="A15">
        <v>30</v>
      </c>
      <c r="B15">
        <v>1.8860000000000001E-3</v>
      </c>
      <c r="C15">
        <v>6.0700000000000001E-4</v>
      </c>
      <c r="D15">
        <v>1.2099999999999999E-3</v>
      </c>
      <c r="E15">
        <v>1.8842870307368069E-3</v>
      </c>
      <c r="F15">
        <v>6.0606082573680668E-4</v>
      </c>
      <c r="G15">
        <v>1.2084921967368066E-3</v>
      </c>
      <c r="H15">
        <v>0.99750965214352638</v>
      </c>
      <c r="I15">
        <v>0.97327284214793974</v>
      </c>
    </row>
    <row r="16" spans="1:9" x14ac:dyDescent="0.25">
      <c r="A16">
        <v>31</v>
      </c>
      <c r="B16">
        <v>1.8400000000000001E-3</v>
      </c>
      <c r="C16">
        <v>6.2699999999999995E-4</v>
      </c>
      <c r="D16">
        <v>1.2310000000000001E-3</v>
      </c>
      <c r="E16">
        <v>1.8382911133933602E-3</v>
      </c>
      <c r="F16">
        <v>6.2603771489335987E-4</v>
      </c>
      <c r="G16">
        <v>1.22948203489336E-3</v>
      </c>
      <c r="H16">
        <v>0.99753567117171327</v>
      </c>
      <c r="I16">
        <v>0.97084905421173262</v>
      </c>
    </row>
    <row r="17" spans="1:9" x14ac:dyDescent="0.25">
      <c r="A17">
        <v>32</v>
      </c>
      <c r="B17">
        <v>1.8029999999999999E-3</v>
      </c>
      <c r="C17">
        <v>6.5399999999999996E-4</v>
      </c>
      <c r="D17">
        <v>1.253E-3</v>
      </c>
      <c r="E17">
        <v>1.8012813319966618E-3</v>
      </c>
      <c r="F17">
        <v>6.5300118049666195E-4</v>
      </c>
      <c r="G17">
        <v>1.251461181996662E-3</v>
      </c>
      <c r="H17">
        <v>0.99754571748750664</v>
      </c>
      <c r="I17">
        <v>0.96845656289952375</v>
      </c>
    </row>
    <row r="18" spans="1:9" x14ac:dyDescent="0.25">
      <c r="A18">
        <v>33</v>
      </c>
      <c r="B18">
        <v>1.7819999999999999E-3</v>
      </c>
      <c r="C18">
        <v>6.8900000000000005E-4</v>
      </c>
      <c r="D18">
        <v>1.328E-3</v>
      </c>
      <c r="E18">
        <v>1.7802033965052479E-3</v>
      </c>
      <c r="F18">
        <v>6.8792914850524813E-4</v>
      </c>
      <c r="G18">
        <v>1.3263597995052481E-3</v>
      </c>
      <c r="H18">
        <v>0.99753186745498956</v>
      </c>
      <c r="I18">
        <v>0.96607969689309003</v>
      </c>
    </row>
    <row r="19" spans="1:9" x14ac:dyDescent="0.25">
      <c r="A19">
        <v>34</v>
      </c>
      <c r="B19">
        <v>1.787E-3</v>
      </c>
      <c r="C19">
        <v>7.3099999999999999E-4</v>
      </c>
      <c r="D19">
        <v>1.4059999999999999E-3</v>
      </c>
      <c r="E19">
        <v>1.7850912027178607E-3</v>
      </c>
      <c r="F19">
        <v>7.2983357071786071E-4</v>
      </c>
      <c r="G19">
        <v>1.4042304582178606E-3</v>
      </c>
      <c r="H19">
        <v>0.99748507522656427</v>
      </c>
      <c r="I19">
        <v>0.96369528415211436</v>
      </c>
    </row>
    <row r="20" spans="1:9" x14ac:dyDescent="0.25">
      <c r="A20">
        <v>35</v>
      </c>
      <c r="B20">
        <v>1.8209999999999999E-3</v>
      </c>
      <c r="C20">
        <v>7.7800000000000005E-4</v>
      </c>
      <c r="D20">
        <v>1.4909999999999999E-3</v>
      </c>
      <c r="E20">
        <v>1.8189347796187859E-3</v>
      </c>
      <c r="F20">
        <v>7.7671233611878606E-4</v>
      </c>
      <c r="G20">
        <v>1.4890631496187858E-3</v>
      </c>
      <c r="H20">
        <v>0.99740435288426244</v>
      </c>
      <c r="I20">
        <v>0.96127166300795697</v>
      </c>
    </row>
    <row r="21" spans="1:9" x14ac:dyDescent="0.25">
      <c r="A21">
        <v>36</v>
      </c>
      <c r="B21">
        <v>1.884E-3</v>
      </c>
      <c r="C21">
        <v>8.2899999999999998E-4</v>
      </c>
      <c r="D21">
        <v>1.565E-3</v>
      </c>
      <c r="E21">
        <v>1.8817456667577801E-3</v>
      </c>
      <c r="F21">
        <v>8.2757120425778E-4</v>
      </c>
      <c r="G21">
        <v>1.5628778922577799E-3</v>
      </c>
      <c r="H21">
        <v>0.99729068312898439</v>
      </c>
      <c r="I21">
        <v>0.95877654098843013</v>
      </c>
    </row>
    <row r="22" spans="1:9" x14ac:dyDescent="0.25">
      <c r="A22">
        <v>37</v>
      </c>
      <c r="B22">
        <v>1.97E-3</v>
      </c>
      <c r="C22">
        <v>8.8099999999999995E-4</v>
      </c>
      <c r="D22">
        <v>1.64E-3</v>
      </c>
      <c r="E22">
        <v>1.9675177637782666E-3</v>
      </c>
      <c r="F22">
        <v>8.7941074377826658E-4</v>
      </c>
      <c r="G22">
        <v>1.6376631287782666E-3</v>
      </c>
      <c r="H22">
        <v>0.99715307149244348</v>
      </c>
      <c r="I22">
        <v>0.95617891153039614</v>
      </c>
    </row>
    <row r="23" spans="1:9" x14ac:dyDescent="0.25">
      <c r="A23">
        <v>38</v>
      </c>
      <c r="B23">
        <v>2.0739999999999999E-3</v>
      </c>
      <c r="C23">
        <v>9.3499999999999996E-4</v>
      </c>
      <c r="D23">
        <v>1.7949999999999999E-3</v>
      </c>
      <c r="E23">
        <v>2.0711701502820166E-3</v>
      </c>
      <c r="F23">
        <v>9.3319240278201662E-4</v>
      </c>
      <c r="G23">
        <v>1.7923005827820166E-3</v>
      </c>
      <c r="H23">
        <v>0.99699563744693598</v>
      </c>
      <c r="I23">
        <v>0.95345673852883583</v>
      </c>
    </row>
    <row r="24" spans="1:9" x14ac:dyDescent="0.25">
      <c r="A24">
        <v>39</v>
      </c>
      <c r="B24">
        <v>2.1930000000000001E-3</v>
      </c>
      <c r="C24">
        <v>9.9099999999999991E-4</v>
      </c>
      <c r="D24">
        <v>1.9419999999999999E-3</v>
      </c>
      <c r="E24">
        <v>2.1897853723255819E-3</v>
      </c>
      <c r="F24">
        <v>9.8895251432558188E-4</v>
      </c>
      <c r="G24">
        <v>1.9389097428255818E-3</v>
      </c>
      <c r="H24">
        <v>0.99682126211334876</v>
      </c>
      <c r="I24">
        <v>0.95059220880763329</v>
      </c>
    </row>
    <row r="25" spans="1:9" x14ac:dyDescent="0.25">
      <c r="A25">
        <v>40</v>
      </c>
      <c r="B25">
        <v>2.32E-3</v>
      </c>
      <c r="C25">
        <v>1.0529999999999999E-3</v>
      </c>
      <c r="D25">
        <v>2.0839999999999999E-3</v>
      </c>
      <c r="E25">
        <v>2.3163627770428803E-3</v>
      </c>
      <c r="F25">
        <v>1.05068299104288E-3</v>
      </c>
      <c r="G25">
        <v>2.0804870310428799E-3</v>
      </c>
      <c r="H25">
        <v>0.99663295423191434</v>
      </c>
      <c r="I25">
        <v>0.94757052533874098</v>
      </c>
    </row>
    <row r="26" spans="1:9" x14ac:dyDescent="0.25">
      <c r="A26">
        <v>41</v>
      </c>
      <c r="B26">
        <v>2.4520000000000002E-3</v>
      </c>
      <c r="C26">
        <v>1.124E-3</v>
      </c>
      <c r="D26">
        <v>2.2309999999999999E-3</v>
      </c>
      <c r="E26">
        <v>2.4478888195810294E-3</v>
      </c>
      <c r="F26">
        <v>1.1213702035810294E-3</v>
      </c>
      <c r="G26">
        <v>2.2270130215810294E-3</v>
      </c>
      <c r="H26">
        <v>0.99643074097683793</v>
      </c>
      <c r="I26">
        <v>0.94438001201143651</v>
      </c>
    </row>
    <row r="27" spans="1:9" x14ac:dyDescent="0.25">
      <c r="A27">
        <v>42</v>
      </c>
      <c r="B27">
        <v>2.5829999999999998E-3</v>
      </c>
      <c r="C27">
        <v>1.2080000000000001E-3</v>
      </c>
      <c r="D27">
        <v>2.3709999999999998E-3</v>
      </c>
      <c r="E27">
        <v>2.578380187548648E-3</v>
      </c>
      <c r="F27">
        <v>1.2050102500486481E-3</v>
      </c>
      <c r="G27">
        <v>2.3665082355486477E-3</v>
      </c>
      <c r="H27">
        <v>0.99621660956240277</v>
      </c>
      <c r="I27">
        <v>0.94100927513227073</v>
      </c>
    </row>
    <row r="28" spans="1:9" x14ac:dyDescent="0.25">
      <c r="A28">
        <v>43</v>
      </c>
      <c r="B28">
        <v>2.709E-3</v>
      </c>
      <c r="C28">
        <v>1.3090000000000001E-3</v>
      </c>
      <c r="D28">
        <v>2.6099999999999999E-3</v>
      </c>
      <c r="E28">
        <v>2.7036947995904698E-3</v>
      </c>
      <c r="F28">
        <v>1.30552179959047E-3</v>
      </c>
      <c r="G28">
        <v>2.6047595950904699E-3</v>
      </c>
      <c r="H28">
        <v>0.99599078340081915</v>
      </c>
      <c r="I28">
        <v>0.93744906963904495</v>
      </c>
    </row>
    <row r="29" spans="1:9" x14ac:dyDescent="0.25">
      <c r="A29">
        <v>44</v>
      </c>
      <c r="B29">
        <v>2.8270000000000001E-3</v>
      </c>
      <c r="C29">
        <v>1.426E-3</v>
      </c>
      <c r="D29">
        <v>2.8340000000000001E-3</v>
      </c>
      <c r="E29">
        <v>2.820982298236623E-3</v>
      </c>
      <c r="F29">
        <v>1.4219675152366228E-3</v>
      </c>
      <c r="G29">
        <v>2.8279773072366226E-3</v>
      </c>
      <c r="H29">
        <v>0.99575705018652683</v>
      </c>
      <c r="I29">
        <v>0.93369063326816149</v>
      </c>
    </row>
    <row r="30" spans="1:9" x14ac:dyDescent="0.25">
      <c r="A30">
        <v>45</v>
      </c>
      <c r="B30">
        <v>2.9350000000000001E-3</v>
      </c>
      <c r="C30">
        <v>1.5590000000000001E-3</v>
      </c>
      <c r="D30">
        <v>3.0439999999999998E-3</v>
      </c>
      <c r="E30">
        <v>2.9282497402747538E-3</v>
      </c>
      <c r="F30">
        <v>1.5543440122747535E-3</v>
      </c>
      <c r="G30">
        <v>3.0371647747747532E-3</v>
      </c>
      <c r="H30">
        <v>0.99551740624745055</v>
      </c>
      <c r="I30">
        <v>0.92972903076989466</v>
      </c>
    </row>
    <row r="31" spans="1:9" x14ac:dyDescent="0.25">
      <c r="A31">
        <v>46</v>
      </c>
      <c r="B31">
        <v>3.0360000000000001E-3</v>
      </c>
      <c r="C31">
        <v>1.7030000000000001E-3</v>
      </c>
      <c r="D31">
        <v>3.3279999999999998E-3</v>
      </c>
      <c r="E31">
        <v>3.0283686775950083E-3</v>
      </c>
      <c r="F31">
        <v>1.6975867895950079E-3</v>
      </c>
      <c r="G31">
        <v>3.3201200395950076E-3</v>
      </c>
      <c r="H31">
        <v>0.99527404453280999</v>
      </c>
      <c r="I31">
        <v>0.92556143322500173</v>
      </c>
    </row>
    <row r="32" spans="1:9" x14ac:dyDescent="0.25">
      <c r="A32">
        <v>47</v>
      </c>
      <c r="B32">
        <v>3.1310000000000001E-3</v>
      </c>
      <c r="C32">
        <v>1.853E-3</v>
      </c>
      <c r="D32">
        <v>3.6089999999999998E-3</v>
      </c>
      <c r="E32">
        <v>3.1224562184968287E-3</v>
      </c>
      <c r="F32">
        <v>1.8467623694968292E-3</v>
      </c>
      <c r="G32">
        <v>3.6000133514968286E-3</v>
      </c>
      <c r="H32">
        <v>0.99503078141200629</v>
      </c>
      <c r="I32">
        <v>0.92118727110943177</v>
      </c>
    </row>
    <row r="33" spans="1:9" x14ac:dyDescent="0.25">
      <c r="A33">
        <v>48</v>
      </c>
      <c r="B33">
        <v>3.2200000000000002E-3</v>
      </c>
      <c r="C33">
        <v>2.0040000000000001E-3</v>
      </c>
      <c r="D33">
        <v>4.1120000000000002E-3</v>
      </c>
      <c r="E33">
        <v>3.2101620847475201E-3</v>
      </c>
      <c r="F33">
        <v>1.9966621807475204E-3</v>
      </c>
      <c r="G33">
        <v>4.1012683007475206E-3</v>
      </c>
      <c r="H33">
        <v>0.99479317573450488</v>
      </c>
      <c r="I33">
        <v>0.91660969019881156</v>
      </c>
    </row>
    <row r="34" spans="1:9" x14ac:dyDescent="0.25">
      <c r="A34">
        <v>49</v>
      </c>
      <c r="B34">
        <v>3.3050000000000002E-3</v>
      </c>
      <c r="C34">
        <v>2.153E-3</v>
      </c>
      <c r="D34">
        <v>4.47E-3</v>
      </c>
      <c r="E34">
        <v>3.29406609484085E-3</v>
      </c>
      <c r="F34">
        <v>2.1446408148408499E-3</v>
      </c>
      <c r="G34">
        <v>4.4578119723408501E-3</v>
      </c>
      <c r="H34">
        <v>0.99456129309031827</v>
      </c>
      <c r="I34">
        <v>0.9118370646218964</v>
      </c>
    </row>
    <row r="35" spans="1:9" x14ac:dyDescent="0.25">
      <c r="A35">
        <v>50</v>
      </c>
      <c r="B35">
        <v>3.3860000000000001E-3</v>
      </c>
      <c r="C35">
        <v>2.2989999999999998E-3</v>
      </c>
      <c r="D35">
        <v>4.9309999999999996E-3</v>
      </c>
      <c r="E35">
        <v>3.3737724049818112E-3</v>
      </c>
      <c r="F35">
        <v>2.2894524034818113E-3</v>
      </c>
      <c r="G35">
        <v>4.9169964274818111E-3</v>
      </c>
      <c r="H35">
        <v>0.9943367751915364</v>
      </c>
      <c r="I35">
        <v>0.90687785007803334</v>
      </c>
    </row>
    <row r="36" spans="1:9" x14ac:dyDescent="0.25">
      <c r="A36">
        <v>51</v>
      </c>
      <c r="B36">
        <v>3.4659999999999999E-3</v>
      </c>
      <c r="C36">
        <v>2.4480000000000001E-3</v>
      </c>
      <c r="D36">
        <v>5.3530000000000001E-3</v>
      </c>
      <c r="E36">
        <v>3.4524960066543678E-3</v>
      </c>
      <c r="F36">
        <v>2.4372206836543683E-3</v>
      </c>
      <c r="G36">
        <v>5.3371863186543684E-3</v>
      </c>
      <c r="H36">
        <v>0.99411028330969131</v>
      </c>
      <c r="I36">
        <v>0.9017419969392253</v>
      </c>
    </row>
    <row r="37" spans="1:9" x14ac:dyDescent="0.25">
      <c r="A37">
        <v>52</v>
      </c>
      <c r="B37">
        <v>3.5439999999999998E-3</v>
      </c>
      <c r="C37">
        <v>2.604E-3</v>
      </c>
      <c r="D37">
        <v>5.7980000000000002E-3</v>
      </c>
      <c r="E37">
        <v>3.5291294917612157E-3</v>
      </c>
      <c r="F37">
        <v>2.5918545517612159E-3</v>
      </c>
      <c r="G37">
        <v>5.7801947837612163E-3</v>
      </c>
      <c r="H37">
        <v>0.99387901595647754</v>
      </c>
      <c r="I37">
        <v>0.89643099204950005</v>
      </c>
    </row>
    <row r="38" spans="1:9" x14ac:dyDescent="0.25">
      <c r="A38">
        <v>53</v>
      </c>
      <c r="B38">
        <v>3.6219999999999998E-3</v>
      </c>
      <c r="C38">
        <v>2.7780000000000001E-3</v>
      </c>
      <c r="D38">
        <v>6.5979999999999997E-3</v>
      </c>
      <c r="E38">
        <v>3.6050421935072555E-3</v>
      </c>
      <c r="F38">
        <v>2.7638265495072561E-3</v>
      </c>
      <c r="G38">
        <v>6.576908529507256E-3</v>
      </c>
      <c r="H38">
        <v>0.99363113125698554</v>
      </c>
      <c r="I38">
        <v>0.89094395225104606</v>
      </c>
    </row>
    <row r="39" spans="1:9" x14ac:dyDescent="0.25">
      <c r="A39">
        <v>54</v>
      </c>
      <c r="B39">
        <v>3.7000000000000002E-3</v>
      </c>
      <c r="C39">
        <v>2.98E-3</v>
      </c>
      <c r="D39">
        <v>7.4149999999999997E-3</v>
      </c>
      <c r="E39">
        <v>3.680796502596667E-3</v>
      </c>
      <c r="F39">
        <v>2.9634659025966664E-3</v>
      </c>
      <c r="G39">
        <v>7.3902611525966666E-3</v>
      </c>
      <c r="H39">
        <v>0.99335573759480666</v>
      </c>
      <c r="I39">
        <v>0.88526964716177658</v>
      </c>
    </row>
    <row r="40" spans="1:9" x14ac:dyDescent="0.25">
      <c r="A40">
        <v>55</v>
      </c>
      <c r="B40">
        <v>3.7780000000000001E-3</v>
      </c>
      <c r="C40">
        <v>3.2169999999999998E-3</v>
      </c>
      <c r="D40">
        <v>8.2179999999999996E-3</v>
      </c>
      <c r="E40">
        <v>3.7564325783806893E-3</v>
      </c>
      <c r="F40">
        <v>3.1977377273806895E-3</v>
      </c>
      <c r="G40">
        <v>8.1892908383806879E-3</v>
      </c>
      <c r="H40">
        <v>0.9930458296942386</v>
      </c>
      <c r="I40">
        <v>0.87938768332668082</v>
      </c>
    </row>
    <row r="41" spans="1:9" x14ac:dyDescent="0.25">
      <c r="A41">
        <v>56</v>
      </c>
      <c r="B41">
        <v>4.1710000000000002E-3</v>
      </c>
      <c r="C41">
        <v>3.4979999999999998E-3</v>
      </c>
      <c r="D41">
        <v>8.9680000000000003E-3</v>
      </c>
      <c r="E41">
        <v>4.1450457718456481E-3</v>
      </c>
      <c r="F41">
        <v>3.475063503845648E-3</v>
      </c>
      <c r="G41">
        <v>8.9336558188456497E-3</v>
      </c>
      <c r="H41">
        <v>0.99237989072430877</v>
      </c>
      <c r="I41">
        <v>0.87327227161203813</v>
      </c>
    </row>
    <row r="42" spans="1:9" x14ac:dyDescent="0.25">
      <c r="A42">
        <v>57</v>
      </c>
      <c r="B42">
        <v>4.6969999999999998E-3</v>
      </c>
      <c r="C42">
        <v>3.8289999999999999E-3</v>
      </c>
      <c r="D42">
        <v>9.7179999999999992E-3</v>
      </c>
      <c r="E42">
        <v>4.6652431293042447E-3</v>
      </c>
      <c r="F42">
        <v>3.8014607413042445E-3</v>
      </c>
      <c r="G42">
        <v>9.6766304248042424E-3</v>
      </c>
      <c r="H42">
        <v>0.99153329612939145</v>
      </c>
      <c r="I42">
        <v>0.86661784147492327</v>
      </c>
    </row>
    <row r="43" spans="1:9" x14ac:dyDescent="0.25">
      <c r="A43">
        <v>58</v>
      </c>
      <c r="B43">
        <v>5.2880000000000002E-3</v>
      </c>
      <c r="C43">
        <v>4.2170000000000003E-3</v>
      </c>
      <c r="D43">
        <v>1.0555999999999999E-2</v>
      </c>
      <c r="E43">
        <v>5.2490186524932585E-3</v>
      </c>
      <c r="F43">
        <v>4.1836713904932592E-3</v>
      </c>
      <c r="G43">
        <v>1.0505911074493259E-2</v>
      </c>
      <c r="H43">
        <v>0.99056730995701348</v>
      </c>
      <c r="I43">
        <v>0.85928044484216914</v>
      </c>
    </row>
    <row r="44" spans="1:9" x14ac:dyDescent="0.25">
      <c r="A44">
        <v>59</v>
      </c>
      <c r="B44">
        <v>5.9540000000000001E-3</v>
      </c>
      <c r="C44">
        <v>4.6649999999999999E-3</v>
      </c>
      <c r="D44">
        <v>1.1395000000000001E-2</v>
      </c>
      <c r="E44">
        <v>5.9062948802656506E-3</v>
      </c>
      <c r="F44">
        <v>4.6246389577656501E-3</v>
      </c>
      <c r="G44">
        <v>1.133460374776565E-2</v>
      </c>
      <c r="H44">
        <v>0.98946906616196872</v>
      </c>
      <c r="I44">
        <v>0.8511751187459734</v>
      </c>
    </row>
    <row r="45" spans="1:9" x14ac:dyDescent="0.25">
      <c r="A45">
        <v>60</v>
      </c>
      <c r="B45">
        <v>6.7039999999999999E-3</v>
      </c>
      <c r="C45">
        <v>5.1770000000000002E-3</v>
      </c>
      <c r="D45">
        <v>1.2229E-2</v>
      </c>
      <c r="E45">
        <v>6.6457965637030771E-3</v>
      </c>
      <c r="F45">
        <v>5.1281334052030768E-3</v>
      </c>
      <c r="G45">
        <v>1.2156495101203077E-2</v>
      </c>
      <c r="H45">
        <v>0.98822607003109375</v>
      </c>
      <c r="I45">
        <v>0.84221144988588115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71"/>
  <sheetViews>
    <sheetView zoomScale="82" zoomScaleNormal="82" workbookViewId="0">
      <selection activeCell="J5" sqref="J5"/>
    </sheetView>
  </sheetViews>
  <sheetFormatPr defaultRowHeight="15" x14ac:dyDescent="0.25"/>
  <cols>
    <col min="1" max="1" width="16.140625" customWidth="1"/>
    <col min="2" max="2" width="14.85546875" customWidth="1"/>
    <col min="3" max="3" width="10.28515625" customWidth="1"/>
    <col min="4" max="4" width="12.42578125" customWidth="1"/>
    <col min="5" max="5" width="18.28515625" customWidth="1"/>
    <col min="6" max="6" width="15.7109375" customWidth="1"/>
    <col min="7" max="7" width="13.5703125" customWidth="1"/>
    <col min="8" max="8" width="19.5703125" customWidth="1"/>
    <col min="9" max="9" width="20.140625" customWidth="1"/>
    <col min="10" max="10" width="19.7109375" customWidth="1"/>
    <col min="11" max="11" width="15.42578125" bestFit="1" customWidth="1"/>
    <col min="12" max="12" width="13" customWidth="1"/>
    <col min="13" max="13" width="16" customWidth="1"/>
    <col min="14" max="14" width="14.7109375" customWidth="1"/>
    <col min="15" max="15" width="16.85546875" customWidth="1"/>
    <col min="16" max="16" width="18.140625" customWidth="1"/>
    <col min="17" max="17" width="28.5703125" customWidth="1"/>
  </cols>
  <sheetData>
    <row r="2" spans="1:17" x14ac:dyDescent="0.25">
      <c r="F2" s="65"/>
    </row>
    <row r="3" spans="1:17" x14ac:dyDescent="0.25">
      <c r="D3" s="64"/>
      <c r="G3" s="60"/>
      <c r="H3" s="20"/>
      <c r="I3" s="6" t="s">
        <v>95</v>
      </c>
      <c r="J3" s="18">
        <f>SUM(M12:M21)</f>
        <v>263799.03420137416</v>
      </c>
    </row>
    <row r="4" spans="1:17" x14ac:dyDescent="0.25">
      <c r="D4" s="21"/>
      <c r="G4" s="60"/>
      <c r="H4" s="60"/>
      <c r="I4" s="6" t="s">
        <v>96</v>
      </c>
      <c r="J4" s="18">
        <f>SUM(O12:O46)</f>
        <v>2364498.7673809729</v>
      </c>
    </row>
    <row r="5" spans="1:17" x14ac:dyDescent="0.25">
      <c r="D5" s="21"/>
      <c r="G5" s="60"/>
      <c r="H5" s="60"/>
      <c r="I5" s="6" t="s">
        <v>94</v>
      </c>
      <c r="J5" s="67">
        <f>J3/J4</f>
        <v>0.11156657717084371</v>
      </c>
    </row>
    <row r="6" spans="1:17" x14ac:dyDescent="0.25">
      <c r="D6" s="21"/>
      <c r="G6" s="60"/>
      <c r="H6" s="60"/>
    </row>
    <row r="7" spans="1:17" x14ac:dyDescent="0.25">
      <c r="A7" s="2" t="s">
        <v>119</v>
      </c>
      <c r="B7" s="3">
        <v>300000</v>
      </c>
      <c r="D7" s="21"/>
      <c r="E7" s="21"/>
      <c r="F7" s="60"/>
    </row>
    <row r="8" spans="1:17" x14ac:dyDescent="0.25">
      <c r="A8" s="6" t="s">
        <v>101</v>
      </c>
      <c r="B8" s="32">
        <v>0.5</v>
      </c>
      <c r="D8" s="5"/>
      <c r="E8" s="5"/>
      <c r="F8" s="1"/>
    </row>
    <row r="9" spans="1:17" x14ac:dyDescent="0.25">
      <c r="A9" s="6"/>
      <c r="B9" s="23">
        <v>0</v>
      </c>
      <c r="D9" s="5"/>
      <c r="E9" s="5"/>
      <c r="F9" s="1"/>
    </row>
    <row r="10" spans="1:17" x14ac:dyDescent="0.25">
      <c r="A10" s="5"/>
      <c r="B10" s="9"/>
      <c r="D10" s="5"/>
      <c r="E10" s="5"/>
      <c r="F10" s="1"/>
    </row>
    <row r="11" spans="1:17" ht="30" x14ac:dyDescent="0.25">
      <c r="A11" s="6" t="s">
        <v>43</v>
      </c>
      <c r="B11" s="6" t="s">
        <v>4</v>
      </c>
      <c r="C11" s="6" t="s">
        <v>33</v>
      </c>
      <c r="D11" s="6" t="s">
        <v>34</v>
      </c>
      <c r="E11" s="59" t="s">
        <v>58</v>
      </c>
      <c r="F11" s="59" t="s">
        <v>131</v>
      </c>
      <c r="G11" s="6" t="s">
        <v>35</v>
      </c>
      <c r="H11" s="6" t="s">
        <v>99</v>
      </c>
      <c r="I11" s="76" t="s">
        <v>92</v>
      </c>
      <c r="J11" s="6" t="s">
        <v>42</v>
      </c>
      <c r="K11" s="6" t="s">
        <v>41</v>
      </c>
      <c r="L11" s="6" t="s">
        <v>37</v>
      </c>
      <c r="M11" s="6" t="s">
        <v>39</v>
      </c>
      <c r="N11" s="6" t="s">
        <v>38</v>
      </c>
      <c r="O11" s="6" t="s">
        <v>36</v>
      </c>
      <c r="P11" s="5"/>
      <c r="Q11" s="5"/>
    </row>
    <row r="12" spans="1:17" x14ac:dyDescent="0.25">
      <c r="A12" s="2">
        <v>1</v>
      </c>
      <c r="B12" s="3">
        <f>IF(A12&lt;= 'LOAN SCHEDULE'!$K$9,'ASSUMPTIONS '!$J$10+'ASSUMPTIONS '!$J$9, "")</f>
        <v>341263.0973151566</v>
      </c>
      <c r="C12" s="18">
        <f>IF(A12&lt;='LOAN SCHEDULE'!$K$9,'ASSUMPTIONS '!$J$12*'PROFIT TESTING '!B12)</f>
        <v>187694.70352333615</v>
      </c>
      <c r="D12" s="18">
        <f>IF(A12&lt;= 'LOAN SCHEDULE'!$K$9,(B12-C12)*'ASSUMPTIONS '!$F$8,"")</f>
        <v>17660.365286059354</v>
      </c>
      <c r="E12" s="17">
        <f>IF(A12&lt;= 'LOAN SCHEDULE'!$K$9,('DECREMENT TABLE '!I5*('LOAN SCHEDULE'!H6+$B$7)),"")</f>
        <v>122914.26889839505</v>
      </c>
      <c r="F12" s="18">
        <f>IF(A12&lt;'LOAN SCHEDULE'!$K$9,('ASSUMPTIONS '!$J$4)*'DECREMENT TABLE '!I5,IF(A12&lt;='LOAN SCHEDULE'!$K$9,$B$9*'DECREMENT TABLE '!I5,""))</f>
        <v>131900.09215157648</v>
      </c>
      <c r="G12" s="18">
        <f>IF(A12&lt;= 'LOAN SCHEDULE'!$K$9,'DECREMENT TABLE '!J5*'LOAN SCHEDULE'!H6,"")</f>
        <v>39352.245346755975</v>
      </c>
      <c r="H12" s="18">
        <f>IF(A12&lt;= 'LOAN SCHEDULE'!$K$9,$B$8*'LOAN SCHEDULE'!H6*'DECREMENT TABLE '!K5,"")</f>
        <v>39234.412955012027</v>
      </c>
      <c r="I12" s="18">
        <f>IF(A12&lt;='LOAN SCHEDULE'!$K$9,(('DECREMENT TABLE '!L5*'ASSURANCES, ANNUITIES '!Q7)-'ASSURANCES, ANNUITIES '!Q6),"")</f>
        <v>496.45353266676062</v>
      </c>
      <c r="J12" s="18">
        <f>IF(A12&lt;='LOAN SCHEDULE'!$K$9,(B12-C12+D12-E12-F12-G12-H12-I12),"")</f>
        <v>-162668.71380652647</v>
      </c>
      <c r="K12" s="18">
        <f>IF(A12&lt;= 'LOAN SCHEDULE'!$K$9,J12*'DECREMENT TABLE '!M5,"")</f>
        <v>-162668.71380652647</v>
      </c>
      <c r="L12" s="12">
        <f>IF(A12&lt;= 'LOAN SCHEDULE'!$K$9,(1/(1+'ASSUMPTIONS '!$F$9))^A12,"")</f>
        <v>0.9174311926605504</v>
      </c>
      <c r="M12" s="14">
        <f>IF(A12 &lt;= 'LOAN SCHEDULE'!$K$9,K12*L12,"")</f>
        <v>-149237.35211607933</v>
      </c>
      <c r="N12" s="12">
        <f>IF(A12&lt;='LOAN SCHEDULE'!$K$9,(1/(1+'ASSUMPTIONS '!$F$9))^(A12-1),"")</f>
        <v>1</v>
      </c>
      <c r="O12" s="14">
        <f>IF(A12&lt;= 'LOAN SCHEDULE'!$K$9,N12*B12*'DECREMENT TABLE '!M5,"")</f>
        <v>341263.0973151566</v>
      </c>
    </row>
    <row r="13" spans="1:17" x14ac:dyDescent="0.25">
      <c r="A13" s="2">
        <f>IF(A12="","",IF((A12+1)&lt;='LOAN SCHEDULE'!$K$9,'PROFIT TESTING '!A12+1,""))</f>
        <v>2</v>
      </c>
      <c r="B13" s="3">
        <f>IF(A13&lt;= 'LOAN SCHEDULE'!$K$9,'ASSUMPTIONS '!$J$10+'ASSUMPTIONS '!$J$9, "")</f>
        <v>341263.0973151566</v>
      </c>
      <c r="C13" s="18">
        <f>IF(A13&lt;= 'LOAN SCHEDULE'!$K$9,'ASSUMPTIONS '!$J$13*B13,"")</f>
        <v>102378.92919454699</v>
      </c>
      <c r="D13" s="18">
        <f>IF(A13&lt;= 'LOAN SCHEDULE'!$K$9,(B13-C13)*'ASSUMPTIONS '!$F$8,"")</f>
        <v>27471.679333870106</v>
      </c>
      <c r="E13" s="17">
        <f>IF(A13&lt;= 'LOAN SCHEDULE'!$K$9,('DECREMENT TABLE '!I6*('LOAN SCHEDULE'!H7+$B$7)),"")</f>
        <v>109944.61076859967</v>
      </c>
      <c r="F13" s="18">
        <f>IF(A13&lt;'LOAN SCHEDULE'!$K$9,('ASSUMPTIONS '!$J$4)*'DECREMENT TABLE '!I6,IF(A13&lt;='LOAN SCHEDULE'!$K$9,$B$9*'DECREMENT TABLE '!I6,""))</f>
        <v>128680.37793753522</v>
      </c>
      <c r="G13" s="18">
        <f>IF(A13&lt;= 'LOAN SCHEDULE'!$K$9,'DECREMENT TABLE '!J6*'LOAN SCHEDULE'!H7,"")</f>
        <v>37254.284982978323</v>
      </c>
      <c r="H13" s="18">
        <f>IF(A13&lt;= 'LOAN SCHEDULE'!$K$9,$B$8*'LOAN SCHEDULE'!H7*'DECREMENT TABLE '!K6,"")</f>
        <v>36582.040522248368</v>
      </c>
      <c r="I13" s="18">
        <f>IF(A13&lt;='LOAN SCHEDULE'!$K$9,(('DECREMENT TABLE '!L6*'ASSURANCES, ANNUITIES '!Q8)-'ASSURANCES, ANNUITIES '!Q7),"")</f>
        <v>3734.0135276607352</v>
      </c>
      <c r="J13" s="18">
        <f>IF(A13&lt;='LOAN SCHEDULE'!$K$9,(B13-C13+D13-E13-F13-G13-H13-I13),"")</f>
        <v>-49839.480284542587</v>
      </c>
      <c r="K13" s="18">
        <f>IF(A13&lt;= 'LOAN SCHEDULE'!$K$9,J13*'DECREMENT TABLE '!M6,"")</f>
        <v>-49715.362641648215</v>
      </c>
      <c r="L13" s="12">
        <f>IF(A13&lt;= 'LOAN SCHEDULE'!$K$9,(1/(1+'ASSUMPTIONS '!$F$9))^A13,"")</f>
        <v>0.84167999326655996</v>
      </c>
      <c r="M13" s="14">
        <f>IF(A13 &lt;= 'LOAN SCHEDULE'!$K$9,K13*L13,"")</f>
        <v>-41844.426093467053</v>
      </c>
      <c r="N13" s="12">
        <f>IF(A13&lt;='LOAN SCHEDULE'!$K$9,(1/(1+'ASSUMPTIONS '!$F$9))^(A13-1),"")</f>
        <v>0.9174311926605504</v>
      </c>
      <c r="O13" s="14">
        <f>IF(A13&lt;= 'LOAN SCHEDULE'!$K$9,N13*B13*'DECREMENT TABLE '!M6,"")</f>
        <v>312305.71880024241</v>
      </c>
    </row>
    <row r="14" spans="1:17" x14ac:dyDescent="0.25">
      <c r="A14" s="2">
        <f>IF(A13="","",IF((A13+1)&lt;='LOAN SCHEDULE'!$K$9,'PROFIT TESTING '!A13+1,""))</f>
        <v>3</v>
      </c>
      <c r="B14" s="3">
        <f>IF(A14&lt;= 'LOAN SCHEDULE'!$K$9,'ASSUMPTIONS '!$J$10+'ASSUMPTIONS '!$J$9, "")</f>
        <v>341263.0973151566</v>
      </c>
      <c r="C14" s="18">
        <f>IF(A14&lt;= 'LOAN SCHEDULE'!$K$9,'ASSUMPTIONS '!$J$14*B14,"")</f>
        <v>51189.464597273494</v>
      </c>
      <c r="D14" s="18">
        <f>IF(A14&lt;= 'LOAN SCHEDULE'!$K$9,(B14-C14)*'ASSUMPTIONS '!$F$8,"")</f>
        <v>33358.46776255656</v>
      </c>
      <c r="E14" s="17">
        <f>IF(A14&lt;= 'LOAN SCHEDULE'!$K$9,('DECREMENT TABLE '!I7*('LOAN SCHEDULE'!H8+$B$7)),"")</f>
        <v>97279.722718131467</v>
      </c>
      <c r="F14" s="18">
        <f>IF(A14&lt;'LOAN SCHEDULE'!$K$9,('ASSUMPTIONS '!$J$4)*'DECREMENT TABLE '!I7,IF(A14&lt;='LOAN SCHEDULE'!$K$9,$B$9*'DECREMENT TABLE '!I7,""))</f>
        <v>126089.69323976632</v>
      </c>
      <c r="G14" s="18">
        <f>IF(A14&lt;= 'LOAN SCHEDULE'!$K$9,'DECREMENT TABLE '!J7*'LOAN SCHEDULE'!H8,"")</f>
        <v>35069.981018703373</v>
      </c>
      <c r="H14" s="18">
        <f>IF(A14&lt;= 'LOAN SCHEDULE'!$K$9,$B$8*'LOAN SCHEDULE'!H8*'DECREMENT TABLE '!K7,"")</f>
        <v>33605.390931212401</v>
      </c>
      <c r="I14" s="18">
        <f>IF(A14&lt;='LOAN SCHEDULE'!$K$9,(('DECREMENT TABLE '!L7*'ASSURANCES, ANNUITIES '!Q9)-'ASSURANCES, ANNUITIES '!Q8),"")</f>
        <v>6469.447288271831</v>
      </c>
      <c r="J14" s="18">
        <f>IF(A14&lt;='LOAN SCHEDULE'!$K$9,(B14-C14+D14-E14-F14-G14-H14-I14),"")</f>
        <v>24917.865284354273</v>
      </c>
      <c r="K14" s="18">
        <f>IF(A14&lt;= 'LOAN SCHEDULE'!$K$9,J14*'DECREMENT TABLE '!M7,"")</f>
        <v>24794.558240032555</v>
      </c>
      <c r="L14" s="12">
        <f>IF(A14&lt;= 'LOAN SCHEDULE'!$K$9,(1/(1+'ASSUMPTIONS '!$F$9))^A14,"")</f>
        <v>0.77218348006106408</v>
      </c>
      <c r="M14" s="14">
        <f>IF(A14 &lt;= 'LOAN SCHEDULE'!$K$9,K14*L14,"")</f>
        <v>19145.948268365071</v>
      </c>
      <c r="N14" s="12">
        <f>IF(A14&lt;='LOAN SCHEDULE'!$K$9,(1/(1+'ASSUMPTIONS '!$F$9))^(A14-1),"")</f>
        <v>0.84167999326655996</v>
      </c>
      <c r="O14" s="14">
        <f>IF(A14&lt;= 'LOAN SCHEDULE'!$K$9,N14*B14*'DECREMENT TABLE '!M7,"")</f>
        <v>285812.93102216889</v>
      </c>
    </row>
    <row r="15" spans="1:17" x14ac:dyDescent="0.25">
      <c r="A15" s="2">
        <f>IF(A14="","",IF((A14+1)&lt;='LOAN SCHEDULE'!$K$9,'PROFIT TESTING '!A14+1,""))</f>
        <v>4</v>
      </c>
      <c r="B15" s="3">
        <f>IF(A15&lt;= 'LOAN SCHEDULE'!$K$9,'ASSUMPTIONS '!$J$10+'ASSUMPTIONS '!$J$9, "")</f>
        <v>341263.0973151566</v>
      </c>
      <c r="C15" s="18">
        <f>IF(A15&lt;= 'LOAN SCHEDULE'!$K$9,'ASSUMPTIONS '!$J$14*B15,"")</f>
        <v>51189.464597273494</v>
      </c>
      <c r="D15" s="18">
        <f>IF(A15&lt;= 'LOAN SCHEDULE'!$K$9,(B15-C15)*'ASSUMPTIONS '!$F$8,"")</f>
        <v>33358.46776255656</v>
      </c>
      <c r="E15" s="17">
        <f>IF(A15&lt;= 'LOAN SCHEDULE'!$K$9,('DECREMENT TABLE '!I8*('LOAN SCHEDULE'!H9+$B$7)),"")</f>
        <v>85090.279829431194</v>
      </c>
      <c r="F15" s="18">
        <f>IF(A15&lt;'LOAN SCHEDULE'!$K$9,('ASSUMPTIONS '!$J$4)*'DECREMENT TABLE '!I8,IF(A15&lt;='LOAN SCHEDULE'!$K$9,$B$9*'DECREMENT TABLE '!I8,""))</f>
        <v>124614.23775536734</v>
      </c>
      <c r="G15" s="18">
        <f>IF(A15&lt;= 'LOAN SCHEDULE'!$K$9,'DECREMENT TABLE '!J8*'LOAN SCHEDULE'!H9,"")</f>
        <v>32675.304249676628</v>
      </c>
      <c r="H15" s="18">
        <f>IF(A15&lt;= 'LOAN SCHEDULE'!$K$9,$B$8*'LOAN SCHEDULE'!H9*'DECREMENT TABLE '!K8,"")</f>
        <v>31499.7627935542</v>
      </c>
      <c r="I15" s="18">
        <f>IF(A15&lt;='LOAN SCHEDULE'!$K$9,(('DECREMENT TABLE '!L8*'ASSURANCES, ANNUITIES '!Q10)-'ASSURANCES, ANNUITIES '!Q9),"")</f>
        <v>8193.2513260888081</v>
      </c>
      <c r="J15" s="18">
        <f>IF(A15&lt;='LOAN SCHEDULE'!$K$9,(B15-C15+D15-E15-F15-G15-H15-I15),"")</f>
        <v>41359.26452632148</v>
      </c>
      <c r="K15" s="18">
        <f>IF(A15&lt;= 'LOAN SCHEDULE'!$K$9,J15*'DECREMENT TABLE '!M8,"")</f>
        <v>41053.591559309461</v>
      </c>
      <c r="L15" s="12">
        <f>IF(A15&lt;= 'LOAN SCHEDULE'!$K$9,(1/(1+'ASSUMPTIONS '!$F$9))^A15,"")</f>
        <v>0.7084252110651964</v>
      </c>
      <c r="M15" s="14">
        <f>IF(A15 &lt;= 'LOAN SCHEDULE'!$K$9,K15*L15,"")</f>
        <v>29083.399265388172</v>
      </c>
      <c r="N15" s="12">
        <f>IF(A15&lt;='LOAN SCHEDULE'!$K$9,(1/(1+'ASSUMPTIONS '!$F$9))^(A15-1),"")</f>
        <v>0.77218348006106408</v>
      </c>
      <c r="O15" s="14">
        <f>IF(A15&lt;= 'LOAN SCHEDULE'!$K$9,N15*B15*'DECREMENT TABLE '!M8,"")</f>
        <v>261570.15169148325</v>
      </c>
    </row>
    <row r="16" spans="1:17" x14ac:dyDescent="0.25">
      <c r="A16" s="2">
        <f>IF(A15="","",IF((A15+1)&lt;='LOAN SCHEDULE'!$K$9,'PROFIT TESTING '!A15+1,""))</f>
        <v>5</v>
      </c>
      <c r="B16" s="3">
        <f>IF(A16&lt;= 'LOAN SCHEDULE'!$K$9,'ASSUMPTIONS '!$J$10+'ASSUMPTIONS '!$J$9, "")</f>
        <v>341263.0973151566</v>
      </c>
      <c r="C16" s="18">
        <f>IF(A16&lt;= 'LOAN SCHEDULE'!$K$9,'ASSUMPTIONS '!$J$14*B16,"")</f>
        <v>51189.464597273494</v>
      </c>
      <c r="D16" s="18">
        <f>IF(A16&lt;= 'LOAN SCHEDULE'!$K$9,(B16-C16)*'ASSUMPTIONS '!$F$8,"")</f>
        <v>33358.46776255656</v>
      </c>
      <c r="E16" s="17">
        <f>IF(A16&lt;= 'LOAN SCHEDULE'!$K$9,('DECREMENT TABLE '!I9*('LOAN SCHEDULE'!H10+$B$7)),"")</f>
        <v>73467.860339217063</v>
      </c>
      <c r="F16" s="18">
        <f>IF(A16&lt;'LOAN SCHEDULE'!$K$9,('ASSUMPTIONS '!$J$4)*'DECREMENT TABLE '!I9,IF(A16&lt;='LOAN SCHEDULE'!$K$9,$B$9*'DECREMENT TABLE '!I9,""))</f>
        <v>124956.38419025025</v>
      </c>
      <c r="G16" s="18">
        <f>IF(A16&lt;= 'LOAN SCHEDULE'!$K$9,'DECREMENT TABLE '!J9*'LOAN SCHEDULE'!H10,"")</f>
        <v>29818.344809144091</v>
      </c>
      <c r="H16" s="18">
        <f>IF(A16&lt;= 'LOAN SCHEDULE'!$K$9,$B$8*'LOAN SCHEDULE'!H10*'DECREMENT TABLE '!K9,"")</f>
        <v>28685.874201057683</v>
      </c>
      <c r="I16" s="18">
        <f>IF(A16&lt;='LOAN SCHEDULE'!$K$9,(('DECREMENT TABLE '!L9*'ASSURANCES, ANNUITIES '!Q11)-'ASSURANCES, ANNUITIES '!Q10),"")</f>
        <v>8166.0677576405324</v>
      </c>
      <c r="J16" s="18">
        <f>IF(A16&lt;='LOAN SCHEDULE'!$K$9,(B16-C16+D16-E16-F16-G16-H16-I16),"")</f>
        <v>58337.56918313005</v>
      </c>
      <c r="K16" s="18">
        <f>IF(A16&lt;= 'LOAN SCHEDULE'!$K$9,J16*'DECREMENT TABLE '!M9,"")</f>
        <v>57763.494342046615</v>
      </c>
      <c r="L16" s="12">
        <f>IF(A16&lt;= 'LOAN SCHEDULE'!$K$9,(1/(1+'ASSUMPTIONS '!$F$9))^A16,"")</f>
        <v>0.64993138629834524</v>
      </c>
      <c r="M16" s="14">
        <f>IF(A16 &lt;= 'LOAN SCHEDULE'!$K$9,K16*L16,"")</f>
        <v>37542.307955162978</v>
      </c>
      <c r="N16" s="12">
        <f>IF(A16&lt;='LOAN SCHEDULE'!$K$9,(1/(1+'ASSUMPTIONS '!$F$9))^(A16-1),"")</f>
        <v>0.7084252110651964</v>
      </c>
      <c r="O16" s="14">
        <f>IF(A16&lt;= 'LOAN SCHEDULE'!$K$9,N16*B16*'DECREMENT TABLE '!M9,"")</f>
        <v>239380.33200668823</v>
      </c>
    </row>
    <row r="17" spans="1:15" x14ac:dyDescent="0.25">
      <c r="A17" s="2">
        <f>IF(A16="","",IF((A16+1)&lt;='LOAN SCHEDULE'!$K$9,'PROFIT TESTING '!A16+1,""))</f>
        <v>6</v>
      </c>
      <c r="B17" s="3">
        <f>IF(A17&lt;= 'LOAN SCHEDULE'!$K$9,'ASSUMPTIONS '!$J$10+'ASSUMPTIONS '!$J$9, "")</f>
        <v>341263.0973151566</v>
      </c>
      <c r="C17" s="18">
        <f>IF(A17&lt;= 'LOAN SCHEDULE'!$K$9,'ASSUMPTIONS '!$J$14*B17,"")</f>
        <v>51189.464597273494</v>
      </c>
      <c r="D17" s="18">
        <f>IF(A17&lt;= 'LOAN SCHEDULE'!$K$9,(B17-C17)*'ASSUMPTIONS '!$F$8,"")</f>
        <v>33358.46776255656</v>
      </c>
      <c r="E17" s="17">
        <f>IF(A17&lt;= 'LOAN SCHEDULE'!$K$9,('DECREMENT TABLE '!I10*('LOAN SCHEDULE'!H11+$B$7)),"")</f>
        <v>61935.462910671435</v>
      </c>
      <c r="F17" s="18">
        <f>IF(A17&lt;'LOAN SCHEDULE'!$K$9,('ASSUMPTIONS '!$J$4)*'DECREMENT TABLE '!I10,IF(A17&lt;='LOAN SCHEDULE'!$K$9,$B$9*'DECREMENT TABLE '!I10,""))</f>
        <v>127325.43457331501</v>
      </c>
      <c r="G17" s="18">
        <f>IF(A17&lt;= 'LOAN SCHEDULE'!$K$9,'DECREMENT TABLE '!J10*'LOAN SCHEDULE'!H11,"")</f>
        <v>26214.354629780457</v>
      </c>
      <c r="H17" s="18">
        <f>IF(A17&lt;= 'LOAN SCHEDULE'!$K$9,$B$8*'LOAN SCHEDULE'!H11*'DECREMENT TABLE '!K10,"")</f>
        <v>25128.240955525984</v>
      </c>
      <c r="I17" s="18">
        <f>IF(A17&lt;='LOAN SCHEDULE'!$K$9,(('DECREMENT TABLE '!L10*'ASSURANCES, ANNUITIES '!Q12)-'ASSURANCES, ANNUITIES '!Q11),"")</f>
        <v>6109.3767487831137</v>
      </c>
      <c r="J17" s="18">
        <f>IF(A17&lt;='LOAN SCHEDULE'!$K$9,(B17-C17+D17-E17-F17-G17-H17-I17),"")</f>
        <v>76719.230662363669</v>
      </c>
      <c r="K17" s="18">
        <f>IF(A17&lt;= 'LOAN SCHEDULE'!$K$9,J17*'DECREMENT TABLE '!M10,"")</f>
        <v>75773.22539971942</v>
      </c>
      <c r="L17" s="12">
        <f>IF(A17&lt;= 'LOAN SCHEDULE'!$K$9,(1/(1+'ASSUMPTIONS '!$F$9))^A17,"")</f>
        <v>0.5962673268792158</v>
      </c>
      <c r="M17" s="14">
        <f>IF(A17 &lt;= 'LOAN SCHEDULE'!$K$9,K17*L17,"")</f>
        <v>45181.098558106998</v>
      </c>
      <c r="N17" s="12">
        <f>IF(A17&lt;='LOAN SCHEDULE'!$K$9,(1/(1+'ASSUMPTIONS '!$F$9))^(A17-1),"")</f>
        <v>0.64993138629834524</v>
      </c>
      <c r="O17" s="14">
        <f>IF(A17&lt;= 'LOAN SCHEDULE'!$K$9,N17*B17*'DECREMENT TABLE '!M10,"")</f>
        <v>219062.66832977187</v>
      </c>
    </row>
    <row r="18" spans="1:15" x14ac:dyDescent="0.25">
      <c r="A18" s="2">
        <f>IF(A17="","",IF((A17+1)&lt;='LOAN SCHEDULE'!$K$9,'PROFIT TESTING '!A17+1,""))</f>
        <v>7</v>
      </c>
      <c r="B18" s="3">
        <f>IF(A18&lt;= 'LOAN SCHEDULE'!$K$9,'ASSUMPTIONS '!$J$10+'ASSUMPTIONS '!$J$9, "")</f>
        <v>341263.0973151566</v>
      </c>
      <c r="C18" s="18">
        <f>IF(A18&lt;= 'LOAN SCHEDULE'!$K$9,'ASSUMPTIONS '!$J$14*B18,"")</f>
        <v>51189.464597273494</v>
      </c>
      <c r="D18" s="18">
        <f>IF(A18&lt;= 'LOAN SCHEDULE'!$K$9,(B18-C18)*'ASSUMPTIONS '!$F$8,"")</f>
        <v>33358.46776255656</v>
      </c>
      <c r="E18" s="17">
        <f>IF(A18&lt;= 'LOAN SCHEDULE'!$K$9,('DECREMENT TABLE '!I11*('LOAN SCHEDULE'!H12+$B$7)),"")</f>
        <v>49767.916056021299</v>
      </c>
      <c r="F18" s="18">
        <f>IF(A18&lt;'LOAN SCHEDULE'!$K$9,('ASSUMPTIONS '!$J$4)*'DECREMENT TABLE '!I11,IF(A18&lt;='LOAN SCHEDULE'!$K$9,$B$9*'DECREMENT TABLE '!I11,""))</f>
        <v>131722.19667304461</v>
      </c>
      <c r="G18" s="18">
        <f>IF(A18&lt;= 'LOAN SCHEDULE'!$K$9,'DECREMENT TABLE '!J11*'LOAN SCHEDULE'!H12,"")</f>
        <v>21639.114884094161</v>
      </c>
      <c r="H18" s="18">
        <f>IF(A18&lt;= 'LOAN SCHEDULE'!$K$9,$B$8*'LOAN SCHEDULE'!H12*'DECREMENT TABLE '!K11,"")</f>
        <v>20432.860693061688</v>
      </c>
      <c r="I18" s="18">
        <f>IF(A18&lt;='LOAN SCHEDULE'!$K$9,(('DECREMENT TABLE '!L11*'ASSURANCES, ANNUITIES '!Q13)-'ASSURANCES, ANNUITIES '!Q12),"")</f>
        <v>1943.8441415176057</v>
      </c>
      <c r="J18" s="18">
        <f>IF(A18&lt;='LOAN SCHEDULE'!$K$9,(B18-C18+D18-E18-F18-G18-H18-I18),"")</f>
        <v>97926.168032700298</v>
      </c>
      <c r="K18" s="18">
        <f>IF(A18&lt;= 'LOAN SCHEDULE'!$K$9,J18*'DECREMENT TABLE '!M11,"")</f>
        <v>96467.617910140762</v>
      </c>
      <c r="L18" s="12">
        <f>IF(A18&lt;= 'LOAN SCHEDULE'!$K$9,(1/(1+'ASSUMPTIONS '!$F$9))^A18,"")</f>
        <v>0.5470342448433172</v>
      </c>
      <c r="M18" s="14">
        <f>IF(A18 &lt;= 'LOAN SCHEDULE'!$K$9,K18*L18,"")</f>
        <v>52771.090515307515</v>
      </c>
      <c r="N18" s="12">
        <f>IF(A18&lt;='LOAN SCHEDULE'!$K$9,(1/(1+'ASSUMPTIONS '!$F$9))^(A18-1),"")</f>
        <v>0.5962673268792158</v>
      </c>
      <c r="O18" s="14">
        <f>IF(A18&lt;= 'LOAN SCHEDULE'!$K$9,N18*B18*'DECREMENT TABLE '!M11,"")</f>
        <v>200453.2650885834</v>
      </c>
    </row>
    <row r="19" spans="1:15" x14ac:dyDescent="0.25">
      <c r="A19" s="2">
        <f>IF(A18="","",IF((A18+1)&lt;='LOAN SCHEDULE'!$K$9,'PROFIT TESTING '!A18+1,""))</f>
        <v>8</v>
      </c>
      <c r="B19" s="3">
        <f>IF(A19&lt;= 'LOAN SCHEDULE'!$K$9,'ASSUMPTIONS '!$J$10+'ASSUMPTIONS '!$J$9, "")</f>
        <v>341263.0973151566</v>
      </c>
      <c r="C19" s="18">
        <f>IF(A19&lt;= 'LOAN SCHEDULE'!$K$9,'ASSUMPTIONS '!$J$14*B19,"")</f>
        <v>51189.464597273494</v>
      </c>
      <c r="D19" s="18">
        <f>IF(A19&lt;= 'LOAN SCHEDULE'!$K$9,(B19-C19)*'ASSUMPTIONS '!$F$8,"")</f>
        <v>33358.46776255656</v>
      </c>
      <c r="E19" s="17">
        <f>IF(A19&lt;= 'LOAN SCHEDULE'!$K$9,('DECREMENT TABLE '!I12*('LOAN SCHEDULE'!H13+$B$7)),"")</f>
        <v>36032.423805846498</v>
      </c>
      <c r="F19" s="18">
        <f>IF(A19&lt;'LOAN SCHEDULE'!$K$9,('ASSUMPTIONS '!$J$4)*'DECREMENT TABLE '!I12,IF(A19&lt;='LOAN SCHEDULE'!$K$9,$B$9*'DECREMENT TABLE '!I12,""))</f>
        <v>137726.24346447867</v>
      </c>
      <c r="G19" s="18">
        <f>IF(A19&lt;= 'LOAN SCHEDULE'!$K$9,'DECREMENT TABLE '!J12*'LOAN SCHEDULE'!H13,"")</f>
        <v>15841.393818660026</v>
      </c>
      <c r="H19" s="18">
        <f>IF(A19&lt;= 'LOAN SCHEDULE'!$K$9,$B$8*'LOAN SCHEDULE'!H13*'DECREMENT TABLE '!K12,"")</f>
        <v>14750.141926749458</v>
      </c>
      <c r="I19" s="18">
        <f>IF(A19&lt;='LOAN SCHEDULE'!$K$9,(('DECREMENT TABLE '!L12*'ASSURANCES, ANNUITIES '!Q14)-'ASSURANCES, ANNUITIES '!Q13),"")</f>
        <v>-3992.9672049317887</v>
      </c>
      <c r="J19" s="18">
        <f>IF(A19&lt;='LOAN SCHEDULE'!$K$9,(B19-C19+D19-E19-F19-G19-H19-I19),"")</f>
        <v>123074.86466963681</v>
      </c>
      <c r="K19" s="18">
        <f>IF(A19&lt;= 'LOAN SCHEDULE'!$K$9,J19*'DECREMENT TABLE '!M12,"")</f>
        <v>120913.25786595439</v>
      </c>
      <c r="L19" s="12">
        <f>IF(A19&lt;= 'LOAN SCHEDULE'!$K$9,(1/(1+'ASSUMPTIONS '!$F$9))^A19,"")</f>
        <v>0.50186627967276809</v>
      </c>
      <c r="M19" s="14">
        <f>IF(A19 &lt;= 'LOAN SCHEDULE'!$K$9,K19*L19,"")</f>
        <v>60682.286888300594</v>
      </c>
      <c r="N19" s="12">
        <f>IF(A19&lt;='LOAN SCHEDULE'!$K$9,(1/(1+'ASSUMPTIONS '!$F$9))^(A19-1),"")</f>
        <v>0.5470342448433172</v>
      </c>
      <c r="O19" s="14">
        <f>IF(A19&lt;= 'LOAN SCHEDULE'!$K$9,N19*B19*'DECREMENT TABLE '!M12,"")</f>
        <v>183403.82906020983</v>
      </c>
    </row>
    <row r="20" spans="1:15" x14ac:dyDescent="0.25">
      <c r="A20" s="2">
        <f>IF(A19="","",IF((A19+1)&lt;='LOAN SCHEDULE'!$K$9,'PROFIT TESTING '!A19+1,""))</f>
        <v>9</v>
      </c>
      <c r="B20" s="3">
        <f>IF(A20&lt;= 'LOAN SCHEDULE'!$K$9,'ASSUMPTIONS '!$J$10+'ASSUMPTIONS '!$J$9, "")</f>
        <v>341263.0973151566</v>
      </c>
      <c r="C20" s="18">
        <f>IF(A20&lt;= 'LOAN SCHEDULE'!$K$9,'ASSUMPTIONS '!$J$14*B20,"")</f>
        <v>51189.464597273494</v>
      </c>
      <c r="D20" s="18">
        <f>IF(A20&lt;= 'LOAN SCHEDULE'!$K$9,(B20-C20)*'ASSUMPTIONS '!$F$8,"")</f>
        <v>33358.46776255656</v>
      </c>
      <c r="E20" s="17">
        <f>IF(A20&lt;= 'LOAN SCHEDULE'!$K$9,('DECREMENT TABLE '!I13*('LOAN SCHEDULE'!H14+$B$7)),"")</f>
        <v>19905.977235626444</v>
      </c>
      <c r="F20" s="18">
        <f>IF(A20&lt;'LOAN SCHEDULE'!$K$9,('ASSUMPTIONS '!$J$4)*'DECREMENT TABLE '!I13,IF(A20&lt;='LOAN SCHEDULE'!$K$9,$B$9*'DECREMENT TABLE '!I13,""))</f>
        <v>144981.91051974116</v>
      </c>
      <c r="G20" s="18">
        <f>IF(A20&lt;= 'LOAN SCHEDULE'!$K$9,'DECREMENT TABLE '!J13*'LOAN SCHEDULE'!H14,"")</f>
        <v>8688.9368548761286</v>
      </c>
      <c r="H20" s="18">
        <f>IF(A20&lt;= 'LOAN SCHEDULE'!$K$9,$B$8*'LOAN SCHEDULE'!H14*'DECREMENT TABLE '!K13,"")</f>
        <v>8344.0384546231417</v>
      </c>
      <c r="I20" s="18">
        <f>IF(A20&lt;='LOAN SCHEDULE'!$K$9,(('DECREMENT TABLE '!L13*'ASSURANCES, ANNUITIES '!Q15)-'ASSURANCES, ANNUITIES '!Q14),"")</f>
        <v>-11420.210678780182</v>
      </c>
      <c r="J20" s="18">
        <f>IF(A20&lt;='LOAN SCHEDULE'!$K$9,(B20-C20+D20-E20-F20-G20-H20-I20),"")</f>
        <v>152931.44809435299</v>
      </c>
      <c r="K20" s="18">
        <f>IF(A20&lt;= 'LOAN SCHEDULE'!$K$9,J20*'DECREMENT TABLE '!M13,"")</f>
        <v>149817.72161312378</v>
      </c>
      <c r="L20" s="12">
        <f>IF(A20&lt;= 'LOAN SCHEDULE'!$K$9,(1/(1+'ASSUMPTIONS '!$F$9))^A20,"")</f>
        <v>0.46042777951630098</v>
      </c>
      <c r="M20" s="14">
        <f>IF(A20 &lt;= 'LOAN SCHEDULE'!$K$9,K20*L20,"")</f>
        <v>68980.240894521921</v>
      </c>
      <c r="N20" s="12">
        <f>IF(A20&lt;='LOAN SCHEDULE'!$K$9,(1/(1+'ASSUMPTIONS '!$F$9))^(A20-1),"")</f>
        <v>0.50186627967276809</v>
      </c>
      <c r="O20" s="14">
        <f>IF(A20&lt;= 'LOAN SCHEDULE'!$K$9,N20*B20*'DECREMENT TABLE '!M13,"")</f>
        <v>167781.36832189295</v>
      </c>
    </row>
    <row r="21" spans="1:15" x14ac:dyDescent="0.25">
      <c r="A21" s="2">
        <f>IF(A20="","",IF((A20+1)&lt;='LOAN SCHEDULE'!$K$9,'PROFIT TESTING '!A20+1,""))</f>
        <v>10</v>
      </c>
      <c r="B21" s="3">
        <f>IF(A21&lt;= 'LOAN SCHEDULE'!$K$9,'ASSUMPTIONS '!$J$10+'ASSUMPTIONS '!$J$9, "")</f>
        <v>341263.0973151566</v>
      </c>
      <c r="C21" s="18">
        <f>IF(A21&lt;= 'LOAN SCHEDULE'!$K$9,'ASSUMPTIONS '!$J$14*B21,"")</f>
        <v>51189.464597273494</v>
      </c>
      <c r="D21" s="18">
        <f>IF(A21&lt;= 'LOAN SCHEDULE'!$K$9,(B21-C21)*'ASSUMPTIONS '!$F$8,"")</f>
        <v>33358.46776255656</v>
      </c>
      <c r="E21" s="17">
        <f>IF(A21&lt;= 'LOAN SCHEDULE'!$K$9,('DECREMENT TABLE '!I14*('LOAN SCHEDULE'!H15+$B$7)),"")</f>
        <v>656.93561169765826</v>
      </c>
      <c r="F21" s="18">
        <f>IF(A21&lt;'LOAN SCHEDULE'!$K$9,('ASSUMPTIONS '!$J$4)*'DECREMENT TABLE '!I14,IF(A21&lt;='LOAN SCHEDULE'!$K$9,$B$9*'DECREMENT TABLE '!I14,""))</f>
        <v>0</v>
      </c>
      <c r="G21" s="18">
        <f>IF(A21&lt;= 'LOAN SCHEDULE'!$K$9,'DECREMENT TABLE '!J14*'LOAN SCHEDULE'!H15,"")</f>
        <v>-7.3682704145132145E-12</v>
      </c>
      <c r="H21" s="18">
        <f>IF(A21&lt;= 'LOAN SCHEDULE'!$K$9,$B$8*'LOAN SCHEDULE'!H15*'DECREMENT TABLE '!K14,"")</f>
        <v>-7.2230016545414247E-12</v>
      </c>
      <c r="I21" s="18">
        <f>IF(A21&lt;='LOAN SCHEDULE'!$K$9,(('DECREMENT TABLE '!L14*'ASSURANCES, ANNUITIES '!Q16)-'ASSURANCES, ANNUITIES '!Q15),"")</f>
        <v>-20185.813161214159</v>
      </c>
      <c r="J21" s="18">
        <f>IF(A21&lt;='LOAN SCHEDULE'!$K$9,(B21-C21+D21-E21-F21-G21-H21-I21),"")</f>
        <v>342960.97802995617</v>
      </c>
      <c r="K21" s="18">
        <f>IF(A21&lt;= 'LOAN SCHEDULE'!$K$9,J21*'DECREMENT TABLE '!M14,"")</f>
        <v>334968.79756844905</v>
      </c>
      <c r="L21" s="12">
        <f>IF(A21&lt;= 'LOAN SCHEDULE'!$K$9,(1/(1+'ASSUMPTIONS '!$F$9))^A21,"")</f>
        <v>0.42241080689568894</v>
      </c>
      <c r="M21" s="14">
        <f>IF(A21 &lt;= 'LOAN SCHEDULE'!$K$9,K21*L21,"")</f>
        <v>141494.44006576724</v>
      </c>
      <c r="N21" s="12">
        <f>IF(A21&lt;='LOAN SCHEDULE'!$K$9,(1/(1+'ASSUMPTIONS '!$F$9))^(A21-1),"")</f>
        <v>0.46042777951630098</v>
      </c>
      <c r="O21" s="14">
        <f>IF(A21&lt;= 'LOAN SCHEDULE'!$K$9,N21*B21*'DECREMENT TABLE '!M14,"")</f>
        <v>153465.40574477505</v>
      </c>
    </row>
    <row r="22" spans="1:15" x14ac:dyDescent="0.25">
      <c r="A22" s="2" t="str">
        <f>IF(A21="","",IF((A21+1)&lt;='LOAN SCHEDULE'!$K$9,'PROFIT TESTING '!A21+1,""))</f>
        <v/>
      </c>
      <c r="B22" s="3" t="str">
        <f>IF(A22&lt;= 'LOAN SCHEDULE'!$K$9,'ASSUMPTIONS '!$J$10+'ASSUMPTIONS '!$J$9, "")</f>
        <v/>
      </c>
      <c r="C22" s="18" t="str">
        <f>IF(A22&lt;= 'LOAN SCHEDULE'!$K$9,'ASSUMPTIONS '!$J$14*B22,"")</f>
        <v/>
      </c>
      <c r="D22" s="18" t="str">
        <f>IF(A22&lt;= 'LOAN SCHEDULE'!$K$9,(B22-C22)*'ASSUMPTIONS '!$F$8,"")</f>
        <v/>
      </c>
      <c r="E22" s="17" t="str">
        <f>IF(A22&lt;= 'LOAN SCHEDULE'!$K$9,('DECREMENT TABLE '!I15*('LOAN SCHEDULE'!H16+$B$7)),"")</f>
        <v/>
      </c>
      <c r="F22" s="18" t="str">
        <f>IF(A22&lt;'LOAN SCHEDULE'!$K$9,('ASSUMPTIONS '!$J$4)*'DECREMENT TABLE '!I15,IF(A22&lt;='LOAN SCHEDULE'!$K$9,$B$9*'DECREMENT TABLE '!I15,""))</f>
        <v/>
      </c>
      <c r="G22" s="18" t="str">
        <f>IF(A22&lt;= 'LOAN SCHEDULE'!$K$9,'DECREMENT TABLE '!J15*'LOAN SCHEDULE'!H16,"")</f>
        <v/>
      </c>
      <c r="H22" s="18" t="str">
        <f>IF(A22&lt;= 'LOAN SCHEDULE'!$K$9,$B$8*'LOAN SCHEDULE'!H16*'DECREMENT TABLE '!K15,"")</f>
        <v/>
      </c>
      <c r="I22" s="18" t="str">
        <f>IF(A22&lt;='LOAN SCHEDULE'!$K$9,(('DECREMENT TABLE '!L15*'ASSURANCES, ANNUITIES '!Q17)-'ASSURANCES, ANNUITIES '!Q16),"")</f>
        <v/>
      </c>
      <c r="J22" s="18" t="str">
        <f>IF(A22&lt;='LOAN SCHEDULE'!$K$9,(B22-C22+D22-E22-F22-G22-H22-I22),"")</f>
        <v/>
      </c>
      <c r="K22" s="18" t="str">
        <f>IF(A22&lt;= 'LOAN SCHEDULE'!$K$9,J22*'DECREMENT TABLE '!M15,"")</f>
        <v/>
      </c>
      <c r="L22" s="12" t="str">
        <f>IF(A22&lt;= 'LOAN SCHEDULE'!$K$9,(1/(1+'ASSUMPTIONS '!$F$9))^A22,"")</f>
        <v/>
      </c>
      <c r="M22" s="14" t="str">
        <f>IF(A22 &lt;= 'LOAN SCHEDULE'!$K$9,K22*L22,"")</f>
        <v/>
      </c>
      <c r="N22" s="12" t="str">
        <f>IF(A22&lt;='LOAN SCHEDULE'!$K$9,(1/(1+'ASSUMPTIONS '!$F$9))^(A22-1),"")</f>
        <v/>
      </c>
      <c r="O22" s="14" t="str">
        <f>IF(A22&lt;= 'LOAN SCHEDULE'!$K$9,N22*B22*'DECREMENT TABLE '!M15,"")</f>
        <v/>
      </c>
    </row>
    <row r="23" spans="1:15" x14ac:dyDescent="0.25">
      <c r="A23" s="2" t="str">
        <f>IF(A22="","",IF((A22+1)&lt;='LOAN SCHEDULE'!$K$9,'PROFIT TESTING '!A22+1,""))</f>
        <v/>
      </c>
      <c r="B23" s="3" t="str">
        <f>IF(A23&lt;= 'LOAN SCHEDULE'!$K$9,'ASSUMPTIONS '!$J$10+'ASSUMPTIONS '!$J$9, "")</f>
        <v/>
      </c>
      <c r="C23" s="18" t="str">
        <f>IF(A23&lt;= 'LOAN SCHEDULE'!$K$9,'ASSUMPTIONS '!$J$14*B23,"")</f>
        <v/>
      </c>
      <c r="D23" s="18" t="str">
        <f>IF(A23&lt;= 'LOAN SCHEDULE'!$K$9,(B23-C23)*'ASSUMPTIONS '!$F$8,"")</f>
        <v/>
      </c>
      <c r="E23" s="17" t="str">
        <f>IF(A23&lt;= 'LOAN SCHEDULE'!$K$9,('DECREMENT TABLE '!I16*('LOAN SCHEDULE'!H17+$B$7)),"")</f>
        <v/>
      </c>
      <c r="F23" s="18" t="str">
        <f>IF(A23&lt;'LOAN SCHEDULE'!$K$9,('ASSUMPTIONS '!$J$4)*'DECREMENT TABLE '!I16,IF(A23&lt;='LOAN SCHEDULE'!$K$9,$B$9*'DECREMENT TABLE '!I16,""))</f>
        <v/>
      </c>
      <c r="G23" s="18" t="str">
        <f>IF(A23&lt;= 'LOAN SCHEDULE'!$K$9,'DECREMENT TABLE '!J16*'LOAN SCHEDULE'!H17,"")</f>
        <v/>
      </c>
      <c r="H23" s="18" t="str">
        <f>IF(A23&lt;= 'LOAN SCHEDULE'!$K$9,$B$8*'LOAN SCHEDULE'!H17*'DECREMENT TABLE '!K16,"")</f>
        <v/>
      </c>
      <c r="I23" s="18" t="str">
        <f>IF(A23&lt;='LOAN SCHEDULE'!$K$9,(('DECREMENT TABLE '!L16*'ASSURANCES, ANNUITIES '!Q18)-'ASSURANCES, ANNUITIES '!Q17),"")</f>
        <v/>
      </c>
      <c r="J23" s="18" t="str">
        <f>IF(A23&lt;='LOAN SCHEDULE'!$K$9,(B23-C23+D23-E23-F23-G23-H23-I23),"")</f>
        <v/>
      </c>
      <c r="K23" s="18" t="str">
        <f>IF(A23&lt;= 'LOAN SCHEDULE'!$K$9,J23*'DECREMENT TABLE '!M16,"")</f>
        <v/>
      </c>
      <c r="L23" s="12" t="str">
        <f>IF(A23&lt;= 'LOAN SCHEDULE'!$K$9,(1/(1+'ASSUMPTIONS '!$F$9))^A23,"")</f>
        <v/>
      </c>
      <c r="M23" s="14" t="str">
        <f>IF(A23 &lt;= 'LOAN SCHEDULE'!$K$9,K23*L23,"")</f>
        <v/>
      </c>
      <c r="N23" s="12" t="str">
        <f>IF(A23&lt;='LOAN SCHEDULE'!$K$9,(1/(1+'ASSUMPTIONS '!$F$9))^(A23-1),"")</f>
        <v/>
      </c>
      <c r="O23" s="14" t="str">
        <f>IF(A23&lt;= 'LOAN SCHEDULE'!$K$9,N23*B23*'DECREMENT TABLE '!M16,"")</f>
        <v/>
      </c>
    </row>
    <row r="24" spans="1:15" x14ac:dyDescent="0.25">
      <c r="A24" s="2" t="str">
        <f>IF(A23="","",IF((A23+1)&lt;='LOAN SCHEDULE'!$K$9,'PROFIT TESTING '!A23+1,""))</f>
        <v/>
      </c>
      <c r="B24" s="3" t="str">
        <f>IF(A24&lt;= 'LOAN SCHEDULE'!$K$9,'ASSUMPTIONS '!$J$10+'ASSUMPTIONS '!$J$9, "")</f>
        <v/>
      </c>
      <c r="C24" s="18" t="str">
        <f>IF(A24&lt;= 'LOAN SCHEDULE'!$K$9,'ASSUMPTIONS '!$J$14*B24,"")</f>
        <v/>
      </c>
      <c r="D24" s="18" t="str">
        <f>IF(A24&lt;= 'LOAN SCHEDULE'!$K$9,(B24-C24)*'ASSUMPTIONS '!$F$8,"")</f>
        <v/>
      </c>
      <c r="E24" s="17" t="str">
        <f>IF(A24&lt;= 'LOAN SCHEDULE'!$K$9,('DECREMENT TABLE '!I17*('LOAN SCHEDULE'!H18+$B$7)),"")</f>
        <v/>
      </c>
      <c r="F24" s="18" t="str">
        <f>IF(A24&lt;'LOAN SCHEDULE'!$K$9,('ASSUMPTIONS '!$J$4)*'DECREMENT TABLE '!I17,IF(A24&lt;='LOAN SCHEDULE'!$K$9,$B$9*'DECREMENT TABLE '!I17,""))</f>
        <v/>
      </c>
      <c r="G24" s="18" t="str">
        <f>IF(A24&lt;= 'LOAN SCHEDULE'!$K$9,'DECREMENT TABLE '!J17*'LOAN SCHEDULE'!H18,"")</f>
        <v/>
      </c>
      <c r="H24" s="18" t="str">
        <f>IF(A24&lt;= 'LOAN SCHEDULE'!$K$9,$B$8*'LOAN SCHEDULE'!H18*'DECREMENT TABLE '!K17,"")</f>
        <v/>
      </c>
      <c r="I24" s="18" t="str">
        <f>IF(A24&lt;='LOAN SCHEDULE'!$K$9,(('DECREMENT TABLE '!L17*'ASSURANCES, ANNUITIES '!Q19)-'ASSURANCES, ANNUITIES '!Q18),"")</f>
        <v/>
      </c>
      <c r="J24" s="18" t="str">
        <f>IF(A24&lt;='LOAN SCHEDULE'!$K$9,(B24-C24+D24-E24-F24-G24-H24-I24),"")</f>
        <v/>
      </c>
      <c r="K24" s="18" t="str">
        <f>IF(A24&lt;= 'LOAN SCHEDULE'!$K$9,J24*'DECREMENT TABLE '!M17,"")</f>
        <v/>
      </c>
      <c r="L24" s="12" t="str">
        <f>IF(A24&lt;= 'LOAN SCHEDULE'!$K$9,(1/(1+'ASSUMPTIONS '!$F$9))^A24,"")</f>
        <v/>
      </c>
      <c r="M24" s="14" t="str">
        <f>IF(A24 &lt;= 'LOAN SCHEDULE'!$K$9,K24*L24,"")</f>
        <v/>
      </c>
      <c r="N24" s="12" t="str">
        <f>IF(A24&lt;='LOAN SCHEDULE'!$K$9,(1/(1+'ASSUMPTIONS '!$F$9))^(A24-1),"")</f>
        <v/>
      </c>
      <c r="O24" s="14" t="str">
        <f>IF(A24&lt;= 'LOAN SCHEDULE'!$K$9,N24*B24*'DECREMENT TABLE '!M17,"")</f>
        <v/>
      </c>
    </row>
    <row r="25" spans="1:15" x14ac:dyDescent="0.25">
      <c r="A25" s="2" t="str">
        <f>IF(A24="","",IF((A24+1)&lt;='LOAN SCHEDULE'!$K$9,'PROFIT TESTING '!A24+1,""))</f>
        <v/>
      </c>
      <c r="B25" s="3" t="str">
        <f>IF(A25&lt;= 'LOAN SCHEDULE'!$K$9,'ASSUMPTIONS '!$J$10+'ASSUMPTIONS '!$J$9, "")</f>
        <v/>
      </c>
      <c r="C25" s="18" t="str">
        <f>IF(A25&lt;= 'LOAN SCHEDULE'!$K$9,'ASSUMPTIONS '!$J$14*B25,"")</f>
        <v/>
      </c>
      <c r="D25" s="18" t="str">
        <f>IF(A25&lt;= 'LOAN SCHEDULE'!$K$9,(B25-C25)*'ASSUMPTIONS '!$F$8,"")</f>
        <v/>
      </c>
      <c r="E25" s="17" t="str">
        <f>IF(A25&lt;= 'LOAN SCHEDULE'!$K$9,('DECREMENT TABLE '!I18*('LOAN SCHEDULE'!H19+$B$7)),"")</f>
        <v/>
      </c>
      <c r="F25" s="18" t="str">
        <f>IF(A25&lt;'LOAN SCHEDULE'!$K$9,('ASSUMPTIONS '!$J$4)*'DECREMENT TABLE '!I18,IF(A25&lt;='LOAN SCHEDULE'!$K$9,$B$9*'DECREMENT TABLE '!I18,""))</f>
        <v/>
      </c>
      <c r="G25" s="18" t="str">
        <f>IF(A25&lt;= 'LOAN SCHEDULE'!$K$9,'DECREMENT TABLE '!J18*'LOAN SCHEDULE'!H19,"")</f>
        <v/>
      </c>
      <c r="H25" s="18" t="str">
        <f>IF(A25&lt;= 'LOAN SCHEDULE'!$K$9,$B$8*'LOAN SCHEDULE'!H19*'DECREMENT TABLE '!K18,"")</f>
        <v/>
      </c>
      <c r="I25" s="18" t="str">
        <f>IF(A25&lt;='LOAN SCHEDULE'!$K$9,(('DECREMENT TABLE '!L18*'ASSURANCES, ANNUITIES '!Q20)-'ASSURANCES, ANNUITIES '!Q19),"")</f>
        <v/>
      </c>
      <c r="J25" s="18" t="str">
        <f>IF(A25&lt;='LOAN SCHEDULE'!$K$9,(B25-C25+D25-E25-F25-G25-H25-I25),"")</f>
        <v/>
      </c>
      <c r="K25" s="18" t="str">
        <f>IF(A25&lt;= 'LOAN SCHEDULE'!$K$9,J25*'DECREMENT TABLE '!M18,"")</f>
        <v/>
      </c>
      <c r="L25" s="12" t="str">
        <f>IF(A25&lt;= 'LOAN SCHEDULE'!$K$9,(1/(1+'ASSUMPTIONS '!$F$9))^A25,"")</f>
        <v/>
      </c>
      <c r="M25" s="14" t="str">
        <f>IF(A25 &lt;= 'LOAN SCHEDULE'!$K$9,K25*L25,"")</f>
        <v/>
      </c>
      <c r="N25" s="12" t="str">
        <f>IF(A25&lt;='LOAN SCHEDULE'!$K$9,(1/(1+'ASSUMPTIONS '!$F$9))^(A25-1),"")</f>
        <v/>
      </c>
      <c r="O25" s="14" t="str">
        <f>IF(A25&lt;= 'LOAN SCHEDULE'!$K$9,N25*B25*'DECREMENT TABLE '!M18,"")</f>
        <v/>
      </c>
    </row>
    <row r="26" spans="1:15" x14ac:dyDescent="0.25">
      <c r="A26" s="2" t="str">
        <f>IF(A25="","",IF((A25+1)&lt;='LOAN SCHEDULE'!$K$9,'PROFIT TESTING '!A25+1,""))</f>
        <v/>
      </c>
      <c r="B26" s="3" t="str">
        <f>IF(A26&lt;= 'LOAN SCHEDULE'!$K$9,'ASSUMPTIONS '!$J$10+'ASSUMPTIONS '!$J$9, "")</f>
        <v/>
      </c>
      <c r="C26" s="18" t="str">
        <f>IF(A26&lt;= 'LOAN SCHEDULE'!$K$9,'ASSUMPTIONS '!$J$14*B26,"")</f>
        <v/>
      </c>
      <c r="D26" s="18" t="str">
        <f>IF(A26&lt;= 'LOAN SCHEDULE'!$K$9,(B26-C26)*'ASSUMPTIONS '!$F$8,"")</f>
        <v/>
      </c>
      <c r="E26" s="17" t="str">
        <f>IF(A26&lt;= 'LOAN SCHEDULE'!$K$9,('DECREMENT TABLE '!I19*('LOAN SCHEDULE'!H20+$B$7)),"")</f>
        <v/>
      </c>
      <c r="F26" s="18" t="str">
        <f>IF(A26&lt;'LOAN SCHEDULE'!$K$9,('ASSUMPTIONS '!$J$4)*'DECREMENT TABLE '!I19,IF(A26&lt;='LOAN SCHEDULE'!$K$9,$B$9*'DECREMENT TABLE '!I19,""))</f>
        <v/>
      </c>
      <c r="G26" s="18" t="str">
        <f>IF(A26&lt;= 'LOAN SCHEDULE'!$K$9,'DECREMENT TABLE '!J19*'LOAN SCHEDULE'!H20,"")</f>
        <v/>
      </c>
      <c r="H26" s="18" t="str">
        <f>IF(A26&lt;= 'LOAN SCHEDULE'!$K$9,$B$8*'LOAN SCHEDULE'!H20*'DECREMENT TABLE '!K19,"")</f>
        <v/>
      </c>
      <c r="I26" s="18" t="str">
        <f>IF(A26&lt;='LOAN SCHEDULE'!$K$9,(('DECREMENT TABLE '!L19*'ASSURANCES, ANNUITIES '!Q21)-'ASSURANCES, ANNUITIES '!Q20),"")</f>
        <v/>
      </c>
      <c r="J26" s="18" t="str">
        <f>IF(A26&lt;='LOAN SCHEDULE'!$K$9,(B26-C26+D26-E26-F26-G26-H26-I26),"")</f>
        <v/>
      </c>
      <c r="K26" s="18" t="str">
        <f>IF(A26&lt;= 'LOAN SCHEDULE'!$K$9,J26*'DECREMENT TABLE '!M19,"")</f>
        <v/>
      </c>
      <c r="L26" s="12" t="str">
        <f>IF(A26&lt;= 'LOAN SCHEDULE'!$K$9,(1/(1+'ASSUMPTIONS '!$F$9))^A26,"")</f>
        <v/>
      </c>
      <c r="M26" s="14" t="str">
        <f>IF(A26 &lt;= 'LOAN SCHEDULE'!$K$9,K26*L26,"")</f>
        <v/>
      </c>
      <c r="N26" s="12" t="str">
        <f>IF(A26&lt;='LOAN SCHEDULE'!$K$9,(1/(1+'ASSUMPTIONS '!$F$9))^(A26-1),"")</f>
        <v/>
      </c>
      <c r="O26" s="14" t="str">
        <f>IF(A26&lt;= 'LOAN SCHEDULE'!$K$9,N26*B26*'DECREMENT TABLE '!M19,"")</f>
        <v/>
      </c>
    </row>
    <row r="27" spans="1:15" x14ac:dyDescent="0.25">
      <c r="A27" s="2" t="str">
        <f>IF(A26="","",IF((A26+1)&lt;='LOAN SCHEDULE'!$K$9,'PROFIT TESTING '!A26+1,""))</f>
        <v/>
      </c>
      <c r="B27" s="3" t="str">
        <f>IF(A27&lt;= 'LOAN SCHEDULE'!$K$9,'ASSUMPTIONS '!$J$10+'ASSUMPTIONS '!$J$9, "")</f>
        <v/>
      </c>
      <c r="C27" s="18" t="str">
        <f>IF(A27&lt;= 'LOAN SCHEDULE'!$K$9,'ASSUMPTIONS '!$J$14*B27,"")</f>
        <v/>
      </c>
      <c r="D27" s="18" t="str">
        <f>IF(A27&lt;= 'LOAN SCHEDULE'!$K$9,(B27-C27)*'ASSUMPTIONS '!$F$8,"")</f>
        <v/>
      </c>
      <c r="E27" s="17" t="str">
        <f>IF(A27&lt;= 'LOAN SCHEDULE'!$K$9,('DECREMENT TABLE '!I20*('LOAN SCHEDULE'!H21+$B$7)),"")</f>
        <v/>
      </c>
      <c r="F27" s="18" t="str">
        <f>IF(A27&lt;'LOAN SCHEDULE'!$K$9,('ASSUMPTIONS '!$J$4)*'DECREMENT TABLE '!I20,IF(A27&lt;='LOAN SCHEDULE'!$K$9,$B$9*'DECREMENT TABLE '!I20,""))</f>
        <v/>
      </c>
      <c r="G27" s="18" t="str">
        <f>IF(A27&lt;= 'LOAN SCHEDULE'!$K$9,'DECREMENT TABLE '!J20*'LOAN SCHEDULE'!H21,"")</f>
        <v/>
      </c>
      <c r="H27" s="18" t="str">
        <f>IF(A27&lt;= 'LOAN SCHEDULE'!$K$9,$B$8*'LOAN SCHEDULE'!H21*'DECREMENT TABLE '!K20,"")</f>
        <v/>
      </c>
      <c r="I27" s="18" t="str">
        <f>IF(A27&lt;='LOAN SCHEDULE'!$K$9,(('DECREMENT TABLE '!L20*'ASSURANCES, ANNUITIES '!Q22)-'ASSURANCES, ANNUITIES '!Q21),"")</f>
        <v/>
      </c>
      <c r="J27" s="18" t="str">
        <f>IF(A27&lt;='LOAN SCHEDULE'!$K$9,(B27-C27+D27-E27-F27-G27-H27-I27),"")</f>
        <v/>
      </c>
      <c r="K27" s="18" t="str">
        <f>IF(A27&lt;= 'LOAN SCHEDULE'!$K$9,J27*'DECREMENT TABLE '!M20,"")</f>
        <v/>
      </c>
      <c r="L27" s="12" t="str">
        <f>IF(A27&lt;= 'LOAN SCHEDULE'!$K$9,(1/(1+'ASSUMPTIONS '!$F$9))^A27,"")</f>
        <v/>
      </c>
      <c r="M27" s="14" t="str">
        <f>IF(A27 &lt;= 'LOAN SCHEDULE'!$K$9,K27*L27,"")</f>
        <v/>
      </c>
      <c r="N27" s="12" t="str">
        <f>IF(A27&lt;='LOAN SCHEDULE'!$K$9,(1/(1+'ASSUMPTIONS '!$F$9))^(A27-1),"")</f>
        <v/>
      </c>
      <c r="O27" s="14" t="str">
        <f>IF(A27&lt;= 'LOAN SCHEDULE'!$K$9,N27*B27*'DECREMENT TABLE '!M20,"")</f>
        <v/>
      </c>
    </row>
    <row r="28" spans="1:15" x14ac:dyDescent="0.25">
      <c r="A28" s="2" t="str">
        <f>IF(A27="","",IF((A27+1)&lt;='LOAN SCHEDULE'!$K$9,'PROFIT TESTING '!A27+1,""))</f>
        <v/>
      </c>
      <c r="B28" s="3" t="str">
        <f>IF(A28&lt;= 'LOAN SCHEDULE'!$K$9,'ASSUMPTIONS '!$J$10+'ASSUMPTIONS '!$J$9, "")</f>
        <v/>
      </c>
      <c r="C28" s="18" t="str">
        <f>IF(A28&lt;= 'LOAN SCHEDULE'!$K$9,'ASSUMPTIONS '!$J$14*B28,"")</f>
        <v/>
      </c>
      <c r="D28" s="18" t="str">
        <f>IF(A28&lt;= 'LOAN SCHEDULE'!$K$9,(B28-C28)*'ASSUMPTIONS '!$F$8,"")</f>
        <v/>
      </c>
      <c r="E28" s="17" t="str">
        <f>IF(A28&lt;= 'LOAN SCHEDULE'!$K$9,('DECREMENT TABLE '!I21*('LOAN SCHEDULE'!H22+$B$7)),"")</f>
        <v/>
      </c>
      <c r="F28" s="18" t="str">
        <f>IF(A28&lt;'LOAN SCHEDULE'!$K$9,('ASSUMPTIONS '!$J$4)*'DECREMENT TABLE '!I21,IF(A28&lt;='LOAN SCHEDULE'!$K$9,$B$9*'DECREMENT TABLE '!I21,""))</f>
        <v/>
      </c>
      <c r="G28" s="18" t="str">
        <f>IF(A28&lt;= 'LOAN SCHEDULE'!$K$9,'DECREMENT TABLE '!J21*'LOAN SCHEDULE'!H22,"")</f>
        <v/>
      </c>
      <c r="H28" s="18" t="str">
        <f>IF(A28&lt;= 'LOAN SCHEDULE'!$K$9,$B$8*'LOAN SCHEDULE'!H22*'DECREMENT TABLE '!K21,"")</f>
        <v/>
      </c>
      <c r="I28" s="18" t="str">
        <f>IF(A28&lt;='LOAN SCHEDULE'!$K$9,(('DECREMENT TABLE '!L21*'ASSURANCES, ANNUITIES '!Q23)-'ASSURANCES, ANNUITIES '!Q22),"")</f>
        <v/>
      </c>
      <c r="J28" s="18" t="str">
        <f>IF(A28&lt;='LOAN SCHEDULE'!$K$9,(B28-C28+D28-E28-F28-G28-H28-I28),"")</f>
        <v/>
      </c>
      <c r="K28" s="18" t="str">
        <f>IF(A28&lt;= 'LOAN SCHEDULE'!$K$9,J28*'DECREMENT TABLE '!M21,"")</f>
        <v/>
      </c>
      <c r="L28" s="12" t="str">
        <f>IF(A28&lt;= 'LOAN SCHEDULE'!$K$9,(1/(1+'ASSUMPTIONS '!$F$9))^A28,"")</f>
        <v/>
      </c>
      <c r="M28" s="14" t="str">
        <f>IF(A28 &lt;= 'LOAN SCHEDULE'!$K$9,K28*L28,"")</f>
        <v/>
      </c>
      <c r="N28" s="12" t="str">
        <f>IF(A28&lt;='LOAN SCHEDULE'!$K$9,(1/(1+'ASSUMPTIONS '!$F$9))^(A28-1),"")</f>
        <v/>
      </c>
      <c r="O28" s="14" t="str">
        <f>IF(A28&lt;= 'LOAN SCHEDULE'!$K$9,N28*B28*'DECREMENT TABLE '!M21,"")</f>
        <v/>
      </c>
    </row>
    <row r="29" spans="1:15" x14ac:dyDescent="0.25">
      <c r="A29" s="2" t="str">
        <f>IF(A28="","",IF((A28+1)&lt;='LOAN SCHEDULE'!$K$9,'PROFIT TESTING '!A28+1,""))</f>
        <v/>
      </c>
      <c r="B29" s="3" t="str">
        <f>IF(A29&lt;= 'LOAN SCHEDULE'!$K$9,'ASSUMPTIONS '!$J$10+'ASSUMPTIONS '!$J$9, "")</f>
        <v/>
      </c>
      <c r="C29" s="18" t="str">
        <f>IF(A29&lt;= 'LOAN SCHEDULE'!$K$9,'ASSUMPTIONS '!$J$14*B29,"")</f>
        <v/>
      </c>
      <c r="D29" s="18" t="str">
        <f>IF(A29&lt;= 'LOAN SCHEDULE'!$K$9,(B29-C29)*'ASSUMPTIONS '!$F$8,"")</f>
        <v/>
      </c>
      <c r="E29" s="17" t="str">
        <f>IF(A29&lt;= 'LOAN SCHEDULE'!$K$9,('DECREMENT TABLE '!I22*('LOAN SCHEDULE'!H23+$B$7)),"")</f>
        <v/>
      </c>
      <c r="F29" s="18" t="str">
        <f>IF(A29&lt;'LOAN SCHEDULE'!$K$9,('ASSUMPTIONS '!$J$4)*'DECREMENT TABLE '!I22,IF(A29&lt;='LOAN SCHEDULE'!$K$9,$B$9*'DECREMENT TABLE '!I22,""))</f>
        <v/>
      </c>
      <c r="G29" s="18" t="str">
        <f>IF(A29&lt;= 'LOAN SCHEDULE'!$K$9,'DECREMENT TABLE '!J22*'LOAN SCHEDULE'!H23,"")</f>
        <v/>
      </c>
      <c r="H29" s="18" t="str">
        <f>IF(A29&lt;= 'LOAN SCHEDULE'!$K$9,$B$8*'LOAN SCHEDULE'!H23*'DECREMENT TABLE '!K22,"")</f>
        <v/>
      </c>
      <c r="I29" s="18" t="str">
        <f>IF(A29&lt;='LOAN SCHEDULE'!$K$9,(('DECREMENT TABLE '!L22*'ASSURANCES, ANNUITIES '!Q24)-'ASSURANCES, ANNUITIES '!Q23),"")</f>
        <v/>
      </c>
      <c r="J29" s="18" t="str">
        <f>IF(A29&lt;='LOAN SCHEDULE'!$K$9,(B29-C29+D29-E29-F29-G29-H29-I29),"")</f>
        <v/>
      </c>
      <c r="K29" s="18" t="str">
        <f>IF(A29&lt;= 'LOAN SCHEDULE'!$K$9,J29*'DECREMENT TABLE '!M22,"")</f>
        <v/>
      </c>
      <c r="L29" s="12" t="str">
        <f>IF(A29&lt;= 'LOAN SCHEDULE'!$K$9,(1/(1+'ASSUMPTIONS '!$F$9))^A29,"")</f>
        <v/>
      </c>
      <c r="M29" s="14" t="str">
        <f>IF(A29 &lt;= 'LOAN SCHEDULE'!$K$9,K29*L29,"")</f>
        <v/>
      </c>
      <c r="N29" s="12" t="str">
        <f>IF(A29&lt;='LOAN SCHEDULE'!$K$9,(1/(1+'ASSUMPTIONS '!$F$9))^(A29-1),"")</f>
        <v/>
      </c>
      <c r="O29" s="14" t="str">
        <f>IF(A29&lt;= 'LOAN SCHEDULE'!$K$9,N29*B29*'DECREMENT TABLE '!M22,"")</f>
        <v/>
      </c>
    </row>
    <row r="30" spans="1:15" x14ac:dyDescent="0.25">
      <c r="A30" s="2" t="str">
        <f>IF(A29="","",IF((A29+1)&lt;='LOAN SCHEDULE'!$K$9,'PROFIT TESTING '!A29+1,""))</f>
        <v/>
      </c>
      <c r="B30" s="3" t="str">
        <f>IF(A30&lt;= 'LOAN SCHEDULE'!$K$9,'ASSUMPTIONS '!$J$10+'ASSUMPTIONS '!$J$9, "")</f>
        <v/>
      </c>
      <c r="C30" s="18" t="str">
        <f>IF(A30&lt;= 'LOAN SCHEDULE'!$K$9,'ASSUMPTIONS '!$J$14*B30,"")</f>
        <v/>
      </c>
      <c r="D30" s="18" t="str">
        <f>IF(A30&lt;= 'LOAN SCHEDULE'!$K$9,(B30-C30)*'ASSUMPTIONS '!$F$8,"")</f>
        <v/>
      </c>
      <c r="E30" s="17" t="str">
        <f>IF(A30&lt;= 'LOAN SCHEDULE'!$K$9,('DECREMENT TABLE '!I23*('LOAN SCHEDULE'!H24+$B$7)),"")</f>
        <v/>
      </c>
      <c r="F30" s="18" t="str">
        <f>IF(A30&lt;'LOAN SCHEDULE'!$K$9,('ASSUMPTIONS '!$J$4)*'DECREMENT TABLE '!I23,IF(A30&lt;='LOAN SCHEDULE'!$K$9,$B$9*'DECREMENT TABLE '!I23,""))</f>
        <v/>
      </c>
      <c r="G30" s="18" t="str">
        <f>IF(A30&lt;= 'LOAN SCHEDULE'!$K$9,'DECREMENT TABLE '!J23*'LOAN SCHEDULE'!H24,"")</f>
        <v/>
      </c>
      <c r="H30" s="18" t="str">
        <f>IF(A30&lt;= 'LOAN SCHEDULE'!$K$9,$B$8*'LOAN SCHEDULE'!H24*'DECREMENT TABLE '!K23,"")</f>
        <v/>
      </c>
      <c r="I30" s="18" t="str">
        <f>IF(A30&lt;='LOAN SCHEDULE'!$K$9,(('DECREMENT TABLE '!L23*'ASSURANCES, ANNUITIES '!Q25)-'ASSURANCES, ANNUITIES '!Q24),"")</f>
        <v/>
      </c>
      <c r="J30" s="18" t="str">
        <f>IF(A30&lt;='LOAN SCHEDULE'!$K$9,(B30-C30+D30-E30-F30-G30-H30-I30),"")</f>
        <v/>
      </c>
      <c r="K30" s="18" t="str">
        <f>IF(A30&lt;= 'LOAN SCHEDULE'!$K$9,J30*'DECREMENT TABLE '!M23,"")</f>
        <v/>
      </c>
      <c r="L30" s="12" t="str">
        <f>IF(A30&lt;= 'LOAN SCHEDULE'!$K$9,(1/(1+'ASSUMPTIONS '!$F$9))^A30,"")</f>
        <v/>
      </c>
      <c r="M30" s="14" t="str">
        <f>IF(A30 &lt;= 'LOAN SCHEDULE'!$K$9,K30*L30,"")</f>
        <v/>
      </c>
      <c r="N30" s="12" t="str">
        <f>IF(A30&lt;='LOAN SCHEDULE'!$K$9,(1/(1+'ASSUMPTIONS '!$F$9))^(A30-1),"")</f>
        <v/>
      </c>
      <c r="O30" s="14" t="str">
        <f>IF(A30&lt;= 'LOAN SCHEDULE'!$K$9,N30*B30*'DECREMENT TABLE '!M23,"")</f>
        <v/>
      </c>
    </row>
    <row r="31" spans="1:15" x14ac:dyDescent="0.25">
      <c r="A31" s="2" t="str">
        <f>IF(A30="","",IF((A30+1)&lt;='LOAN SCHEDULE'!$K$9,'PROFIT TESTING '!A30+1,""))</f>
        <v/>
      </c>
      <c r="B31" s="3" t="str">
        <f>IF(A31&lt;= 'LOAN SCHEDULE'!$K$9,'ASSUMPTIONS '!$J$10+'ASSUMPTIONS '!$J$9, "")</f>
        <v/>
      </c>
      <c r="C31" s="18" t="str">
        <f>IF(A31&lt;= 'LOAN SCHEDULE'!$K$9,'ASSUMPTIONS '!$J$14*B31,"")</f>
        <v/>
      </c>
      <c r="D31" s="18" t="str">
        <f>IF(A31&lt;= 'LOAN SCHEDULE'!$K$9,(B31-C31)*'ASSUMPTIONS '!$F$8,"")</f>
        <v/>
      </c>
      <c r="E31" s="17" t="str">
        <f>IF(A31&lt;= 'LOAN SCHEDULE'!$K$9,('DECREMENT TABLE '!I24*('LOAN SCHEDULE'!H25+$B$7)),"")</f>
        <v/>
      </c>
      <c r="F31" s="18" t="str">
        <f>IF(A31&lt;'LOAN SCHEDULE'!$K$9,('ASSUMPTIONS '!$J$4)*'DECREMENT TABLE '!I24,IF(A31&lt;='LOAN SCHEDULE'!$K$9,$B$9*'DECREMENT TABLE '!I24,""))</f>
        <v/>
      </c>
      <c r="G31" s="18" t="str">
        <f>IF(A31&lt;= 'LOAN SCHEDULE'!$K$9,'DECREMENT TABLE '!J24*'LOAN SCHEDULE'!H25,"")</f>
        <v/>
      </c>
      <c r="H31" s="18" t="str">
        <f>IF(A31&lt;= 'LOAN SCHEDULE'!$K$9,$B$8*'LOAN SCHEDULE'!H25*'DECREMENT TABLE '!K24,"")</f>
        <v/>
      </c>
      <c r="I31" s="18" t="str">
        <f>IF(A31&lt;='LOAN SCHEDULE'!$K$9,(('DECREMENT TABLE '!L24*'ASSURANCES, ANNUITIES '!Q26)-'ASSURANCES, ANNUITIES '!Q25),"")</f>
        <v/>
      </c>
      <c r="J31" s="18" t="str">
        <f>IF(A31&lt;='LOAN SCHEDULE'!$K$9,(B31-C31+D31-E31-F31-G31-H31-I31),"")</f>
        <v/>
      </c>
      <c r="K31" s="18" t="str">
        <f>IF(A31&lt;= 'LOAN SCHEDULE'!$K$9,J31*'DECREMENT TABLE '!M24,"")</f>
        <v/>
      </c>
      <c r="L31" s="12" t="str">
        <f>IF(A31&lt;= 'LOAN SCHEDULE'!$K$9,(1/(1+'ASSUMPTIONS '!$F$9))^A31,"")</f>
        <v/>
      </c>
      <c r="M31" s="14" t="str">
        <f>IF(A31 &lt;= 'LOAN SCHEDULE'!$K$9,K31*L31,"")</f>
        <v/>
      </c>
      <c r="N31" s="12" t="str">
        <f>IF(A31&lt;='LOAN SCHEDULE'!$K$9,(1/(1+'ASSUMPTIONS '!$F$9))^(A31-1),"")</f>
        <v/>
      </c>
      <c r="O31" s="14" t="str">
        <f>IF(A31&lt;= 'LOAN SCHEDULE'!$K$9,N31*B31*'DECREMENT TABLE '!M24,"")</f>
        <v/>
      </c>
    </row>
    <row r="32" spans="1:15" x14ac:dyDescent="0.25">
      <c r="A32" s="2" t="str">
        <f>IF(A31="","",IF((A31+1)&lt;='LOAN SCHEDULE'!$K$9,'PROFIT TESTING '!A31+1,""))</f>
        <v/>
      </c>
      <c r="B32" s="3" t="str">
        <f>IF(A32&lt;= 'LOAN SCHEDULE'!$K$9,'ASSUMPTIONS '!$J$10+'ASSUMPTIONS '!$J$9, "")</f>
        <v/>
      </c>
      <c r="C32" s="18" t="str">
        <f>IF(A32&lt;= 'LOAN SCHEDULE'!$K$9,'ASSUMPTIONS '!$J$14*B32,"")</f>
        <v/>
      </c>
      <c r="D32" s="18" t="str">
        <f>IF(A32&lt;= 'LOAN SCHEDULE'!$K$9,(B32-C32)*'ASSUMPTIONS '!$F$8,"")</f>
        <v/>
      </c>
      <c r="E32" s="17" t="str">
        <f>IF(A32&lt;= 'LOAN SCHEDULE'!$K$9,('DECREMENT TABLE '!I25*('LOAN SCHEDULE'!H26+$B$7)),"")</f>
        <v/>
      </c>
      <c r="F32" s="18" t="str">
        <f>IF(A32&lt;'LOAN SCHEDULE'!$K$9,('ASSUMPTIONS '!$J$4)*'DECREMENT TABLE '!I25,IF(A32&lt;='LOAN SCHEDULE'!$K$9,$B$9*'DECREMENT TABLE '!I25,""))</f>
        <v/>
      </c>
      <c r="G32" s="18" t="str">
        <f>IF(A32&lt;= 'LOAN SCHEDULE'!$K$9,'DECREMENT TABLE '!J25*'LOAN SCHEDULE'!H26,"")</f>
        <v/>
      </c>
      <c r="H32" s="18" t="str">
        <f>IF(A32&lt;= 'LOAN SCHEDULE'!$K$9,$B$8*'LOAN SCHEDULE'!H26*'DECREMENT TABLE '!K25,"")</f>
        <v/>
      </c>
      <c r="I32" s="18" t="str">
        <f>IF(A32&lt;='LOAN SCHEDULE'!$K$9,(('DECREMENT TABLE '!L25*'ASSURANCES, ANNUITIES '!Q27)-'ASSURANCES, ANNUITIES '!Q26),"")</f>
        <v/>
      </c>
      <c r="J32" s="18" t="str">
        <f>IF(A32&lt;='LOAN SCHEDULE'!$K$9,(B32-C32+D32-E32-F32-G32-H32-I32),"")</f>
        <v/>
      </c>
      <c r="K32" s="18" t="str">
        <f>IF(A32&lt;= 'LOAN SCHEDULE'!$K$9,J32*'DECREMENT TABLE '!M25,"")</f>
        <v/>
      </c>
      <c r="L32" s="12" t="str">
        <f>IF(A32&lt;= 'LOAN SCHEDULE'!$K$9,(1/(1+'ASSUMPTIONS '!$F$9))^A32,"")</f>
        <v/>
      </c>
      <c r="M32" s="14" t="str">
        <f>IF(A32 &lt;= 'LOAN SCHEDULE'!$K$9,K32*L32,"")</f>
        <v/>
      </c>
      <c r="N32" s="12" t="str">
        <f>IF(A32&lt;='LOAN SCHEDULE'!$K$9,(1/(1+'ASSUMPTIONS '!$F$9))^(A32-1),"")</f>
        <v/>
      </c>
      <c r="O32" s="14" t="str">
        <f>IF(A32&lt;= 'LOAN SCHEDULE'!$K$9,N32*B32*'DECREMENT TABLE '!M25,"")</f>
        <v/>
      </c>
    </row>
    <row r="33" spans="1:15" x14ac:dyDescent="0.25">
      <c r="A33" s="2" t="str">
        <f>IF(A32="","",IF((A32+1)&lt;='LOAN SCHEDULE'!$K$9,'PROFIT TESTING '!A32+1,""))</f>
        <v/>
      </c>
      <c r="B33" s="3" t="str">
        <f>IF(A33&lt;= 'LOAN SCHEDULE'!$K$9,'ASSUMPTIONS '!$J$10+'ASSUMPTIONS '!$J$9, "")</f>
        <v/>
      </c>
      <c r="C33" s="18" t="str">
        <f>IF(A33&lt;= 'LOAN SCHEDULE'!$K$9,'ASSUMPTIONS '!$J$14*B33,"")</f>
        <v/>
      </c>
      <c r="D33" s="18" t="str">
        <f>IF(A33&lt;= 'LOAN SCHEDULE'!$K$9,(B33-C33)*'ASSUMPTIONS '!$F$8,"")</f>
        <v/>
      </c>
      <c r="E33" s="17" t="str">
        <f>IF(A33&lt;= 'LOAN SCHEDULE'!$K$9,('DECREMENT TABLE '!I26*('LOAN SCHEDULE'!H27+$B$7)),"")</f>
        <v/>
      </c>
      <c r="F33" s="18" t="str">
        <f>IF(A33&lt;'LOAN SCHEDULE'!$K$9,('ASSUMPTIONS '!$J$4)*'DECREMENT TABLE '!I26,IF(A33&lt;='LOAN SCHEDULE'!$K$9,$B$9*'DECREMENT TABLE '!I26,""))</f>
        <v/>
      </c>
      <c r="G33" s="18" t="str">
        <f>IF(A33&lt;= 'LOAN SCHEDULE'!$K$9,'DECREMENT TABLE '!J26*'LOAN SCHEDULE'!H27,"")</f>
        <v/>
      </c>
      <c r="H33" s="18" t="str">
        <f>IF(A33&lt;= 'LOAN SCHEDULE'!$K$9,$B$8*'LOAN SCHEDULE'!H27*'DECREMENT TABLE '!K26,"")</f>
        <v/>
      </c>
      <c r="I33" s="18" t="str">
        <f>IF(A33&lt;='LOAN SCHEDULE'!$K$9,(('DECREMENT TABLE '!L26*'ASSURANCES, ANNUITIES '!Q28)-'ASSURANCES, ANNUITIES '!Q27),"")</f>
        <v/>
      </c>
      <c r="J33" s="18" t="str">
        <f>IF(A33&lt;='LOAN SCHEDULE'!$K$9,(B33-C33+D33-E33-F33-G33-H33-I33),"")</f>
        <v/>
      </c>
      <c r="K33" s="18" t="str">
        <f>IF(A33&lt;= 'LOAN SCHEDULE'!$K$9,J33*'DECREMENT TABLE '!M26,"")</f>
        <v/>
      </c>
      <c r="L33" s="12" t="str">
        <f>IF(A33&lt;= 'LOAN SCHEDULE'!$K$9,(1/(1+'ASSUMPTIONS '!$F$9))^A33,"")</f>
        <v/>
      </c>
      <c r="M33" s="14" t="str">
        <f>IF(A33 &lt;= 'LOAN SCHEDULE'!$K$9,K33*L33,"")</f>
        <v/>
      </c>
      <c r="N33" s="12" t="str">
        <f>IF(A33&lt;='LOAN SCHEDULE'!$K$9,(1/(1+'ASSUMPTIONS '!$F$9))^(A33-1),"")</f>
        <v/>
      </c>
      <c r="O33" s="14" t="str">
        <f>IF(A33&lt;= 'LOAN SCHEDULE'!$K$9,N33*B33*'DECREMENT TABLE '!M26,"")</f>
        <v/>
      </c>
    </row>
    <row r="34" spans="1:15" x14ac:dyDescent="0.25">
      <c r="A34" s="2" t="str">
        <f>IF(A33="","",IF((A33+1)&lt;='LOAN SCHEDULE'!$K$9,'PROFIT TESTING '!A33+1,""))</f>
        <v/>
      </c>
      <c r="B34" s="3" t="str">
        <f>IF(A34&lt;= 'LOAN SCHEDULE'!$K$9,'ASSUMPTIONS '!$J$10+'ASSUMPTIONS '!$J$9, "")</f>
        <v/>
      </c>
      <c r="C34" s="18" t="str">
        <f>IF(A34&lt;= 'LOAN SCHEDULE'!$K$9,'ASSUMPTIONS '!$J$14*B34,"")</f>
        <v/>
      </c>
      <c r="D34" s="18" t="str">
        <f>IF(A34&lt;= 'LOAN SCHEDULE'!$K$9,(B34-C34)*'ASSUMPTIONS '!$F$8,"")</f>
        <v/>
      </c>
      <c r="E34" s="17" t="str">
        <f>IF(A34&lt;= 'LOAN SCHEDULE'!$K$9,('DECREMENT TABLE '!I27*('LOAN SCHEDULE'!H28+$B$7)),"")</f>
        <v/>
      </c>
      <c r="F34" s="18" t="str">
        <f>IF(A34&lt;'LOAN SCHEDULE'!$K$9,('ASSUMPTIONS '!$J$4)*'DECREMENT TABLE '!I27,IF(A34&lt;='LOAN SCHEDULE'!$K$9,$B$9*'DECREMENT TABLE '!I27,""))</f>
        <v/>
      </c>
      <c r="G34" s="18" t="str">
        <f>IF(A34&lt;= 'LOAN SCHEDULE'!$K$9,'DECREMENT TABLE '!J27*'LOAN SCHEDULE'!H28,"")</f>
        <v/>
      </c>
      <c r="H34" s="18" t="str">
        <f>IF(A34&lt;= 'LOAN SCHEDULE'!$K$9,$B$8*'LOAN SCHEDULE'!H28*'DECREMENT TABLE '!K27,"")</f>
        <v/>
      </c>
      <c r="I34" s="18" t="str">
        <f>IF(A34&lt;='LOAN SCHEDULE'!$K$9,(('DECREMENT TABLE '!L27*'ASSURANCES, ANNUITIES '!Q29)-'ASSURANCES, ANNUITIES '!Q28),"")</f>
        <v/>
      </c>
      <c r="J34" s="18" t="str">
        <f>IF(A34&lt;='LOAN SCHEDULE'!$K$9,(B34-C34+D34-E34-F34-G34-H34-I34),"")</f>
        <v/>
      </c>
      <c r="K34" s="18" t="str">
        <f>IF(A34&lt;= 'LOAN SCHEDULE'!$K$9,J34*'DECREMENT TABLE '!M27,"")</f>
        <v/>
      </c>
      <c r="L34" s="12" t="str">
        <f>IF(A34&lt;= 'LOAN SCHEDULE'!$K$9,(1/(1+'ASSUMPTIONS '!$F$9))^A34,"")</f>
        <v/>
      </c>
      <c r="M34" s="14" t="str">
        <f>IF(A34 &lt;= 'LOAN SCHEDULE'!$K$9,K34*L34,"")</f>
        <v/>
      </c>
      <c r="N34" s="12" t="str">
        <f>IF(A34&lt;='LOAN SCHEDULE'!$K$9,(1/(1+'ASSUMPTIONS '!$F$9))^(A34-1),"")</f>
        <v/>
      </c>
      <c r="O34" s="14" t="str">
        <f>IF(A34&lt;= 'LOAN SCHEDULE'!$K$9,N34*B34*'DECREMENT TABLE '!M27,"")</f>
        <v/>
      </c>
    </row>
    <row r="35" spans="1:15" x14ac:dyDescent="0.25">
      <c r="A35" s="2" t="str">
        <f>IF(A34="","",IF((A34+1)&lt;='LOAN SCHEDULE'!$K$9,'PROFIT TESTING '!A34+1,""))</f>
        <v/>
      </c>
      <c r="B35" s="3" t="str">
        <f>IF(A35&lt;= 'LOAN SCHEDULE'!$K$9,'ASSUMPTIONS '!$J$10+'ASSUMPTIONS '!$J$9, "")</f>
        <v/>
      </c>
      <c r="C35" s="18" t="str">
        <f>IF(A35&lt;= 'LOAN SCHEDULE'!$K$9,'ASSUMPTIONS '!$J$14*B35,"")</f>
        <v/>
      </c>
      <c r="D35" s="18" t="str">
        <f>IF(A35&lt;= 'LOAN SCHEDULE'!$K$9,(B35-C35)*'ASSUMPTIONS '!$F$8,"")</f>
        <v/>
      </c>
      <c r="E35" s="17" t="str">
        <f>IF(A35&lt;= 'LOAN SCHEDULE'!$K$9,('DECREMENT TABLE '!I28*('LOAN SCHEDULE'!H29+$B$7)),"")</f>
        <v/>
      </c>
      <c r="F35" s="18" t="str">
        <f>IF(A35&lt;'LOAN SCHEDULE'!$K$9,('ASSUMPTIONS '!$J$4)*'DECREMENT TABLE '!I28,IF(A35&lt;='LOAN SCHEDULE'!$K$9,$B$9*'DECREMENT TABLE '!I28,""))</f>
        <v/>
      </c>
      <c r="G35" s="18" t="str">
        <f>IF(A35&lt;= 'LOAN SCHEDULE'!$K$9,'DECREMENT TABLE '!J28*'LOAN SCHEDULE'!H29,"")</f>
        <v/>
      </c>
      <c r="H35" s="18" t="str">
        <f>IF(A35&lt;= 'LOAN SCHEDULE'!$K$9,$B$8*'LOAN SCHEDULE'!H29*'DECREMENT TABLE '!K28,"")</f>
        <v/>
      </c>
      <c r="I35" s="18" t="str">
        <f>IF(A35&lt;='LOAN SCHEDULE'!$K$9,(('DECREMENT TABLE '!L28*'ASSURANCES, ANNUITIES '!Q30)-'ASSURANCES, ANNUITIES '!Q29),"")</f>
        <v/>
      </c>
      <c r="J35" s="18" t="str">
        <f>IF(A35&lt;='LOAN SCHEDULE'!$K$9,(B35-C35+D35-E35-F35-G35-H35-I35),"")</f>
        <v/>
      </c>
      <c r="K35" s="18" t="str">
        <f>IF(A35&lt;= 'LOAN SCHEDULE'!$K$9,J35*'DECREMENT TABLE '!M28,"")</f>
        <v/>
      </c>
      <c r="L35" s="12" t="str">
        <f>IF(A35&lt;= 'LOAN SCHEDULE'!$K$9,(1/(1+'ASSUMPTIONS '!$F$9))^A35,"")</f>
        <v/>
      </c>
      <c r="M35" s="14" t="str">
        <f>IF(A35 &lt;= 'LOAN SCHEDULE'!$K$9,K35*L35,"")</f>
        <v/>
      </c>
      <c r="N35" s="12" t="str">
        <f>IF(A35&lt;='LOAN SCHEDULE'!$K$9,(1/(1+'ASSUMPTIONS '!$F$9))^(A35-1),"")</f>
        <v/>
      </c>
      <c r="O35" s="14" t="str">
        <f>IF(A35&lt;= 'LOAN SCHEDULE'!$K$9,N35*B35*'DECREMENT TABLE '!M28,"")</f>
        <v/>
      </c>
    </row>
    <row r="36" spans="1:15" x14ac:dyDescent="0.25">
      <c r="A36" s="2" t="str">
        <f>IF(A35="","",IF((A35+1)&lt;='LOAN SCHEDULE'!$K$9,'PROFIT TESTING '!A35+1,""))</f>
        <v/>
      </c>
      <c r="B36" s="3" t="str">
        <f>IF(A36&lt;= 'LOAN SCHEDULE'!$K$9,'ASSUMPTIONS '!$J$10+'ASSUMPTIONS '!$J$9, "")</f>
        <v/>
      </c>
      <c r="C36" s="18" t="str">
        <f>IF(A36&lt;= 'LOAN SCHEDULE'!$K$9,'ASSUMPTIONS '!$J$14*B36,"")</f>
        <v/>
      </c>
      <c r="D36" s="18" t="str">
        <f>IF(A36&lt;= 'LOAN SCHEDULE'!$K$9,(B36-C36)*'ASSUMPTIONS '!$F$8,"")</f>
        <v/>
      </c>
      <c r="E36" s="17" t="str">
        <f>IF(A36&lt;= 'LOAN SCHEDULE'!$K$9,('DECREMENT TABLE '!I29*('LOAN SCHEDULE'!H30+$B$7)),"")</f>
        <v/>
      </c>
      <c r="F36" s="18" t="str">
        <f>IF(A36&lt;'LOAN SCHEDULE'!$K$9,('ASSUMPTIONS '!$J$4)*'DECREMENT TABLE '!I29,IF(A36&lt;='LOAN SCHEDULE'!$K$9,$B$9*'DECREMENT TABLE '!I29,""))</f>
        <v/>
      </c>
      <c r="G36" s="18" t="str">
        <f>IF(A36&lt;= 'LOAN SCHEDULE'!$K$9,'DECREMENT TABLE '!J29*'LOAN SCHEDULE'!H30,"")</f>
        <v/>
      </c>
      <c r="H36" s="18" t="str">
        <f>IF(A36&lt;= 'LOAN SCHEDULE'!$K$9,$B$8*'LOAN SCHEDULE'!H30*'DECREMENT TABLE '!K29,"")</f>
        <v/>
      </c>
      <c r="I36" s="18" t="str">
        <f>IF(A36&lt;='LOAN SCHEDULE'!$K$9,(('DECREMENT TABLE '!L29*'ASSURANCES, ANNUITIES '!Q31)-'ASSURANCES, ANNUITIES '!Q30),"")</f>
        <v/>
      </c>
      <c r="J36" s="18" t="str">
        <f>IF(A36&lt;='LOAN SCHEDULE'!$K$9,(B36-C36+D36-E36-F36-G36-H36-I36),"")</f>
        <v/>
      </c>
      <c r="K36" s="18" t="str">
        <f>IF(A36&lt;= 'LOAN SCHEDULE'!$K$9,J36*'DECREMENT TABLE '!M29,"")</f>
        <v/>
      </c>
      <c r="L36" s="12" t="str">
        <f>IF(A36&lt;= 'LOAN SCHEDULE'!$K$9,(1/(1+'ASSUMPTIONS '!$F$9))^A36,"")</f>
        <v/>
      </c>
      <c r="M36" s="14" t="str">
        <f>IF(A36 &lt;= 'LOAN SCHEDULE'!$K$9,K36*L36,"")</f>
        <v/>
      </c>
      <c r="N36" s="12" t="str">
        <f>IF(A36&lt;='LOAN SCHEDULE'!$K$9,(1/(1+'ASSUMPTIONS '!$F$9))^(A36-1),"")</f>
        <v/>
      </c>
      <c r="O36" s="14" t="str">
        <f>IF(A36&lt;= 'LOAN SCHEDULE'!$K$9,N36*B36*'DECREMENT TABLE '!M29,"")</f>
        <v/>
      </c>
    </row>
    <row r="37" spans="1:15" x14ac:dyDescent="0.25">
      <c r="A37" s="2" t="str">
        <f>IF(A36="","",IF((A36+1)&lt;='LOAN SCHEDULE'!$K$9,'PROFIT TESTING '!A36+1,""))</f>
        <v/>
      </c>
      <c r="B37" s="3" t="str">
        <f>IF(A37&lt;= 'LOAN SCHEDULE'!$K$9,'ASSUMPTIONS '!$J$10+'ASSUMPTIONS '!$J$9, "")</f>
        <v/>
      </c>
      <c r="C37" s="18" t="str">
        <f>IF(A37&lt;= 'LOAN SCHEDULE'!$K$9,'ASSUMPTIONS '!$J$14*B37,"")</f>
        <v/>
      </c>
      <c r="D37" s="18" t="str">
        <f>IF(A37&lt;= 'LOAN SCHEDULE'!$K$9,(B37-C37)*'ASSUMPTIONS '!$F$8,"")</f>
        <v/>
      </c>
      <c r="E37" s="17" t="str">
        <f>IF(A37&lt;= 'LOAN SCHEDULE'!$K$9,('DECREMENT TABLE '!I30*('LOAN SCHEDULE'!H31+$B$7)),"")</f>
        <v/>
      </c>
      <c r="F37" s="18" t="str">
        <f>IF(A37&lt;'LOAN SCHEDULE'!$K$9,('ASSUMPTIONS '!$J$4)*'DECREMENT TABLE '!I30,IF(A37&lt;='LOAN SCHEDULE'!$K$9,$B$9*'DECREMENT TABLE '!I30,""))</f>
        <v/>
      </c>
      <c r="G37" s="18" t="str">
        <f>IF(A37&lt;= 'LOAN SCHEDULE'!$K$9,'DECREMENT TABLE '!J30*'LOAN SCHEDULE'!H31,"")</f>
        <v/>
      </c>
      <c r="H37" s="18" t="str">
        <f>IF(A37&lt;= 'LOAN SCHEDULE'!$K$9,$B$8*'LOAN SCHEDULE'!H31*'DECREMENT TABLE '!K30,"")</f>
        <v/>
      </c>
      <c r="I37" s="18" t="str">
        <f>IF(A37&lt;='LOAN SCHEDULE'!$K$9,(('DECREMENT TABLE '!L30*'ASSURANCES, ANNUITIES '!Q32)-'ASSURANCES, ANNUITIES '!Q31),"")</f>
        <v/>
      </c>
      <c r="J37" s="18" t="str">
        <f>IF(A37&lt;='LOAN SCHEDULE'!$K$9,(B37-C37+D37-E37-F37-G37-H37-I37),"")</f>
        <v/>
      </c>
      <c r="K37" s="18" t="str">
        <f>IF(A37&lt;= 'LOAN SCHEDULE'!$K$9,J37*'DECREMENT TABLE '!M30,"")</f>
        <v/>
      </c>
      <c r="L37" s="12" t="str">
        <f>IF(A37&lt;= 'LOAN SCHEDULE'!$K$9,(1/(1+'ASSUMPTIONS '!$F$9))^A37,"")</f>
        <v/>
      </c>
      <c r="M37" s="14" t="str">
        <f>IF(A37 &lt;= 'LOAN SCHEDULE'!$K$9,K37*L37,"")</f>
        <v/>
      </c>
      <c r="N37" s="12" t="str">
        <f>IF(A37&lt;='LOAN SCHEDULE'!$K$9,(1/(1+'ASSUMPTIONS '!$F$9))^(A37-1),"")</f>
        <v/>
      </c>
      <c r="O37" s="14" t="str">
        <f>IF(A37&lt;= 'LOAN SCHEDULE'!$K$9,N37*B37*'DECREMENT TABLE '!M30,"")</f>
        <v/>
      </c>
    </row>
    <row r="38" spans="1:15" x14ac:dyDescent="0.25">
      <c r="A38" s="2" t="str">
        <f>IF(A37="","",IF((A37+1)&lt;='LOAN SCHEDULE'!$K$9,'PROFIT TESTING '!A37+1,""))</f>
        <v/>
      </c>
      <c r="B38" s="3" t="str">
        <f>IF(A38&lt;= 'LOAN SCHEDULE'!$K$9,'ASSUMPTIONS '!$J$10+'ASSUMPTIONS '!$J$9, "")</f>
        <v/>
      </c>
      <c r="C38" s="18" t="str">
        <f>IF(A38&lt;= 'LOAN SCHEDULE'!$K$9,'ASSUMPTIONS '!$J$14*B38,"")</f>
        <v/>
      </c>
      <c r="D38" s="18" t="str">
        <f>IF(A38&lt;= 'LOAN SCHEDULE'!$K$9,(B38-C38)*'ASSUMPTIONS '!$F$8,"")</f>
        <v/>
      </c>
      <c r="E38" s="17" t="str">
        <f>IF(A38&lt;= 'LOAN SCHEDULE'!$K$9,('DECREMENT TABLE '!I31*('LOAN SCHEDULE'!H32+$B$7)),"")</f>
        <v/>
      </c>
      <c r="F38" s="18" t="str">
        <f>IF(A38&lt;'LOAN SCHEDULE'!$K$9,('ASSUMPTIONS '!$J$4)*'DECREMENT TABLE '!I31,IF(A38&lt;='LOAN SCHEDULE'!$K$9,$B$9*'DECREMENT TABLE '!I31,""))</f>
        <v/>
      </c>
      <c r="G38" s="18" t="str">
        <f>IF(A38&lt;= 'LOAN SCHEDULE'!$K$9,'DECREMENT TABLE '!J31*'LOAN SCHEDULE'!H32,"")</f>
        <v/>
      </c>
      <c r="H38" s="18" t="str">
        <f>IF(A38&lt;= 'LOAN SCHEDULE'!$K$9,$B$8*'LOAN SCHEDULE'!H32*'DECREMENT TABLE '!K31,"")</f>
        <v/>
      </c>
      <c r="I38" s="18" t="str">
        <f>IF(A38&lt;='LOAN SCHEDULE'!$K$9,(('DECREMENT TABLE '!L31*'ASSURANCES, ANNUITIES '!Q33)-'ASSURANCES, ANNUITIES '!Q32),"")</f>
        <v/>
      </c>
      <c r="J38" s="18" t="str">
        <f>IF(A38&lt;='LOAN SCHEDULE'!$K$9,(B38-C38+D38-E38-F38-G38-H38-I38),"")</f>
        <v/>
      </c>
      <c r="K38" s="18" t="str">
        <f>IF(A38&lt;= 'LOAN SCHEDULE'!$K$9,J38*'DECREMENT TABLE '!M31,"")</f>
        <v/>
      </c>
      <c r="L38" s="12" t="str">
        <f>IF(A38&lt;= 'LOAN SCHEDULE'!$K$9,(1/(1+'ASSUMPTIONS '!$F$9))^A38,"")</f>
        <v/>
      </c>
      <c r="M38" s="14" t="str">
        <f>IF(A38 &lt;= 'LOAN SCHEDULE'!$K$9,K38*L38,"")</f>
        <v/>
      </c>
      <c r="N38" s="12" t="str">
        <f>IF(A38&lt;='LOAN SCHEDULE'!$K$9,(1/(1+'ASSUMPTIONS '!$F$9))^(A38-1),"")</f>
        <v/>
      </c>
      <c r="O38" s="14" t="str">
        <f>IF(A38&lt;= 'LOAN SCHEDULE'!$K$9,N38*B38*'DECREMENT TABLE '!M31,"")</f>
        <v/>
      </c>
    </row>
    <row r="39" spans="1:15" x14ac:dyDescent="0.25">
      <c r="A39" s="2" t="str">
        <f>IF(A38="","",IF((A38+1)&lt;='LOAN SCHEDULE'!$K$9,'PROFIT TESTING '!A38+1,""))</f>
        <v/>
      </c>
      <c r="B39" s="3" t="str">
        <f>IF(A39&lt;= 'LOAN SCHEDULE'!$K$9,'ASSUMPTIONS '!$J$10+'ASSUMPTIONS '!$J$9, "")</f>
        <v/>
      </c>
      <c r="C39" s="18" t="str">
        <f>IF(A39&lt;= 'LOAN SCHEDULE'!$K$9,'ASSUMPTIONS '!$J$14*B39,"")</f>
        <v/>
      </c>
      <c r="D39" s="18" t="str">
        <f>IF(A39&lt;= 'LOAN SCHEDULE'!$K$9,(B39-C39)*'ASSUMPTIONS '!$F$8,"")</f>
        <v/>
      </c>
      <c r="E39" s="17" t="str">
        <f>IF(A39&lt;= 'LOAN SCHEDULE'!$K$9,('DECREMENT TABLE '!I32*('LOAN SCHEDULE'!H33+$B$7)),"")</f>
        <v/>
      </c>
      <c r="F39" s="18" t="str">
        <f>IF(A39&lt;'LOAN SCHEDULE'!$K$9,('ASSUMPTIONS '!$J$4)*'DECREMENT TABLE '!I32,IF(A39&lt;='LOAN SCHEDULE'!$K$9,$B$9*'DECREMENT TABLE '!I32,""))</f>
        <v/>
      </c>
      <c r="G39" s="18" t="str">
        <f>IF(A39&lt;= 'LOAN SCHEDULE'!$K$9,'DECREMENT TABLE '!J32*'LOAN SCHEDULE'!H33,"")</f>
        <v/>
      </c>
      <c r="H39" s="18" t="str">
        <f>IF(A39&lt;= 'LOAN SCHEDULE'!$K$9,$B$8*'LOAN SCHEDULE'!H33*'DECREMENT TABLE '!K32,"")</f>
        <v/>
      </c>
      <c r="I39" s="18" t="str">
        <f>IF(A39&lt;='LOAN SCHEDULE'!$K$9,(('DECREMENT TABLE '!L32*'ASSURANCES, ANNUITIES '!Q34)-'ASSURANCES, ANNUITIES '!Q33),"")</f>
        <v/>
      </c>
      <c r="J39" s="18" t="str">
        <f>IF(A39&lt;='LOAN SCHEDULE'!$K$9,(B39-C39+D39-E39-F39-G39-H39-I39),"")</f>
        <v/>
      </c>
      <c r="K39" s="18" t="str">
        <f>IF(A39&lt;= 'LOAN SCHEDULE'!$K$9,J39*'DECREMENT TABLE '!M32,"")</f>
        <v/>
      </c>
      <c r="L39" s="12" t="str">
        <f>IF(A39&lt;= 'LOAN SCHEDULE'!$K$9,(1/(1+'ASSUMPTIONS '!$F$9))^A39,"")</f>
        <v/>
      </c>
      <c r="M39" s="14" t="str">
        <f>IF(A39 &lt;= 'LOAN SCHEDULE'!$K$9,K39*L39,"")</f>
        <v/>
      </c>
      <c r="N39" s="12" t="str">
        <f>IF(A39&lt;='LOAN SCHEDULE'!$K$9,(1/(1+'ASSUMPTIONS '!$F$9))^(A39-1),"")</f>
        <v/>
      </c>
      <c r="O39" s="14" t="str">
        <f>IF(A39&lt;= 'LOAN SCHEDULE'!$K$9,N39*B39*'DECREMENT TABLE '!M32,"")</f>
        <v/>
      </c>
    </row>
    <row r="40" spans="1:15" x14ac:dyDescent="0.25">
      <c r="A40" s="2" t="str">
        <f>IF(A39="","",IF((A39+1)&lt;='LOAN SCHEDULE'!$K$9,'PROFIT TESTING '!A39+1,""))</f>
        <v/>
      </c>
      <c r="B40" s="3" t="str">
        <f>IF(A40&lt;= 'LOAN SCHEDULE'!$K$9,'ASSUMPTIONS '!$J$10+'ASSUMPTIONS '!$J$9, "")</f>
        <v/>
      </c>
      <c r="C40" s="18" t="str">
        <f>IF(A40&lt;= 'LOAN SCHEDULE'!$K$9,'ASSUMPTIONS '!$J$14*B40,"")</f>
        <v/>
      </c>
      <c r="D40" s="18" t="str">
        <f>IF(A40&lt;= 'LOAN SCHEDULE'!$K$9,(B40-C40)*'ASSUMPTIONS '!$F$8,"")</f>
        <v/>
      </c>
      <c r="E40" s="17" t="str">
        <f>IF(A40&lt;= 'LOAN SCHEDULE'!$K$9,('DECREMENT TABLE '!I33*('LOAN SCHEDULE'!H34+$B$7)),"")</f>
        <v/>
      </c>
      <c r="F40" s="18" t="str">
        <f>IF(A40&lt;'LOAN SCHEDULE'!$K$9,('ASSUMPTIONS '!$J$4)*'DECREMENT TABLE '!I33,IF(A40&lt;='LOAN SCHEDULE'!$K$9,$B$9*'DECREMENT TABLE '!I33,""))</f>
        <v/>
      </c>
      <c r="G40" s="18" t="str">
        <f>IF(A40&lt;= 'LOAN SCHEDULE'!$K$9,'DECREMENT TABLE '!J33*'LOAN SCHEDULE'!H34,"")</f>
        <v/>
      </c>
      <c r="H40" s="18" t="str">
        <f>IF(A40&lt;= 'LOAN SCHEDULE'!$K$9,$B$8*'LOAN SCHEDULE'!H34*'DECREMENT TABLE '!K33,"")</f>
        <v/>
      </c>
      <c r="I40" s="18" t="str">
        <f>IF(A40&lt;='LOAN SCHEDULE'!$K$9,(('DECREMENT TABLE '!L33*'ASSURANCES, ANNUITIES '!Q35)-'ASSURANCES, ANNUITIES '!Q34),"")</f>
        <v/>
      </c>
      <c r="J40" s="18" t="str">
        <f>IF(A40&lt;='LOAN SCHEDULE'!$K$9,(B40-C40+D40-E40-F40-G40-H40-I40),"")</f>
        <v/>
      </c>
      <c r="K40" s="18" t="str">
        <f>IF(A40&lt;= 'LOAN SCHEDULE'!$K$9,J40*'DECREMENT TABLE '!M33,"")</f>
        <v/>
      </c>
      <c r="L40" s="12" t="str">
        <f>IF(A40&lt;= 'LOAN SCHEDULE'!$K$9,(1/(1+'ASSUMPTIONS '!$F$9))^A40,"")</f>
        <v/>
      </c>
      <c r="M40" s="14" t="str">
        <f>IF(A40 &lt;= 'LOAN SCHEDULE'!$K$9,K40*L40,"")</f>
        <v/>
      </c>
      <c r="N40" s="12" t="str">
        <f>IF(A40&lt;='LOAN SCHEDULE'!$K$9,(1/(1+'ASSUMPTIONS '!$F$9))^(A40-1),"")</f>
        <v/>
      </c>
      <c r="O40" s="14" t="str">
        <f>IF(A40&lt;= 'LOAN SCHEDULE'!$K$9,N40*B40*'DECREMENT TABLE '!M33,"")</f>
        <v/>
      </c>
    </row>
    <row r="41" spans="1:15" x14ac:dyDescent="0.25">
      <c r="A41" s="2" t="str">
        <f>IF(A40="","",IF((A40+1)&lt;='LOAN SCHEDULE'!$K$9,'PROFIT TESTING '!A40+1,""))</f>
        <v/>
      </c>
      <c r="B41" s="3" t="str">
        <f>IF(A41&lt;= 'LOAN SCHEDULE'!$K$9,'ASSUMPTIONS '!$J$10+'ASSUMPTIONS '!$J$9, "")</f>
        <v/>
      </c>
      <c r="C41" s="18" t="str">
        <f>IF(A41&lt;= 'LOAN SCHEDULE'!$K$9,'ASSUMPTIONS '!$J$14*B41,"")</f>
        <v/>
      </c>
      <c r="D41" s="18" t="str">
        <f>IF(A41&lt;= 'LOAN SCHEDULE'!$K$9,(B41-C41)*'ASSUMPTIONS '!$F$8,"")</f>
        <v/>
      </c>
      <c r="E41" s="17" t="str">
        <f>IF(A41&lt;= 'LOAN SCHEDULE'!$K$9,('DECREMENT TABLE '!I34*('LOAN SCHEDULE'!H35+$B$7)),"")</f>
        <v/>
      </c>
      <c r="F41" s="18" t="str">
        <f>IF(A41&lt;'LOAN SCHEDULE'!$K$9,('ASSUMPTIONS '!$J$4)*'DECREMENT TABLE '!I34,IF(A41&lt;='LOAN SCHEDULE'!$K$9,$B$9*'DECREMENT TABLE '!I34,""))</f>
        <v/>
      </c>
      <c r="G41" s="18" t="str">
        <f>IF(A41&lt;= 'LOAN SCHEDULE'!$K$9,'DECREMENT TABLE '!J34*'LOAN SCHEDULE'!H35,"")</f>
        <v/>
      </c>
      <c r="H41" s="18" t="str">
        <f>IF(A41&lt;= 'LOAN SCHEDULE'!$K$9,$B$8*'LOAN SCHEDULE'!H35*'DECREMENT TABLE '!K34,"")</f>
        <v/>
      </c>
      <c r="I41" s="18" t="str">
        <f>IF(A41&lt;='LOAN SCHEDULE'!$K$9,(('DECREMENT TABLE '!L34*'ASSURANCES, ANNUITIES '!Q36)-'ASSURANCES, ANNUITIES '!Q35),"")</f>
        <v/>
      </c>
      <c r="J41" s="18" t="str">
        <f>IF(A41&lt;='LOAN SCHEDULE'!$K$9,(B41-C41+D41-E41-F41-G41-H41-I41),"")</f>
        <v/>
      </c>
      <c r="K41" s="18" t="str">
        <f>IF(A41&lt;= 'LOAN SCHEDULE'!$K$9,J41*'DECREMENT TABLE '!M34,"")</f>
        <v/>
      </c>
      <c r="L41" s="12" t="str">
        <f>IF(A41&lt;= 'LOAN SCHEDULE'!$K$9,(1/(1+'ASSUMPTIONS '!$F$9))^A41,"")</f>
        <v/>
      </c>
      <c r="M41" s="14" t="str">
        <f>IF(A41 &lt;= 'LOAN SCHEDULE'!$K$9,K41*L41,"")</f>
        <v/>
      </c>
      <c r="N41" s="12" t="str">
        <f>IF(A41&lt;='LOAN SCHEDULE'!$K$9,(1/(1+'ASSUMPTIONS '!$F$9))^(A41-1),"")</f>
        <v/>
      </c>
      <c r="O41" s="14" t="str">
        <f>IF(A41&lt;= 'LOAN SCHEDULE'!$K$9,N41*B41*'DECREMENT TABLE '!M34,"")</f>
        <v/>
      </c>
    </row>
    <row r="42" spans="1:15" x14ac:dyDescent="0.25">
      <c r="A42" s="2" t="str">
        <f>IF(A41="","",IF((A41+1)&lt;='LOAN SCHEDULE'!$K$9,'PROFIT TESTING '!A41+1,""))</f>
        <v/>
      </c>
      <c r="B42" s="3" t="str">
        <f>IF(A42&lt;= 'LOAN SCHEDULE'!$K$9,'ASSUMPTIONS '!$J$10+'ASSUMPTIONS '!$J$9, "")</f>
        <v/>
      </c>
      <c r="C42" s="18" t="str">
        <f>IF(A42&lt;= 'LOAN SCHEDULE'!$K$9,'ASSUMPTIONS '!$J$14*B42,"")</f>
        <v/>
      </c>
      <c r="D42" s="18" t="str">
        <f>IF(A42&lt;= 'LOAN SCHEDULE'!$K$9,(B42-C42)*'ASSUMPTIONS '!$F$8,"")</f>
        <v/>
      </c>
      <c r="E42" s="17" t="str">
        <f>IF(A42&lt;= 'LOAN SCHEDULE'!$K$9,('DECREMENT TABLE '!I35*('LOAN SCHEDULE'!H36+$B$7)),"")</f>
        <v/>
      </c>
      <c r="F42" s="18" t="str">
        <f>IF(A42&lt;'LOAN SCHEDULE'!$K$9,('ASSUMPTIONS '!$J$4)*'DECREMENT TABLE '!I35,IF(A42&lt;='LOAN SCHEDULE'!$K$9,$B$9*'DECREMENT TABLE '!I35,""))</f>
        <v/>
      </c>
      <c r="G42" s="18" t="str">
        <f>IF(A42&lt;= 'LOAN SCHEDULE'!$K$9,'DECREMENT TABLE '!J35*'LOAN SCHEDULE'!H36,"")</f>
        <v/>
      </c>
      <c r="H42" s="18" t="str">
        <f>IF(A42&lt;= 'LOAN SCHEDULE'!$K$9,$B$8*'LOAN SCHEDULE'!H36*'DECREMENT TABLE '!K35,"")</f>
        <v/>
      </c>
      <c r="I42" s="18" t="str">
        <f>IF(A42&lt;='LOAN SCHEDULE'!$K$9,(('DECREMENT TABLE '!L35*'ASSURANCES, ANNUITIES '!Q37)-'ASSURANCES, ANNUITIES '!Q36),"")</f>
        <v/>
      </c>
      <c r="J42" s="18" t="str">
        <f>IF(A42&lt;='LOAN SCHEDULE'!$K$9,(B42-C42+D42-E42-F42-G42-H42-I42),"")</f>
        <v/>
      </c>
      <c r="K42" s="18" t="str">
        <f>IF(A42&lt;= 'LOAN SCHEDULE'!$K$9,J42*'DECREMENT TABLE '!M35,"")</f>
        <v/>
      </c>
      <c r="L42" s="12" t="str">
        <f>IF(A42&lt;= 'LOAN SCHEDULE'!$K$9,(1/(1+'ASSUMPTIONS '!$F$9))^A42,"")</f>
        <v/>
      </c>
      <c r="M42" s="14" t="str">
        <f>IF(A42 &lt;= 'LOAN SCHEDULE'!$K$9,K42*L42,"")</f>
        <v/>
      </c>
      <c r="N42" s="12" t="str">
        <f>IF(A42&lt;='LOAN SCHEDULE'!$K$9,(1/(1+'ASSUMPTIONS '!$F$9))^(A42-1),"")</f>
        <v/>
      </c>
      <c r="O42" s="14" t="str">
        <f>IF(A42&lt;= 'LOAN SCHEDULE'!$K$9,N42*B42*'DECREMENT TABLE '!M35,"")</f>
        <v/>
      </c>
    </row>
    <row r="43" spans="1:15" x14ac:dyDescent="0.25">
      <c r="A43" s="2" t="str">
        <f>IF(A42="","",IF((A42+1)&lt;='LOAN SCHEDULE'!$K$9,'PROFIT TESTING '!A42+1,""))</f>
        <v/>
      </c>
      <c r="B43" s="3" t="str">
        <f>IF(A43&lt;= 'LOAN SCHEDULE'!$K$9,'ASSUMPTIONS '!$J$10+'ASSUMPTIONS '!$J$9, "")</f>
        <v/>
      </c>
      <c r="C43" s="18" t="str">
        <f>IF(A43&lt;= 'LOAN SCHEDULE'!$K$9,'ASSUMPTIONS '!$J$14*B43,"")</f>
        <v/>
      </c>
      <c r="D43" s="18" t="str">
        <f>IF(A43&lt;= 'LOAN SCHEDULE'!$K$9,(B43-C43)*'ASSUMPTIONS '!$F$8,"")</f>
        <v/>
      </c>
      <c r="E43" s="17" t="str">
        <f>IF(A43&lt;= 'LOAN SCHEDULE'!$K$9,('DECREMENT TABLE '!I36*('LOAN SCHEDULE'!H37+$B$7)),"")</f>
        <v/>
      </c>
      <c r="F43" s="18" t="str">
        <f>IF(A43&lt;'LOAN SCHEDULE'!$K$9,('ASSUMPTIONS '!$J$4)*'DECREMENT TABLE '!I36,IF(A43&lt;='LOAN SCHEDULE'!$K$9,$B$9*'DECREMENT TABLE '!I36,""))</f>
        <v/>
      </c>
      <c r="G43" s="18" t="str">
        <f>IF(A43&lt;= 'LOAN SCHEDULE'!$K$9,'DECREMENT TABLE '!J36*'LOAN SCHEDULE'!H37,"")</f>
        <v/>
      </c>
      <c r="H43" s="18" t="str">
        <f>IF(A43&lt;= 'LOAN SCHEDULE'!$K$9,$B$8*'LOAN SCHEDULE'!H37*'DECREMENT TABLE '!K36,"")</f>
        <v/>
      </c>
      <c r="I43" s="18" t="str">
        <f>IF(A43&lt;='LOAN SCHEDULE'!$K$9,(('DECREMENT TABLE '!L36*'ASSURANCES, ANNUITIES '!Q38)-'ASSURANCES, ANNUITIES '!Q37),"")</f>
        <v/>
      </c>
      <c r="J43" s="18" t="str">
        <f>IF(A43&lt;='LOAN SCHEDULE'!$K$9,(B43-C43+D43-E43-F43-G43-H43-I43),"")</f>
        <v/>
      </c>
      <c r="K43" s="18" t="str">
        <f>IF(A43&lt;= 'LOAN SCHEDULE'!$K$9,J43*'DECREMENT TABLE '!M36,"")</f>
        <v/>
      </c>
      <c r="L43" s="12" t="str">
        <f>IF(A43&lt;= 'LOAN SCHEDULE'!$K$9,(1/(1+'ASSUMPTIONS '!$F$9))^A43,"")</f>
        <v/>
      </c>
      <c r="M43" s="14" t="str">
        <f>IF(A43 &lt;= 'LOAN SCHEDULE'!$K$9,K43*L43,"")</f>
        <v/>
      </c>
      <c r="N43" s="12" t="str">
        <f>IF(A43&lt;='LOAN SCHEDULE'!$K$9,(1/(1+'ASSUMPTIONS '!$F$9))^(A43-1),"")</f>
        <v/>
      </c>
      <c r="O43" s="14" t="str">
        <f>IF(A43&lt;= 'LOAN SCHEDULE'!$K$9,N43*B43*'DECREMENT TABLE '!M36,"")</f>
        <v/>
      </c>
    </row>
    <row r="44" spans="1:15" x14ac:dyDescent="0.25">
      <c r="A44" s="2" t="str">
        <f>IF(A43="","",IF((A43+1)&lt;='LOAN SCHEDULE'!$K$9,'PROFIT TESTING '!A43+1,""))</f>
        <v/>
      </c>
      <c r="B44" s="3" t="str">
        <f>IF(A44&lt;= 'LOAN SCHEDULE'!$K$9,'ASSUMPTIONS '!$J$10+'ASSUMPTIONS '!$J$9, "")</f>
        <v/>
      </c>
      <c r="C44" s="18" t="str">
        <f>IF(A44&lt;= 'LOAN SCHEDULE'!$K$9,'ASSUMPTIONS '!$J$14*B44,"")</f>
        <v/>
      </c>
      <c r="D44" s="18" t="str">
        <f>IF(A44&lt;= 'LOAN SCHEDULE'!$K$9,(B44-C44)*'ASSUMPTIONS '!$F$8,"")</f>
        <v/>
      </c>
      <c r="E44" s="17" t="str">
        <f>IF(A44&lt;= 'LOAN SCHEDULE'!$K$9,('DECREMENT TABLE '!I37*('LOAN SCHEDULE'!H38+$B$7)),"")</f>
        <v/>
      </c>
      <c r="F44" s="18" t="str">
        <f>IF(A44&lt;'LOAN SCHEDULE'!$K$9,('ASSUMPTIONS '!$J$4)*'DECREMENT TABLE '!I37,IF(A44&lt;='LOAN SCHEDULE'!$K$9,$B$9*'DECREMENT TABLE '!I37,""))</f>
        <v/>
      </c>
      <c r="G44" s="18" t="str">
        <f>IF(A44&lt;= 'LOAN SCHEDULE'!$K$9,'DECREMENT TABLE '!J37*'LOAN SCHEDULE'!H38,"")</f>
        <v/>
      </c>
      <c r="H44" s="18" t="str">
        <f>IF(A44&lt;= 'LOAN SCHEDULE'!$K$9,$B$8*'LOAN SCHEDULE'!H38*'DECREMENT TABLE '!K37,"")</f>
        <v/>
      </c>
      <c r="I44" s="18" t="str">
        <f>IF(A44&lt;='LOAN SCHEDULE'!$K$9,(('DECREMENT TABLE '!L37*'ASSURANCES, ANNUITIES '!Q39)-'ASSURANCES, ANNUITIES '!Q38),"")</f>
        <v/>
      </c>
      <c r="J44" s="18" t="str">
        <f>IF(A44&lt;='LOAN SCHEDULE'!$K$9,(B44-C44+D44-E44-F44-G44-H44-I44),"")</f>
        <v/>
      </c>
      <c r="K44" s="18" t="str">
        <f>IF(A44&lt;= 'LOAN SCHEDULE'!$K$9,J44*'DECREMENT TABLE '!M37,"")</f>
        <v/>
      </c>
      <c r="L44" s="12" t="str">
        <f>IF(A44&lt;= 'LOAN SCHEDULE'!$K$9,(1/(1+'ASSUMPTIONS '!$F$9))^A44,"")</f>
        <v/>
      </c>
      <c r="M44" s="14" t="str">
        <f>IF(A44 &lt;= 'LOAN SCHEDULE'!$K$9,K44*L44,"")</f>
        <v/>
      </c>
      <c r="N44" s="12" t="str">
        <f>IF(A44&lt;='LOAN SCHEDULE'!$K$9,(1/(1+'ASSUMPTIONS '!$F$9))^(A44-1),"")</f>
        <v/>
      </c>
      <c r="O44" s="14" t="str">
        <f>IF(A44&lt;= 'LOAN SCHEDULE'!$K$9,N44*B44*'DECREMENT TABLE '!M37,"")</f>
        <v/>
      </c>
    </row>
    <row r="45" spans="1:15" x14ac:dyDescent="0.25">
      <c r="A45" s="2" t="str">
        <f>IF(A44="","",IF((A44+1)&lt;='LOAN SCHEDULE'!$K$9,'PROFIT TESTING '!A44+1,""))</f>
        <v/>
      </c>
      <c r="B45" s="3" t="str">
        <f>IF(A45&lt;= 'LOAN SCHEDULE'!$K$9,'ASSUMPTIONS '!$J$10+'ASSUMPTIONS '!$J$9, "")</f>
        <v/>
      </c>
      <c r="C45" s="18" t="str">
        <f>IF(A45&lt;= 'LOAN SCHEDULE'!$K$9,'ASSUMPTIONS '!$J$14*B45,"")</f>
        <v/>
      </c>
      <c r="D45" s="18" t="str">
        <f>IF(A45&lt;= 'LOAN SCHEDULE'!$K$9,(B45-C45)*'ASSUMPTIONS '!$F$8,"")</f>
        <v/>
      </c>
      <c r="E45" s="17" t="str">
        <f>IF(A45&lt;= 'LOAN SCHEDULE'!$K$9,('DECREMENT TABLE '!I38*('LOAN SCHEDULE'!H39+$B$7)),"")</f>
        <v/>
      </c>
      <c r="F45" s="18" t="str">
        <f>IF(A45&lt;'LOAN SCHEDULE'!$K$9,('ASSUMPTIONS '!$J$4)*'DECREMENT TABLE '!I38,IF(A45&lt;='LOAN SCHEDULE'!$K$9,$B$9*'DECREMENT TABLE '!I38,""))</f>
        <v/>
      </c>
      <c r="G45" s="18" t="str">
        <f>IF(A45&lt;= 'LOAN SCHEDULE'!$K$9,'DECREMENT TABLE '!J38*'LOAN SCHEDULE'!H39,"")</f>
        <v/>
      </c>
      <c r="H45" s="18" t="str">
        <f>IF(A45&lt;= 'LOAN SCHEDULE'!$K$9,$B$8*'LOAN SCHEDULE'!H39*'DECREMENT TABLE '!K38,"")</f>
        <v/>
      </c>
      <c r="I45" s="18" t="str">
        <f>IF(A45&lt;='LOAN SCHEDULE'!$K$9,(('DECREMENT TABLE '!L38*'ASSURANCES, ANNUITIES '!Q40)-'ASSURANCES, ANNUITIES '!Q39),"")</f>
        <v/>
      </c>
      <c r="J45" s="18" t="str">
        <f>IF(A45&lt;='LOAN SCHEDULE'!$K$9,(B45-C45+D45-E45-F45-G45-H45-I45),"")</f>
        <v/>
      </c>
      <c r="K45" s="18" t="str">
        <f>IF(A45&lt;= 'LOAN SCHEDULE'!$K$9,J45*'DECREMENT TABLE '!M38,"")</f>
        <v/>
      </c>
      <c r="L45" s="12" t="str">
        <f>IF(A45&lt;= 'LOAN SCHEDULE'!$K$9,(1/(1+'ASSUMPTIONS '!$F$9))^A45,"")</f>
        <v/>
      </c>
      <c r="M45" s="14" t="str">
        <f>IF(A45 &lt;= 'LOAN SCHEDULE'!$K$9,K45*L45,"")</f>
        <v/>
      </c>
      <c r="N45" s="12" t="str">
        <f>IF(A45&lt;='LOAN SCHEDULE'!$K$9,(1/(1+'ASSUMPTIONS '!$F$9))^(A45-1),"")</f>
        <v/>
      </c>
      <c r="O45" s="14" t="str">
        <f>IF(A45&lt;= 'LOAN SCHEDULE'!$K$9,N45*B45*'DECREMENT TABLE '!M38,"")</f>
        <v/>
      </c>
    </row>
    <row r="46" spans="1:15" x14ac:dyDescent="0.25">
      <c r="A46" s="2" t="str">
        <f>IF(A45="","",IF((A45+1)&lt;='LOAN SCHEDULE'!$K$9,'PROFIT TESTING '!A45+1,""))</f>
        <v/>
      </c>
      <c r="B46" s="3" t="str">
        <f>IF(A46&lt;= 'LOAN SCHEDULE'!$K$9,'ASSUMPTIONS '!$J$10+'ASSUMPTIONS '!$J$9, "")</f>
        <v/>
      </c>
      <c r="C46" s="18" t="str">
        <f>IF(A46&lt;= 'LOAN SCHEDULE'!$K$9,'ASSUMPTIONS '!$J$14*B46,"")</f>
        <v/>
      </c>
      <c r="D46" s="18" t="str">
        <f>IF(A46&lt;= 'LOAN SCHEDULE'!$K$9,(B46-C46)*'ASSUMPTIONS '!$F$8,"")</f>
        <v/>
      </c>
      <c r="E46" s="17" t="str">
        <f>IF(A46&lt;= 'LOAN SCHEDULE'!$K$9,('DECREMENT TABLE '!I39*('LOAN SCHEDULE'!H40+$B$7)),"")</f>
        <v/>
      </c>
      <c r="F46" s="18" t="str">
        <f>IF(A46&lt;'LOAN SCHEDULE'!$K$9,('ASSUMPTIONS '!$J$4)*'DECREMENT TABLE '!I39,IF(A46&lt;='LOAN SCHEDULE'!$K$9,$B$9*'DECREMENT TABLE '!I39,""))</f>
        <v/>
      </c>
      <c r="G46" s="18" t="str">
        <f>IF(A46&lt;= 'LOAN SCHEDULE'!$K$9,'DECREMENT TABLE '!J39*'LOAN SCHEDULE'!H40,"")</f>
        <v/>
      </c>
      <c r="H46" s="18" t="str">
        <f>IF(A46&lt;= 'LOAN SCHEDULE'!$K$9,$B$8*'LOAN SCHEDULE'!H40*'DECREMENT TABLE '!K39,"")</f>
        <v/>
      </c>
      <c r="I46" s="18" t="str">
        <f>IF(A46&lt;='LOAN SCHEDULE'!$K$9,(('DECREMENT TABLE '!L39*'ASSURANCES, ANNUITIES '!Q41)-'ASSURANCES, ANNUITIES '!Q40),"")</f>
        <v/>
      </c>
      <c r="J46" s="18" t="str">
        <f>IF(A46&lt;='LOAN SCHEDULE'!$K$9,(B46-C46+D46-E46-F46-G46-H46-I46),"")</f>
        <v/>
      </c>
      <c r="K46" s="18" t="str">
        <f>IF(A46&lt;= 'LOAN SCHEDULE'!$K$9,J46*'DECREMENT TABLE '!M39,"")</f>
        <v/>
      </c>
      <c r="L46" s="12" t="str">
        <f>IF(A46&lt;= 'LOAN SCHEDULE'!$K$9,(1/(1+'ASSUMPTIONS '!$F$9))^A46,"")</f>
        <v/>
      </c>
      <c r="M46" s="14" t="str">
        <f>IF(A46 &lt;= 'LOAN SCHEDULE'!$K$9,K46*L46,"")</f>
        <v/>
      </c>
      <c r="N46" s="12" t="str">
        <f>IF(A46&lt;='LOAN SCHEDULE'!$K$9,(1/(1+'ASSUMPTIONS '!$F$9))^(A46-1),"")</f>
        <v/>
      </c>
      <c r="O46" s="14" t="str">
        <f>IF(A46&lt;= 'LOAN SCHEDULE'!$K$9,N46*B46*'DECREMENT TABLE '!M39,"")</f>
        <v/>
      </c>
    </row>
    <row r="47" spans="1:15" x14ac:dyDescent="0.25">
      <c r="I47" s="7"/>
      <c r="J47" s="9"/>
      <c r="K47" s="7"/>
    </row>
    <row r="48" spans="1:15" x14ac:dyDescent="0.25">
      <c r="I48" s="7"/>
      <c r="J48" s="9"/>
      <c r="K48" s="7"/>
    </row>
    <row r="49" spans="9:11" x14ac:dyDescent="0.25">
      <c r="I49" s="7"/>
      <c r="J49" s="9"/>
      <c r="K49" s="7"/>
    </row>
    <row r="50" spans="9:11" x14ac:dyDescent="0.25">
      <c r="I50" s="7"/>
      <c r="J50" s="9"/>
      <c r="K50" s="7"/>
    </row>
    <row r="51" spans="9:11" x14ac:dyDescent="0.25">
      <c r="I51" s="7"/>
      <c r="J51" s="9"/>
      <c r="K51" s="7"/>
    </row>
    <row r="52" spans="9:11" x14ac:dyDescent="0.25">
      <c r="I52" s="7"/>
      <c r="J52" s="9"/>
      <c r="K52" s="7"/>
    </row>
    <row r="53" spans="9:11" x14ac:dyDescent="0.25">
      <c r="I53" s="7"/>
      <c r="J53" s="9"/>
      <c r="K53" s="7"/>
    </row>
    <row r="54" spans="9:11" x14ac:dyDescent="0.25">
      <c r="I54" s="7"/>
      <c r="J54" s="9"/>
      <c r="K54" s="7"/>
    </row>
    <row r="55" spans="9:11" x14ac:dyDescent="0.25">
      <c r="I55" s="7"/>
      <c r="J55" s="9"/>
      <c r="K55" s="7"/>
    </row>
    <row r="56" spans="9:11" x14ac:dyDescent="0.25">
      <c r="I56" s="7"/>
      <c r="J56" s="9"/>
      <c r="K56" s="7"/>
    </row>
    <row r="57" spans="9:11" x14ac:dyDescent="0.25">
      <c r="I57" s="7"/>
      <c r="J57" s="9"/>
      <c r="K57" s="7"/>
    </row>
    <row r="58" spans="9:11" x14ac:dyDescent="0.25">
      <c r="I58" s="7"/>
      <c r="J58" s="9"/>
      <c r="K58" s="7"/>
    </row>
    <row r="59" spans="9:11" x14ac:dyDescent="0.25">
      <c r="I59" s="7"/>
      <c r="J59" s="9"/>
      <c r="K59" s="7"/>
    </row>
    <row r="60" spans="9:11" x14ac:dyDescent="0.25">
      <c r="I60" s="7"/>
      <c r="J60" s="9"/>
      <c r="K60" s="7"/>
    </row>
    <row r="61" spans="9:11" x14ac:dyDescent="0.25">
      <c r="I61" s="7"/>
      <c r="J61" s="9"/>
      <c r="K61" s="7"/>
    </row>
    <row r="62" spans="9:11" x14ac:dyDescent="0.25">
      <c r="I62" s="7"/>
      <c r="J62" s="9"/>
      <c r="K62" s="7"/>
    </row>
    <row r="63" spans="9:11" x14ac:dyDescent="0.25">
      <c r="I63" s="7"/>
      <c r="J63" s="9"/>
      <c r="K63" s="7"/>
    </row>
    <row r="64" spans="9:11" x14ac:dyDescent="0.25">
      <c r="I64" s="7"/>
      <c r="J64" s="9"/>
      <c r="K64" s="7"/>
    </row>
    <row r="65" spans="9:11" x14ac:dyDescent="0.25">
      <c r="I65" s="7"/>
      <c r="J65" s="9"/>
      <c r="K65" s="7"/>
    </row>
    <row r="66" spans="9:11" x14ac:dyDescent="0.25">
      <c r="I66" s="7"/>
      <c r="J66" s="9"/>
      <c r="K66" s="7"/>
    </row>
    <row r="67" spans="9:11" x14ac:dyDescent="0.25">
      <c r="I67" s="7"/>
      <c r="J67" s="9"/>
      <c r="K67" s="7"/>
    </row>
    <row r="68" spans="9:11" x14ac:dyDescent="0.25">
      <c r="I68" s="7"/>
      <c r="J68" s="9"/>
      <c r="K68" s="7"/>
    </row>
    <row r="69" spans="9:11" x14ac:dyDescent="0.25">
      <c r="I69" s="7"/>
      <c r="J69" s="9"/>
      <c r="K69" s="7"/>
    </row>
    <row r="70" spans="9:11" x14ac:dyDescent="0.25">
      <c r="I70" s="7"/>
      <c r="J70" s="9"/>
      <c r="K70" s="7"/>
    </row>
    <row r="71" spans="9:11" x14ac:dyDescent="0.25">
      <c r="I71" s="7"/>
      <c r="J71" s="9"/>
      <c r="K71" s="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ASSUMPTIONS </vt:lpstr>
      <vt:lpstr>SENSITIVITY ANALYSIS </vt:lpstr>
      <vt:lpstr>MORTALITY  </vt:lpstr>
      <vt:lpstr>ASSURANCES, ANNUITIES </vt:lpstr>
      <vt:lpstr>DECREMENT TABLE </vt:lpstr>
      <vt:lpstr>female decrement table </vt:lpstr>
      <vt:lpstr>LOAN SCHEDULE</vt:lpstr>
      <vt:lpstr>male decrement table </vt:lpstr>
      <vt:lpstr>PROFIT TESTING </vt:lpstr>
      <vt:lpstr>DISABILITY RATES </vt:lpstr>
      <vt:lpstr>CRITICAL ILLNESS RATES </vt:lpstr>
      <vt:lpstr>SAMPLE OF PREMIUMS </vt:lpstr>
      <vt:lpstr>d</vt:lpstr>
      <vt:lpstr>'MORTALITY  '!i</vt:lpstr>
      <vt:lpstr>ii</vt:lpstr>
      <vt:lpstr>iii</vt:lpstr>
      <vt:lpstr>int</vt:lpstr>
      <vt:lpstr>interest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2021-12-29T05:06:55Z</dcterms:created>
  <dcterms:modified xsi:type="dcterms:W3CDTF">2022-03-02T18:23:25Z</dcterms:modified>
</cp:coreProperties>
</file>