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usman\mrisk_ai_pelindo\"/>
    </mc:Choice>
  </mc:AlternateContent>
  <bookViews>
    <workbookView xWindow="0" yWindow="0" windowWidth="9636" windowHeight="6816" tabRatio="701" firstSheet="4" activeTab="9"/>
  </bookViews>
  <sheets>
    <sheet name="Halaman Judul" sheetId="49" r:id="rId1"/>
    <sheet name="Daftar Isi" sheetId="42" r:id="rId2"/>
    <sheet name="Metrik Strategi Risiko" sheetId="24" r:id="rId3"/>
    <sheet name="Pilihan Sasaran&amp;Strategi Bisnis" sheetId="41" r:id="rId4"/>
    <sheet name="Profil Risiko" sheetId="1" r:id="rId5"/>
    <sheet name="Risiko Inheren Kuantitatif" sheetId="11" r:id="rId6"/>
    <sheet name="Risiko Inheren Kualitatif" sheetId="16" r:id="rId7"/>
    <sheet name="Risiko Residual Kuantitatif" sheetId="12" r:id="rId8"/>
    <sheet name="Risiko Residual Kualitatif" sheetId="33" r:id="rId9"/>
    <sheet name="Heatmap" sheetId="36" r:id="rId10"/>
    <sheet name="Rekap" sheetId="56" r:id="rId11"/>
    <sheet name="Hitung&quot;" sheetId="55" r:id="rId12"/>
    <sheet name="Kriteria Dampak &amp; Prob." sheetId="50" r:id="rId13"/>
    <sheet name="Rencana Perlakuan Risiko" sheetId="10" r:id="rId14"/>
    <sheet name="Definisi Taksonomi Risiko" sheetId="54" r:id="rId15"/>
    <sheet name="Data Perencanaan Keuangan" sheetId="51" r:id="rId16"/>
    <sheet name="Ilustrasi" sheetId="52" r:id="rId17"/>
    <sheet name="Master" sheetId="43" r:id="rId18"/>
  </sheets>
  <externalReferences>
    <externalReference r:id="rId19"/>
  </externalReferences>
  <definedNames>
    <definedName name="_xlnm._FilterDatabase" localSheetId="2" hidden="1">'Metrik Strategi Risiko'!$A$10:$K$14</definedName>
    <definedName name="_xlnm._FilterDatabase" localSheetId="4" hidden="1">'Profil Risiko'!$A$3:$BI$23</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T15" i="36" l="1"/>
  <c r="AT20" i="36" s="1"/>
  <c r="AT25" i="36" s="1"/>
  <c r="AT30" i="36" s="1"/>
  <c r="AT16" i="36"/>
  <c r="AT21" i="36" s="1"/>
  <c r="AT26" i="36" s="1"/>
  <c r="AT31" i="36" s="1"/>
  <c r="AT17" i="36"/>
  <c r="AT22" i="36" s="1"/>
  <c r="AT27" i="36" s="1"/>
  <c r="AT32" i="36" s="1"/>
  <c r="AT18" i="36"/>
  <c r="AT23" i="36" s="1"/>
  <c r="AT28" i="36" s="1"/>
  <c r="AT33" i="36" s="1"/>
  <c r="AT19" i="36"/>
  <c r="AT24" i="36"/>
  <c r="AT29" i="36"/>
  <c r="AT14" i="36"/>
  <c r="J23" i="56" l="1"/>
  <c r="P21" i="56"/>
  <c r="Q21" i="56"/>
  <c r="R21" i="56"/>
  <c r="O21" i="56"/>
  <c r="O15" i="56"/>
  <c r="P15" i="56"/>
  <c r="Q15" i="56"/>
  <c r="R15" i="56"/>
  <c r="O16" i="56"/>
  <c r="P16" i="56"/>
  <c r="Q16" i="56"/>
  <c r="R16" i="56"/>
  <c r="O17" i="56"/>
  <c r="P17" i="56"/>
  <c r="Q17" i="56"/>
  <c r="R17" i="56"/>
  <c r="O18" i="56"/>
  <c r="P18" i="56"/>
  <c r="Q18" i="56"/>
  <c r="R18" i="56"/>
  <c r="O19" i="56"/>
  <c r="P19" i="56"/>
  <c r="Q19" i="56"/>
  <c r="R19" i="56"/>
  <c r="O20" i="56"/>
  <c r="P20" i="56"/>
  <c r="Q20" i="56"/>
  <c r="R20" i="56"/>
  <c r="P14" i="56"/>
  <c r="Q14" i="56"/>
  <c r="R14" i="56"/>
  <c r="O14" i="56"/>
  <c r="O6" i="56"/>
  <c r="P6" i="56"/>
  <c r="Q6" i="56"/>
  <c r="R6" i="56"/>
  <c r="O7" i="56"/>
  <c r="P7" i="56"/>
  <c r="Q7" i="56"/>
  <c r="R7" i="56"/>
  <c r="O8" i="56"/>
  <c r="P8" i="56"/>
  <c r="Q8" i="56"/>
  <c r="R8" i="56"/>
  <c r="O9" i="56"/>
  <c r="P9" i="56"/>
  <c r="Q9" i="56"/>
  <c r="R9" i="56"/>
  <c r="O10" i="56"/>
  <c r="P10" i="56"/>
  <c r="Q10" i="56"/>
  <c r="R10" i="56"/>
  <c r="O11" i="56"/>
  <c r="P11" i="56"/>
  <c r="Q11" i="56"/>
  <c r="R11" i="56"/>
  <c r="O12" i="56"/>
  <c r="P12" i="56"/>
  <c r="Q12" i="56"/>
  <c r="R12" i="56"/>
  <c r="O13" i="56"/>
  <c r="P13" i="56"/>
  <c r="Q13" i="56"/>
  <c r="R13" i="56"/>
  <c r="P5" i="56"/>
  <c r="Q5" i="56"/>
  <c r="R5" i="56"/>
  <c r="O5" i="56"/>
  <c r="L21" i="56"/>
  <c r="M21" i="56"/>
  <c r="N21" i="56"/>
  <c r="K21" i="56"/>
  <c r="K15" i="56"/>
  <c r="L15" i="56"/>
  <c r="M15" i="56"/>
  <c r="N15" i="56"/>
  <c r="K16" i="56"/>
  <c r="L16" i="56"/>
  <c r="M16" i="56"/>
  <c r="N16" i="56"/>
  <c r="K17" i="56"/>
  <c r="L17" i="56"/>
  <c r="M17" i="56"/>
  <c r="N17" i="56"/>
  <c r="K18" i="56"/>
  <c r="L18" i="56"/>
  <c r="M18" i="56"/>
  <c r="N18" i="56"/>
  <c r="K19" i="56"/>
  <c r="L19" i="56"/>
  <c r="M19" i="56"/>
  <c r="N19" i="56"/>
  <c r="K20" i="56"/>
  <c r="L20" i="56"/>
  <c r="M20" i="56"/>
  <c r="N20" i="56"/>
  <c r="L14" i="56"/>
  <c r="M14" i="56"/>
  <c r="N14" i="56"/>
  <c r="K14" i="56"/>
  <c r="K6" i="56"/>
  <c r="L6" i="56"/>
  <c r="M6" i="56"/>
  <c r="N6" i="56"/>
  <c r="K7" i="56"/>
  <c r="L7" i="56"/>
  <c r="M7" i="56"/>
  <c r="N7" i="56"/>
  <c r="K8" i="56"/>
  <c r="L8" i="56"/>
  <c r="M8" i="56"/>
  <c r="N8" i="56"/>
  <c r="K9" i="56"/>
  <c r="L9" i="56"/>
  <c r="M9" i="56"/>
  <c r="N9" i="56"/>
  <c r="K10" i="56"/>
  <c r="L10" i="56"/>
  <c r="M10" i="56"/>
  <c r="N10" i="56"/>
  <c r="K11" i="56"/>
  <c r="L11" i="56"/>
  <c r="M11" i="56"/>
  <c r="N11" i="56"/>
  <c r="K12" i="56"/>
  <c r="L12" i="56"/>
  <c r="M12" i="56"/>
  <c r="N12" i="56"/>
  <c r="K13" i="56"/>
  <c r="L13" i="56"/>
  <c r="M13" i="56"/>
  <c r="N13" i="56"/>
  <c r="L5" i="56"/>
  <c r="M5" i="56"/>
  <c r="N5" i="56"/>
  <c r="K5" i="56"/>
  <c r="H21" i="56"/>
  <c r="I21" i="56"/>
  <c r="J21" i="56"/>
  <c r="G21" i="56"/>
  <c r="G15" i="56"/>
  <c r="H15" i="56"/>
  <c r="I15" i="56"/>
  <c r="J15" i="56"/>
  <c r="G16" i="56"/>
  <c r="H16" i="56"/>
  <c r="I16" i="56"/>
  <c r="J16" i="56"/>
  <c r="G17" i="56"/>
  <c r="H17" i="56"/>
  <c r="I17" i="56"/>
  <c r="J17" i="56"/>
  <c r="G18" i="56"/>
  <c r="H18" i="56"/>
  <c r="I18" i="56"/>
  <c r="J18" i="56"/>
  <c r="G19" i="56"/>
  <c r="H19" i="56"/>
  <c r="I19" i="56"/>
  <c r="J19" i="56"/>
  <c r="G20" i="56"/>
  <c r="H20" i="56"/>
  <c r="I20" i="56"/>
  <c r="J20" i="56"/>
  <c r="H14" i="56"/>
  <c r="I14" i="56"/>
  <c r="J14" i="56"/>
  <c r="G14" i="56"/>
  <c r="G11" i="56"/>
  <c r="H11" i="56"/>
  <c r="I11" i="56"/>
  <c r="J11" i="56"/>
  <c r="G12" i="56"/>
  <c r="H12" i="56"/>
  <c r="I12" i="56"/>
  <c r="J12" i="56"/>
  <c r="G13" i="56"/>
  <c r="H13" i="56"/>
  <c r="I13" i="56"/>
  <c r="J13" i="56"/>
  <c r="G6" i="56"/>
  <c r="H6" i="56"/>
  <c r="I6" i="56"/>
  <c r="J6" i="56"/>
  <c r="G7" i="56"/>
  <c r="H7" i="56"/>
  <c r="I7" i="56"/>
  <c r="J7" i="56"/>
  <c r="G8" i="56"/>
  <c r="H8" i="56"/>
  <c r="I8" i="56"/>
  <c r="J8" i="56"/>
  <c r="G9" i="56"/>
  <c r="H9" i="56"/>
  <c r="I9" i="56"/>
  <c r="J9" i="56"/>
  <c r="G10" i="56"/>
  <c r="H10" i="56"/>
  <c r="I10" i="56"/>
  <c r="J10" i="56"/>
  <c r="H5" i="56"/>
  <c r="I5" i="56"/>
  <c r="J5" i="56"/>
  <c r="G5" i="56"/>
  <c r="F21" i="56"/>
  <c r="F15" i="56"/>
  <c r="F16" i="56"/>
  <c r="F17" i="56"/>
  <c r="F18" i="56"/>
  <c r="F19" i="56"/>
  <c r="F20" i="56"/>
  <c r="F14" i="56"/>
  <c r="F6" i="56"/>
  <c r="F7" i="56"/>
  <c r="F8" i="56"/>
  <c r="F9" i="56"/>
  <c r="F10" i="56"/>
  <c r="F11" i="56"/>
  <c r="F12" i="56"/>
  <c r="F13" i="56"/>
  <c r="F5" i="56"/>
  <c r="E21" i="56"/>
  <c r="E15" i="56"/>
  <c r="E16" i="56"/>
  <c r="E17" i="56"/>
  <c r="E18" i="56"/>
  <c r="E19" i="56"/>
  <c r="E20" i="56"/>
  <c r="E14" i="56"/>
  <c r="E6" i="56"/>
  <c r="E7" i="56"/>
  <c r="E8" i="56"/>
  <c r="E9" i="56"/>
  <c r="E10" i="56"/>
  <c r="E11" i="56"/>
  <c r="E12" i="56"/>
  <c r="E13" i="56"/>
  <c r="E5" i="56"/>
  <c r="D23" i="56"/>
  <c r="D21" i="56"/>
  <c r="D15" i="56"/>
  <c r="D16" i="56"/>
  <c r="D17" i="56"/>
  <c r="D18" i="56"/>
  <c r="D19" i="56"/>
  <c r="D20" i="56"/>
  <c r="D14" i="56"/>
  <c r="D6" i="56"/>
  <c r="D7" i="56"/>
  <c r="D8" i="56"/>
  <c r="D9" i="56"/>
  <c r="D10" i="56"/>
  <c r="D11" i="56"/>
  <c r="D12" i="56"/>
  <c r="D13" i="56"/>
  <c r="D5" i="56"/>
  <c r="F18" i="55" l="1"/>
  <c r="G19" i="55"/>
  <c r="G18" i="55"/>
  <c r="I11" i="11" l="1"/>
  <c r="AI23" i="33" l="1"/>
  <c r="J15" i="12" l="1"/>
  <c r="H15" i="11"/>
  <c r="H10" i="11"/>
  <c r="H12" i="11"/>
  <c r="H11" i="11"/>
  <c r="E7" i="24" l="1"/>
  <c r="D7" i="24"/>
  <c r="C7" i="24"/>
  <c r="B7" i="24"/>
  <c r="D18" i="55" l="1"/>
  <c r="D72" i="55" l="1"/>
  <c r="D62" i="55"/>
  <c r="E57" i="55"/>
  <c r="G46" i="55"/>
  <c r="F46" i="55"/>
  <c r="E46" i="55"/>
  <c r="C52" i="55" s="1"/>
  <c r="D46" i="55"/>
  <c r="I57" i="55" s="1"/>
  <c r="J57" i="55" s="1"/>
  <c r="C46" i="55"/>
  <c r="B52" i="55" s="1"/>
  <c r="J24" i="55"/>
  <c r="E24" i="55"/>
  <c r="D26" i="55" s="1"/>
  <c r="F26" i="55" s="1"/>
  <c r="L16" i="55"/>
  <c r="L11" i="55"/>
  <c r="B63" i="55" l="1"/>
  <c r="D63" i="55" s="1"/>
  <c r="D52" i="55"/>
  <c r="F52" i="55" s="1"/>
  <c r="E52" i="55"/>
  <c r="K24" i="55"/>
  <c r="K57" i="55"/>
  <c r="J9" i="12" l="1"/>
  <c r="I9" i="12"/>
  <c r="H9" i="12"/>
  <c r="H11" i="12"/>
  <c r="J11" i="12" l="1"/>
  <c r="I11" i="12"/>
  <c r="E18" i="11"/>
  <c r="E18" i="12"/>
  <c r="D30" i="24" l="1"/>
  <c r="J14" i="12" l="1"/>
  <c r="AP18" i="12" l="1"/>
  <c r="AO18" i="12"/>
  <c r="AN18" i="12"/>
  <c r="AM18" i="12"/>
  <c r="X23" i="1"/>
  <c r="F23" i="10"/>
  <c r="G23" i="10" s="1"/>
  <c r="D23" i="10"/>
  <c r="G18" i="12"/>
  <c r="H18" i="12" s="1"/>
  <c r="J23" i="1"/>
  <c r="I23" i="1"/>
  <c r="E23" i="10" s="1"/>
  <c r="P18" i="11"/>
  <c r="N18" i="11"/>
  <c r="D18" i="11"/>
  <c r="D18" i="12"/>
  <c r="D23" i="1"/>
  <c r="AE18" i="12" l="1"/>
  <c r="J18" i="12"/>
  <c r="I18" i="12"/>
  <c r="AG18" i="12" s="1"/>
  <c r="AF18" i="12"/>
  <c r="AH18" i="12"/>
  <c r="F22" i="41" l="1"/>
  <c r="L17" i="10"/>
  <c r="H13" i="11"/>
  <c r="J13" i="12" s="1"/>
  <c r="J12" i="12" l="1"/>
  <c r="AH12" i="12" s="1"/>
  <c r="F13" i="41" s="1"/>
  <c r="I12" i="12"/>
  <c r="J10" i="12"/>
  <c r="I10" i="12"/>
  <c r="F15" i="10"/>
  <c r="G15" i="10" s="1"/>
  <c r="E15" i="10"/>
  <c r="D15" i="10"/>
  <c r="AH14" i="12"/>
  <c r="I16" i="12"/>
  <c r="AG16" i="12" s="1"/>
  <c r="J16" i="12"/>
  <c r="AH16" i="12" s="1"/>
  <c r="H16" i="12"/>
  <c r="AF16" i="12" s="1"/>
  <c r="I14" i="12"/>
  <c r="AG14" i="12" s="1"/>
  <c r="H14" i="12"/>
  <c r="AF14" i="12" s="1"/>
  <c r="AG11" i="12"/>
  <c r="H10" i="12"/>
  <c r="AF10" i="12" s="1"/>
  <c r="G14" i="12"/>
  <c r="G17" i="12"/>
  <c r="G12" i="12"/>
  <c r="G16" i="12"/>
  <c r="D22" i="24"/>
  <c r="X15" i="1"/>
  <c r="J15" i="1"/>
  <c r="P17" i="11"/>
  <c r="N17" i="11"/>
  <c r="C9" i="55" s="1"/>
  <c r="E17" i="11"/>
  <c r="I15" i="1" s="1"/>
  <c r="D17" i="11"/>
  <c r="AP17" i="12"/>
  <c r="AO17" i="12"/>
  <c r="AN17" i="12"/>
  <c r="AM17" i="12"/>
  <c r="E17" i="12"/>
  <c r="D17" i="12"/>
  <c r="L19" i="10"/>
  <c r="L18" i="10"/>
  <c r="L16" i="10"/>
  <c r="L14" i="10"/>
  <c r="L11" i="10"/>
  <c r="L10" i="10"/>
  <c r="L9" i="10"/>
  <c r="L8" i="10"/>
  <c r="L7" i="10"/>
  <c r="L25" i="10" s="1"/>
  <c r="AH29" i="33" s="1"/>
  <c r="F7" i="10"/>
  <c r="G7" i="10" s="1"/>
  <c r="F8" i="10"/>
  <c r="G8" i="10" s="1"/>
  <c r="E9" i="10"/>
  <c r="F9" i="10"/>
  <c r="G9" i="10" s="1"/>
  <c r="E10" i="10"/>
  <c r="F10" i="10"/>
  <c r="G10" i="10" s="1"/>
  <c r="E11" i="10"/>
  <c r="F11" i="10"/>
  <c r="G11" i="10" s="1"/>
  <c r="E12" i="10"/>
  <c r="F12" i="10"/>
  <c r="G12" i="10" s="1"/>
  <c r="E13" i="10"/>
  <c r="F13" i="10"/>
  <c r="G13" i="10" s="1"/>
  <c r="E14" i="10"/>
  <c r="F14" i="10"/>
  <c r="G14" i="10" s="1"/>
  <c r="E16" i="10"/>
  <c r="F16" i="10"/>
  <c r="G16" i="10" s="1"/>
  <c r="E17" i="10"/>
  <c r="F17" i="10"/>
  <c r="G17" i="10" s="1"/>
  <c r="E18" i="10"/>
  <c r="F18" i="10"/>
  <c r="G18" i="10" s="1"/>
  <c r="E19" i="10"/>
  <c r="F19" i="10"/>
  <c r="G19" i="10" s="1"/>
  <c r="E20" i="10"/>
  <c r="F20" i="10"/>
  <c r="G20" i="10" s="1"/>
  <c r="E21" i="10"/>
  <c r="F21" i="10"/>
  <c r="G21" i="10" s="1"/>
  <c r="E22" i="10"/>
  <c r="F22" i="10"/>
  <c r="G22" i="10" s="1"/>
  <c r="D9" i="10"/>
  <c r="D10" i="10"/>
  <c r="D11" i="10"/>
  <c r="D12" i="10"/>
  <c r="D13" i="10"/>
  <c r="D14" i="10"/>
  <c r="D16" i="10"/>
  <c r="D17" i="10"/>
  <c r="D18" i="10"/>
  <c r="D19" i="10"/>
  <c r="D20" i="10"/>
  <c r="D21" i="10"/>
  <c r="D22" i="10"/>
  <c r="D8" i="10"/>
  <c r="X17" i="1"/>
  <c r="X18" i="1"/>
  <c r="X19" i="1"/>
  <c r="X20" i="1"/>
  <c r="X21" i="1"/>
  <c r="X22" i="1"/>
  <c r="X16" i="1"/>
  <c r="X8" i="1"/>
  <c r="X9" i="1"/>
  <c r="X10" i="1"/>
  <c r="X11" i="1"/>
  <c r="X12" i="1"/>
  <c r="X13" i="1"/>
  <c r="X14" i="1"/>
  <c r="X7" i="1"/>
  <c r="E10" i="33"/>
  <c r="E11" i="33"/>
  <c r="E12" i="33"/>
  <c r="E13" i="33"/>
  <c r="E14" i="33"/>
  <c r="E15" i="33"/>
  <c r="E9" i="33"/>
  <c r="AP15" i="33"/>
  <c r="AO15" i="33"/>
  <c r="AN15" i="33"/>
  <c r="AM15" i="33"/>
  <c r="AH15" i="33"/>
  <c r="AG15" i="33"/>
  <c r="AF15" i="33"/>
  <c r="AE15" i="33"/>
  <c r="D15" i="33"/>
  <c r="AP14" i="33"/>
  <c r="AO14" i="33"/>
  <c r="AN14" i="33"/>
  <c r="AM14" i="33"/>
  <c r="AH14" i="33"/>
  <c r="AG14" i="33"/>
  <c r="AF14" i="33"/>
  <c r="AE14" i="33"/>
  <c r="D14" i="33"/>
  <c r="AP13" i="33"/>
  <c r="AO13" i="33"/>
  <c r="AN13" i="33"/>
  <c r="AM13" i="33"/>
  <c r="AH13" i="33"/>
  <c r="AG13" i="33"/>
  <c r="AF13" i="33"/>
  <c r="AE13" i="33"/>
  <c r="D13" i="33"/>
  <c r="AP12" i="33"/>
  <c r="AO12" i="33"/>
  <c r="AN12" i="33"/>
  <c r="AM12" i="33"/>
  <c r="AH12" i="33"/>
  <c r="AG12" i="33"/>
  <c r="AF12" i="33"/>
  <c r="AE12" i="33"/>
  <c r="D12" i="33"/>
  <c r="AP11" i="33"/>
  <c r="AO11" i="33"/>
  <c r="AN11" i="33"/>
  <c r="AM11" i="33"/>
  <c r="AH11" i="33"/>
  <c r="AG11" i="33"/>
  <c r="AF11" i="33"/>
  <c r="AE11" i="33"/>
  <c r="D11" i="33"/>
  <c r="AP10" i="33"/>
  <c r="AO10" i="33"/>
  <c r="AN10" i="33"/>
  <c r="AM10" i="33"/>
  <c r="AH10" i="33"/>
  <c r="AG10" i="33"/>
  <c r="AF10" i="33"/>
  <c r="AE10" i="33"/>
  <c r="D10" i="33"/>
  <c r="S16" i="12"/>
  <c r="S15" i="12"/>
  <c r="S14" i="12"/>
  <c r="S13" i="12"/>
  <c r="S12" i="12"/>
  <c r="S11" i="12"/>
  <c r="S10" i="12"/>
  <c r="S9" i="12"/>
  <c r="E10" i="12"/>
  <c r="E11" i="12"/>
  <c r="E12" i="12"/>
  <c r="E13" i="12"/>
  <c r="E14" i="12"/>
  <c r="E15" i="12"/>
  <c r="E16" i="12"/>
  <c r="AP16" i="12"/>
  <c r="AO16" i="12"/>
  <c r="AN16" i="12"/>
  <c r="AM16" i="12"/>
  <c r="D16" i="12"/>
  <c r="AP15" i="12"/>
  <c r="AO15" i="12"/>
  <c r="AN15" i="12"/>
  <c r="AM15" i="12"/>
  <c r="D15" i="12"/>
  <c r="AP14" i="12"/>
  <c r="AO14" i="12"/>
  <c r="AN14" i="12"/>
  <c r="AM14" i="12"/>
  <c r="D14" i="12"/>
  <c r="AP13" i="12"/>
  <c r="AO13" i="12"/>
  <c r="AN13" i="12"/>
  <c r="AM13" i="12"/>
  <c r="D13" i="12"/>
  <c r="AP12" i="12"/>
  <c r="AO12" i="12"/>
  <c r="AN12" i="12"/>
  <c r="AM12" i="12"/>
  <c r="D12" i="12"/>
  <c r="AP11" i="12"/>
  <c r="AO11" i="12"/>
  <c r="AN11" i="12"/>
  <c r="AM11" i="12"/>
  <c r="D11" i="12"/>
  <c r="E9" i="12"/>
  <c r="AP10" i="12"/>
  <c r="AO10" i="12"/>
  <c r="AN10" i="12"/>
  <c r="AM10" i="12"/>
  <c r="D10" i="12"/>
  <c r="N9" i="16"/>
  <c r="C12" i="55" s="1"/>
  <c r="N10" i="16"/>
  <c r="C13" i="55" s="1"/>
  <c r="N11" i="16"/>
  <c r="C14" i="55" s="1"/>
  <c r="N12" i="16"/>
  <c r="C15" i="55" s="1"/>
  <c r="N13" i="16"/>
  <c r="C16" i="55" s="1"/>
  <c r="N14" i="16"/>
  <c r="C17" i="55" s="1"/>
  <c r="N8" i="16"/>
  <c r="J17" i="1"/>
  <c r="J18" i="1"/>
  <c r="J19" i="1"/>
  <c r="J20" i="1"/>
  <c r="J21" i="1"/>
  <c r="J22" i="1"/>
  <c r="J16" i="1"/>
  <c r="J8" i="1"/>
  <c r="J9" i="1"/>
  <c r="J10" i="1"/>
  <c r="J11" i="1"/>
  <c r="J12" i="1"/>
  <c r="J13" i="1"/>
  <c r="J14" i="1"/>
  <c r="J7" i="1"/>
  <c r="N13" i="11"/>
  <c r="AG12" i="12"/>
  <c r="AF11" i="12"/>
  <c r="N10" i="11"/>
  <c r="D16" i="11"/>
  <c r="E16" i="11"/>
  <c r="I14" i="1" s="1"/>
  <c r="N16" i="11"/>
  <c r="C10" i="55" s="1"/>
  <c r="P16" i="11"/>
  <c r="D8" i="16"/>
  <c r="D9" i="16"/>
  <c r="D10" i="16"/>
  <c r="D11" i="16"/>
  <c r="D12" i="16"/>
  <c r="D13" i="16"/>
  <c r="D14" i="16"/>
  <c r="P14" i="16"/>
  <c r="E14" i="16"/>
  <c r="I22" i="1" s="1"/>
  <c r="P13" i="16"/>
  <c r="E13" i="16"/>
  <c r="I21" i="1" s="1"/>
  <c r="P12" i="16"/>
  <c r="E12" i="16"/>
  <c r="I20" i="1" s="1"/>
  <c r="P11" i="16"/>
  <c r="E11" i="16"/>
  <c r="I19" i="1" s="1"/>
  <c r="P10" i="16"/>
  <c r="E10" i="16"/>
  <c r="I18" i="1" s="1"/>
  <c r="P9" i="16"/>
  <c r="E9" i="16"/>
  <c r="I17" i="1" s="1"/>
  <c r="P8" i="16"/>
  <c r="E8" i="16"/>
  <c r="I16" i="1" s="1"/>
  <c r="E10" i="11"/>
  <c r="I8" i="1" s="1"/>
  <c r="E11" i="11"/>
  <c r="I9" i="1" s="1"/>
  <c r="E12" i="11"/>
  <c r="I10" i="1" s="1"/>
  <c r="E13" i="11"/>
  <c r="I11" i="1" s="1"/>
  <c r="E14" i="11"/>
  <c r="I12" i="1" s="1"/>
  <c r="E15" i="11"/>
  <c r="I13" i="1" s="1"/>
  <c r="E9" i="11"/>
  <c r="I7" i="1" s="1"/>
  <c r="D10" i="11"/>
  <c r="P10" i="11"/>
  <c r="D11" i="11"/>
  <c r="N11" i="11"/>
  <c r="P11" i="11"/>
  <c r="D12" i="11"/>
  <c r="N12" i="11"/>
  <c r="P12" i="11"/>
  <c r="D13" i="11"/>
  <c r="P13" i="11"/>
  <c r="D14" i="11"/>
  <c r="N14" i="11"/>
  <c r="C7" i="55" s="1"/>
  <c r="P14" i="11"/>
  <c r="D15" i="11"/>
  <c r="P15" i="11"/>
  <c r="P9" i="11"/>
  <c r="D9" i="11"/>
  <c r="G10" i="55" l="1"/>
  <c r="E10" i="55"/>
  <c r="C6" i="55"/>
  <c r="C6" i="11"/>
  <c r="J17" i="12"/>
  <c r="H17" i="12"/>
  <c r="AF17" i="12" s="1"/>
  <c r="N15" i="11"/>
  <c r="C8" i="55" s="1"/>
  <c r="AH15" i="12"/>
  <c r="G7" i="55"/>
  <c r="E7" i="55"/>
  <c r="F18" i="41"/>
  <c r="G14" i="55"/>
  <c r="E14" i="55"/>
  <c r="C11" i="55"/>
  <c r="N16" i="16"/>
  <c r="F19" i="41"/>
  <c r="G15" i="55"/>
  <c r="E15" i="55"/>
  <c r="G16" i="55"/>
  <c r="E16" i="55"/>
  <c r="F17" i="55"/>
  <c r="E17" i="55"/>
  <c r="G12" i="55"/>
  <c r="E12" i="55"/>
  <c r="F17" i="41"/>
  <c r="G13" i="55"/>
  <c r="E13" i="55"/>
  <c r="F20" i="41"/>
  <c r="F16" i="41"/>
  <c r="F18" i="12"/>
  <c r="N15" i="16"/>
  <c r="AH17" i="12"/>
  <c r="G10" i="12"/>
  <c r="H15" i="12"/>
  <c r="AF15" i="12" s="1"/>
  <c r="G11" i="12"/>
  <c r="AE11" i="12" s="1"/>
  <c r="H13" i="12"/>
  <c r="AF13" i="12" s="1"/>
  <c r="G13" i="12"/>
  <c r="H12" i="12"/>
  <c r="AF12" i="12" s="1"/>
  <c r="G15" i="12"/>
  <c r="AE15" i="12" s="1"/>
  <c r="AG10" i="12"/>
  <c r="I15" i="12"/>
  <c r="AG15" i="12" s="1"/>
  <c r="AH11" i="12"/>
  <c r="F14" i="12"/>
  <c r="AH10" i="12"/>
  <c r="N9" i="11"/>
  <c r="I13" i="12"/>
  <c r="AG13" i="12" s="1"/>
  <c r="G9" i="12"/>
  <c r="AH13" i="12"/>
  <c r="F14" i="41" s="1"/>
  <c r="F13" i="12"/>
  <c r="AE13" i="12"/>
  <c r="I17" i="12"/>
  <c r="AG17" i="12" s="1"/>
  <c r="AE17" i="12"/>
  <c r="AE16" i="12"/>
  <c r="AE14" i="12"/>
  <c r="AE10" i="12"/>
  <c r="AE12" i="12"/>
  <c r="F17" i="12"/>
  <c r="F14" i="33"/>
  <c r="F10" i="12"/>
  <c r="F10" i="33"/>
  <c r="F13" i="33"/>
  <c r="F15" i="12"/>
  <c r="F16" i="12"/>
  <c r="F15" i="33"/>
  <c r="F12" i="33"/>
  <c r="F11" i="33"/>
  <c r="F11" i="12"/>
  <c r="F12" i="12"/>
  <c r="D16" i="24"/>
  <c r="D9" i="1" s="1"/>
  <c r="D17" i="24"/>
  <c r="D10" i="1" s="1"/>
  <c r="D18" i="24"/>
  <c r="D11" i="1" s="1"/>
  <c r="D19" i="24"/>
  <c r="D12" i="1" s="1"/>
  <c r="D20" i="24"/>
  <c r="D13" i="1" s="1"/>
  <c r="D21" i="24"/>
  <c r="D14" i="1" s="1"/>
  <c r="D23" i="24"/>
  <c r="D24" i="24"/>
  <c r="D17" i="1" s="1"/>
  <c r="D25" i="24"/>
  <c r="D18" i="1" s="1"/>
  <c r="D26" i="24"/>
  <c r="D19" i="1" s="1"/>
  <c r="D27" i="24"/>
  <c r="D20" i="1" s="1"/>
  <c r="D28" i="24"/>
  <c r="D21" i="1" s="1"/>
  <c r="D29" i="24"/>
  <c r="D22" i="1" s="1"/>
  <c r="D15" i="24"/>
  <c r="D8" i="1" s="1"/>
  <c r="F6" i="55" l="1"/>
  <c r="E6" i="55"/>
  <c r="G8" i="55"/>
  <c r="E8" i="55"/>
  <c r="C5" i="55"/>
  <c r="N21" i="11"/>
  <c r="N17" i="16" s="1"/>
  <c r="N19" i="16" s="1"/>
  <c r="AH26" i="33" s="1"/>
  <c r="C18" i="55"/>
  <c r="G9" i="55"/>
  <c r="E9" i="55"/>
  <c r="F12" i="41"/>
  <c r="F11" i="41"/>
  <c r="F15" i="41"/>
  <c r="D16" i="1"/>
  <c r="D15" i="1"/>
  <c r="D7" i="10"/>
  <c r="D9" i="33"/>
  <c r="D9" i="12"/>
  <c r="D8" i="11"/>
  <c r="D14" i="24"/>
  <c r="D7" i="1" s="1"/>
  <c r="F9" i="33"/>
  <c r="AH9" i="33"/>
  <c r="AG9" i="33"/>
  <c r="AF9" i="33"/>
  <c r="AE9" i="33"/>
  <c r="AM9" i="33"/>
  <c r="AN9" i="33"/>
  <c r="AO9" i="33"/>
  <c r="AP9" i="33"/>
  <c r="AP9" i="12"/>
  <c r="AO9" i="12"/>
  <c r="AN9" i="12"/>
  <c r="AM9" i="12"/>
  <c r="AH9" i="12"/>
  <c r="AG9" i="12"/>
  <c r="AF9" i="12"/>
  <c r="AE9" i="12"/>
  <c r="F9" i="12"/>
  <c r="F8" i="11"/>
  <c r="P8" i="11"/>
  <c r="W2" i="43"/>
  <c r="AV9" i="33" s="1"/>
  <c r="W3" i="43"/>
  <c r="W4" i="43"/>
  <c r="W5" i="43"/>
  <c r="AX9" i="33" s="1"/>
  <c r="W6" i="43"/>
  <c r="AU9" i="12" s="1"/>
  <c r="W7" i="43"/>
  <c r="W8" i="43"/>
  <c r="W9" i="43"/>
  <c r="W10" i="43"/>
  <c r="W11" i="43"/>
  <c r="AX9" i="12" s="1"/>
  <c r="W12" i="43"/>
  <c r="W13" i="43"/>
  <c r="W14" i="43"/>
  <c r="W15" i="43"/>
  <c r="W16" i="43"/>
  <c r="W17" i="43"/>
  <c r="W18" i="43"/>
  <c r="W19" i="43"/>
  <c r="W20" i="43"/>
  <c r="W21" i="43"/>
  <c r="W22" i="43"/>
  <c r="W23" i="43"/>
  <c r="W24" i="43"/>
  <c r="W25" i="43"/>
  <c r="W26" i="43"/>
  <c r="N8" i="11"/>
  <c r="AF2" i="36"/>
  <c r="AG2" i="36" s="1"/>
  <c r="AH2" i="36" s="1"/>
  <c r="AI2" i="36" s="1"/>
  <c r="AJ2" i="36" s="1"/>
  <c r="AK2" i="36" s="1"/>
  <c r="AL2" i="36" s="1"/>
  <c r="AM2" i="36" s="1"/>
  <c r="AN2" i="36" s="1"/>
  <c r="AO2" i="36" s="1"/>
  <c r="AP2" i="36" s="1"/>
  <c r="AQ2" i="36" s="1"/>
  <c r="AR2" i="36" s="1"/>
  <c r="AE7" i="36"/>
  <c r="AE8" i="36"/>
  <c r="AE9" i="36"/>
  <c r="AE10" i="36"/>
  <c r="P3" i="10"/>
  <c r="Q3" i="10" s="1"/>
  <c r="R3" i="10" s="1"/>
  <c r="S3" i="10" s="1"/>
  <c r="T3" i="10" s="1"/>
  <c r="U3" i="10" s="1"/>
  <c r="V3" i="10" s="1"/>
  <c r="W3" i="10" s="1"/>
  <c r="X3" i="10" s="1"/>
  <c r="Y3" i="10" s="1"/>
  <c r="Z3" i="10" s="1"/>
  <c r="AH22" i="33" l="1"/>
  <c r="AH24" i="33" s="1"/>
  <c r="AI22" i="33"/>
  <c r="AI24" i="33" s="1"/>
  <c r="AH19" i="12"/>
  <c r="F5" i="55"/>
  <c r="E5" i="55"/>
  <c r="E19" i="55" s="1"/>
  <c r="AH21" i="12"/>
  <c r="AH18" i="33" s="1"/>
  <c r="AW9" i="12"/>
  <c r="AW9" i="33"/>
  <c r="AV18" i="12"/>
  <c r="AX18" i="12"/>
  <c r="R18" i="11"/>
  <c r="AU18" i="12"/>
  <c r="AW18" i="12"/>
  <c r="AU10" i="33"/>
  <c r="AV15" i="12"/>
  <c r="AV11" i="12"/>
  <c r="R16" i="11"/>
  <c r="R11" i="16"/>
  <c r="R14" i="11"/>
  <c r="AV14" i="33"/>
  <c r="AX10" i="12"/>
  <c r="AV12" i="33"/>
  <c r="AW11" i="12"/>
  <c r="AX16" i="12"/>
  <c r="AU15" i="12"/>
  <c r="AX12" i="12"/>
  <c r="AU11" i="12"/>
  <c r="R13" i="11"/>
  <c r="AX17" i="12"/>
  <c r="AX15" i="33"/>
  <c r="AX13" i="12"/>
  <c r="AW13" i="12"/>
  <c r="AV17" i="12"/>
  <c r="AW14" i="33"/>
  <c r="AU15" i="33"/>
  <c r="AX12" i="33"/>
  <c r="AX14" i="12"/>
  <c r="AU14" i="33"/>
  <c r="AX11" i="33"/>
  <c r="R14" i="16"/>
  <c r="AX10" i="33"/>
  <c r="AV14" i="12"/>
  <c r="AW10" i="12"/>
  <c r="AV11" i="33"/>
  <c r="AX15" i="12"/>
  <c r="AV10" i="12"/>
  <c r="R17" i="11"/>
  <c r="AV10" i="33"/>
  <c r="R9" i="16"/>
  <c r="AW16" i="12"/>
  <c r="AW12" i="12"/>
  <c r="R12" i="16"/>
  <c r="R8" i="16"/>
  <c r="R10" i="11"/>
  <c r="AU16" i="12"/>
  <c r="AW17" i="12"/>
  <c r="AX14" i="33"/>
  <c r="AV15" i="33"/>
  <c r="AX13" i="33"/>
  <c r="AV13" i="12"/>
  <c r="AV13" i="33"/>
  <c r="R10" i="16"/>
  <c r="AW10" i="33"/>
  <c r="AU14" i="12"/>
  <c r="R12" i="11"/>
  <c r="AU11" i="33"/>
  <c r="R13" i="16"/>
  <c r="AV16" i="12"/>
  <c r="AV12" i="12"/>
  <c r="AU12" i="12"/>
  <c r="AW15" i="33"/>
  <c r="R11" i="11"/>
  <c r="AU17" i="12"/>
  <c r="AW13" i="33"/>
  <c r="AU13" i="12"/>
  <c r="AW12" i="33"/>
  <c r="AW14" i="12"/>
  <c r="R15" i="11"/>
  <c r="AU13" i="33"/>
  <c r="AW11" i="33"/>
  <c r="R9" i="11"/>
  <c r="AU12" i="33"/>
  <c r="AX11" i="12"/>
  <c r="AW15" i="12"/>
  <c r="AU10" i="12"/>
  <c r="AU9" i="33"/>
  <c r="R8" i="11"/>
  <c r="AV9" i="12"/>
  <c r="G11" i="55"/>
  <c r="AH17" i="33"/>
  <c r="E11" i="55"/>
  <c r="E18" i="55" s="1"/>
  <c r="AH23" i="33"/>
  <c r="AH16" i="33"/>
  <c r="F10" i="41"/>
  <c r="AJ24" i="33" l="1"/>
  <c r="AH19" i="33"/>
  <c r="AH27" i="33" s="1"/>
  <c r="AH30" i="33" s="1"/>
</calcChain>
</file>

<file path=xl/comments1.xml><?xml version="1.0" encoding="utf-8"?>
<comments xmlns="http://schemas.openxmlformats.org/spreadsheetml/2006/main">
  <authors>
    <author>ASUS VIVOBOOK</author>
  </authors>
  <commentList>
    <comment ref="H11" authorId="0" shapeId="0">
      <text>
        <r>
          <rPr>
            <b/>
            <sz val="9"/>
            <color indexed="81"/>
            <rFont val="Tahoma"/>
            <family val="2"/>
          </rPr>
          <t>ASUS VIVOBOOK:</t>
        </r>
        <r>
          <rPr>
            <sz val="9"/>
            <color indexed="81"/>
            <rFont val="Tahoma"/>
            <family val="2"/>
          </rPr>
          <t xml:space="preserve">
=5.94%*13335*10^9=792 M</t>
        </r>
      </text>
    </comment>
  </commentList>
</comments>
</file>

<file path=xl/sharedStrings.xml><?xml version="1.0" encoding="utf-8"?>
<sst xmlns="http://schemas.openxmlformats.org/spreadsheetml/2006/main" count="2680" uniqueCount="1529">
  <si>
    <t>LAMPIRAN</t>
  </si>
  <si>
    <t>KEPUTUSAN DEPUTI BIDANG KEUANGAN DAN MANAJEMEN RISIKO</t>
  </si>
  <si>
    <t xml:space="preserve">NOMOR	: 	</t>
  </si>
  <si>
    <t>SK-6/DKU.MBU/10/2023</t>
  </si>
  <si>
    <t xml:space="preserve">TENTANG:	</t>
  </si>
  <si>
    <t>PETUNJUK TEKNIS PROSES MANAJEMEN RISIKO DAN AGREGASI PADA TAKSONOMI RISIKO PORTOFOLIO BADAN USAHA MILIK NEGARA</t>
  </si>
  <si>
    <t>TANGGAL	:</t>
  </si>
  <si>
    <t xml:space="preserve">26 OKTOBER 2023 </t>
  </si>
  <si>
    <t>FORMAT PENYUSUNAN PERENCANAAN</t>
  </si>
  <si>
    <t>MANAJEMEN RISIKO</t>
  </si>
  <si>
    <t>BADAN USAHA MILIK NEGARA</t>
  </si>
  <si>
    <t>KEMENTERIAN BUMN</t>
  </si>
  <si>
    <t>JALAN MEDAN MERDEKA SELATAN NO.13 JAKARTA 10110</t>
  </si>
  <si>
    <t>DAFTAR ISI</t>
  </si>
  <si>
    <t>Format Metrik Strategi Risiko</t>
  </si>
  <si>
    <t>Lengkap</t>
  </si>
  <si>
    <t>Format Pilihan Sasaran&amp;Strategi Bisnis</t>
  </si>
  <si>
    <t>Belum Lengkap</t>
  </si>
  <si>
    <t>Format Profil Risiko</t>
  </si>
  <si>
    <t>Format Risiko Inheren Kuantitatif</t>
  </si>
  <si>
    <t>Format Risiko Inheren Kualitatif</t>
  </si>
  <si>
    <t>Format Risiko Residual Kuantitatif</t>
  </si>
  <si>
    <t>Format Risiko Residual Kualitatif</t>
  </si>
  <si>
    <t>Format Rencana Perlakuan Risiko</t>
  </si>
  <si>
    <t>Format Heatmap</t>
  </si>
  <si>
    <t>Kriteria Dampak dan Probabilitas</t>
  </si>
  <si>
    <t>Definisi Taksonomi Risiko</t>
  </si>
  <si>
    <t>Petunjuk Pengisian Data Perencanaan Keuangan pada SIM KBUMN Melalui Platform Anaplan</t>
  </si>
  <si>
    <t>Ilustrasi Contoh Perhitungan Ambang Batas Risiko dan Pola Integrasi Risiko</t>
  </si>
  <si>
    <t>Kembali ke Daftar Isi</t>
  </si>
  <si>
    <t>Penerimaan Risiko Level Entitas/Korporate</t>
  </si>
  <si>
    <t>Data Item</t>
  </si>
  <si>
    <t>Nilai Kapasitas Risiko Perusahaan</t>
  </si>
  <si>
    <t>Nilai Selera Risiko Perusahaan</t>
  </si>
  <si>
    <t>Nilai Toleransi Risiko Perusahaan</t>
  </si>
  <si>
    <t>Nilai Batasan Risiko</t>
  </si>
  <si>
    <t>Jenis Data</t>
  </si>
  <si>
    <t>Nilai rupiah/mata uang fungsional pembukuan</t>
  </si>
  <si>
    <t>Petunjuk</t>
  </si>
  <si>
    <r>
      <t xml:space="preserve">Diisi dengan nilai kapasitas risiko yang dimiliki oleh perusahaan. Kapasitas risiko perusahaan adalah maksimum nilai Risiko yang dapat ditanggung perusahaan berdasarkan modal, </t>
    </r>
    <r>
      <rPr>
        <i/>
        <sz val="8"/>
        <color theme="1"/>
        <rFont val="Arial"/>
        <family val="2"/>
      </rPr>
      <t>net working capital</t>
    </r>
    <r>
      <rPr>
        <sz val="8"/>
        <color theme="1"/>
        <rFont val="Arial"/>
        <family val="2"/>
      </rPr>
      <t>, likuiditas, total kemampuan pendanaan perusahaan, atau nilai batasan lainnya.</t>
    </r>
  </si>
  <si>
    <t>Diisi dengan nilai selera risiko yang dihitung berdasarkan nilai batasan keseluruhan risiko yang bersedia diambil untuk mendapatkan hasil yang diharapkan.</t>
  </si>
  <si>
    <t>Diisi dengan nilai batasan risiko yang dapat ditoleransi dari nilai Selera Risiko yang bersedia diambil. Nilai ini lebih besar dari nilai Selera Risiko.</t>
  </si>
  <si>
    <t>Diisi dengan nilai batasan risiko yang akan didistribusikan dan menjadi acuan bagi unit pemilik risiko.</t>
  </si>
  <si>
    <t>Notes</t>
  </si>
  <si>
    <t>(satuan dalam rupiah/mata uang fungsional pembukuan).</t>
  </si>
  <si>
    <t>Start pengisian</t>
  </si>
  <si>
    <t>Metrik Strategi Risiko</t>
  </si>
  <si>
    <t>No.</t>
  </si>
  <si>
    <t>Nama BUMN</t>
  </si>
  <si>
    <t>Kode BUMN</t>
  </si>
  <si>
    <t>Kategori Risiko BUMN</t>
  </si>
  <si>
    <t>Kategori Risiko T2 &amp; T3 KBUMN</t>
  </si>
  <si>
    <t>Risk Appetite Statement</t>
  </si>
  <si>
    <t>Sikap Terhadap Risiko</t>
  </si>
  <si>
    <t>Parameter</t>
  </si>
  <si>
    <t>Satuan Ukuran</t>
  </si>
  <si>
    <t>Nilai Batasan/Limit</t>
  </si>
  <si>
    <t>Number</t>
  </si>
  <si>
    <t>Dropdown list</t>
  </si>
  <si>
    <t>Formula</t>
  </si>
  <si>
    <t xml:space="preserve">Free Text </t>
  </si>
  <si>
    <t>Dropdown List</t>
  </si>
  <si>
    <t>Free Text</t>
  </si>
  <si>
    <t>Free Text/Ratio/Number</t>
  </si>
  <si>
    <t>Kolom ini tidak perlu diisi. Akan diisi oleh Kementerian BUMN</t>
  </si>
  <si>
    <t>Diisi dengan taksonomi risiko yang berlaku pada masing-masing BUMN</t>
  </si>
  <si>
    <t>Diisi dengan pilihan kategori risiko Portofolio BUMN Kementerian BUMN berikut:
1. Risiko Fiskal - Dividen
2. Risiko Fiskal - PMN
3. Risiko Fiskal - Subsidi &amp; Kompensasi
4. Risiko Kebijakan - SDM
5. Risiko Kebijakan - Sektoral
6. Risiko Komposisi - Konsentrasi Portofolio
7. Risiko Struktur - Struktur Korporasi
8. Risiko Restrukturisasi &amp; Reorganisasi - Penggabungan, Pengambilalihan, Peleburan, Pemisahan, Pembubaran, Likuidasi, Kemitraan, dan Restrukturisasi
9. Risiko Industri Umum - Formulasi Strategis
10. Risiko Industri Umum - Pasar &amp; Makroekonomi
11. Risiko Industri Umum - Keuangan
12. Risiko Industri Umum - Reputasi &amp; Kepatuhan
13. Risiko Industri Umum - Proyek
14. Risiko Industri Umum - Teknologi &amp; Keamanan Siber
15. Risiko Industri Umum - Sosial &amp; Lingkungan
16. Risiko Industri Umum - Operasional
17. Risiko Industri Perbankan - Kredit
18. Risiko Industri Perbankan - Likuiditas
19. Risiko Industri Asuransi - Investasi
20. Risiko Industri Asuransi - Aktuarial
21. Risiko lainnya</t>
  </si>
  <si>
    <t xml:space="preserve">Diisikan dengan pernyataan selera risiko BUMN </t>
  </si>
  <si>
    <t>Diisikan dengan postur selera risiko atas suatu taksonomi risiko yang terdiri dari:
1. Tidak Toleran
2. Konservatif
3. Moderat
4. Strategis</t>
  </si>
  <si>
    <t>Diisi dengan parameter risiko yang mencerminkan pernyataan selera risiko BUMN.
Apabila terdapat lebih dari satu parameter, maka parameter berikutnya ditambahkan pada row dibawahnya dan tidak diinput pada satu cell row yang sama dengan parameter sebelumnya.</t>
  </si>
  <si>
    <t>Diisikan dengan satuan ukuran atau nominal atas level selera risiko relevan yang dipilih</t>
  </si>
  <si>
    <t>Diisi dengan nilai batasan atas parameter yang telah ditetapkan. Nilai batasan ini tidak boleh dilanggar dan akan menjadi barometer penentu suatu sasaran dan strategi diterima dan menjadi usulan dalam rancangan RKAP.</t>
  </si>
  <si>
    <t>- BUMN pada Industri Umum tidak boleh memetakan dalam kategori Risiko Industri Perbankan dan Asuransi
- BUMN pada Industri perbankan &amp; asuransi ikut memetakan dalam kategori risiko Industri Umum</t>
  </si>
  <si>
    <t xml:space="preserve">Contoh parameter:
- Tingkat fraud;
- Tingkat fatality;
- Tingkat kegagalan inovasi;
- Rasio biaya operasi;
- Dan lain-lain. </t>
  </si>
  <si>
    <t>Contoh:
- %
- kali
- dan lain-lain</t>
  </si>
  <si>
    <t>No</t>
  </si>
  <si>
    <t xml:space="preserve">Pilihan Sasaran </t>
  </si>
  <si>
    <t>Pilihan Strategi</t>
  </si>
  <si>
    <t>Hasil yang diharapkan  dapat diterima perusahaan</t>
  </si>
  <si>
    <t>Nilai Risiko Yang Akan Timbul</t>
  </si>
  <si>
    <t>Nilai limit risiko sesuai dengan parameter risiko dalam Metrik Strategi Risiko</t>
  </si>
  <si>
    <t>Keputusan Penetapan</t>
  </si>
  <si>
    <t xml:space="preserve">Diisi dengan berbagai pilihan sasaran yang menjadi dinamika dalam perencanaan penyusunan rancangan RKAP. </t>
  </si>
  <si>
    <t xml:space="preserve">Diisi dengan berbagai pilihan strategi yang menjadi dinamika dalam perencanaan penyusunan rancangan RKAP. </t>
  </si>
  <si>
    <t>Diisi dengan nilai kuantitatif dalam mata uang rupiah/mata uang fungsional pembukuan atas hasil yang diharapkan dari pelaksanaan sasaran dan strategi yang akan dijalankan pada tahun 2024.</t>
  </si>
  <si>
    <t>Diisi dengan nilai risiko yang akan timbul sebagai konsekuensi dari suatu sasaran dan strategi yang akan dijalankan.</t>
  </si>
  <si>
    <t>Diisi dengan batasan risiko / limit risiko sesuai dengan parameter risiko dalam metrik strategi risiko.</t>
  </si>
  <si>
    <t>Diisi dengan pilihan:
- Lanjut: apabila sasaran dan strategi diterima menjadi sasaran dan strategi yang akan dijalankan dalam rancangan RKAP.
- Tidak Lanjut: apabila sasaran dan strategi tidak dapat diterima dan tidak dapat dimasukkan dalam sasaran dan strategi yang akan dijalankan di dalam rancangan RKAP.</t>
  </si>
  <si>
    <t>Sasaran adalah: tujuan yang akan dicapai meliputi tingkat pertumbuhan dan kesehatan perusahaan serta sasaran bidang/unit kegiatan secara kuantitatif dan spesifik setiap tahunnya.</t>
  </si>
  <si>
    <t>Strategi adalah cara yang digunakan untuk mencapai sasaran, meliputi strategi korporasi sesuai posisi perusahaan, strategi bisnis, dan strategi fungsional tiap bidang/unit kegiatan.</t>
  </si>
  <si>
    <t>-  Keputusan pemilihan sasaran tersebut terdiri dari: (i) lanjut, apabila imbal hasil (return) yang akan diperoleh sebanding dengan risiko (risk) yang dapat diterima oleh perusahaan, dan (ii) tidak lanjut, apabila risiko (risk) di luar ambang yang dapat diterima oleh perusahaan walaupun imbal hasil (return) tinggi.
- Dokumentasi seluruh hasil pemilihan sasaran baik lanjut maupun tidak lanjut dimuat dalam dokumen perencanaan strategis BUMN baik RJP atau RKAP.</t>
  </si>
  <si>
    <t>Contoh pengisian</t>
  </si>
  <si>
    <t>Peningkatan segmen korporasi dengan pertumbuhan 5% yang akan dijalankan melalui strategi:</t>
  </si>
  <si>
    <t>Tambahan penjualan Rp800 miliar</t>
  </si>
  <si>
    <t>Penurunan cashflow operasi Rp200 miliar</t>
  </si>
  <si>
    <t>Penurunan cashflow operasi, limitnya sampai dengan Rp500 miliar</t>
  </si>
  <si>
    <t>Lanjut</t>
  </si>
  <si>
    <t>1. Pemberian diskon harga sampai dengan 10% bagi korporasi yang membeli lebih dari 10 ribu ton per bulan.</t>
  </si>
  <si>
    <t>Tidak Lanjut</t>
  </si>
  <si>
    <t>2. Pelanggan korporasi baru diberikan fleksibilitas pembayaran sampai dengan 6 bulan.</t>
  </si>
  <si>
    <t>Sasaran BUMN</t>
  </si>
  <si>
    <t>Sasaran KBUMN</t>
  </si>
  <si>
    <t>No. Risiko</t>
  </si>
  <si>
    <t>Peristiwa Risiko</t>
  </si>
  <si>
    <t>Deskripsi Peristiwa risiko</t>
  </si>
  <si>
    <t>No. Penyebab Risiko</t>
  </si>
  <si>
    <t>Kode Penyebab risiko</t>
  </si>
  <si>
    <t>Penyebab risiko</t>
  </si>
  <si>
    <t>Key Risk Indicators</t>
  </si>
  <si>
    <t>Unit Satuan KRI</t>
  </si>
  <si>
    <t>Kategori Threshold KRI</t>
  </si>
  <si>
    <r>
      <t xml:space="preserve">Jenis </t>
    </r>
    <r>
      <rPr>
        <b/>
        <i/>
        <sz val="8"/>
        <color theme="0"/>
        <rFont val="Arial"/>
        <family val="2"/>
      </rPr>
      <t>Existing Control</t>
    </r>
  </si>
  <si>
    <t>Existing Control</t>
  </si>
  <si>
    <t>Penilaian Efektivitas Kontrol</t>
  </si>
  <si>
    <t>Kategori Dampak</t>
  </si>
  <si>
    <t>Deskripsi Dampak</t>
  </si>
  <si>
    <t>Perkiraan Waktu Terpapar Risiko</t>
  </si>
  <si>
    <t>Aman</t>
  </si>
  <si>
    <t>Hati-Hati</t>
  </si>
  <si>
    <t>Bahaya</t>
  </si>
  <si>
    <t>Alphabet</t>
  </si>
  <si>
    <t>Diisi sesuai dengan sasaran BUMN</t>
  </si>
  <si>
    <t>Diisi dengan pilihan sasaran Kementerian BUMN yang meliputi:
1) Nilai ekonomi dan sosial;
2) Inovasi bisnis model;
3) Kepemimpinan teknologi;
4) Peningkatan investasi; dan
5) Pengembangan talenta.</t>
  </si>
  <si>
    <t>Diisi dengan Taksonomi Risiko yang berlaku pada masing-masing BUMN</t>
  </si>
  <si>
    <t>Diisi dengan pilihan kategori risiko Portofolio BUMN Kementerian BUMN berikut:
1. Risiko Fiskal - Dividen
2. Risiko Fiskal - PMN
3. Risiko Fiskal - Subsidi &amp; Kompensasi
4. Risiko Kebijakan - SDM
5. Risiko Kebijakan - Sektoral
6. Risiko Komposisi - Konsentrasi Portofolio
7. Risiko Struktur - Struktur Korporasi
8. Risiko Restrukturisasi &amp; Reorganisasi - Penggabungan, Pengambilalihan, Peleburan, Pemisahan, Pembubaran, Likuidasi, Kemitraan, dan Restrukturisasi
9. Risiko Industri Umum - Formulasi Strategis
10. Risiko Industri Umum - Pasar &amp; Makroekonomi
11. Risiko Industri Umum - Keuangan
12. Risiko Industri Umum - Reputasi &amp; Kepatuhan
13. Risiko Industri Umum - Proyek
14. Risiko Industri Umum - Teknologi &amp; Keamanan Siber
15. Risiko Industri Umum - Sosial &amp; Lingkungan
16. Risiko Industri Umum - Operasional
17. Risiko Industri Perbankan - Kredit
18. Risiko Industri Perbankan - Likuiditas
19. Risiko Industri Asuransi - Investasi
20. Risiko Industri Asuransi - Aktuarial</t>
  </si>
  <si>
    <t>Diisi dengan nomor urutan  risiko</t>
  </si>
  <si>
    <t>Diisi dengan peristiwa risiko yang relevan.</t>
  </si>
  <si>
    <t>Penjelasan /narasi atas peristiwa risiko</t>
  </si>
  <si>
    <t>Diisi dengan nomor urutan  penyebab risiko</t>
  </si>
  <si>
    <t>Kodifikasi untuk penyebab risiko (Setiap penyebab risiko diberikan unique ID, misal PTPI - 1. xxx")</t>
  </si>
  <si>
    <r>
      <t xml:space="preserve">Diisi penyebab risiko secara jelas. BUMN dapat menggali berbagai penyebab risiko. Sebagai contoh dapat melihat dari berbagai segi: </t>
    </r>
    <r>
      <rPr>
        <i/>
        <sz val="8"/>
        <color theme="1"/>
        <rFont val="Arial"/>
        <family val="2"/>
      </rPr>
      <t>people, process, network</t>
    </r>
    <r>
      <rPr>
        <sz val="8"/>
        <color theme="1"/>
        <rFont val="Arial"/>
        <family val="2"/>
      </rPr>
      <t xml:space="preserve">, maupun </t>
    </r>
    <r>
      <rPr>
        <i/>
        <sz val="8"/>
        <color theme="1"/>
        <rFont val="Arial"/>
        <family val="2"/>
      </rPr>
      <t>system.</t>
    </r>
  </si>
  <si>
    <t>Setiap peristiwa risiko harus memiliki minimal satu KRI</t>
  </si>
  <si>
    <r>
      <t xml:space="preserve">Unit satuan KRI bisa berbentuk </t>
    </r>
    <r>
      <rPr>
        <i/>
        <sz val="8"/>
        <color theme="1"/>
        <rFont val="Arial"/>
        <family val="2"/>
      </rPr>
      <t>amount,/percentage/range/</t>
    </r>
    <r>
      <rPr>
        <sz val="8"/>
        <color theme="1"/>
        <rFont val="Arial"/>
        <family val="2"/>
      </rPr>
      <t>kualitatif</t>
    </r>
  </si>
  <si>
    <t>Diisi sesuai dengan batasan yang ditetapkan oleh masing-masing BUMN</t>
  </si>
  <si>
    <r>
      <t>Diisi dengan pilihan pada hirarki pertama:
- Kontrol operasi
- Kontrol kepatuhan (</t>
    </r>
    <r>
      <rPr>
        <i/>
        <sz val="8"/>
        <color theme="1"/>
        <rFont val="Arial"/>
        <family val="2"/>
      </rPr>
      <t>compliance</t>
    </r>
    <r>
      <rPr>
        <sz val="8"/>
        <color theme="1"/>
        <rFont val="Arial"/>
        <family val="2"/>
      </rPr>
      <t>)
- Kontrol pelaporan
Setelah hirarki pertama dipilih, dilanjutkan dengan pilihan hirarki kedua:
- Kontrol pada level entitas/kantor pusat
- Kontral pada level operasi</t>
    </r>
  </si>
  <si>
    <r>
      <t xml:space="preserve">BUMN dapat mengisikan semua </t>
    </r>
    <r>
      <rPr>
        <i/>
        <sz val="8"/>
        <color theme="1"/>
        <rFont val="Arial"/>
        <family val="2"/>
      </rPr>
      <t>existing control</t>
    </r>
    <r>
      <rPr>
        <sz val="8"/>
        <color theme="1"/>
        <rFont val="Arial"/>
        <family val="2"/>
      </rPr>
      <t xml:space="preserve"> yang relevan terhadap suatu risiko. </t>
    </r>
    <r>
      <rPr>
        <i/>
        <sz val="8"/>
        <color theme="1"/>
        <rFont val="Arial"/>
        <family val="2"/>
      </rPr>
      <t xml:space="preserve">Existing control </t>
    </r>
    <r>
      <rPr>
        <sz val="8"/>
        <color theme="1"/>
        <rFont val="Arial"/>
        <family val="2"/>
      </rPr>
      <t>tersebut dapat berupa kontrol SOP, sistem, kebijakan, dll</t>
    </r>
  </si>
  <si>
    <t>Diisi dengan penilaian terhadap efektivitas kontrol saat ini (existing control) dengan pilihan sebagai berikut:
1) Cukup dan Efektif;
2) Cukup dan Efektif Sebagian;
3) Cukup dan Tidak Efektif;
4) Tidak Cukup dan Efektif Sebagian; dan
5) Tidak Cukup dan Tidak Efektif.</t>
  </si>
  <si>
    <t>Diisi dengan pilihan kategori dampak:
- Dampak kuantitatif
- Dampak kualitatif</t>
  </si>
  <si>
    <t>Disi dengan penjelasan/deskripsi atas dampak yang akan diterima apabila risiko terjadi.</t>
  </si>
  <si>
    <t>Diisi dengan perkiraan periode waktu BUMN terpapar Risiko, sesuai dengan karakter Risiko tersebut. Perkiraan waktu diidentifikasi melalui proyeksi, data historis, maupun keumuman pada industri BUMN terkait</t>
  </si>
  <si>
    <t>Sasaran disusun secara lengkap. 
Sebagai contoh: "Peningkatan market share segmen corporate dari 20% menjadi 30% pada akhir tahun 2024"</t>
  </si>
  <si>
    <t>- Risiko pada Industri Umum tidak boleh dipetakan dalam kategori Risiko Industri Perbankan dan Asuransi
- Risiko pada Industri perbankan &amp; asuransi dapat dipetakan dalam kategori Risiko Industri Umum</t>
  </si>
  <si>
    <t>1. Nomor risiko harus konsisten pada saat pelaporan.
2. Apabila terdapat risiko yang bertambah manak nomornya melanjutkan sesuai dengan urutan terakhir</t>
  </si>
  <si>
    <r>
      <t xml:space="preserve">Risiko harus diidentifikasi dengan tepat, dan memenuhi ketentuan:
- Bukan negasi sasaran
- Dipetakan dalam </t>
    </r>
    <r>
      <rPr>
        <i/>
        <sz val="8"/>
        <color rgb="FF000000"/>
        <rFont val="Arial"/>
        <family val="2"/>
      </rPr>
      <t xml:space="preserve">fault tree analysis </t>
    </r>
    <r>
      <rPr>
        <sz val="8"/>
        <color rgb="FF000000"/>
        <rFont val="Arial"/>
        <family val="2"/>
      </rPr>
      <t>dan yang menjadi risk event yang paling mendekati dengan sumber utama penyebab risiko.</t>
    </r>
  </si>
  <si>
    <t>Setiap penyebab kejadian diberikan unique ID</t>
  </si>
  <si>
    <t>Jika satu Risiko memiliki lebih dari satu penyebab Risiko, maka dituliskan dalam cell di baris berikutnya (tidak digabung menjadi satu cell).</t>
  </si>
  <si>
    <t>Apabila jenis existing control memiliki lebih dari satu jenis control, maka dituliskan dalam cell di baris berikutnya (tidak digabung menjadi satu cell).</t>
  </si>
  <si>
    <r>
      <t xml:space="preserve">Apabila </t>
    </r>
    <r>
      <rPr>
        <i/>
        <sz val="8"/>
        <color rgb="FF000000"/>
        <rFont val="Arial"/>
        <family val="2"/>
      </rPr>
      <t>existing control</t>
    </r>
    <r>
      <rPr>
        <sz val="8"/>
        <color rgb="FF000000"/>
        <rFont val="Arial"/>
        <family val="2"/>
      </rPr>
      <t xml:space="preserve"> lebih dari 1, untuk </t>
    </r>
    <r>
      <rPr>
        <i/>
        <sz val="8"/>
        <color rgb="FF000000"/>
        <rFont val="Arial"/>
        <family val="2"/>
      </rPr>
      <t>control</t>
    </r>
    <r>
      <rPr>
        <sz val="8"/>
        <color rgb="FF000000"/>
        <rFont val="Arial"/>
        <family val="2"/>
      </rPr>
      <t xml:space="preserve"> ke 2 dst agar ditambahkan pada row di bawahnya</t>
    </r>
  </si>
  <si>
    <t>1) Dampak kuantitatif: Risiko yang memiliki dampak finansial terhadap pencapaian target laba BUMN.
2) Dampak kualitatif: Risiko yang tidak memiliki dampak finansial terhadap pencapaian target laba BUMN.</t>
  </si>
  <si>
    <t>Periode waktu dapat berupa range bulan (contoh Januari 2023 – Februari 2024)</t>
  </si>
  <si>
    <t>Start Pengisian</t>
  </si>
  <si>
    <t>BUMN</t>
  </si>
  <si>
    <t>Peristiwa risiko</t>
  </si>
  <si>
    <t>Risiko Inheren</t>
  </si>
  <si>
    <t>Asumsi Perhitungan Dampak</t>
  </si>
  <si>
    <t>Nilai Dampak</t>
  </si>
  <si>
    <t>Skala Dampak</t>
  </si>
  <si>
    <t>Nilai Probabilitas</t>
  </si>
  <si>
    <t>Skala Probabilitas</t>
  </si>
  <si>
    <t>Eksposur Risiko</t>
  </si>
  <si>
    <t>Skala  Risiko</t>
  </si>
  <si>
    <t>Level  Risiko</t>
  </si>
  <si>
    <t>KBUMN</t>
  </si>
  <si>
    <t>Nilai full mata uang dalam Rupiah/mata uang fungsional pembukuan</t>
  </si>
  <si>
    <t>%</t>
  </si>
  <si>
    <t>Nilai dalam mata uang rupiah Rupiah/USD</t>
  </si>
  <si>
    <t>Skala 1-25</t>
  </si>
  <si>
    <t>Diisi dengan peristiwa risiko yang ada pada tabel profil risiko</t>
  </si>
  <si>
    <t>Diisi penjelasan atas asumsi/pendekatan yang dipakai untuk menghitung nilai dampak.</t>
  </si>
  <si>
    <t>Nilai dampak dalam Rupiah/mata uang fungsional pembukuan</t>
  </si>
  <si>
    <t>Diisi dengan penilaian dampak Risiko Inheren dengan skala 1 s.d. 5</t>
  </si>
  <si>
    <t>Dikosongkan. Akan diisi oleh Kementerian BUMN</t>
  </si>
  <si>
    <t>Diisi dengan nilai probabilitas atas suatu Risiko dalam persentase</t>
  </si>
  <si>
    <t>Diisi dengan penilaian probabilitas Risiko Inheren dengan skala 1 s.d. 5</t>
  </si>
  <si>
    <t>Nilai dampak x nilai probabilitas.</t>
  </si>
  <si>
    <t>Diisi dengan skala Risiko BUMN yang merupakan koordinat Risiko sebagaimana acuan heatmap Kementerian BUMN pada Diagram 3 Peta Risiko (Heatmap)</t>
  </si>
  <si>
    <t>Diisi dengan pewarnaan risiko masing-masing BUMN yang terdiri dari:
- Sangat Tinggi
- Tinggi
- Menengah
- Rendah
- Sangat Rendah</t>
  </si>
  <si>
    <t>Nama peristiwa risiko harus sama persis dengan nama peristiwa risiko yang ada pada tabel profil risiko</t>
  </si>
  <si>
    <t>- Bagi unit kerja profit generator, dihitung sebesar potensi penurunan laba yang hilang jika Risiko terjadi (dapat menggunakan pendekatan gross profit, revenue dikalikan profit margin, EBITDA, atau net income).
- Bagi unit kerja non-profit generator, dihitung sebesar potensi penambahan biaya yang muncul yang belum dianggarkan jika Risiko tersebut terjadi.</t>
  </si>
  <si>
    <r>
      <t xml:space="preserve">Kriteria Skala Dampak Kuantitatif menggunakan acuan Tabel Kriteria Dampak Kuantitatif pada </t>
    </r>
    <r>
      <rPr>
        <b/>
        <sz val="8"/>
        <color theme="1"/>
        <rFont val="Arial"/>
        <family val="2"/>
      </rPr>
      <t xml:space="preserve">sheet Kriteria Dampak &amp; Probabilitas. </t>
    </r>
  </si>
  <si>
    <r>
      <t xml:space="preserve">Kriteria Skala Probabilitas  menggunakan acuan Tabel Kriteria Probabilitas pada </t>
    </r>
    <r>
      <rPr>
        <b/>
        <sz val="8"/>
        <color theme="1"/>
        <rFont val="Arial"/>
        <family val="2"/>
      </rPr>
      <t xml:space="preserve">sheet Kriteria Dampak &amp; Probabilitas. </t>
    </r>
  </si>
  <si>
    <t>Hasil perkalian akan menghasilkan nilai rupiah/mata uang fungsional pembukuan</t>
  </si>
  <si>
    <t>Masing-masing BUMN mendefinisikan level  risiko sesuai dengan penetapan masing-masing</t>
  </si>
  <si>
    <t>Level risiko KBUMN terdiri dari:
- Low
- Low to Moderate
- Moderate
- Moderate to High
- High</t>
  </si>
  <si>
    <t>Penjelasan Dampak Kualitatif</t>
  </si>
  <si>
    <t>Nilai Eksposur Risiko</t>
  </si>
  <si>
    <t>Skala Risiko</t>
  </si>
  <si>
    <t>Level Nilai Risiko</t>
  </si>
  <si>
    <t>Diisi penjelasan atas dampak kualitatif yang akan terjadi.</t>
  </si>
  <si>
    <t>Dapat dikosongkan</t>
  </si>
  <si>
    <t xml:space="preserve">Diisi dengan hasil perhitungan: skala Dampak x 1% Batasan Risiko  yang ditetapkan dalam strategi Risiko x nilai Probabilitas (%). </t>
  </si>
  <si>
    <r>
      <t xml:space="preserve">Diisi dengan </t>
    </r>
    <r>
      <rPr>
        <i/>
        <sz val="8"/>
        <color theme="1"/>
        <rFont val="Arial"/>
        <family val="2"/>
      </rPr>
      <t xml:space="preserve">leveling </t>
    </r>
    <r>
      <rPr>
        <sz val="8"/>
        <color theme="1"/>
        <rFont val="Arial"/>
        <family val="2"/>
      </rPr>
      <t>dan pewarnaan risiko masing-masing BUMN.</t>
    </r>
  </si>
  <si>
    <r>
      <t xml:space="preserve">Kriteria Skala Dampak Kualitatif menggunakan acuan Tabel Kriteria Dampak Kualitatif pada </t>
    </r>
    <r>
      <rPr>
        <b/>
        <sz val="8"/>
        <color theme="1"/>
        <rFont val="Arial"/>
        <family val="2"/>
      </rPr>
      <t xml:space="preserve">sheet Kriteria Dampak &amp; Probabilitas. </t>
    </r>
    <r>
      <rPr>
        <sz val="8"/>
        <color theme="1"/>
        <rFont val="Arial"/>
        <family val="2"/>
      </rPr>
      <t xml:space="preserve">
Apabila acuan kriteria dampak tidak tersedia pada tabel di atas, BUMN dapat menggunakan acuan tabel kriteria dampak kualitatif lainnya sesuai dengan pedoman masing-masing dan menyampaikannya dalam buku RKAP.</t>
    </r>
  </si>
  <si>
    <t>Masing-masing BUMN mendefinisikan skala 1-25 sesuai dengan penetapan masing-masing</t>
  </si>
  <si>
    <t>Masing-masing BUMN mendefinisikan level risiko sesuai dengan penetapan masing-masing</t>
  </si>
  <si>
    <t>Target Risiko Residual</t>
  </si>
  <si>
    <t xml:space="preserve">Nilai Dampak </t>
  </si>
  <si>
    <t xml:space="preserve">Skala Dampak </t>
  </si>
  <si>
    <t xml:space="preserve">Skala Probabilitas </t>
  </si>
  <si>
    <t xml:space="preserve">Skala Risiko </t>
  </si>
  <si>
    <t xml:space="preserve">Level Risiko </t>
  </si>
  <si>
    <t xml:space="preserve">KBUMN </t>
  </si>
  <si>
    <t>Q1</t>
  </si>
  <si>
    <t>Q2</t>
  </si>
  <si>
    <t>Q3</t>
  </si>
  <si>
    <t>Q4</t>
  </si>
  <si>
    <t>Diisi dengan target perkiraan nilai dampak yang akan diterima per masing-masing triwulan dalam Rupiah atau mata uang fungsional pembukuan.</t>
  </si>
  <si>
    <t>Diisi dengan target skala dampak setiap triwulan</t>
  </si>
  <si>
    <t>Diisi dengan target probabilitas setiap triwulan</t>
  </si>
  <si>
    <t>Diisi dengan target skala probabilitas setiap triwulan</t>
  </si>
  <si>
    <t xml:space="preserve">Formula nilai dampak x nilai probabilitas </t>
  </si>
  <si>
    <t>Masing-masing BUMN mendefinisikan level risiko sesuai dengan skala masing-masing</t>
  </si>
  <si>
    <t>Diisi dengan hasil perhitungan: skala Dampak x 1% Batasan Risiko  yang ditetapkan dalam strategi Risiko x nilai Probabilitas (%).</t>
  </si>
  <si>
    <t>Opsi Perlakuan Risiko</t>
  </si>
  <si>
    <t>Jenis Rencana Perlakuan Risiko</t>
  </si>
  <si>
    <t>Rencana Perlakuan Risiko</t>
  </si>
  <si>
    <t>Output  Perlakuan Risiko</t>
  </si>
  <si>
    <t>Biaya Perlakuan Risiko
(Rp/Mata Uang Lain)</t>
  </si>
  <si>
    <t>Jenis Program Dalam RKAP</t>
  </si>
  <si>
    <t>PIC</t>
  </si>
  <si>
    <t>Timeline (Bulan)</t>
  </si>
  <si>
    <t>Multiple List</t>
  </si>
  <si>
    <t>Numerik (diisi nilai 1 jika mitgasi dilakukan pada bulan tertentu)</t>
  </si>
  <si>
    <t>Diisi dengan penyebab risiko yang ada pada tabel profil risiko</t>
  </si>
  <si>
    <r>
      <t xml:space="preserve">Diisi dengan pilihan:
</t>
    </r>
    <r>
      <rPr>
        <i/>
        <sz val="8"/>
        <color theme="1"/>
        <rFont val="Arial"/>
        <family val="2"/>
      </rPr>
      <t>- Transfer/sharing 
- Reduce/mitigate
- Accept/monitor</t>
    </r>
    <r>
      <rPr>
        <sz val="8"/>
        <color theme="1"/>
        <rFont val="Arial"/>
        <family val="2"/>
      </rPr>
      <t xml:space="preserve">
- </t>
    </r>
    <r>
      <rPr>
        <i/>
        <sz val="8"/>
        <color theme="1"/>
        <rFont val="Arial"/>
        <family val="2"/>
      </rPr>
      <t>Avoid</t>
    </r>
    <r>
      <rPr>
        <sz val="8"/>
        <color theme="1"/>
        <rFont val="Arial"/>
        <family val="2"/>
      </rPr>
      <t>/hindari</t>
    </r>
  </si>
  <si>
    <r>
      <t xml:space="preserve">Diisi dengan pilihan jenis rencana perlakuan risiko:
- Peningkatan Kecukupan Desain Control
- Peningkatan Efektivitas Pelaksanaan Control
- Perbaikan Melalui </t>
    </r>
    <r>
      <rPr>
        <i/>
        <sz val="8"/>
        <color theme="1"/>
        <rFont val="Arial"/>
        <family val="2"/>
      </rPr>
      <t xml:space="preserve">Breakthrough Project
- </t>
    </r>
    <r>
      <rPr>
        <sz val="8"/>
        <color theme="1"/>
        <rFont val="Arial"/>
        <family val="2"/>
      </rPr>
      <t xml:space="preserve">Lainnya
</t>
    </r>
  </si>
  <si>
    <r>
      <t>1. Setiap perlakuan risiko di-</t>
    </r>
    <r>
      <rPr>
        <i/>
        <sz val="8"/>
        <color theme="1"/>
        <rFont val="Arial"/>
        <family val="2"/>
      </rPr>
      <t xml:space="preserve">break down </t>
    </r>
    <r>
      <rPr>
        <sz val="8"/>
        <color theme="1"/>
        <rFont val="Arial"/>
        <family val="2"/>
      </rPr>
      <t>dalam aktivitas-aktivitas yang lebih detail
2. [rule] Setiap unique ID penyebab risiko memiliki minimal 1 perlakuan risiko</t>
    </r>
  </si>
  <si>
    <t xml:space="preserve">Diisi dengan output atas masing-masing aktivitas rencana perlakuan risiko </t>
  </si>
  <si>
    <t>Diisi dengan anggaran dalam pelaksanaan perlakuan risiko</t>
  </si>
  <si>
    <t>Anggaran biaya perlakuan risiko telah dimasukkan dalam salah satu jenis program RKAP, dengan pilihan:
- Pemasaran dan penjualan
- Pengadaan
- Produksi dan Kualitas Produk
- Teknis dan Teknologi
- Keuangan dan Akuntansi
- Sistem dan Organisasi
- Pengembangan SDM
- Penelitian dan Pengembangan
- Pelestarian Lingkungan
- Investasi
- Lainnya</t>
  </si>
  <si>
    <t>Unit penanggung jawab perlakuan risiko setingkat BOD</t>
  </si>
  <si>
    <t>Terhadap masing-masing perlakuan risiko per penyebab risiko, agar diisi timeline rencana implementasinya. Apabila perlakuan risiko berlangsung sepanjang tahun, maka timeline harus diisi setiap bulan</t>
  </si>
  <si>
    <t>Nama penyebab risiko harus sama persis dengan nama penyebab risiko yang ada pada tabel profil risiko</t>
  </si>
  <si>
    <t>Pilihan dapat lebih dari satu</t>
  </si>
  <si>
    <t>1. Setiap penyebab risiko memiliki rencana perlakuan risiko.
2. Rencana perlakuan risiko harus spesifik dan tidak memungkinkan akan sama untuk menyelesaikan setiap penyebab.
3. Apabila satu perlakuan risiko dapat menyelesaikan lebih dari satu penyebab, artinya penyebab-penyebab tersebut belum diidentifikasi secara mendalam untuk mendapatkan akar penyebabnya.</t>
  </si>
  <si>
    <t>TINGKAT KEMUNGKINAN</t>
  </si>
  <si>
    <t>Hampir Pasti Terjadi</t>
  </si>
  <si>
    <t>Low to Moderate
7</t>
  </si>
  <si>
    <t>Moderate 
12</t>
  </si>
  <si>
    <t>Moderate to High
17</t>
  </si>
  <si>
    <t>High
22</t>
  </si>
  <si>
    <t>High
25</t>
  </si>
  <si>
    <t>Risk Event</t>
  </si>
  <si>
    <t>Inherent Risk</t>
  </si>
  <si>
    <t>Residual Risk</t>
  </si>
  <si>
    <t>Impact</t>
  </si>
  <si>
    <t>Likelihood</t>
  </si>
  <si>
    <t>Level</t>
  </si>
  <si>
    <t>Sangat Mungkin Terjadi</t>
  </si>
  <si>
    <t>Low
4</t>
  </si>
  <si>
    <t>Low to Moderate
9</t>
  </si>
  <si>
    <t>Moderate 
14</t>
  </si>
  <si>
    <t>Moderate to High
19</t>
  </si>
  <si>
    <t>High
24</t>
  </si>
  <si>
    <t>Bisa Terjadi</t>
  </si>
  <si>
    <t>Low
3</t>
  </si>
  <si>
    <t>Low to Moderate
8</t>
  </si>
  <si>
    <t>Moderate 
13</t>
  </si>
  <si>
    <t>Moderate to High
18</t>
  </si>
  <si>
    <t>High
23</t>
  </si>
  <si>
    <t>Jarang Terjadi</t>
  </si>
  <si>
    <t>Low
2</t>
  </si>
  <si>
    <t>Low to Moderate
6</t>
  </si>
  <si>
    <t>Low to Moderate
11</t>
  </si>
  <si>
    <t>Moderate to High
16</t>
  </si>
  <si>
    <t>High
21</t>
  </si>
  <si>
    <t>Sangat Jarang Terjadi</t>
  </si>
  <si>
    <t>Low
1</t>
  </si>
  <si>
    <t>Low
5</t>
  </si>
  <si>
    <t>Low to Moderate
10</t>
  </si>
  <si>
    <t>Moderate 
15</t>
  </si>
  <si>
    <t>High
20</t>
  </si>
  <si>
    <t>Sangat Rendah</t>
  </si>
  <si>
    <t>Rendah</t>
  </si>
  <si>
    <t>Moderat</t>
  </si>
  <si>
    <t>Tinggi</t>
  </si>
  <si>
    <t>Sangat Tinggi</t>
  </si>
  <si>
    <t>TINGKAT DAMPAK</t>
  </si>
  <si>
    <t>KRITERIA DAMPAK DAN PROBABILITAS</t>
  </si>
  <si>
    <t xml:space="preserve">A.	</t>
  </si>
  <si>
    <t>Kriteria Dampak Kuantitatif</t>
  </si>
  <si>
    <t>Skala</t>
  </si>
  <si>
    <t>Kriteria Dampak</t>
  </si>
  <si>
    <r>
      <t xml:space="preserve">Range </t>
    </r>
    <r>
      <rPr>
        <sz val="10"/>
        <color rgb="FFFFFFFF"/>
        <rFont val="Arial"/>
        <family val="2"/>
      </rPr>
      <t>Dampak Finansial</t>
    </r>
  </si>
  <si>
    <t>Deskripsi Dampak </t>
  </si>
  <si>
    <t>X ≤ 20% 
dari Batasan Risiko</t>
  </si>
  <si>
    <t>Dampak sangat rendah yang dapat mengakibatkan kerusakan/ kerugian/ penurunan kurang dari 20% dari nilai Batasan Risiko</t>
  </si>
  <si>
    <t>20% &lt; X ≤ 40%
dari Batasan Risiko</t>
  </si>
  <si>
    <t>Dampak rendah yang dapat mengakibatkan kerusakan/kerugian/penurunan 20% &lt; X ≤ 40% dari nilai Batasan Risiko</t>
  </si>
  <si>
    <t>40% &lt; X ≤ 60%
dari Batasan Risiko</t>
  </si>
  <si>
    <t>Dampak kritis yang dapat mengakibatkan kerusakan/kerugian/penurunan 40% &lt; X ≤ 60% dari nilai Batasan Risiko</t>
  </si>
  <si>
    <t>60% &lt; X ≤ 80%
dari Batasan Risiko</t>
  </si>
  <si>
    <t>Dampak disruptif yang dapat mengakibatkan kerusakan/ kerugian/ penurunan 40% &lt; X ≤ 60% dari nilai Batasan Risiko</t>
  </si>
  <si>
    <t>X &gt; 80%
dari Batasan Risiko</t>
  </si>
  <si>
    <t>Dampak katastrofe yang dapat mengakibatkan kerusakan/ kerugian/ penurunan &gt; 80% dari nilai Batasan Risiko</t>
  </si>
  <si>
    <t>Keterangan:</t>
  </si>
  <si>
    <t>Nilai Batasan Risiko merupakan nilai Risk Limit di level enterprise sebagaimana yang telah ditetapkan dalam Strategi Risiko BUMN.</t>
  </si>
  <si>
    <t>B.</t>
  </si>
  <si>
    <t>Kriteria Dampak Kualitatif</t>
  </si>
  <si>
    <t>Risiko Kualitatif</t>
  </si>
  <si>
    <t>Risiko Strategis</t>
  </si>
  <si>
    <t>Dampak keterlambatan pencapaian program strategis</t>
  </si>
  <si>
    <t xml:space="preserve">Minimal 1 parameter target strategis yang harus selesai pada tahun ini tertunda kurang dari 1 bulan </t>
  </si>
  <si>
    <t xml:space="preserve">Minimal 1 parameter tujuan strategis yang harus selesai pada tahun ini tertunda antara 2 - 3 bulan </t>
  </si>
  <si>
    <t xml:space="preserve">Minimal 1 parameter tujuan strategis yang harus selesai pada tahun ini tertunda antara 3 - 6 bulan </t>
  </si>
  <si>
    <t xml:space="preserve">Minimal 1 parameter tujuan strategis yang harus selesai pada tahun ini tertunda antara 6 - 9 bulan </t>
  </si>
  <si>
    <t xml:space="preserve">Minimal 1 parameter tujuan strategis yang harus selesai pada tahun ini tertunda lebih dari 9 bulan </t>
  </si>
  <si>
    <t>Risiko Hukum</t>
  </si>
  <si>
    <t xml:space="preserve">Pelanggaran hukum </t>
  </si>
  <si>
    <t>Tidak ada somasi/ tuntutan hukum</t>
  </si>
  <si>
    <t xml:space="preserve">Perusahaan mendapat somasi. </t>
  </si>
  <si>
    <t xml:space="preserve">Perusahaan mendapat tuntutan hukum. </t>
  </si>
  <si>
    <t xml:space="preserve">Perusahaan diputuskan kalah di pengadilan tingkat pertama. </t>
  </si>
  <si>
    <t xml:space="preserve">Perusahaan diputuskan kalah di pengadilan tingkat selanjutnya. </t>
  </si>
  <si>
    <t>Risiko Kepatuhan</t>
  </si>
  <si>
    <t xml:space="preserve">Pelanggaran ketentuan kepatuhan </t>
  </si>
  <si>
    <t xml:space="preserve">Teguran informal / verbal. </t>
  </si>
  <si>
    <t xml:space="preserve">Diminta bertemu dengan pihak Regulator (misalkan OJK, Bank Indonesia, IDX, Kementerian terkait, Dirjen Pajak, dan lain-lain) </t>
  </si>
  <si>
    <t xml:space="preserve">Peringatan tertulis / formal, terkena denda. </t>
  </si>
  <si>
    <t xml:space="preserve">Regulator memberlaku-kan pembatasan dan / atau pembekuan terhadap aktivitas operasional / produk / jasa tertentu. </t>
  </si>
  <si>
    <r>
      <t xml:space="preserve">Regulator memberlaku-kan sanksi signifikan (misalkan </t>
    </r>
    <r>
      <rPr>
        <i/>
        <sz val="10"/>
        <color theme="1"/>
        <rFont val="Arial"/>
        <family val="2"/>
      </rPr>
      <t>delisting</t>
    </r>
    <r>
      <rPr>
        <sz val="10"/>
        <color theme="1"/>
        <rFont val="Arial"/>
        <family val="2"/>
      </rPr>
      <t xml:space="preserve"> saham, tidak diperkenan-kan mengikuti kliring, menarik produk yang beredar, dan lain-lain) </t>
    </r>
  </si>
  <si>
    <t>Risiko Reputasi</t>
  </si>
  <si>
    <r>
      <t xml:space="preserve">Keluhan pelanggan / nasabah / pembeli / </t>
    </r>
    <r>
      <rPr>
        <i/>
        <sz val="10"/>
        <color theme="1"/>
        <rFont val="Arial"/>
        <family val="2"/>
      </rPr>
      <t xml:space="preserve">supplier </t>
    </r>
  </si>
  <si>
    <t xml:space="preserve">Keluhan yang terisolasi dan dapat ditangani dalam 1 hari kerja </t>
  </si>
  <si>
    <t xml:space="preserve">Keluhan yang terisolasi dan dapat diselesaikan dalam 3 hari kerja </t>
  </si>
  <si>
    <t xml:space="preserve">Keluhan yang menyebar ke skala sektoral dan / atau diajukan secara kolektif yang dapat diselesaikan dalam waktu 7 hari kerja dan masih berada dalam kewenangan Pimpinan Cabang / Wilayah </t>
  </si>
  <si>
    <t xml:space="preserve">Keluhan yang menyebar ke skala nasional dan / atau diajukan secara kolektif yang dapat diselesaikan dalam waktu 10 hari kerja dan / atau memerlukan penanganan kewenangan Kantor Pusat </t>
  </si>
  <si>
    <t xml:space="preserve">Keluhan yang menyebar ke skala nasional / internasional dan / atau diajukan secara kolektif yang diselesaikan melebihi 10 hari kerja dan / atau memerlukan penanganan kewenangan Kantor Pusat </t>
  </si>
  <si>
    <t xml:space="preserve">Pemberitaan negatif di media </t>
  </si>
  <si>
    <t xml:space="preserve">Publikasi negatif yg terisolasi di wilayah sektoral melalui media konvensional (misalkan Radio lokal, TV lokal, Surat Kabar daerah) </t>
  </si>
  <si>
    <t xml:space="preserve">Publikasi negatif yang lintas sektoral / wilayah / provinsi namun masih tersebar media konvensional. </t>
  </si>
  <si>
    <t xml:space="preserve">Publikasi negatif skala nasional yang tersebar di media konvensional </t>
  </si>
  <si>
    <t xml:space="preserve">Publikasi negatif mencapai skala nasional yang tersebar di sosial media dan / atau memerlukan penanganan kewenangan Kantor Pusat </t>
  </si>
  <si>
    <t xml:space="preserve">Publikasi negatif mencapai skala internasional yang tersebar di sosial media dan / atau memerlukan penanganan kewenangan Kantor Pusat </t>
  </si>
  <si>
    <t xml:space="preserve">Kehilangan daya saing </t>
  </si>
  <si>
    <t xml:space="preserve">Penurunan pangsa pasar sampai dengan 5% </t>
  </si>
  <si>
    <t xml:space="preserve">Penurunan pangsa pasar antara 5% sampai dengan 10% </t>
  </si>
  <si>
    <t xml:space="preserve">Penurunan pangsa pasar antara 10% sampai dengan 15% </t>
  </si>
  <si>
    <t xml:space="preserve">Penurunan pangsa pasar antara 15% sampai dengan 20% </t>
  </si>
  <si>
    <t xml:space="preserve">Penurunan pangsa pasar lebih dari 20% </t>
  </si>
  <si>
    <t>Risiko Sumber Daya Manusia</t>
  </si>
  <si>
    <t xml:space="preserve">Keluhan karyawan </t>
  </si>
  <si>
    <t xml:space="preserve">Terdapat keluhan karyawan yang disalurkan sampai tingkat SP Unit namun dapat diisolir dan diselesaikan oleh Pemimpin Unit </t>
  </si>
  <si>
    <t xml:space="preserve">Terdapat keluhan karyawan yang perlu diselesaikan oleh Penyelia Pemimpin Unit </t>
  </si>
  <si>
    <t xml:space="preserve">Terdapat keluhan yang disalurkan mencapai tingkat sektoral / wilayah / provinsi. </t>
  </si>
  <si>
    <t xml:space="preserve">Unjuk rasa karyawan yang mengganggu aktivitas perusahaan dan / atau disertai terjadinya cedera serius / cacat permanen </t>
  </si>
  <si>
    <t xml:space="preserve">Demonstrasi terkoordinasi, terjadinya kematian karyawan saat kerja </t>
  </si>
  <si>
    <r>
      <t>Turn over</t>
    </r>
    <r>
      <rPr>
        <sz val="10"/>
        <rFont val="Arial"/>
        <family val="2"/>
      </rPr>
      <t xml:space="preserve"> karyawan bertalenta </t>
    </r>
  </si>
  <si>
    <r>
      <t>Turn over</t>
    </r>
    <r>
      <rPr>
        <sz val="10"/>
        <color theme="1"/>
        <rFont val="Arial"/>
        <family val="2"/>
      </rPr>
      <t xml:space="preserve"> pegawai bertalenta kurang dari 1% setahun </t>
    </r>
  </si>
  <si>
    <r>
      <t>Turn over</t>
    </r>
    <r>
      <rPr>
        <sz val="10"/>
        <color theme="1"/>
        <rFont val="Arial"/>
        <family val="2"/>
      </rPr>
      <t xml:space="preserve"> pegawai bertalenta dari 1% sampai dengan 5% setahun </t>
    </r>
  </si>
  <si>
    <r>
      <t>Turn over</t>
    </r>
    <r>
      <rPr>
        <sz val="10"/>
        <color theme="1"/>
        <rFont val="Arial"/>
        <family val="2"/>
      </rPr>
      <t xml:space="preserve"> pegawai bertalenta antara 5% sampai dengan 10% setahun </t>
    </r>
  </si>
  <si>
    <r>
      <t>Turn over</t>
    </r>
    <r>
      <rPr>
        <sz val="10"/>
        <color theme="1"/>
        <rFont val="Arial"/>
        <family val="2"/>
      </rPr>
      <t xml:space="preserve"> pegawai bertalenta antara 10% sampai dengan 15% setahun </t>
    </r>
  </si>
  <si>
    <r>
      <t>Turn over</t>
    </r>
    <r>
      <rPr>
        <sz val="10"/>
        <color theme="1"/>
        <rFont val="Arial"/>
        <family val="2"/>
      </rPr>
      <t xml:space="preserve"> pegawai bertalenta &gt;15% setahun </t>
    </r>
  </si>
  <si>
    <r>
      <t>(regretted turnover</t>
    </r>
    <r>
      <rPr>
        <sz val="10"/>
        <color theme="1"/>
        <rFont val="Arial"/>
        <family val="2"/>
      </rPr>
      <t xml:space="preserve">) </t>
    </r>
  </si>
  <si>
    <t>Risiko Sistem Infrastruktur Teknologi dan Keamanan Siber</t>
  </si>
  <si>
    <t xml:space="preserve">Gangguan aplikasi infrastruktur pendukung </t>
  </si>
  <si>
    <t xml:space="preserve">Aplikasi &amp; Infrastruktur pendukung yang kurang penting tidak berfungsi selama 1 hari </t>
  </si>
  <si>
    <t xml:space="preserve">Aplikasi dan Infrastruktur pendukung yang kurang penting tidak berfungsi selama lebih dari 1 hari s/d 3 hari </t>
  </si>
  <si>
    <r>
      <t xml:space="preserve">Infrastruktur vital yang penting tidak berfungsi selama &lt; 1 jam (misalkan Listrik, air, jaringan komunikasi &amp; </t>
    </r>
    <r>
      <rPr>
        <i/>
        <sz val="10"/>
        <color theme="1"/>
        <rFont val="Arial"/>
        <family val="2"/>
      </rPr>
      <t>online system</t>
    </r>
    <r>
      <rPr>
        <sz val="10"/>
        <color theme="1"/>
        <rFont val="Arial"/>
        <family val="2"/>
      </rPr>
      <t xml:space="preserve">) </t>
    </r>
  </si>
  <si>
    <r>
      <t xml:space="preserve">Infrastruktur vital yang penting tidak berfungsi selama 2 s/d 6 jam (misalkan Listrik, air, jaringan komunikasi &amp; </t>
    </r>
    <r>
      <rPr>
        <i/>
        <sz val="10"/>
        <color theme="1"/>
        <rFont val="Arial"/>
        <family val="2"/>
      </rPr>
      <t>online system</t>
    </r>
    <r>
      <rPr>
        <sz val="10"/>
        <color theme="1"/>
        <rFont val="Arial"/>
        <family val="2"/>
      </rPr>
      <t xml:space="preserve">) </t>
    </r>
  </si>
  <si>
    <r>
      <t xml:space="preserve">Infrastruktur vital yang penting tidak berfungsi selama lebih dari 6 jam (misalkan Listrik, air, jaringan komunikasi &amp; </t>
    </r>
    <r>
      <rPr>
        <i/>
        <sz val="10"/>
        <color theme="1"/>
        <rFont val="Arial"/>
        <family val="2"/>
      </rPr>
      <t>online system</t>
    </r>
    <r>
      <rPr>
        <sz val="10"/>
        <color theme="1"/>
        <rFont val="Arial"/>
        <family val="2"/>
      </rPr>
      <t xml:space="preserve">) </t>
    </r>
  </si>
  <si>
    <t xml:space="preserve">Serangan siber </t>
  </si>
  <si>
    <t>Jumlah rata-rata serangan siber per minggu di bawah 50 kali</t>
  </si>
  <si>
    <t>Jumlah rata-rata serangan siber per minggu 50-99 kali</t>
  </si>
  <si>
    <t>Jumlah rata-rata serangan siber per minggu 100-199 kali</t>
  </si>
  <si>
    <t>Jumlah rata-rata serangan siber per minggu 200-500 kali</t>
  </si>
  <si>
    <t>Jumlah rata-rata serangan siber per minggu lebih dari 500 kali</t>
  </si>
  <si>
    <r>
      <t xml:space="preserve">Hasil penilaian </t>
    </r>
    <r>
      <rPr>
        <i/>
        <sz val="10"/>
        <color theme="1"/>
        <rFont val="Arial"/>
        <family val="2"/>
      </rPr>
      <t>platform security</t>
    </r>
    <r>
      <rPr>
        <sz val="10"/>
        <color theme="1"/>
        <rFont val="Arial"/>
        <family val="2"/>
      </rPr>
      <t xml:space="preserve"> </t>
    </r>
  </si>
  <si>
    <t>X &gt; 90%</t>
  </si>
  <si>
    <t>90% ≥ X &gt; 80%</t>
  </si>
  <si>
    <t>80 % ≥ X &gt; 70%</t>
  </si>
  <si>
    <t>70% ≥ X &gt; 60%</t>
  </si>
  <si>
    <t>X ≤ 60%</t>
  </si>
  <si>
    <t>Risiko Operasional</t>
  </si>
  <si>
    <r>
      <t>Pelampauan pemenuhan SLA (</t>
    </r>
    <r>
      <rPr>
        <i/>
        <sz val="10"/>
        <color theme="1"/>
        <rFont val="Arial"/>
        <family val="2"/>
      </rPr>
      <t>Service Level Agreement</t>
    </r>
    <r>
      <rPr>
        <sz val="10"/>
        <color theme="1"/>
        <rFont val="Arial"/>
        <family val="2"/>
      </rPr>
      <t>)</t>
    </r>
  </si>
  <si>
    <t xml:space="preserve">&lt; 1% dari standard SLA yang telah ditetapkan (diukur dari waktu kekosongan atau ketidaksedia-an layanan produk atau tambahan biaya / ongkos) </t>
  </si>
  <si>
    <t xml:space="preserve">Dari 1% s/d 2,5% dari standard SLA yang telah ditetapkan (diukur dari waktu kekosongan atau ketidaksedia-an layanan produk atau tambahan biaya / ongkos) </t>
  </si>
  <si>
    <t xml:space="preserve">Antara 2,5% s/d 10% dari standard SLA yang telah ditetapkan (diukur dari waktu kekosongan atau ketidaksedia-an layanan produk atau tambahan biaya / ongkos) </t>
  </si>
  <si>
    <t xml:space="preserve">Antara 10% s/d 20% dari standard SLA yang telah ditetapkan (diukur dari waktu kekosongan atau ketidaksedia-an layanan produk atau tambahan biaya / ongkos) </t>
  </si>
  <si>
    <t xml:space="preserve">&gt;20% dari standard SLA yang telah ditetapkan (diukur dari waktu kekosongan atau ketidaksedia-an layanan produk atau tambahan biaya / ongkos) </t>
  </si>
  <si>
    <r>
      <t xml:space="preserve">Risiko </t>
    </r>
    <r>
      <rPr>
        <i/>
        <sz val="10"/>
        <color rgb="FF000000"/>
        <rFont val="Arial"/>
        <family val="2"/>
      </rPr>
      <t>Health, Safety, Security and Environmental</t>
    </r>
    <r>
      <rPr>
        <sz val="10"/>
        <color rgb="FF000000"/>
        <rFont val="Arial"/>
        <family val="2"/>
      </rPr>
      <t xml:space="preserve"> (HSSE) dan Sosial</t>
    </r>
  </si>
  <si>
    <t xml:space="preserve">Fatality </t>
  </si>
  <si>
    <t xml:space="preserve">Kasus Pertolongan Pertama </t>
  </si>
  <si>
    <t xml:space="preserve">Kasus Perawatan Medis </t>
  </si>
  <si>
    <t xml:space="preserve">Cacat tidak tetap / Ketidakhadir-an kerja yang terbatas </t>
  </si>
  <si>
    <t xml:space="preserve">Kasus kematian tunggal / Cacat tetap / Ketidakhadir-an kerja yang lama </t>
  </si>
  <si>
    <t xml:space="preserve">Kasus kematian jamak </t>
  </si>
  <si>
    <t xml:space="preserve">Tidak berpengaruh pada Kinerja Kerja </t>
  </si>
  <si>
    <t xml:space="preserve">Efek kesehatan minor dan reversibel (tanpa rawat inap) </t>
  </si>
  <si>
    <t xml:space="preserve">Efek ireversibel tanpa kehilangan nyawa tetapi dengan cacat serius dan rawat inap berkepanjangan </t>
  </si>
  <si>
    <t xml:space="preserve">Efek ireversibel yang menyebabkan kematian </t>
  </si>
  <si>
    <t xml:space="preserve">Wabah ke lingkungan </t>
  </si>
  <si>
    <t xml:space="preserve">Potensi menyebabkan banyak kematian misalnya bahan kimia beracun berbahaya </t>
  </si>
  <si>
    <t xml:space="preserve">Kerusakan Lingkungan </t>
  </si>
  <si>
    <t xml:space="preserve">Kerusakan terbatas pada area minimal dengan signifikansi rendah </t>
  </si>
  <si>
    <t xml:space="preserve">Efek minor pada lingkungan biologis atau fisik </t>
  </si>
  <si>
    <t xml:space="preserve">Efek jangka pendek (1-2 tahun) tetapi tidak mempenga-ruhi fungsi ekosistem </t>
  </si>
  <si>
    <t xml:space="preserve">Efek lingkungan jangka menengah (3-5 tahun) yang serius </t>
  </si>
  <si>
    <t xml:space="preserve">Sangat serius </t>
  </si>
  <si>
    <t xml:space="preserve">Kerusakan lingkungan jangka panjang (&gt;5 tahun) dari fungsi ekosistem </t>
  </si>
  <si>
    <t>Penurunan ESG rating Sustainalytic</t>
  </si>
  <si>
    <t>X &gt; 90% atau memperleh rating “0-10</t>
  </si>
  <si>
    <t>90% ≥ X &gt; 80% atau memperleh rating “10-20</t>
  </si>
  <si>
    <r>
      <t>80 % ≥ X &gt; 70% atau memperleh rating “20-30 (</t>
    </r>
    <r>
      <rPr>
        <i/>
        <sz val="10"/>
        <color theme="1"/>
        <rFont val="Arial"/>
        <family val="2"/>
      </rPr>
      <t>medium</t>
    </r>
    <r>
      <rPr>
        <sz val="10"/>
        <color theme="1"/>
        <rFont val="Arial"/>
        <family val="2"/>
      </rPr>
      <t>)”</t>
    </r>
  </si>
  <si>
    <t xml:space="preserve">70% ≥ X &gt; 60% atau memperleh rating “30-40 </t>
  </si>
  <si>
    <r>
      <t xml:space="preserve">X ≤ 60% </t>
    </r>
    <r>
      <rPr>
        <sz val="10"/>
        <color rgb="FF000000"/>
        <rFont val="Arial"/>
        <family val="2"/>
      </rPr>
      <t>atau memperleh rating</t>
    </r>
    <r>
      <rPr>
        <sz val="10"/>
        <rFont val="Arial"/>
        <family val="2"/>
      </rPr>
      <t xml:space="preserve"> “40+</t>
    </r>
    <r>
      <rPr>
        <sz val="8"/>
        <rFont val="Arial"/>
        <family val="2"/>
      </rPr>
      <t> </t>
    </r>
    <r>
      <rPr>
        <sz val="10"/>
        <rFont val="Arial"/>
        <family val="2"/>
      </rPr>
      <t xml:space="preserve"> </t>
    </r>
  </si>
  <si>
    <r>
      <t>(</t>
    </r>
    <r>
      <rPr>
        <i/>
        <sz val="10"/>
        <color theme="1"/>
        <rFont val="Arial"/>
        <family val="2"/>
      </rPr>
      <t>negligible</t>
    </r>
    <r>
      <rPr>
        <sz val="10"/>
        <color theme="1"/>
        <rFont val="Arial"/>
        <family val="2"/>
      </rPr>
      <t>)”</t>
    </r>
  </si>
  <si>
    <r>
      <t>(</t>
    </r>
    <r>
      <rPr>
        <i/>
        <sz val="10"/>
        <color theme="1"/>
        <rFont val="Arial"/>
        <family val="2"/>
      </rPr>
      <t>low</t>
    </r>
    <r>
      <rPr>
        <sz val="10"/>
        <color theme="1"/>
        <rFont val="Arial"/>
        <family val="2"/>
      </rPr>
      <t>)”</t>
    </r>
  </si>
  <si>
    <r>
      <t>(</t>
    </r>
    <r>
      <rPr>
        <i/>
        <sz val="10"/>
        <color theme="1"/>
        <rFont val="Arial"/>
        <family val="2"/>
      </rPr>
      <t>high</t>
    </r>
    <r>
      <rPr>
        <sz val="10"/>
        <color theme="1"/>
        <rFont val="Arial"/>
        <family val="2"/>
      </rPr>
      <t>)”</t>
    </r>
  </si>
  <si>
    <r>
      <t>(</t>
    </r>
    <r>
      <rPr>
        <i/>
        <sz val="10"/>
        <rFont val="Arial"/>
        <family val="2"/>
      </rPr>
      <t>severe</t>
    </r>
    <r>
      <rPr>
        <sz val="10"/>
        <rFont val="Arial"/>
        <family val="2"/>
      </rPr>
      <t>)”</t>
    </r>
  </si>
  <si>
    <t>Risiko Penyertaan Modal Negara (PMN)</t>
  </si>
  <si>
    <t>Penundaan pencairan PMN</t>
  </si>
  <si>
    <t>Diterima tepat waktu sesuai dengan RKAP</t>
  </si>
  <si>
    <t>Tertunda 1 bulan dari target RKAP</t>
  </si>
  <si>
    <t>Tertunda 2 bulan dari target RKAP</t>
  </si>
  <si>
    <t>Tertunda 3 bulan dari target RKAP</t>
  </si>
  <si>
    <t>Tertunda &gt; 4 bulan dari target RKAP</t>
  </si>
  <si>
    <t>Risiko Operasional Khusus Industri Perbankan</t>
  </si>
  <si>
    <r>
      <t xml:space="preserve">Total jumlah </t>
    </r>
    <r>
      <rPr>
        <i/>
        <sz val="10"/>
        <color theme="1"/>
        <rFont val="Arial"/>
        <family val="2"/>
      </rPr>
      <t xml:space="preserve">fraud </t>
    </r>
    <r>
      <rPr>
        <sz val="10"/>
        <color theme="1"/>
        <rFont val="Arial"/>
        <family val="2"/>
      </rPr>
      <t>internal dan eksternal</t>
    </r>
  </si>
  <si>
    <t>X &lt; 800</t>
  </si>
  <si>
    <t>800 ≤ X ≤ 1,000</t>
  </si>
  <si>
    <t>1,001 &lt; X ≤ 1,200</t>
  </si>
  <si>
    <t>1,201 &lt; X ≤ 1,400</t>
  </si>
  <si>
    <t>X &gt; 1,400</t>
  </si>
  <si>
    <t>Risiko Investasi Khusus Industri Asuransi</t>
  </si>
  <si>
    <t>Penurunan aset investasi berdasarkan rating surat utang atau Peringkat bank penerbit deposito</t>
  </si>
  <si>
    <r>
      <t xml:space="preserve">Instrumen pada </t>
    </r>
    <r>
      <rPr>
        <i/>
        <sz val="10"/>
        <color theme="1"/>
        <rFont val="Arial"/>
        <family val="2"/>
      </rPr>
      <t xml:space="preserve">investment grade </t>
    </r>
    <r>
      <rPr>
        <sz val="10"/>
        <color theme="1"/>
        <rFont val="Arial"/>
        <family val="2"/>
      </rPr>
      <t>100%,</t>
    </r>
  </si>
  <si>
    <r>
      <t xml:space="preserve">90% ≤ Instrumen pada </t>
    </r>
    <r>
      <rPr>
        <i/>
        <sz val="10"/>
        <color theme="1"/>
        <rFont val="Arial"/>
        <family val="2"/>
      </rPr>
      <t>Investment grade</t>
    </r>
    <r>
      <rPr>
        <sz val="10"/>
        <color theme="1"/>
        <rFont val="Arial"/>
        <family val="2"/>
      </rPr>
      <t xml:space="preserve"> &lt; 100%,</t>
    </r>
  </si>
  <si>
    <r>
      <t xml:space="preserve">80% ≤ Instrumen pada </t>
    </r>
    <r>
      <rPr>
        <i/>
        <sz val="10"/>
        <color theme="1"/>
        <rFont val="Arial"/>
        <family val="2"/>
      </rPr>
      <t>Investment grade</t>
    </r>
    <r>
      <rPr>
        <sz val="10"/>
        <color theme="1"/>
        <rFont val="Arial"/>
        <family val="2"/>
      </rPr>
      <t xml:space="preserve"> &lt; 90%,</t>
    </r>
  </si>
  <si>
    <r>
      <t xml:space="preserve">70% ≤ Instrumen pada </t>
    </r>
    <r>
      <rPr>
        <i/>
        <sz val="10"/>
        <color theme="1"/>
        <rFont val="Arial"/>
        <family val="2"/>
      </rPr>
      <t>Investment grade</t>
    </r>
    <r>
      <rPr>
        <sz val="10"/>
        <color theme="1"/>
        <rFont val="Arial"/>
        <family val="2"/>
      </rPr>
      <t xml:space="preserve"> &lt; 80%,</t>
    </r>
  </si>
  <si>
    <r>
      <t xml:space="preserve">Instrumen pada </t>
    </r>
    <r>
      <rPr>
        <i/>
        <sz val="10"/>
        <color theme="1"/>
        <rFont val="Arial"/>
        <family val="2"/>
      </rPr>
      <t xml:space="preserve">Investment grade </t>
    </r>
    <r>
      <rPr>
        <sz val="10"/>
        <color theme="1"/>
        <rFont val="Arial"/>
        <family val="2"/>
      </rPr>
      <t>&lt; 70%,</t>
    </r>
  </si>
  <si>
    <t>atau Peringkat AAA (yang setara)</t>
  </si>
  <si>
    <t>atau Peringkat AA (yang setara)</t>
  </si>
  <si>
    <t>atau Peringkat A (yang setara)</t>
  </si>
  <si>
    <t>atau Peringkat BBB (yang setara)</t>
  </si>
  <si>
    <t>atau Peringkat di bawah BBB (yang setara atau tidak diperingkat)</t>
  </si>
  <si>
    <t>Risiko Aktuarial</t>
  </si>
  <si>
    <t>Rasio Klaim</t>
  </si>
  <si>
    <t>Rasio klaim ≤ 75%</t>
  </si>
  <si>
    <t>75% &lt; Rasio klaim ≤ 82,5%</t>
  </si>
  <si>
    <t>82,5% &lt; Rasio klaim ≤ 90%</t>
  </si>
  <si>
    <t>90% &lt; Rasio klaim ≤ 100%</t>
  </si>
  <si>
    <t>Rasio klaim &gt; 100%</t>
  </si>
  <si>
    <t>Catatan:</t>
  </si>
  <si>
    <t xml:space="preserve">Apabila acuan kriteria dampak tidak tersedia pada tabel di atas, BUMN dapat menggunakan acuan tabel kriteria dampak </t>
  </si>
  <si>
    <t>kualitatif lainnya sesuai dengan pedoman masing-masing dan menyampaikannya dalam buku RKAP.</t>
  </si>
  <si>
    <t>C.</t>
  </si>
  <si>
    <t>Kriteria Probabilitas</t>
  </si>
  <si>
    <t xml:space="preserve">Sangat Jarang Terjadi </t>
  </si>
  <si>
    <t>Kemung- kinan terjadi</t>
  </si>
  <si>
    <t xml:space="preserve">Risiko mungkin terjadi sangat jarang, paling banyak satu kali dalam setahun </t>
  </si>
  <si>
    <t xml:space="preserve">Risiko mungkin terjadi hanya sekali dalam 6 bulan </t>
  </si>
  <si>
    <t xml:space="preserve">Risiko pernah terjadi namun tidak sering, sekali dalam 4 bulan </t>
  </si>
  <si>
    <t xml:space="preserve">Risiko pernah terjadi sekali dalam 2 bulan </t>
  </si>
  <si>
    <t xml:space="preserve">Risiko pernah terjadi sekali dalam 1 bulan </t>
  </si>
  <si>
    <t>Frekuensi kejadian</t>
  </si>
  <si>
    <t xml:space="preserve">&lt; 1 permil dari frekuensi kejadian / jumlah transaksi </t>
  </si>
  <si>
    <t xml:space="preserve">Dari 1 permil s/d 1% dari frekuensi kejadian / jumlah transaksi </t>
  </si>
  <si>
    <t xml:space="preserve">Diatas 1% s/d 5% dari frekuensi kejadian / jumlah transaksi </t>
  </si>
  <si>
    <t xml:space="preserve">Diatas 5 s/d 10% dari frekuensi kejadian / jumlah transaksi </t>
  </si>
  <si>
    <t xml:space="preserve">&gt; 10% dari frekuensi kejadian / jumlah transaksi </t>
  </si>
  <si>
    <t>Persentase</t>
  </si>
  <si>
    <t xml:space="preserve">Probabilitas kejadian Risiko di bawah 20% </t>
  </si>
  <si>
    <t xml:space="preserve">Probabilitas kejadian Risiko dari 20% sampai dengan 40% </t>
  </si>
  <si>
    <t xml:space="preserve">Probabilitas kejadian Risiko antara 40% sampai dengan 60% </t>
  </si>
  <si>
    <t xml:space="preserve">Probabilitas kejadian Risiko antara 60% sampai dengan 80% </t>
  </si>
  <si>
    <t xml:space="preserve">Probabilitas kejadian Risiko antara 80% sampai dengan 100% </t>
  </si>
  <si>
    <t>DEFINISI MASING-MASING RISIKO PADA TAKSONOMI RISIKO KEMENTERIAN BUMN</t>
  </si>
  <si>
    <t>A.</t>
  </si>
  <si>
    <t>Taksonomi Risiko Kementerian BUMN Tingkat 1 (T1) mengandung 4 (empat) Tema Risiko sebagai berikut:</t>
  </si>
  <si>
    <r>
      <rPr>
        <b/>
        <sz val="11"/>
        <color theme="1"/>
        <rFont val="Arial"/>
        <family val="2"/>
      </rPr>
      <t>Tema Risiko Portofolio BUMN</t>
    </r>
    <r>
      <rPr>
        <sz val="11"/>
        <color theme="1"/>
        <rFont val="Arial"/>
        <family val="2"/>
      </rPr>
      <t>, merupakan kumpulan Risiko yang ditimbulkan oleh pelaksanaan peranan Kementerian BUMN sebagai pengelola Portofolio BUMN dan sebagai organisasi pemerintahan yang berkewajiban untuk menyelaraskan kebijakan-kebijakan pemerintahan di bidang pembinaan BUMN.</t>
    </r>
  </si>
  <si>
    <r>
      <rPr>
        <b/>
        <sz val="11"/>
        <color theme="1"/>
        <rFont val="Arial"/>
        <family val="2"/>
      </rPr>
      <t>Tema Risiko Struktur Korporasi dan Organisasi</t>
    </r>
    <r>
      <rPr>
        <sz val="11"/>
        <color theme="1"/>
        <rFont val="Arial"/>
        <family val="2"/>
      </rPr>
      <t>, merupakan kumpulan Risiko yang ditimbulkan oleh pilihan struktur korporasi dan struktur organisasi BUMN, terutama dilakukan oleh BUMN Induk terhadap Anak Perusahaan yang dapat mempengaruhi efektivitas dan efisiensi pengendalian, pemantauan, atau mitigasi Risiko bisnis.</t>
    </r>
  </si>
  <si>
    <r>
      <rPr>
        <b/>
        <sz val="11"/>
        <color theme="1"/>
        <rFont val="Arial"/>
        <family val="2"/>
      </rPr>
      <t>Tema Risiko Bisnis BUMN</t>
    </r>
    <r>
      <rPr>
        <sz val="11"/>
        <color theme="1"/>
        <rFont val="Arial"/>
        <family val="2"/>
      </rPr>
      <t>, merupakan kumpulan Risiko yang timbul dari kegiatan usaha masing-masing BUMN dan dikategorikan berdasarkan industri dan/atau klaster di mana BUMN tersebut beroperasi. Risiko pada tema ini memiliki karakteristik berupa peristiwa Risiko yang disebabkan oleh proses bisnis dan ketentuan sektoral.</t>
    </r>
  </si>
  <si>
    <r>
      <rPr>
        <b/>
        <sz val="11"/>
        <color theme="1"/>
        <rFont val="Arial"/>
        <family val="2"/>
      </rPr>
      <t>Tema Risiko Lainnya</t>
    </r>
    <r>
      <rPr>
        <sz val="11"/>
        <color theme="1"/>
        <rFont val="Arial"/>
        <family val="2"/>
      </rPr>
      <t>, kumpulan Risiko yang tidak masuk dalam ketiga tema Risiko di atas.</t>
    </r>
  </si>
  <si>
    <t>Definisi Kategori Risiko dari Taksonomi Risiko Kementerian BUMN Tingkat 2 (T2) mengandung 9 (sembilan) Kategori Risiko sebagai berikut:</t>
  </si>
  <si>
    <r>
      <rPr>
        <b/>
        <sz val="11"/>
        <color theme="1"/>
        <rFont val="Arial"/>
        <family val="2"/>
      </rPr>
      <t>Kategori Risiko Fiskal</t>
    </r>
    <r>
      <rPr>
        <sz val="11"/>
        <color theme="1"/>
        <rFont val="Arial"/>
        <family val="2"/>
      </rPr>
      <t xml:space="preserve"> yang mencakup semua peristiwa Risiko yang disebabkan oleh deviasi dari komitmen, kontribusi, serapan dan penggunaan dari APBN.</t>
    </r>
  </si>
  <si>
    <r>
      <rPr>
        <b/>
        <sz val="11"/>
        <color theme="1"/>
        <rFont val="Arial"/>
        <family val="2"/>
      </rPr>
      <t>Kategori Risiko Kebijakan</t>
    </r>
    <r>
      <rPr>
        <sz val="11"/>
        <color theme="1"/>
        <rFont val="Arial"/>
        <family val="2"/>
      </rPr>
      <t xml:space="preserve"> yang mencakup semua peristiwa Risiko yang disebabkan oleh ketidaksesuaian kebijakan-kebijakan, baik yang dikeluarkan oleh Kementerian BUMN dan/atau Kementerian Teknis. </t>
    </r>
  </si>
  <si>
    <r>
      <rPr>
        <b/>
        <sz val="11"/>
        <color theme="1"/>
        <rFont val="Arial"/>
        <family val="2"/>
      </rPr>
      <t xml:space="preserve">Kategori Risiko Komposisi </t>
    </r>
    <r>
      <rPr>
        <sz val="11"/>
        <color theme="1"/>
        <rFont val="Arial"/>
        <family val="2"/>
      </rPr>
      <t>yang mencakup semua peristiwa Risiko yang disebabkan oleh komposisi Portofolio BUMN.</t>
    </r>
  </si>
  <si>
    <r>
      <rPr>
        <b/>
        <sz val="11"/>
        <color theme="1"/>
        <rFont val="Arial"/>
        <family val="2"/>
      </rPr>
      <t>Kategori Risiko Struktur Korporasi</t>
    </r>
    <r>
      <rPr>
        <sz val="11"/>
        <color theme="1"/>
        <rFont val="Arial"/>
        <family val="2"/>
      </rPr>
      <t xml:space="preserve"> yang mencakup semua peristiwa Risiko yang disebabkan oleh Struktur Korporasi dan struktur organisasi masing-masing BUMN Konglomerasi yang dapat meningkatkan ketidakpastian pencapaian strategi BUMN Konglomerasi dan Portofolio BUMN secara material. </t>
    </r>
  </si>
  <si>
    <r>
      <rPr>
        <b/>
        <sz val="11"/>
        <color theme="1"/>
        <rFont val="Arial"/>
        <family val="2"/>
      </rPr>
      <t>Kategori Risiko Restrukturisasi dan Reorganisasi</t>
    </r>
    <r>
      <rPr>
        <sz val="11"/>
        <color theme="1"/>
        <rFont val="Arial"/>
        <family val="2"/>
      </rPr>
      <t xml:space="preserve"> yang mencakup semua peristiwa Risiko yang disebabkan oleh kegiatan restrukturisasi, merger dan akuisisi yang dilakukan pada tingkat BUMN Konglomerasi yang dapat meningkatkan ketidakpastian pencapaian strategi BUMN Konglomerasi dan Portofolio BUMN secara material.</t>
    </r>
  </si>
  <si>
    <r>
      <rPr>
        <b/>
        <sz val="11"/>
        <color theme="1"/>
        <rFont val="Arial"/>
        <family val="2"/>
      </rPr>
      <t>Kategori Risiko Industri Umum</t>
    </r>
    <r>
      <rPr>
        <sz val="11"/>
        <color theme="1"/>
        <rFont val="Arial"/>
        <family val="2"/>
      </rPr>
      <t xml:space="preserve"> yang mencakup semua peristiwa Risiko yang timbul dari kegiatan BUMN sebagai perusahaan yang dapat meningkatkan ketidakpastian pencapaian strategi Portofolio BUMN secara material.</t>
    </r>
  </si>
  <si>
    <r>
      <rPr>
        <b/>
        <sz val="11"/>
        <color rgb="FF000000"/>
        <rFont val="Arial"/>
        <family val="2"/>
      </rPr>
      <t>Kategori Risiko Industri Perbankan</t>
    </r>
    <r>
      <rPr>
        <sz val="11"/>
        <color rgb="FF000000"/>
        <rFont val="Arial"/>
        <family val="2"/>
      </rPr>
      <t xml:space="preserve"> yang mencakup semua peristiwa Risiko yang timbul dari kegiatan BUMN pada Klaster Jasa Keuangan sebagai perusahaan yang dapat meningkatkan ketidakpastian pencapaian strategi Portofolio BUMN secara material.</t>
    </r>
  </si>
  <si>
    <r>
      <rPr>
        <b/>
        <sz val="11"/>
        <color theme="1"/>
        <rFont val="Arial"/>
        <family val="2"/>
      </rPr>
      <t>Kategori Risiko Industri Asuransi</t>
    </r>
    <r>
      <rPr>
        <sz val="11"/>
        <color theme="1"/>
        <rFont val="Arial"/>
        <family val="2"/>
      </rPr>
      <t xml:space="preserve"> yang mencakup semua peristiwa Risiko yang timbul dari kegiatan BUMN pada Klaster Asuransi sebagai perusahaan yang dapat meningkatkan ketidakpastian pencapaian strategi Portofolio BUMN secara material.</t>
    </r>
  </si>
  <si>
    <r>
      <rPr>
        <b/>
        <sz val="11"/>
        <color theme="1"/>
        <rFont val="Arial"/>
        <family val="2"/>
      </rPr>
      <t xml:space="preserve">Kategori Risiko lainnya </t>
    </r>
    <r>
      <rPr>
        <sz val="11"/>
        <color theme="1"/>
        <rFont val="Arial"/>
        <family val="2"/>
      </rPr>
      <t>yang mencakup peristiwa Risiko yang tidak masuk dalam kedelapan kategori di atas.</t>
    </r>
  </si>
  <si>
    <t>Definisi Peristiwa Risiko dari Taksonomi Risiko Kementerian BUMN Taksonomi Risiko Kementerian BUMN Tingkat 3 (T3) mengandung 21 (dua puluh satu) Kelompok Peristiwa Risiko Agregasi sebagai berikut:</t>
  </si>
  <si>
    <r>
      <rPr>
        <b/>
        <sz val="11"/>
        <color theme="1"/>
        <rFont val="Arial"/>
        <family val="2"/>
      </rPr>
      <t>Peristiwa Risiko terkait Dividen</t>
    </r>
    <r>
      <rPr>
        <sz val="11"/>
        <color theme="1"/>
        <rFont val="Arial"/>
        <family val="2"/>
      </rPr>
      <t xml:space="preserve"> adalah peristiwa Risiko yang disebabkan oleh kegagalan dan ketidakmampuan dalam membayar dividen kepada APBN.</t>
    </r>
  </si>
  <si>
    <r>
      <rPr>
        <b/>
        <sz val="11"/>
        <color theme="1"/>
        <rFont val="Arial"/>
        <family val="2"/>
      </rPr>
      <t>Peristiwa Risiko terkait Penyertaan Modal Negara (PMN)</t>
    </r>
    <r>
      <rPr>
        <sz val="11"/>
        <color theme="1"/>
        <rFont val="Arial"/>
        <family val="2"/>
      </rPr>
      <t xml:space="preserve"> adalah peristiwa Risiko yang disebabkan oleh ketidakcukupan besaran PMN, keterlambatan pencairan dana PMN dan kegagalan pelaksanaan proyek PMN.</t>
    </r>
  </si>
  <si>
    <r>
      <rPr>
        <b/>
        <sz val="11"/>
        <color rgb="FF000000"/>
        <rFont val="Arial"/>
        <family val="2"/>
      </rPr>
      <t>Peristiwa Risiko terkait Subsidi dan Kompensasi</t>
    </r>
    <r>
      <rPr>
        <sz val="11"/>
        <color rgb="FF000000"/>
        <rFont val="Arial"/>
        <family val="2"/>
      </rPr>
      <t xml:space="preserve"> adalah peristiwa Risiko yang disebabkan oleh kekurangan, keterlambatan, dan kerugian penerimaan subsidi dan kompensasi serta ketidakmampuan merealisasikan </t>
    </r>
    <r>
      <rPr>
        <i/>
        <sz val="11"/>
        <color rgb="FF000000"/>
        <rFont val="Arial"/>
        <family val="2"/>
      </rPr>
      <t>supply</t>
    </r>
    <r>
      <rPr>
        <sz val="11"/>
        <color rgb="FF000000"/>
        <rFont val="Arial"/>
        <family val="2"/>
      </rPr>
      <t xml:space="preserve"> volume penyaluran subsidi dan kompensasi.</t>
    </r>
  </si>
  <si>
    <r>
      <rPr>
        <b/>
        <sz val="11"/>
        <color rgb="FF000000"/>
        <rFont val="Arial"/>
        <family val="2"/>
      </rPr>
      <t>Peristiwa Risiko terkait Kebijakan SDM</t>
    </r>
    <r>
      <rPr>
        <sz val="11"/>
        <color rgb="FF000000"/>
        <rFont val="Arial"/>
        <family val="2"/>
      </rPr>
      <t xml:space="preserve"> adalah peristiwa Risiko yang disebabkan oleh penerapan kebijakan pemilihan, pengangkatan dan penetapan KPI Direksi dan Dekom atau Dewan Pengawas BUMN serta kebijakan SDM BUMN yang bersifat strategis.</t>
    </r>
  </si>
  <si>
    <r>
      <rPr>
        <b/>
        <sz val="11"/>
        <color theme="1"/>
        <rFont val="Arial"/>
        <family val="2"/>
      </rPr>
      <t>Peristiwa Risiko terkait Kebijakan Sektoral</t>
    </r>
    <r>
      <rPr>
        <sz val="11"/>
        <color theme="1"/>
        <rFont val="Arial"/>
        <family val="2"/>
      </rPr>
      <t xml:space="preserve"> adalah peristiwa Risiko yang disebabkan oleh ketidakselarasan kebijakan yang dikeluarkan oleh Kementerian Teknis dan lembaga regulator yang dapat mempengaruhi ketidakpastian penerimaan atau operasi BUMN secara material.</t>
    </r>
  </si>
  <si>
    <r>
      <rPr>
        <b/>
        <sz val="11"/>
        <color theme="1"/>
        <rFont val="Arial"/>
        <family val="2"/>
      </rPr>
      <t>Peristiwa Risiko terkait Konsentrasi Portofolio</t>
    </r>
    <r>
      <rPr>
        <sz val="11"/>
        <color theme="1"/>
        <rFont val="Arial"/>
        <family val="2"/>
      </rPr>
      <t xml:space="preserve"> adalah peristiwa Risiko yang ditimbulkan oleh komposisi Portofolio BUMN yang terkonsentrasi pada industri tertentu;</t>
    </r>
  </si>
  <si>
    <r>
      <rPr>
        <b/>
        <sz val="11"/>
        <color theme="1"/>
        <rFont val="Arial"/>
        <family val="2"/>
      </rPr>
      <t>Peristiwa Risiko terkait Struktur Korporasi</t>
    </r>
    <r>
      <rPr>
        <sz val="11"/>
        <color theme="1"/>
        <rFont val="Arial"/>
        <family val="2"/>
      </rPr>
      <t xml:space="preserve"> adalah peristiwa Risiko kerugian yang ditimbulkan dari Anak Perusahaan BUMN dan/atau Perusahaan Afiliasi BUMN.</t>
    </r>
  </si>
  <si>
    <r>
      <rPr>
        <b/>
        <sz val="11"/>
        <color rgb="FF000000"/>
        <rFont val="Arial"/>
        <family val="2"/>
      </rPr>
      <t>Peristiwa Risiko terkait Penggabungan, Pengambilalihan, Peleburan, Pemisahan, Pembubaran, Likuidasi, Kemitraan, dan Restrukturisasi</t>
    </r>
    <r>
      <rPr>
        <sz val="11"/>
        <color rgb="FF000000"/>
        <rFont val="Arial"/>
        <family val="2"/>
      </rPr>
      <t xml:space="preserve"> adalah peristiwa Risiko yang disebabkan oleh transaksi aksi korporasi atas Penggabungan, Pengambilalihan, Peleburan, Pemisahan, Pembubaran, Likuidasi, Kemitraan, dan Restrukturisasi yang material yang dapat mempengaruhi posisi strategis BUMN di masa yang akan datang.</t>
    </r>
  </si>
  <si>
    <r>
      <rPr>
        <b/>
        <sz val="11"/>
        <color rgb="FF000000"/>
        <rFont val="Arial"/>
        <family val="2"/>
      </rPr>
      <t>Peristiwa Risiko terkait Formulasi Strategis</t>
    </r>
    <r>
      <rPr>
        <sz val="11"/>
        <color rgb="FF000000"/>
        <rFont val="Arial"/>
        <family val="2"/>
      </rPr>
      <t xml:space="preserve"> adalah peristiwa Risiko yang disebabkan oleh ketidakpastian kondisi BUMN dalam peta industri di mana BUMN tersebut beroperasi, termasuk ketidaktepatan arahan kebijakan strategis masing-masing BUMN yang dapat memberikan dampak yang material terhadap posisi BUMN dalam industri di mana BUMN tersebut beroperasi.</t>
    </r>
  </si>
  <si>
    <r>
      <rPr>
        <b/>
        <sz val="11"/>
        <color rgb="FF000000"/>
        <rFont val="Arial"/>
        <family val="2"/>
      </rPr>
      <t>Peristiwa Risiko terkait Pasar dan Makro Ekonomi</t>
    </r>
    <r>
      <rPr>
        <sz val="11"/>
        <color rgb="FF000000"/>
        <rFont val="Arial"/>
        <family val="2"/>
      </rPr>
      <t xml:space="preserve"> adalah peristiwa Risiko yang disebabkan oleh pergerakan-pergerakan variabel makro ekonomi global seperti pergerakan tingkat bunga referensi, pergerakan nilai tukar Rupiah, dan/atau pergerakan harga-harga komoditas yang tidak dapat dikendalikan oleh BUMN.</t>
    </r>
  </si>
  <si>
    <r>
      <rPr>
        <b/>
        <sz val="11"/>
        <color rgb="FF000000"/>
        <rFont val="Arial"/>
        <family val="2"/>
      </rPr>
      <t>Peristiwa Risiko terkait Keuangan</t>
    </r>
    <r>
      <rPr>
        <sz val="11"/>
        <color rgb="FF000000"/>
        <rFont val="Arial"/>
        <family val="2"/>
      </rPr>
      <t xml:space="preserve"> adalah peristiwa Risiko yang disebabkan oleh struktur dan akses pendanaan, terkait perpajakan, anggaran, akuntansi, piutang, pengelolaan modal kerja dan arus kas serta Risiko integritas atas penyusunan dan pelaporan keuangan.</t>
    </r>
  </si>
  <si>
    <r>
      <rPr>
        <b/>
        <sz val="11"/>
        <color rgb="FF000000"/>
        <rFont val="Arial"/>
        <family val="2"/>
      </rPr>
      <t>Peristiwa Risiko terkait Hukum, Reputasi dan Kepatuhan</t>
    </r>
    <r>
      <rPr>
        <sz val="11"/>
        <color rgb="FF000000"/>
        <rFont val="Arial"/>
        <family val="2"/>
      </rPr>
      <t xml:space="preserve"> adalah peristiwa Risiko yang disebabkan oleh tindakan dan/atau tuntutan hukum, kecurangan dalam konteks korupsi, kolusi dan nepotisme, perburukan reputasi BUMN dan ketidakpatuhan pada peraturan perundang-undangan yang berlaku yang dapat berpengaruh terhadap reputasi dan kinerja BUMN.</t>
    </r>
  </si>
  <si>
    <r>
      <rPr>
        <b/>
        <sz val="11"/>
        <color theme="1"/>
        <rFont val="Arial"/>
        <family val="2"/>
      </rPr>
      <t>Peristiwa Risiko terkait Proyek</t>
    </r>
    <r>
      <rPr>
        <sz val="11"/>
        <color theme="1"/>
        <rFont val="Arial"/>
        <family val="2"/>
      </rPr>
      <t xml:space="preserve"> yaitu peristiwa Risiko yang disebabkan oleh proyek-proyek yang dijalankan oleh BUMN mulai dari proses pemilihan proyek, pemilihan konsorsium, Risiko kontraktual proyek, Risiko eksekusi proyek dan penyelesaian proyek. Risiko ini terutama berasal dari BUMN yang memiliki sumber pendapatan yang berasal dari kontrak-kontrak jangka panjang, dan atau BUMN yang sedang menjalankan proyek jangka panjang untuk kepentingan ekspansi.</t>
    </r>
  </si>
  <si>
    <r>
      <rPr>
        <b/>
        <sz val="11"/>
        <color rgb="FF000000"/>
        <rFont val="Arial"/>
        <family val="2"/>
      </rPr>
      <t>Peristiwa Risiko terkait Teknologi Informasi dan Keamanan Siber</t>
    </r>
    <r>
      <rPr>
        <sz val="11"/>
        <color rgb="FF000000"/>
        <rFont val="Arial"/>
        <family val="2"/>
      </rPr>
      <t xml:space="preserve"> adalah Risiko yang disebabkan oleh kegagalan perangkat lunak, perangkat keras, jaringan, atau sistem teknologi informasi lainnya pada BUMN termasuk Risiko yang diakibatkan oleh serangan siber (</t>
    </r>
    <r>
      <rPr>
        <i/>
        <sz val="11"/>
        <color rgb="FF000000"/>
        <rFont val="Arial"/>
        <family val="2"/>
      </rPr>
      <t>cyber attacks</t>
    </r>
    <r>
      <rPr>
        <sz val="11"/>
        <color rgb="FF000000"/>
        <rFont val="Arial"/>
        <family val="2"/>
      </rPr>
      <t>), kehilangan data, pelanggaran privasi, manipulasi data berbahaya, dan/atau pengelolaan akses data.</t>
    </r>
  </si>
  <si>
    <r>
      <rPr>
        <b/>
        <sz val="11"/>
        <color theme="1"/>
        <rFont val="Arial"/>
        <family val="2"/>
      </rPr>
      <t>Peristiwa Risiko terkait Sosial dan Lingkungan</t>
    </r>
    <r>
      <rPr>
        <sz val="11"/>
        <color theme="1"/>
        <rFont val="Arial"/>
        <family val="2"/>
      </rPr>
      <t xml:space="preserve"> adalah potensi eksposur yang disebabkan oleh peristiwa perubahan iklim fisik, dan/atau Risiko transisi terkait perubahan kebijakan lingkungan, Risiko terkait hubungan yang tidak baik dengan komunitas/masyarakat sekitar dan </t>
    </r>
    <r>
      <rPr>
        <i/>
        <sz val="11"/>
        <color theme="1"/>
        <rFont val="Arial"/>
        <family val="2"/>
      </rPr>
      <t>social engagement</t>
    </r>
    <r>
      <rPr>
        <sz val="11"/>
        <color theme="1"/>
        <rFont val="Arial"/>
        <family val="2"/>
      </rPr>
      <t>.</t>
    </r>
  </si>
  <si>
    <r>
      <rPr>
        <b/>
        <sz val="11"/>
        <color rgb="FF000000"/>
        <rFont val="Arial"/>
        <family val="2"/>
      </rPr>
      <t>Peristiwa Risiko terkait Operasional</t>
    </r>
    <r>
      <rPr>
        <sz val="11"/>
        <color rgb="FF000000"/>
        <rFont val="Arial"/>
        <family val="2"/>
      </rPr>
      <t xml:space="preserve"> adalah potensi kerugian yang disebabkan oleh proses internal, kegagalan sistem, kecelakaan dalam kesehatan keselamatan kerja, kesalahan manusia, atau kejadian eksternal (seperti gangguan rantai pasok, logistik, dan lain sebagainya) yang mempengaruhi operasi bisnis sehari-hari.</t>
    </r>
  </si>
  <si>
    <r>
      <rPr>
        <b/>
        <sz val="11"/>
        <color theme="1"/>
        <rFont val="Arial"/>
        <family val="2"/>
      </rPr>
      <t>Peristiwa Risiko terkait Kredit</t>
    </r>
    <r>
      <rPr>
        <sz val="11"/>
        <color theme="1"/>
        <rFont val="Arial"/>
        <family val="2"/>
      </rPr>
      <t xml:space="preserve"> adalah peristiwa Risiko yang disebabkan oleh potensi debitur gagal membayar utang yang diwajibkan secara tepat waktu, yang mengakibatkan keterlambatan dan/atau penundaan pembayaran.</t>
    </r>
  </si>
  <si>
    <r>
      <rPr>
        <b/>
        <sz val="11"/>
        <color theme="1"/>
        <rFont val="Arial"/>
        <family val="2"/>
      </rPr>
      <t>Peristiwa Risiko terkait Likuiditas</t>
    </r>
    <r>
      <rPr>
        <sz val="11"/>
        <color theme="1"/>
        <rFont val="Arial"/>
        <family val="2"/>
      </rPr>
      <t xml:space="preserve"> adalah Risiko ketidakmampuan Bank BUMN untuk memenuhi kewajiban yang jatuh tempo dari sumber pendanaan arus kas dan/atau dari aset likuid yang dapat dengan mudah dikonversi menjadi kas, tanpa mengganggu aktivitas dan kondisi keuangan Bank BUMN.</t>
    </r>
  </si>
  <si>
    <r>
      <rPr>
        <b/>
        <sz val="11"/>
        <color rgb="FF000000"/>
        <rFont val="Arial"/>
        <family val="2"/>
      </rPr>
      <t>Peristiwa Risiko terkait Investasi</t>
    </r>
    <r>
      <rPr>
        <sz val="11"/>
        <color rgb="FF000000"/>
        <rFont val="Arial"/>
        <family val="2"/>
      </rPr>
      <t xml:space="preserve"> adalah kemungkinan kerugian atau terganggunya likuiditas Perusahaan, akibat dari aktivitas investasi, yang disebabkan terdapat </t>
    </r>
    <r>
      <rPr>
        <i/>
        <sz val="11"/>
        <color rgb="FF000000"/>
        <rFont val="Arial"/>
        <family val="2"/>
      </rPr>
      <t>concentration risk, default risk, settlement risk, general market risk,</t>
    </r>
    <r>
      <rPr>
        <sz val="11"/>
        <color rgb="FF000000"/>
        <rFont val="Arial"/>
        <family val="2"/>
      </rPr>
      <t xml:space="preserve"> atau </t>
    </r>
    <r>
      <rPr>
        <i/>
        <sz val="11"/>
        <color rgb="FF000000"/>
        <rFont val="Arial"/>
        <family val="2"/>
      </rPr>
      <t>specific market risk</t>
    </r>
    <r>
      <rPr>
        <sz val="11"/>
        <color rgb="FF000000"/>
        <rFont val="Arial"/>
        <family val="2"/>
      </rPr>
      <t>, Risiko konsentrasi investasi (kurangnya diversifikasi/akumulasi Risiko dalam buku penjaminan/</t>
    </r>
    <r>
      <rPr>
        <i/>
        <sz val="11"/>
        <color rgb="FF000000"/>
        <rFont val="Arial"/>
        <family val="2"/>
      </rPr>
      <t>underwriting</t>
    </r>
    <r>
      <rPr>
        <sz val="11"/>
        <color rgb="FF000000"/>
        <rFont val="Arial"/>
        <family val="2"/>
      </rPr>
      <t>), investasi, dan lain-lain;</t>
    </r>
  </si>
  <si>
    <r>
      <rPr>
        <b/>
        <sz val="11"/>
        <color rgb="FF000000"/>
        <rFont val="Arial"/>
        <family val="2"/>
      </rPr>
      <t>Peristiwa Risiko terkait Aktuarial</t>
    </r>
    <r>
      <rPr>
        <sz val="11"/>
        <color rgb="FF000000"/>
        <rFont val="Arial"/>
        <family val="2"/>
      </rPr>
      <t xml:space="preserve"> adalah potensi kegagalan Perusahaan untuk memenuhi kewajiban kepada pemegang polis, akibat kelemahan aktivitas aktuaria, yang disebabkan ketidakakuratan asumsi aktuaria/modelling yang digunakan, ketidakcukupan premi/ kontribusi yang ditetapkan, ketidakcukupan pembentukan cadangan teknis, atau volatilitas yang tidak terduga dalam faktor-faktor utama (seperti perubahan demografi, bencana luar biasa, tingkat kematian, tingkat harapan hidup, tingkat kecacatan, biaya kesehatan, biaya operasional, dan sebagainya).</t>
    </r>
  </si>
  <si>
    <r>
      <rPr>
        <b/>
        <sz val="11"/>
        <color theme="1"/>
        <rFont val="Arial"/>
        <family val="2"/>
      </rPr>
      <t>Peristiwa Risiko lainnya</t>
    </r>
    <r>
      <rPr>
        <sz val="11"/>
        <color theme="1"/>
        <rFont val="Arial"/>
        <family val="2"/>
      </rPr>
      <t xml:space="preserve"> adalah peristiwa Risiko yang tidak masuk dalam 20 kategori di atas.</t>
    </r>
  </si>
  <si>
    <t>PETUNJUK PENGISIAN DATA PERENCANAAN KEUANGAN 
PADA SIM KBUMN MELALUI PLATFORM ANAPLAN</t>
  </si>
  <si>
    <t>Petunjuk Pengisian RKAP</t>
  </si>
  <si>
    <t>Pada bagian homepage, tekan menu Home dan pilih Apps.</t>
  </si>
  <si>
    <t>Buka Apps [PROD] KBUMN - Financial Reporting, Consolidation &amp; Planning.</t>
  </si>
  <si>
    <t>Pada tampilan Apps yang telah dibuka, pilih menu 20. Home – Financial Planning RKAP RJPP.</t>
  </si>
  <si>
    <t>Pada tampilan Navigation Pane, pilih 10. Corporate Annual Planning and Budgeting.</t>
  </si>
  <si>
    <t xml:space="preserve">Isi data Posisi Keuangan Aset Lancar (IDR dalam Juta). </t>
  </si>
  <si>
    <t>a</t>
  </si>
  <si>
    <t>Pilih BUMN yang akan diinput.</t>
  </si>
  <si>
    <t>b</t>
  </si>
  <si>
    <t>Pastikan data keuangan yang diinput sesuai dengan periode posisi keuangan yang dimaksud.</t>
  </si>
  <si>
    <t>Contoh:
Q4 FY22: Prognosa 2022 (Jan-Des)
Q1 FY23 – Q4 FY23: RKAP 2023 (YTD untuk setiap quarter)
Q4 FY24: RJPP 2024 (Jan-Des)
Q4 FY25: RJPP 2025 (Jan-Des)</t>
  </si>
  <si>
    <t>c</t>
  </si>
  <si>
    <t>Input data keuangan sesuai dengan akun MSOE dan periode keuangan yang dimaksud.</t>
  </si>
  <si>
    <t>d</t>
  </si>
  <si>
    <t>Menunjukkan data historis (jika kosong maka menunjukkan data historis dengan saldo 0/tidak ada).</t>
  </si>
  <si>
    <t>e</t>
  </si>
  <si>
    <t>Pastikan total Aset Lancar sesuai dengan yang diinput.</t>
  </si>
  <si>
    <t>Isi data Posisi Keuangan Aset Lembaga Keuangan dan Investasi Surat Berharga (IDR dalam Juta).</t>
  </si>
  <si>
    <t>Pastikan total Aset Lembaga Keuangan dan Investasi Surat Berharga sesuai dengan yang diinput.</t>
  </si>
  <si>
    <t xml:space="preserve">Isi data Posisi Keuangan Aset Tidak Lancar (IDR dalam Juta). </t>
  </si>
  <si>
    <t>Contoh :
Q4 FY22: Prognosa 2022 (Jan-Des)
Q1 FY23 – Q4 FY23: RKAP 2023 (YTD untuk setiap quarter)
Q4 FY24: RJPP 2024 (Jan-Des)
Q4 FY25: RJPP 2025 (Jan-Des)</t>
  </si>
  <si>
    <t>Pastikan total Aset Tidak Lancar dan Total Aset sesuai dengan yang diinput; Total Aset = Aset Lancar + Aset Lembaga Keuangan + Aset Tidak Lancar.</t>
  </si>
  <si>
    <t xml:space="preserve">Isi data Posisi Keuangan Liabilitas Jangka Pendek (IDR dalam Juta). </t>
  </si>
  <si>
    <t>a.      Pastikan data keuangan yang diinput sesuai dengan periode posisi keuangan yang dimaksud.</t>
  </si>
  <si>
    <t>b.      Input data keuangan sesuai dengan akun MSOE dan periode keuangan yang dimaksud.</t>
  </si>
  <si>
    <t>c.      Menunjukkan data historis (jika kosong maka menunjukkan data historis dengan saldo 0/tidak ada).</t>
  </si>
  <si>
    <t>d.      Pastikan total Liabilitas Jangka Pendek sesuai dengan yang diinput.</t>
  </si>
  <si>
    <t xml:space="preserve">Isi data Posisi Keuangan Liabilitas Lembaga Keuangan (IDR dalam Juta). </t>
  </si>
  <si>
    <t>d.      Pastikan total Liabilitas Lembaga Keuangan sesuai dengan yang diinput.</t>
  </si>
  <si>
    <t>10     </t>
  </si>
  <si>
    <t xml:space="preserve"> Isi data Posisi Keuangan Liabilitas Jangka Panjang (IDR dalam Juta). </t>
  </si>
  <si>
    <t>d.      Pastikan total Liabilitas Jangka Panjang dan Total Liabilitas sesuai dengan yang diinput; Total Liabilitas = Liabilitas Jangka Pendek + Liabilitas Lembaga Keuangan + Liabilitas Jangka Panjang.</t>
  </si>
  <si>
    <t xml:space="preserve"> Isi data Posisi Keuangan Ekuitas (IDR dalam Juta).</t>
  </si>
  <si>
    <t>d.      Pastikan total Ekuitas sesuai dengan yang diinput. Pastikan pula Aset – (Liabilitas + Ekuitas) = 0.</t>
  </si>
  <si>
    <t>Isi data Posisi Keuangan Pendapatan Usaha (IDR dalam Juta).</t>
  </si>
  <si>
    <t>d.      Pastikan total Pendapatan Usaha sesuai dengan yang diinput.</t>
  </si>
  <si>
    <t xml:space="preserve">Isi data Posisi Keuangan Beban Pokok Pendapatan (IDR dalam Juta). </t>
  </si>
  <si>
    <t>d.     Pastikan total Beban Pokok Pendapatan dan Laba Kotor sesuai dengan yang diinput; Laba Kotor = Pendapatan Usaha – Beban Pokok Pendapatan.</t>
  </si>
  <si>
    <t xml:space="preserve">Isi data Posisi Keuangan Beban Usaha (IDR dalam Juta). </t>
  </si>
  <si>
    <t>d.      Pastikan total Beban Usaha dan Laba Usaha sesuai dengan yang diinput; Laba Usaha = Laba Kotor – Beban Usaha.</t>
  </si>
  <si>
    <t xml:space="preserve">Isi data Posisi Keuangan Pendapatan dan Beban Non Usaha (IDR dalam Juta). </t>
  </si>
  <si>
    <t>d.      Pastikan total Pendapatan dan Beban Non Usaha dan Laba Bersih sesuai dengan yang diinput; Laba Bersih = Laba Usaha – Pendapatan dan Beban Non Usaha.</t>
  </si>
  <si>
    <t xml:space="preserve">Isi data Posisi Keuangan Depresiasi dan Amortisasi di Beban Pokok (IDR dalam Juta). </t>
  </si>
  <si>
    <t>b.      Input data Depresiasi dan Amortisasi di Beban Pokok (untuk keperluan menghitung EBITDA) sesuai dengan periode waktu yang dimaksud.</t>
  </si>
  <si>
    <t xml:space="preserve"> Isi data Posisi Keuangan Arus Kas (IDR dalam Juta). </t>
  </si>
  <si>
    <t>c.      Pastikan total Sanity Check = 0, dimana Sanity Check yaitu: Kas dan Bank Pada Akhir Tahun = Kas dan Bank pada Awal Tahun + Kenaikan Kas dan Bank + Pengaruh Selisih Kurs.</t>
  </si>
  <si>
    <t>B</t>
  </si>
  <si>
    <t xml:space="preserve">Petunjuk Pengisian Data Target Dividen </t>
  </si>
  <si>
    <t>1.      Input Saldo laba yang di cadangkan pada retained earnings per akhir Desember tahun sebelumnya.</t>
  </si>
  <si>
    <t>2.      Input Saldo Modal yang ditempatkan dan disetor per akhir Desember tahun sebelumnya.</t>
  </si>
  <si>
    <t>3.      Persentase cadangan saldo laba tahun sebelumnya = Saldo laba yang di cadangkan pada retained earnings per akhir Desember tahun sebelumnya ÷ Saldo modal yang ditempatkan dan disetor per akhir Desember tahun sebelumnya: c = a ÷ b.</t>
  </si>
  <si>
    <t>4.      Input Persentase saham RI.</t>
  </si>
  <si>
    <t>5.      Input Pay Out Ratio (POR).</t>
  </si>
  <si>
    <t>6.      Total Dividen = Laba bersih tahun sebelumnya × POR.</t>
  </si>
  <si>
    <t>7.      Dividen ke RI = Total Dividen × Persentase saham RI.</t>
  </si>
  <si>
    <t>8.      Jika telah selesai menginput data Corporate Annual Planning and Budgeting, klik 20. CAPEX Planning untuk input data selanjutnya.</t>
  </si>
  <si>
    <t xml:space="preserve">Petunjuk Pengisian Data Perencanaan CAPEX </t>
  </si>
  <si>
    <t>1.      Pilih BUMN dan Periode Isian data</t>
  </si>
  <si>
    <t>a.      Pilih BUMN yang akan diinput.</t>
  </si>
  <si>
    <t>b.      Pilih periode pengisian waktu. Pastikan pilih FY23_Final_Version_BUMN.</t>
  </si>
  <si>
    <t>2.      Isi data CAPEX</t>
  </si>
  <si>
    <t>a.      Isi data CAPEX melalui Upload file CSV:</t>
  </si>
  <si>
    <t xml:space="preserve">1)     Klik Upload Capex Data Via CSV </t>
  </si>
  <si>
    <t>2)     Klik Choose File untuk upload</t>
  </si>
  <si>
    <t>3)     Klik Run Process</t>
  </si>
  <si>
    <t xml:space="preserve">Detail Step 2a: Isi data CAPEX melalui Upload file CSV </t>
  </si>
  <si>
    <t>Langkah dalam mempersiapkan file CAPEX yang akan diupload, yaitu:</t>
  </si>
  <si>
    <t>-     Isi data pada Sheet1</t>
  </si>
  <si>
    <t>1)     Project code = merupakan rumus/formula</t>
  </si>
  <si>
    <t>2)     Version = Disesuaikan dengan periode dan versi bersangkutan</t>
  </si>
  <si>
    <t>3)     Name of Capex = Nama Capex</t>
  </si>
  <si>
    <t>4)     Characteristic terdapat tiga pilihan, yaitu</t>
  </si>
  <si>
    <t>Project Capex</t>
  </si>
  <si>
    <t>: Capex baru yang belum pernah dilaksanakan (Pembangunan Gedung Baru)</t>
  </si>
  <si>
    <t>Maintenance Capex</t>
  </si>
  <si>
    <t>: Pemeliharaan aset tetap lama</t>
  </si>
  <si>
    <t>Expansion Capex</t>
  </si>
  <si>
    <t>: Penambahan nilai aset tetap lama, misalnya penambahan tingkatan lantai baru pada gedung lama</t>
  </si>
  <si>
    <t>5)     Asset Type terdapat beberapa pilihan, yaitu</t>
  </si>
  <si>
    <t>Land</t>
  </si>
  <si>
    <t>: Tanah</t>
  </si>
  <si>
    <t>Building</t>
  </si>
  <si>
    <t>: Bangunan</t>
  </si>
  <si>
    <t>Factory</t>
  </si>
  <si>
    <t>: Pabrik</t>
  </si>
  <si>
    <t>Machinery, Plants &amp; Equipment</t>
  </si>
  <si>
    <t>: Mesin, Pembangkit, &amp; Perlengkapan</t>
  </si>
  <si>
    <t>Vehicles</t>
  </si>
  <si>
    <t>: Kendaraan</t>
  </si>
  <si>
    <t>IT Equipment</t>
  </si>
  <si>
    <t>: Perlengkapan TI</t>
  </si>
  <si>
    <t>Other Tangible Aset</t>
  </si>
  <si>
    <t>: Aset Tetap Lainnya</t>
  </si>
  <si>
    <t>Concessions</t>
  </si>
  <si>
    <t>: Konsesi</t>
  </si>
  <si>
    <t>Mining, Oil &amp; Gas Assets</t>
  </si>
  <si>
    <t>: Aset Minyak dan Gas</t>
  </si>
  <si>
    <t>Other Intangible Assets</t>
  </si>
  <si>
    <t>: Aset Tak Berwujud Lainnya</t>
  </si>
  <si>
    <t>6)     Asset Useful Life</t>
  </si>
  <si>
    <t>7)     Depreciation Start Year</t>
  </si>
  <si>
    <t>8)     Allocation of Depreciation terdapat dua pilihan yaitu</t>
  </si>
  <si>
    <t>Direct Cost</t>
  </si>
  <si>
    <t>: Beban Pokok Pendapatan</t>
  </si>
  <si>
    <t>Operating Cost</t>
  </si>
  <si>
    <t>: Beban Umum dan Administrasi</t>
  </si>
  <si>
    <t>9)     Source of Funds terdapat dua pilihan yaitu</t>
  </si>
  <si>
    <t>General</t>
  </si>
  <si>
    <t>: Pendanaan Internal</t>
  </si>
  <si>
    <t>Project Funding</t>
  </si>
  <si>
    <t>: Pinjaman/PMN</t>
  </si>
  <si>
    <t>10)   Justification = Keterangan</t>
  </si>
  <si>
    <t>-     Save as Sheet1 ke dalam CSV file format. Format file untuk diupload merupakan format CSV dan hanya bisa terdapat 1 sheet.</t>
  </si>
  <si>
    <t>b.      Isi data CAPEX dengan input melalui form:</t>
  </si>
  <si>
    <t>1)     Klik Add CAPEX Items</t>
  </si>
  <si>
    <t xml:space="preserve">2)     Isi Form (tanda * menunjukkan wajib untuk diisi) </t>
  </si>
  <si>
    <t>3)     Klik Submit</t>
  </si>
  <si>
    <t>3.      Review data CAPEX yang telah diinput</t>
  </si>
  <si>
    <t>a.      Menunjukkan data yang telah diupload atau diinput</t>
  </si>
  <si>
    <t>b.      Untuk menghapus CAPEX:</t>
  </si>
  <si>
    <t>1)     Pilih item CAPEX/baris yang akan dihapus</t>
  </si>
  <si>
    <t>2)     Klik Delete Selected Project(s)</t>
  </si>
  <si>
    <t xml:space="preserve"> Isi data CAPEX Cost Projection (IDR dalam Juta) </t>
  </si>
  <si>
    <t>a.      Pastikan data keuangan yang diinput sesuai dengan periode posisi keuangan yang dimaksud</t>
  </si>
  <si>
    <t>FY23</t>
  </si>
  <si>
    <t>FY24 (jika multi years)</t>
  </si>
  <si>
    <t>FY25 (jika multi years)</t>
  </si>
  <si>
    <t>b.      Input Spend dan Funding setiap CAPEX sesuai dengan periode. Pastikan Sanity Check = 0 dimana Sanity Check = Capex Spend – (Debt Funding + Internal Funding + PMN Funding)</t>
  </si>
  <si>
    <t>Tick periode yang sudah selesai diinput</t>
  </si>
  <si>
    <t>ILUSTRASI CONTOH PERHITUNGAN AMBANG RISIKO 
DAN POLA INTEGRASI RISIKO</t>
  </si>
  <si>
    <t>Terdapat sebuah perusahaan manufaktur yang melakukan perhitungan Risiko dan proses integrasi Risiko sebagi berikut:</t>
  </si>
  <si>
    <t>Strategi Risiko (Penetapan Ambang Batas Risiko)</t>
  </si>
  <si>
    <t>Perusahaan Manufaktur A menggunakan data historis realisasi 3-5 tahun terakhir dan data RKAP 202X sebagai acuan dalam menentukan Kapasitas Risiko, Selera Risiko, Toleransi Risiko, dan Limit Risiko Tahun 202X. Untuk memudahkan pemahaman, berikut adalah ilustrasi data finansial RKAP Tahun 2023 (data dummy) untuk menghitung Kapasitas Risiko, Selera Risiko, Toleransi Risiko, dan Limit Risiko Tahun 2023.</t>
  </si>
  <si>
    <t>Tabel Neraca RKAP Tahun 2023 (USD Juta)</t>
  </si>
  <si>
    <t xml:space="preserve">Aset lancar </t>
  </si>
  <si>
    <t>Liabilitas jangka pendek</t>
  </si>
  <si>
    <t xml:space="preserve">Aset tidak lancar  </t>
  </si>
  <si>
    <t>Liabilitas jangka panjang</t>
  </si>
  <si>
    <t>Ekuitas</t>
  </si>
  <si>
    <t xml:space="preserve">Total Aset </t>
  </si>
  <si>
    <t>Total Liabilitas &amp; Ekuitas</t>
  </si>
  <si>
    <t>Tabel  Laba Rugi RKAP Tahun 2023 (USD Juta)</t>
  </si>
  <si>
    <t>Pendapatan</t>
  </si>
  <si>
    <t>HPP</t>
  </si>
  <si>
    <t>Laba kotor</t>
  </si>
  <si>
    <t>Biaya administrasi dan lain-lain</t>
  </si>
  <si>
    <t>Laba bersih sebelum pajak</t>
  </si>
  <si>
    <t>Pajak</t>
  </si>
  <si>
    <t>Laba bersih setelah pajak</t>
  </si>
  <si>
    <t>Berdasarkan data di atas, dilakukan perhitungan ambang Risiko sebagai berikut:</t>
  </si>
  <si>
    <t xml:space="preserve">1.    </t>
  </si>
  <si>
    <t xml:space="preserve">Kapasitas Risiko </t>
  </si>
  <si>
    <t>Perusahaan Manufaktur A menggunakan pendekatan Net Working Capital (NWC) dalam menghitung Kapasitas Risiko, sehingga nilai Kapasitas Risiko Perusahaan Manufaktur A Tahun 2023 dapat dhitung sebagai berikut:</t>
  </si>
  <si>
    <t>Aset Lancar</t>
  </si>
  <si>
    <t>USD 30.000 juta</t>
  </si>
  <si>
    <t>Liabilitas Jangka Pendek</t>
  </si>
  <si>
    <t>USD 25.000 juta</t>
  </si>
  <si>
    <t>Kapasitas Risiko / Net Working Capital</t>
  </si>
  <si>
    <t>USD   5.000 juta</t>
  </si>
  <si>
    <t xml:space="preserve">2.    </t>
  </si>
  <si>
    <t xml:space="preserve">Selera Risiko </t>
  </si>
  <si>
    <t>Dalam menetapkan Selera Risiko, terdapat beberapa pendekatan yang dijadikan sebagai acuan, di antaranya:</t>
  </si>
  <si>
    <t>a    </t>
  </si>
  <si>
    <t xml:space="preserve">Judgement atau pertimbangan manajemen; </t>
  </si>
  <si>
    <t xml:space="preserve"> b     </t>
  </si>
  <si>
    <t>Data historis realisasi loss event selama 3 – 5 tahun terakhir;</t>
  </si>
  <si>
    <t xml:space="preserve"> c     </t>
  </si>
  <si>
    <t>Data historis nilai eksposur Risiko Residual dari Risiko Utama dengan Kapasitas Risiko atau disebut dengan Total Capacity at Risk 3 – 5 tahun terakhir</t>
  </si>
  <si>
    <t>Sebagai contoh, berikut adalah ilustrasi Selera Risiko yang diperoleh dari data historis nilai eksposur Risiko Residual dari Risiko Utama dengan Kapasitas Risiko atau disebut dengan Total Capacity at Risk selama 5 tahun terakhir.</t>
  </si>
  <si>
    <t>Tabel Ilustrasi Perhitungan Total Capacity at Risk Perusahaan Manufaktur A</t>
  </si>
  <si>
    <t>Tahun</t>
  </si>
  <si>
    <t>Total Realisasi Nilai Eksposur Risiko Residual dari Risiko Utama 
(USD juta)</t>
  </si>
  <si>
    <t>Kapasitas Risiko
(USD juta)</t>
  </si>
  <si>
    <t>% Nilai Eksposur Risiko Residual terhadap Kapasitas Risiko</t>
  </si>
  <si>
    <t>(a)</t>
  </si>
  <si>
    <t>(b)</t>
  </si>
  <si>
    <t>(c=a/b*100%)</t>
  </si>
  <si>
    <t>Rata-rata</t>
  </si>
  <si>
    <t xml:space="preserve">Berdasarkan data historis di atas, diperoleh rata-rata Total Capacity at Risk sebesar 15% dan maksimum Total Capacity at Risk sebesar 20%, sehingga disusun level Selera Risiko sebagai berikut: </t>
  </si>
  <si>
    <t>Tabel Level Selera Risiko Perusahaan Manufaktur A</t>
  </si>
  <si>
    <t xml:space="preserve">Range </t>
  </si>
  <si>
    <r>
      <t>Level</t>
    </r>
    <r>
      <rPr>
        <i/>
        <sz val="10"/>
        <color rgb="FFFFFFFF"/>
        <rFont val="Arial"/>
        <family val="2"/>
      </rPr>
      <t xml:space="preserve"> </t>
    </r>
    <r>
      <rPr>
        <sz val="10"/>
        <color rgb="FFFFFFFF"/>
        <rFont val="Arial"/>
        <family val="2"/>
      </rPr>
      <t>Selera Risiko</t>
    </r>
  </si>
  <si>
    <t>&lt;15% dari Kapasitas Risiko</t>
  </si>
  <si>
    <r>
      <t xml:space="preserve"> </t>
    </r>
    <r>
      <rPr>
        <sz val="10"/>
        <color theme="1"/>
        <rFont val="Arial"/>
        <family val="2"/>
      </rPr>
      <t>Konservatif</t>
    </r>
  </si>
  <si>
    <t xml:space="preserve">15% ≤ Kapasitas Risiko ≤ 20% </t>
  </si>
  <si>
    <r>
      <t>&gt;20% dari Kapasitas Risiko</t>
    </r>
    <r>
      <rPr>
        <sz val="8"/>
        <color theme="1"/>
        <rFont val="Arial"/>
        <family val="2"/>
      </rPr>
      <t> </t>
    </r>
  </si>
  <si>
    <t>Strategis</t>
  </si>
  <si>
    <t>Mengacu pada tabel di atas dan berdasarkan pertimbangan manajemen, Perusahaan Manufaktur A menetapkan kebijakan Selera Risiko Tahun 2023 berada di level moderat, yaitu sebesar 15%-20% atau senilai USD 750 juta - USD 1.000 juta.</t>
  </si>
  <si>
    <t xml:space="preserve">3.    </t>
  </si>
  <si>
    <t xml:space="preserve">Toleransi Risiko </t>
  </si>
  <si>
    <t>Dari range Selera Risiko Moderat tersebut di atas, manajemen menetapkan Toleransi Risiko sebesar 10% di atas Selera Risiko atau sebesar USD 1.100 juta, sehingga diperoleh profil perhitungan Toleransi Risiko sebagai berikut:</t>
  </si>
  <si>
    <t>Tabel Toleransi Risiko Perusahaan Manufaktur A</t>
  </si>
  <si>
    <t>Kapasitas Risiko</t>
  </si>
  <si>
    <t>Modal Kerja Bersih (NWC)</t>
  </si>
  <si>
    <t>USD 5.000 juta</t>
  </si>
  <si>
    <t>Selera Risiko</t>
  </si>
  <si>
    <t>15% - 20% dari NWC</t>
  </si>
  <si>
    <t>USD 750 – 1.000 juta</t>
  </si>
  <si>
    <t>Toleransi Risiko</t>
  </si>
  <si>
    <t>22% dari NWC</t>
  </si>
  <si>
    <t>USD 1.100 juta</t>
  </si>
  <si>
    <t xml:space="preserve">4.    </t>
  </si>
  <si>
    <t xml:space="preserve">Limit Risiko </t>
  </si>
  <si>
    <t xml:space="preserve">Limit Risiko pada Perusahaan Manufaktur A disebut Batas Toleransi Risiko (BTR), yang terdiri atas 2 jenis yaitu BTR Ongoing Business dan BTR Pasar. BTR Ongoing Business digunakan sebagai acuan dalam pengelolaan Risiko yang melingkupi serangkaian kegiatan Perusahaan yang berjalan secara rutin sesuai dengan proses bisnis Perusahaan berdasarkan prinsip kelangsungan usaha (going concern). Sedangkan BTR Pasar digunakan sebagai buffer tambahan untuk melindungi dari volatilitas kondisi pasar yang cenderung di luar kendali perusahaan. </t>
  </si>
  <si>
    <t xml:space="preserve">a    </t>
  </si>
  <si>
    <t>BTR Ongoing Business</t>
  </si>
  <si>
    <t xml:space="preserve">1)    </t>
  </si>
  <si>
    <t>Perhitungan BTR Ongoing Business dapat menggunakan metode regresi logistik untuk menentukan bobot Risiko berdasarkan karakteristik unit bisnis atau variabel-variabel yang dapat mempengaruhi pencapaian laba bersih entitas. Penentuan bobot Risiko dalam prosentase (%) dengan metode Regresi Logistik dapat dijabarkan secara singkat sebagai berikut:</t>
  </si>
  <si>
    <t>Diagram Penjelasan Input-Process-Output BTR Ongoing Business</t>
  </si>
  <si>
    <t xml:space="preserve">2)    </t>
  </si>
  <si>
    <t>Data prosentase (%) bobot Risiko tersebut digunakan untuk menghitung nilai BTR Ongoing Business seluruh entitas dengan gambaran sebagai berikut:</t>
  </si>
  <si>
    <t>Diagram Ilustrasi Perhitungan BTR Ongoing Business</t>
  </si>
  <si>
    <t xml:space="preserve">b    </t>
  </si>
  <si>
    <t>Perhitungan nilai BTR Pasar dapat menggunakan metode VaR – Exponentially Weighted Moving Average (EWMA) dengan penjelasan singkat sebagai berikut:</t>
  </si>
  <si>
    <t>Diagram Ilustrasi Perhitungan BTR Pasar</t>
  </si>
  <si>
    <t>Masing-masing BTR dihitung berdasarkan nilai Value at Risk (VaR) dikalikan dengan nilai eksposur kebutuhan dari masing-masing BTR.</t>
  </si>
  <si>
    <t xml:space="preserve">Lebih lanjut, misalnya yang dihitung adalah BTR Pasar Exchange Rate atau terkait Valuta Asing, maka data yang dibutuhkan adalah: </t>
  </si>
  <si>
    <t xml:space="preserve">a)    </t>
  </si>
  <si>
    <t>Data historis terkini atas nilai tukar rupiah harian menggunakan kurs tengah, sekurang-kurangnya 501 data harian historis. Jenis valuta uang asing dapat disesuaikan dengan kebutuhan sesuai konteks Risiko yang akan diukur.</t>
  </si>
  <si>
    <t xml:space="preserve">b)    </t>
  </si>
  <si>
    <t>Data eksposur Risiko berdasarkan RKAP periode tahun yang sama dengan Risiko yang diukur. Data eksposur dapat berupa data rencana pembelian valuta asing.</t>
  </si>
  <si>
    <t xml:space="preserve">3)    </t>
  </si>
  <si>
    <t>Hitung nilai VaR 1 hari dengan mengacu pada data-data yang telah tersedia yaitu: rencana pembelian valas (rata-rata per hari), Standar Deviasi EWMA, Skewness, serta Alpha Distribusi Normal dan Alpha Distribusi Tidak Normal dengan menggunakan asumsi confidence level 95%.</t>
  </si>
  <si>
    <t xml:space="preserve">4)    </t>
  </si>
  <si>
    <t>Setelah diperoleh nilai VaR Valas dalam 1 hari, maka hitung nilai VaR dalam 1 bulan. Hitung nilai VaR masing-masing bulan selama 1 tahun, lalu jumlahkan seluruh nilai VaR.</t>
  </si>
  <si>
    <t xml:space="preserve">5)    </t>
  </si>
  <si>
    <t>Nilai BTR Pasar Valas merupakan hasil penjumlahan nilai VaR bulanan selama 1 tahun.</t>
  </si>
  <si>
    <t xml:space="preserve">c    </t>
  </si>
  <si>
    <t xml:space="preserve">Setelah diperoleh nilai BTR Ongoing Business dan BTR Pasar, pastikan total nilai BTR Ongoing Business dan total nilai BTR Pasar dalam USD dari seluruh entitas tidak melebihi nilai Toleransi Risiko. Apabila masih melebihi, maka lakukan penyesuaian nilai acuan. </t>
  </si>
  <si>
    <t xml:space="preserve">d    </t>
  </si>
  <si>
    <r>
      <t>Dalam contoh ilustrasi di atas, misalnya diperoleh BTR Pasar sebesar USD 200 juta dan nilai BTR Ongoing Business sebesar USD 300 juta, maka total BTR Pasar dan BTR Ongoing Business adalah sebesar</t>
    </r>
    <r>
      <rPr>
        <b/>
        <sz val="11"/>
        <color theme="1"/>
        <rFont val="Arial"/>
        <family val="2"/>
      </rPr>
      <t xml:space="preserve"> USD 500 Juta</t>
    </r>
    <r>
      <rPr>
        <sz val="11"/>
        <color theme="1"/>
        <rFont val="Arial"/>
        <family val="2"/>
      </rPr>
      <t xml:space="preserve"> atau lebih rendah dari nilai Toleransi Risiko sebesar USD 1.100 juta, sehingga nilai tersebut dapat digunakan sebagai acuan karena nilai tersebut tidak melebihi Toleransi Risiko berdasarkan Risk Appetite Perusahaan.</t>
    </r>
  </si>
  <si>
    <t xml:space="preserve">B.    </t>
  </si>
  <si>
    <t>Perhitungan Nilai BTR sebagai batasan Risiko dalam kriteria Dampak</t>
  </si>
  <si>
    <t>Kriteria Dampak Perusahaan Manufaktur A dikategorikan menjadi 2 (dua), yaitu Dampak kuantitatif dan Dampak kualitatif. Tabel kriteria Dampak kuantitatif digunakan untuk mengukur skala Dampak atas Risiko-Risiko yang memiliki Dampak finansial secara langsung terhadap pencapaian target laba perusahaan, sedangkan tabel kriteria Dampak kualitatif digunakan untuk mengukur skala Dampak atas Risiko-Risiko yang tidak memiliki Dampak finansial secara langsung terhadap pencapaian target laba perusahaan.</t>
  </si>
  <si>
    <t>Perhitungan skala Dampak kuantitatif mengacu pada nilai BTR masing-masing entitas Induk dan Anak Perusahaan. Sesuai dengan ilustrasi di atas, nilai BTR Ongoing Business pada Anper A adalah sebesar USD 100 juta, maka tabel kriteria Dampak kuantitatifnya dapat dihitung sebagai berikut:</t>
  </si>
  <si>
    <t>Tabel Kriteria Dampak Kuantitatif untuk Risiko Ongoing Business Anper A 
(Nilai BTR Ongoing Business Anper A USD 100 juta1)</t>
  </si>
  <si>
    <t>Range %*</t>
  </si>
  <si>
    <t>Range Nilai*</t>
  </si>
  <si>
    <t>Dampak Finansial ≤ 20% dari BTR</t>
  </si>
  <si>
    <t>Dampak Finansial ≤ USD 20 juta</t>
  </si>
  <si>
    <t xml:space="preserve">20% dari BTR
&lt; Dampak Finansial ≤ 40% dari BTR </t>
  </si>
  <si>
    <t>USD 20 juta &lt; Dampak Finansial ≤ USD 40 juta</t>
  </si>
  <si>
    <t xml:space="preserve">40% dari BTR
&lt; Dampak Finansial ≤ 60% dari BTR </t>
  </si>
  <si>
    <t>USD 40 juta &lt; Dampak Finansial ≤ USD 60 juta</t>
  </si>
  <si>
    <t xml:space="preserve">60% dari BTR
&lt; Dampak Finansial ≤ 80% dari BTR </t>
  </si>
  <si>
    <t>USD 60 juta &lt; Dampak Finansial ≤ USD 80 juta</t>
  </si>
  <si>
    <t>Dampak Finansial &gt; 80% dari BTR</t>
  </si>
  <si>
    <t>Dampak Finansial &gt; USD 240 juta</t>
  </si>
  <si>
    <t>*)Catatan:</t>
  </si>
  <si>
    <t>•     </t>
  </si>
  <si>
    <t>Untuk Risiko Ongoing Business menggunakan BTR Ongoing Business, sedangkan Risiko pasar menggunakan BTR Ongoing Business + BTR Pasar</t>
  </si>
  <si>
    <t xml:space="preserve">•      </t>
  </si>
  <si>
    <t>Interval range per kriteria dampak didapatkan dari 100% dibagi 5 (skala)</t>
  </si>
  <si>
    <t>Range nilai didapatkan dari % range dikalikan dengan BTR (misalnya 20% * USD 100 juta)</t>
  </si>
  <si>
    <t>Sedangkan tabel perhitungan dampak kuantitatif untuk Perusahaan Manufaktur A secara Korporat dihitung dengan menjumlah seluruh BTR Ongoing Business dan BTR Pasar sebagai berikut:</t>
  </si>
  <si>
    <t>Tabel Kriteria Dampak Kuantitatif Perusahaan Manufaktur A</t>
  </si>
  <si>
    <t>Range %</t>
  </si>
  <si>
    <t>Range Nilai</t>
  </si>
  <si>
    <t>Dampak Finansial ≤ USD 100 juta</t>
  </si>
  <si>
    <t>20% dari BTR</t>
  </si>
  <si>
    <t>USD 100 juta &lt; Dampak Finansial ≤ USD 200 juta</t>
  </si>
  <si>
    <t xml:space="preserve">&lt; Dampak Finansial ≤ </t>
  </si>
  <si>
    <t>40% dari BTR</t>
  </si>
  <si>
    <t>USD 200 juta &lt; Dampak Finansial ≤ USD 300 juta</t>
  </si>
  <si>
    <t>60% dari BTR</t>
  </si>
  <si>
    <t>USD 300 juta &lt; Dampak Finansial ≤ USD 400 juta</t>
  </si>
  <si>
    <t>80% dari BTR</t>
  </si>
  <si>
    <t>Dampak Finansial &gt; USD 400 juta</t>
  </si>
  <si>
    <t xml:space="preserve">C.    </t>
  </si>
  <si>
    <t>Identifikasi Risiko</t>
  </si>
  <si>
    <t xml:space="preserve">Pada tahap ini Perusahaan Manufaktur A mengidentifikasi seluruh Risiko yang melekat pada proses bisnis dan dapat menghambat tercapainya tujuan bisnis dengan mempertimbangkan target KPI, RKAP, data-data terkait pengelolaan Risiko periode sebelumnya, dan hasil konsultasi dengan pihak-pihak yang memiliki kompetensi dan pengetahuan yang baik tentang perusahaan. </t>
  </si>
  <si>
    <t>Perusahaan Manufaktur A menggunakan Fault Tree Analysis (FTA) dalam mengidentifikasi Risiko dan penyebab Risiko sebagaimana contoh berikut:</t>
  </si>
  <si>
    <t>Diagram Contoh Identifikasi Risiko Perusahaan Manufaktur A Menggunakan Metode FTA</t>
  </si>
  <si>
    <t>Berikut adalah contoh hasil identifikasi Risiko yang dilakukan oleh Perusahaan Manufaktur1</t>
  </si>
  <si>
    <t xml:space="preserve">Tabel Contoh Hasil Identifikasi Risiko Perusahaan Manufaktur A </t>
  </si>
  <si>
    <t>Deskripsi Peristiwa Risiko</t>
  </si>
  <si>
    <t>Taksonomi/ Kategori Risiko</t>
  </si>
  <si>
    <t>Pemilik Risiko</t>
  </si>
  <si>
    <t>Penyebab Risiko</t>
  </si>
  <si>
    <r>
      <t>Gejala Risiko</t>
    </r>
    <r>
      <rPr>
        <i/>
        <sz val="8"/>
        <color rgb="FFFFFFFF"/>
        <rFont val="Arial"/>
        <family val="2"/>
      </rPr>
      <t xml:space="preserve"> (KRI)</t>
    </r>
  </si>
  <si>
    <r>
      <t xml:space="preserve">Faktor Positif/ </t>
    </r>
    <r>
      <rPr>
        <i/>
        <sz val="8"/>
        <color rgb="FFFFFFFF"/>
        <rFont val="Arial"/>
        <family val="2"/>
      </rPr>
      <t>Existing Control</t>
    </r>
    <r>
      <rPr>
        <sz val="8"/>
        <color rgb="FFFFFFFF"/>
        <rFont val="Arial"/>
        <family val="2"/>
      </rPr>
      <t xml:space="preserve"> </t>
    </r>
  </si>
  <si>
    <r>
      <t>Efektifitas</t>
    </r>
    <r>
      <rPr>
        <i/>
        <sz val="8"/>
        <color rgb="FFFFFFFF"/>
        <rFont val="Arial"/>
        <family val="2"/>
      </rPr>
      <t xml:space="preserve"> Existing Control</t>
    </r>
  </si>
  <si>
    <t>EBITDA</t>
  </si>
  <si>
    <r>
      <t xml:space="preserve">Risiko </t>
    </r>
    <r>
      <rPr>
        <i/>
        <sz val="8"/>
        <color theme="1"/>
        <rFont val="Arial"/>
        <family val="2"/>
      </rPr>
      <t>Foreign Exchange Loss</t>
    </r>
    <r>
      <rPr>
        <sz val="8"/>
        <color theme="1"/>
        <rFont val="Arial"/>
        <family val="2"/>
      </rPr>
      <t xml:space="preserve"> </t>
    </r>
  </si>
  <si>
    <t>​  Financial Management</t>
  </si>
  <si>
    <t>Direktorat Keuangan</t>
  </si>
  <si>
    <t>1. Fluktuasi antara IDR terhadap USD; 
2. Posisi net selisih aset-kewajiban moneter non-USD
3. Tenor piutang non-USD Pemerintah</t>
  </si>
  <si>
    <t>-   Proyeksi kurs USD/IDR pada Reuters/Bloomberg menunjukan pelemahan.
-   Selisih aset-kewajiban moneter non-USD meningkat
-   Penundaan pembayaran piutang Pemerintah</t>
  </si>
  <si>
    <t>-   Pedoman Manajemen Risiko
-   Pedoman Manajemen Risiko Keuangan
-   Prosedur Penagihan Piutang</t>
  </si>
  <si>
    <t xml:space="preserve">Efektif Sebagian </t>
  </si>
  <si>
    <t>Corporate Image</t>
  </si>
  <si>
    <t xml:space="preserve">Risiko menurunnya reputasi perusahaan </t>
  </si>
  <si>
    <t>Reputational Risk</t>
  </si>
  <si>
    <t xml:space="preserve">Corporate Communication </t>
  </si>
  <si>
    <t xml:space="preserve">1. Program komunikasi eksternal yang kurang efektif.
2. Kurang optimalnya sinergi program corporate image.
3. Isu-isu lain yang dapat menurunkan image perusahaan </t>
  </si>
  <si>
    <t>-   Muncul pemberitaan negatif perusahaan.
-   Keluhan dan tuntutan masyarakat</t>
  </si>
  <si>
    <t xml:space="preserve">-   Prosedur penanganan pemberitaan negatif 
-   Data dan Sistem Informasi yang mendukung  </t>
  </si>
  <si>
    <t>Efektif sebagian</t>
  </si>
  <si>
    <t xml:space="preserve">D.    </t>
  </si>
  <si>
    <t>Kuantifikasi Risiko</t>
  </si>
  <si>
    <t>Risiko yang telah diidentifikasi selanjutnya dilakukan kuantifikasi dengan langkah-langkah sebagai berikut:</t>
  </si>
  <si>
    <t>Penentuan kategori Dampak Risiko</t>
  </si>
  <si>
    <t xml:space="preserve">Berdasarkan contoh Risiko di atas, Risiko foreign exchange loss memiliki dampak kuantitatif karena dampak dapat dihitung dan berdampak langsung secara finansial terhadap pencapaian target laba. Sedangkan Risiko menurunnya reputasi perusahaan memiliki dampak kualitatif karena dampak Risiko tidak dapat dinyatakan secara finansial. </t>
  </si>
  <si>
    <t>2.   </t>
  </si>
  <si>
    <t xml:space="preserve">Perhitungan Dampak kuantitatif inheren </t>
  </si>
  <si>
    <t>Dampak kuantitatif inheren dihitung berdasarkan masing-masing karakteristik Risiko. Metode yang digunakan dapat berupa Value at Risk (VaR) atau berdasarkan expert judgement. Berdasarkan contoh Risiko foreign exchange loss, diperoleh informasi bahwa selama selama 3 tahun terakhir terjadi pelemahan IDR dengan level terendah turun sebesar 11% dari kurs asumsi RKAP. Berdasarkan data RKAP diketahui nilai piutang usaha non-USD adalah sebesar USD 3.000 juta, sehingga nilai dampak inherennya dapat dihitung sebagai berikut:</t>
  </si>
  <si>
    <t>Tabel Perhitungan Dampak Kuantitatif Inheren atas Risiko Valuta Asing</t>
  </si>
  <si>
    <t>Keterangan</t>
  </si>
  <si>
    <t>Nilai</t>
  </si>
  <si>
    <r>
      <t>Nilai piutang non-USD pemerintah</t>
    </r>
    <r>
      <rPr>
        <b/>
        <sz val="10"/>
        <color theme="1"/>
        <rFont val="Arial"/>
        <family val="2"/>
      </rPr>
      <t xml:space="preserve"> (a)</t>
    </r>
  </si>
  <si>
    <t>USD 3.000 juta</t>
  </si>
  <si>
    <r>
      <t xml:space="preserve">% penurunan IDR terhadap USD </t>
    </r>
    <r>
      <rPr>
        <b/>
        <sz val="10"/>
        <color theme="1"/>
        <rFont val="Arial"/>
        <family val="2"/>
      </rPr>
      <t>(b)</t>
    </r>
  </si>
  <si>
    <r>
      <t xml:space="preserve">Dampak jika Risiko terwujud </t>
    </r>
    <r>
      <rPr>
        <b/>
        <sz val="10"/>
        <color theme="1"/>
        <rFont val="Arial"/>
        <family val="2"/>
      </rPr>
      <t>(c=a*b)</t>
    </r>
  </si>
  <si>
    <t>USD 330 juta</t>
  </si>
  <si>
    <t>Penentuan skala Dampak Risiko Inheren (1-5) atas setiap Risiko, baik kuantitatif maupun kualitatif.</t>
  </si>
  <si>
    <t>Untuk Risiko kuantitatif, kuantifikasi skala Dampak mengacu pada Tabel Kriteria Dampak Kuantitatif Perusahaan Manufaktur A. Risiko foreign exchange loss dalam contoh dengan nilai dampak USD 330 juta dipetakan ke skala 4 atau Tinggi.</t>
  </si>
  <si>
    <t>Untuk Risiko kualitatif, nilai skala dampak dipetakan sesuai dengan tabel yang telah ditetapkan sebelumnya. Misalnya, dalam contoh Risiko menurunnya reputasi perusahaan diketahui informasi bahwa selama 3 tahun terakhir, terdapat pemberitaan negatif yang berdampak secara lokal di tiap tahunnya, sehingga ditentukan Dampak Risiko reputasi memiliki skala 3 atau Moderat setelah dipetakan ke dalam Tabel Kriteria Dampak Kualitatif Perusahaan Manufaktur A.</t>
  </si>
  <si>
    <t xml:space="preserve">Perhitungan skala Probabilitas Inheren (1-5) </t>
  </si>
  <si>
    <t>Lakukan pemetaan skala probabilitas inheren dari setiap Risiko di seluruh entitas. Berdasarkan 2 contoh Risiko di atas, berikut cara menghitung probabilitas inheren:</t>
  </si>
  <si>
    <t>Risiko foreign exchange loss</t>
  </si>
  <si>
    <t xml:space="preserve">FX Loss terjadi jika realisasi kurs transaksi IDR/USD RKAP berada di atas target RKAP. Range data menggunakan waktu 3 (tiga) tahun terakhir dengan total 750 hari transaksi IDR/USD (terdapat 250 hari transaksi dalam 1 tahun berdasarkan data dari Bank Indonesia ) dengan perhitungan skala Probabilitas sebagai berikut: </t>
  </si>
  <si>
    <t>Tabel Perhitungan Skala Probabilitas Risiko Valas</t>
  </si>
  <si>
    <t xml:space="preserve">Kurs Transaksi IDR/USD RKAP </t>
  </si>
  <si>
    <r>
      <t>Realisasi Kurs di atas RKAP (</t>
    </r>
    <r>
      <rPr>
        <i/>
        <sz val="9"/>
        <color rgb="FFFFFFFF"/>
        <rFont val="Arial"/>
        <family val="2"/>
      </rPr>
      <t>range</t>
    </r>
    <r>
      <rPr>
        <sz val="9"/>
        <color rgb="FFFFFFFF"/>
        <rFont val="Arial"/>
        <family val="2"/>
      </rPr>
      <t xml:space="preserve"> 14.355 - 15.000)</t>
    </r>
  </si>
  <si>
    <r>
      <t>Realisasi Kurs di bawah RKAP (</t>
    </r>
    <r>
      <rPr>
        <i/>
        <sz val="9"/>
        <color rgb="FFFFFFFF"/>
        <rFont val="Arial"/>
        <family val="2"/>
      </rPr>
      <t>range</t>
    </r>
    <r>
      <rPr>
        <sz val="9"/>
        <color rgb="FFFFFFFF"/>
        <rFont val="Arial"/>
        <family val="2"/>
      </rPr>
      <t xml:space="preserve"> 14.000 - 14.355)</t>
    </r>
  </si>
  <si>
    <t>% Kurs Realisasi di atas Kurs RKAP</t>
  </si>
  <si>
    <t>Skala Probabi-litas</t>
  </si>
  <si>
    <t>175 transaksi</t>
  </si>
  <si>
    <t>75 transaksi</t>
  </si>
  <si>
    <t>200 transaksi</t>
  </si>
  <si>
    <t>50 transaksi</t>
  </si>
  <si>
    <t>225 transaksi</t>
  </si>
  <si>
    <t>25 transaksi</t>
  </si>
  <si>
    <t>Total</t>
  </si>
  <si>
    <r>
      <t>600</t>
    </r>
    <r>
      <rPr>
        <sz val="9"/>
        <color theme="1"/>
        <rFont val="Arial"/>
        <family val="2"/>
      </rPr>
      <t xml:space="preserve"> </t>
    </r>
    <r>
      <rPr>
        <b/>
        <sz val="9"/>
        <color theme="1"/>
        <rFont val="Arial"/>
        <family val="2"/>
      </rPr>
      <t>transaksi</t>
    </r>
  </si>
  <si>
    <r>
      <t>150</t>
    </r>
    <r>
      <rPr>
        <sz val="9"/>
        <color theme="1"/>
        <rFont val="Arial"/>
        <family val="2"/>
      </rPr>
      <t xml:space="preserve"> </t>
    </r>
    <r>
      <rPr>
        <b/>
        <sz val="9"/>
        <color theme="1"/>
        <rFont val="Arial"/>
        <family val="2"/>
      </rPr>
      <t>transaksi</t>
    </r>
  </si>
  <si>
    <t>80%*</t>
  </si>
  <si>
    <t>4 (sangat mungkin terjadi)</t>
  </si>
  <si>
    <t>% Probabilitas=(Frekuensi kejadian di masa lalu)/(Populasi data kejadian dalam perhitungan)x 100%</t>
  </si>
  <si>
    <t>Berdasarkan perhitungan di atas yang dipetakan ke dalam Tabel Kriteria Probabilitas Perusahaan Manufaktur A, didapatkan skala Probabilitas Risiko pada skala 4 atau sangat mungkin terjadi.</t>
  </si>
  <si>
    <t>Risiko menurunnya reputasi perusahaan</t>
  </si>
  <si>
    <t>Selama 3 (tiga) tahun terakhir diperoleh informasi pemberitaan dengan klasifikasi dan frekuensi sebagai berikut:</t>
  </si>
  <si>
    <t>Tabel Data Historis Informasi Pemberitaan 3 (Tiga) Tahun Terakhir</t>
  </si>
  <si>
    <t>Periode</t>
  </si>
  <si>
    <t>Frekuensi Pemberitaan</t>
  </si>
  <si>
    <t>% kejadian pemberitaan negative (d = a / a+b+c)</t>
  </si>
  <si>
    <t>Negatif (a)</t>
  </si>
  <si>
    <t>Netral (b)</t>
  </si>
  <si>
    <t>Positif (c)</t>
  </si>
  <si>
    <t xml:space="preserve">Rata-rata </t>
  </si>
  <si>
    <t xml:space="preserve">Dari data di atas diketahui persentase Probabilitas terjadinya Risiko menurunnya reputasi adalah 21,42% atau skala 2 (jarang terjadi) sesuai Tabel Kriteria Probabilitas Perusahaan Manufaktur A. </t>
  </si>
  <si>
    <t xml:space="preserve">Evaluasi Risiko Kuantitatif dan Kualitatif </t>
  </si>
  <si>
    <t xml:space="preserve">Evaluasi Risiko, baik kuantitatif dan kualitatif, dilakukan dengan cara mengkalikan skala dampak dan skala probabilitas untuk memperoleh tingkat Risiko. Untuk Risiko kuantitatif, evaluasi juga dilakukan dengan cara menghitung nilai eksposur Risiko Inheren / Inherent Risk Exposure (IRE) setiap Risiko dari seluruh entitas. </t>
  </si>
  <si>
    <t>Pada contoh di atas, Risiko foreign exchange loss dihitung sebagai berikut:</t>
  </si>
  <si>
    <t>IRE = Dampak Kuantitatif Inheren x Probabilitas Inheren</t>
  </si>
  <si>
    <t xml:space="preserve"> = USD 330 juta x 80% </t>
  </si>
  <si>
    <t xml:space="preserve"> = USD 264 juta</t>
  </si>
  <si>
    <t>Nilai probabilitas inheren mengacu pada % kejadian data historis. Jika tidak tersedia data tersebut, maka dapat menggunakan Nilai Tengah Range Probabilitas</t>
  </si>
  <si>
    <t>Hasil evaluasi Risiko tersebut di atas dapat dilihat pada tabel dan dituangkan dalam heatmap sebagai berikut:</t>
  </si>
  <si>
    <t>Tabel Ringkasan Evaluasi Risiko</t>
  </si>
  <si>
    <t>Skala D</t>
  </si>
  <si>
    <t>Skala P</t>
  </si>
  <si>
    <t>SkalaRisiko</t>
  </si>
  <si>
    <t>Dampak</t>
  </si>
  <si>
    <t>Probabilita</t>
  </si>
  <si>
    <t xml:space="preserve">Eksposur Risiko Inheren </t>
  </si>
  <si>
    <t>USD 264 juta</t>
  </si>
  <si>
    <t>-</t>
  </si>
  <si>
    <t>Hasil di atas kemudian dipetakan ke dalam heatmap sebagai berikut: </t>
  </si>
  <si>
    <t>Diagram Heatmap/Peta Risiko Perusahaan Manufaktur A</t>
  </si>
  <si>
    <t>E</t>
  </si>
  <si>
    <t>Perlakuan Risiko</t>
  </si>
  <si>
    <t>Dari hasil identifikasi dan kuantifikasi Risiko, kemudian disusun perlakuan Risiko dengan tabel kriteria pemilihan opsi perlakuan Risiko sebagai berikut:</t>
  </si>
  <si>
    <t>Tabel Contoh Tabel Kriteria Pemilihan Opsi Perlakuan Risiko Perusahaan Manufaktur A</t>
  </si>
  <si>
    <t>Level Risiko</t>
  </si>
  <si>
    <t>Pilihan opsi perlakuan Risiko</t>
  </si>
  <si>
    <t>1-5</t>
  </si>
  <si>
    <t>Low</t>
  </si>
  <si>
    <t>Accept/Monitor</t>
  </si>
  <si>
    <t>6-11</t>
  </si>
  <si>
    <t>Low to Moderate</t>
  </si>
  <si>
    <t>Reduce/Mitigate atau Accept/Monitor</t>
  </si>
  <si>
    <t>12-15</t>
  </si>
  <si>
    <t>Moderate</t>
  </si>
  <si>
    <t>Reduce/Mitigate</t>
  </si>
  <si>
    <t>16 - 19</t>
  </si>
  <si>
    <t>Moderate to High</t>
  </si>
  <si>
    <t>Reduce/Mitigate atau Transfer/Sharing</t>
  </si>
  <si>
    <t>20 - 25</t>
  </si>
  <si>
    <t>High</t>
  </si>
  <si>
    <t>Reduce/Mitigate atau Hindari/Avoid</t>
  </si>
  <si>
    <t xml:space="preserve">Setiap opsi perlakuan Risiko tersebut kemudian dijabarkan dalam rencana aktivitas perlakuan Risiko secara detil yang disertai dengan target waktu pelaksanaan, biaya pelaksanaan, PIC, dan target Residual Risk Exposure (RRE). </t>
  </si>
  <si>
    <t>F</t>
  </si>
  <si>
    <t>Integrasi Risiko Anak Perusahaan</t>
  </si>
  <si>
    <t xml:space="preserve">Metode prioritisasi Risiko Perusahaan Manufaktur A dilakukan secara bottom up dan top down, yang dijelaskan sebagai berikut: </t>
  </si>
  <si>
    <t>Metode Bottom Up</t>
  </si>
  <si>
    <t xml:space="preserve">Prioritisasi secara bottom up dilakukan secara berjenjang mulai dari level terbawah entitas pemilik Risiko sampai dengan level korporat di BUMN Induk. Di setiap jenjang dilakukan focus group discussion dan/atau challenge session untuk memperoleh Top Risk di masing-masing entitas pemilik Risiko sampai dengan Top Risk Korporat. </t>
  </si>
  <si>
    <t>Proses prioritisasi Risiko secara bottom up dilakukan berdasarkan kategori dampak Risiko.</t>
  </si>
  <si>
    <t xml:space="preserve">a </t>
  </si>
  <si>
    <t>Risiko Kuantitatif</t>
  </si>
  <si>
    <t>Prioritisasi dilakukan dengan cara menghitung nilai rata-rata IRE seluruh Risiko dari masing-masing entitas, kemudian Risiko yang menjadi kandidat Top Risk adalah Risiko dengan nilai IRE di atas rata-rata IRE entitas.</t>
  </si>
  <si>
    <t>Misalnya dapat dicontohkan dalam daftar Risiko sebagai berikut:</t>
  </si>
  <si>
    <t>Tabel Contoh Perhitungan EMI/Ambang Batas Anper A</t>
  </si>
  <si>
    <t>Entitas</t>
  </si>
  <si>
    <t>Nilai IRE (ribu USD)</t>
  </si>
  <si>
    <t>Risiko 1</t>
  </si>
  <si>
    <t xml:space="preserve">Anper A – Stand Alone </t>
  </si>
  <si>
    <t>Risiko 14</t>
  </si>
  <si>
    <t>Anper C</t>
  </si>
  <si>
    <t>Risiko 2</t>
  </si>
  <si>
    <t>Anper A – Stand Alone</t>
  </si>
  <si>
    <t>Risiko 15</t>
  </si>
  <si>
    <t>Risiko 3</t>
  </si>
  <si>
    <t>Risiko 16</t>
  </si>
  <si>
    <t>Risiko 4</t>
  </si>
  <si>
    <t>Anper A – Cucu 1</t>
  </si>
  <si>
    <t>Risiko 17</t>
  </si>
  <si>
    <t>Risiko 5</t>
  </si>
  <si>
    <t>Risiko 18</t>
  </si>
  <si>
    <t>Direktorat A</t>
  </si>
  <si>
    <t>Risiko 6</t>
  </si>
  <si>
    <t>Risiko 19</t>
  </si>
  <si>
    <t>Risiko 7</t>
  </si>
  <si>
    <t>Anper A – Cucu 2</t>
  </si>
  <si>
    <t>Risiko 20</t>
  </si>
  <si>
    <t>Risiko 8</t>
  </si>
  <si>
    <t>Risiko 21</t>
  </si>
  <si>
    <t>Risiko 9</t>
  </si>
  <si>
    <t>Risiko 22</t>
  </si>
  <si>
    <t>Risiko 10</t>
  </si>
  <si>
    <t>Anper B</t>
  </si>
  <si>
    <t>Risiko 23</t>
  </si>
  <si>
    <t>Direktorat B</t>
  </si>
  <si>
    <t>Risiko 11</t>
  </si>
  <si>
    <t>Risiko 24</t>
  </si>
  <si>
    <t>Risiko 12</t>
  </si>
  <si>
    <t>Risiko 25</t>
  </si>
  <si>
    <t>Risiko 13</t>
  </si>
  <si>
    <t>Risiko 26</t>
  </si>
  <si>
    <t>Berdasarkan daftar Risiko di atas, disusun proses prioritisasi dengan mekanisme bottom up dengan ilustrasi sebagai berikut:</t>
  </si>
  <si>
    <t>Diagram Ilustrasi Penentuan Kandidat Risiko Utama Korporat Bottom-Up</t>
  </si>
  <si>
    <t>•    </t>
  </si>
  <si>
    <t>IRE 1 : nilainya 37, artinya peristiwa Risiko 1 dengan besaran IRE sebesar USD 37 ribu</t>
  </si>
  <si>
    <t xml:space="preserve">•     </t>
  </si>
  <si>
    <t>EMI : Excess Mean IRE, adalah rata-rata nilai/besaran Dampak Inherent Risk Exposure dari seluruh Risiko Kuantitatif pada suatu risk register</t>
  </si>
  <si>
    <t xml:space="preserve">Dari hasil integrasi Risiko di atas, didapatkan kandidat Risiko utama korporat adalah IRE 14, 15 dan 16. </t>
  </si>
  <si>
    <t xml:space="preserve">Risiko Kualitatif </t>
  </si>
  <si>
    <t>Penentuan kandidat Top Risk atas Risiko-Risiko kualitatif diatur sebagai berikut:</t>
  </si>
  <si>
    <t>1)    Top Risk level Anak Perusahaan dan ke bawah menggunakan threshold skala Risiko &gt; 16.</t>
  </si>
  <si>
    <t>2)    Top Risk Korporat menggunakan threshold skala Risiko &gt; 20.</t>
  </si>
  <si>
    <t>Metode Top Down.</t>
  </si>
  <si>
    <t>Penentuan top risk dengan cara top down paling sedikitnya dilakukan dengan:</t>
  </si>
  <si>
    <t>Menghitung pareto (80%) kontributor laba/rugi, biaya, dan investasi dari masing-masing entitas untuk memperoleh profil Risiko dari entitas yang memiliki kontribusi signifikan terhadap target laba Korporat.</t>
  </si>
  <si>
    <t>Mengakomodir hal-hal yang menjadi perhatian atau concern Manajemen Perusahaan dan Aspirasi Pemegang Saham.</t>
  </si>
  <si>
    <t>Portfolio</t>
  </si>
  <si>
    <t>Klaster</t>
  </si>
  <si>
    <t>Kategori risiko</t>
  </si>
  <si>
    <t>Skala Dampak/Prob</t>
  </si>
  <si>
    <t>Sikap terhadap Risiko</t>
  </si>
  <si>
    <t>Efektivitas Kontrol</t>
  </si>
  <si>
    <t>Opsi perlakuan risiko</t>
  </si>
  <si>
    <t>Jenis Program dalam RKAP</t>
  </si>
  <si>
    <t>Timeline</t>
  </si>
  <si>
    <t>Jenis existing control</t>
  </si>
  <si>
    <t>Score</t>
  </si>
  <si>
    <t>Risk Level</t>
  </si>
  <si>
    <t>1. Nilai ekonomi dan sosial</t>
  </si>
  <si>
    <t>Wamen_R</t>
  </si>
  <si>
    <t>Industri Manufaktur</t>
  </si>
  <si>
    <t>PT Pertamina (Persero)</t>
  </si>
  <si>
    <t>PTMN</t>
  </si>
  <si>
    <t>1. Risiko Fiskal - Dividen</t>
  </si>
  <si>
    <t>Dampak Kuantitatif</t>
  </si>
  <si>
    <t>Tidak toleran</t>
  </si>
  <si>
    <t>Cukup dan Efektif</t>
  </si>
  <si>
    <t xml:space="preserve">Transfer/sharing </t>
  </si>
  <si>
    <t>Peningkatan Kecukupan Desain Kontrol</t>
  </si>
  <si>
    <t>Pemasaran dan penjualan</t>
  </si>
  <si>
    <t>Kontrol operasi - level entitas/kantor pusat</t>
  </si>
  <si>
    <t>2. Inovasi bisnis model</t>
  </si>
  <si>
    <t>Jasa keuangan</t>
  </si>
  <si>
    <t>PT Perusahaan Listrik Negara (Persero)</t>
  </si>
  <si>
    <t>PLNA</t>
  </si>
  <si>
    <t>2. Risiko Fiskal - PMN</t>
  </si>
  <si>
    <t>Dampak Kualitatif</t>
  </si>
  <si>
    <t>Konservatif</t>
  </si>
  <si>
    <t>Cukup dan Efektif Sebagian</t>
  </si>
  <si>
    <t>Reduce/mitigate</t>
  </si>
  <si>
    <t>Peningkatan Efektivitas Pelaksanaan Kontrol</t>
  </si>
  <si>
    <t>Pengadaan</t>
  </si>
  <si>
    <t>Kontrol operasi - level operasi</t>
  </si>
  <si>
    <t>3. Kepemimpinan teknologi</t>
  </si>
  <si>
    <t>Jasa Infrastruktur</t>
  </si>
  <si>
    <t>PT Mineral Industri Indonesia (Persero)</t>
  </si>
  <si>
    <t>Mind ID</t>
  </si>
  <si>
    <t>3. Risiko Fiskal - Subsidi &amp; Kompensasi</t>
  </si>
  <si>
    <t xml:space="preserve">Moderat </t>
  </si>
  <si>
    <t>Cukup dan Tidak Efektif</t>
  </si>
  <si>
    <t>Accept/monitor</t>
  </si>
  <si>
    <t>Perbaikan Melalui Breakthrough Project</t>
  </si>
  <si>
    <t>Produksi dan Kualitas Produk</t>
  </si>
  <si>
    <t>Kontrol kepatuhan (compliance) - level entitas/kantor pusat</t>
  </si>
  <si>
    <t>4. Peningkatan investasi</t>
  </si>
  <si>
    <t>Asuransi dan Dana Pensiun</t>
  </si>
  <si>
    <t>PT Krakatau Steel (Persero) Tbk</t>
  </si>
  <si>
    <t>KRST</t>
  </si>
  <si>
    <t>4. Risiko Kebijakan - SDM</t>
  </si>
  <si>
    <t>Tidak Cukup dan Efektif Sebagian</t>
  </si>
  <si>
    <t>Avoid/hindari</t>
  </si>
  <si>
    <t>Peningkatan Kecukupan Desain Kontrol dan Peningkatan Efektivitas Pelaksanaan Kontrol</t>
  </si>
  <si>
    <t>Teknis dan Teknologi</t>
  </si>
  <si>
    <t>Kontrol kepatuhan (compliance) - level operasi</t>
  </si>
  <si>
    <t>5. Pengembangan talenta</t>
  </si>
  <si>
    <t>Jasa Logistik</t>
  </si>
  <si>
    <t>PT Perkebunan Nusantara III (Persero)</t>
  </si>
  <si>
    <t>PTPN</t>
  </si>
  <si>
    <t>5. Risiko Kebijakan - Sektoral</t>
  </si>
  <si>
    <t>Tidak Cukup dan Tidak Efektif</t>
  </si>
  <si>
    <t>Peningkatan Kecukupan Desain Kontrol dan Perbaikan Melalui Breakthrough Project</t>
  </si>
  <si>
    <t>Keuangan dan Akuntansi</t>
  </si>
  <si>
    <t>Kontrol pelaporan - level entitas/kantor pusat</t>
  </si>
  <si>
    <t>Jasa Telekomunikasi dan Media</t>
  </si>
  <si>
    <t>Perum Perhutani</t>
  </si>
  <si>
    <t>PHTN</t>
  </si>
  <si>
    <t>6. Risiko Komposisi - Konsentrasi Portofolio</t>
  </si>
  <si>
    <t>Peningkatan Efektivitas Pelaksanaan Kontrol dan dan Perbaikan Melalui Breakthrough Project</t>
  </si>
  <si>
    <t>Sistem dan Organisasi</t>
  </si>
  <si>
    <t>Kontrol pelaporan - level operasi</t>
  </si>
  <si>
    <t>Wamen_T</t>
  </si>
  <si>
    <t>Industri Perkebunan dan Kehutan</t>
  </si>
  <si>
    <t>PT Pupuk Indonesia (Persero)</t>
  </si>
  <si>
    <t>PTPI</t>
  </si>
  <si>
    <t>7. Risiko Struktur - Struktur Korporasi</t>
  </si>
  <si>
    <t>Peningkatan Kecukupan Desain Kontrol, Peningkatan Efektivitas Pelaksanaan Kontrol, dan Pebaikan Melalui Breakthrough Project</t>
  </si>
  <si>
    <t>Pengembangan SDM</t>
  </si>
  <si>
    <t>Energi, Minyak dan Gas</t>
  </si>
  <si>
    <t>Perum BULOG</t>
  </si>
  <si>
    <t>PBLG</t>
  </si>
  <si>
    <t>8. Risiko Restrukturisasi &amp; Reorganisasi - Penggabungan, Pengambilalihan, Peleburan, Pemisahan, Pembubaran, Likuidasi, Kemitraan, dan Restrukturisasi</t>
  </si>
  <si>
    <t>Lainnya</t>
  </si>
  <si>
    <t>Penelitian dan Pengembangan</t>
  </si>
  <si>
    <t>Jasa Pariwisata dan Pendukung</t>
  </si>
  <si>
    <t>PT Rajawali Nusantara Indonesia (Persero)</t>
  </si>
  <si>
    <t>RNI</t>
  </si>
  <si>
    <t>9. Risiko Industri Umum - Formulasi Strategis</t>
  </si>
  <si>
    <t>Pelestarian Lingkungan</t>
  </si>
  <si>
    <t>Industri Mineral dan Batubara</t>
  </si>
  <si>
    <t>PT Bio Farma (Persero)</t>
  </si>
  <si>
    <t>BIFR</t>
  </si>
  <si>
    <t>10. Risiko Industri Umum - Pasar &amp; Makroekonomi</t>
  </si>
  <si>
    <t>Investasi</t>
  </si>
  <si>
    <t>Industri Kesehatan</t>
  </si>
  <si>
    <t>PT LEN Industri (Persero)</t>
  </si>
  <si>
    <t>LENI</t>
  </si>
  <si>
    <t>11. Risiko Industri Umum - Keuangan</t>
  </si>
  <si>
    <t>Industri Pangan dan Pupuk</t>
  </si>
  <si>
    <t>PT Biro Klasifikasi Indonesia (Persero)</t>
  </si>
  <si>
    <t>PBKI</t>
  </si>
  <si>
    <t>12. Risiko Industri Umum - Reputasi &amp; Kepatuhan</t>
  </si>
  <si>
    <t>PT Bank Mandiri (Persero) Tbk</t>
  </si>
  <si>
    <t>BMRI</t>
  </si>
  <si>
    <t>13. Risiko Industri Umum - Proyek</t>
  </si>
  <si>
    <t>PT Bank Rakyat Indonesia (Persero) Tbk</t>
  </si>
  <si>
    <t>BBRI</t>
  </si>
  <si>
    <t>14. Risiko Industri Umum - Teknologi &amp; Keamanan Siber</t>
  </si>
  <si>
    <t>PT Bank Negara Indonesia (Persero) Tbk</t>
  </si>
  <si>
    <t>BBNI</t>
  </si>
  <si>
    <t>15. Risiko Industri Umum - Sosial &amp; Lingkungan</t>
  </si>
  <si>
    <t>PT Bank Tabungan Negara (Persero) Tbk</t>
  </si>
  <si>
    <t>BBTN</t>
  </si>
  <si>
    <t>16. Risiko Industri Umum - Operasional</t>
  </si>
  <si>
    <t>PT Bahana Pembinaan Usaha Indonesia (Persero)</t>
  </si>
  <si>
    <t>BPUI</t>
  </si>
  <si>
    <t>17. Risiko Industri Perbankan - Kredit</t>
  </si>
  <si>
    <t>PT Asuransi Jiwasraya (Persero)</t>
  </si>
  <si>
    <t>AJWS</t>
  </si>
  <si>
    <t>18. Risiko Industri Perbankan - Likuiditas</t>
  </si>
  <si>
    <t>PT Asabri (Persero)</t>
  </si>
  <si>
    <t>AABR</t>
  </si>
  <si>
    <t>19. Risiko Industri Asuransi - Investasi</t>
  </si>
  <si>
    <t>PT Taspen (Persero)</t>
  </si>
  <si>
    <t>TASP</t>
  </si>
  <si>
    <t>20. Risiko Industri Asuransi - Aktuarial</t>
  </si>
  <si>
    <t>PT Reasuransi Indonesia Utama (Persero)</t>
  </si>
  <si>
    <t>RIU</t>
  </si>
  <si>
    <t>21. Risiko lainnya</t>
  </si>
  <si>
    <t>PT Hutama Karya (Persero)</t>
  </si>
  <si>
    <t>HK</t>
  </si>
  <si>
    <t>PT Adhi Karya (Persero) Tbk</t>
  </si>
  <si>
    <t>ADKA</t>
  </si>
  <si>
    <t>PT Waskita Karya (Persero) Tbk</t>
  </si>
  <si>
    <t>WSKT</t>
  </si>
  <si>
    <t>PT Wijaya Karya (Persero) Tbk</t>
  </si>
  <si>
    <t>WIKA</t>
  </si>
  <si>
    <t>PT Pembangunan Perumahan (Persero) Tbk</t>
  </si>
  <si>
    <t>PTPP</t>
  </si>
  <si>
    <t>Perum Pembangunan Perumahan Nasional</t>
  </si>
  <si>
    <t>PRNS</t>
  </si>
  <si>
    <t>PT Brantas Abipraya (Persero)</t>
  </si>
  <si>
    <t>BRAP</t>
  </si>
  <si>
    <t>PT Jasa Marga (Persero) Tbk</t>
  </si>
  <si>
    <t>JSMR</t>
  </si>
  <si>
    <t>PT Semen Indonesia (Persero) Tbk</t>
  </si>
  <si>
    <t>SIG</t>
  </si>
  <si>
    <t>PT Kereta Api Indonesia (Persero)</t>
  </si>
  <si>
    <t>KAI</t>
  </si>
  <si>
    <t>PT Industri Kereta Api (Persero)</t>
  </si>
  <si>
    <t>INKA</t>
  </si>
  <si>
    <t>PT Pelabuhan Indonesia (Persero)</t>
  </si>
  <si>
    <t>PELINDO</t>
  </si>
  <si>
    <t>PT ASDP Indonesia Ferry (Persero)</t>
  </si>
  <si>
    <t>ASDP</t>
  </si>
  <si>
    <t>PT Pelayaran Nasional Indonesia (Persero)</t>
  </si>
  <si>
    <t>PLNI</t>
  </si>
  <si>
    <t>PT Pos Indonesia (Persero)</t>
  </si>
  <si>
    <t>POSI</t>
  </si>
  <si>
    <t>Perum Damri</t>
  </si>
  <si>
    <t>DMRI</t>
  </si>
  <si>
    <t>Perum Pengangkutan Penumpang Djakarta</t>
  </si>
  <si>
    <t>PPPD</t>
  </si>
  <si>
    <t>Perum Lembaga Penyelenggara Pelayanan Navigasi Penerbangan Indonesia</t>
  </si>
  <si>
    <t>PNPI</t>
  </si>
  <si>
    <t>PT Aviasi Pariwisata Indonesia (Persero)</t>
  </si>
  <si>
    <t>AVIATA</t>
  </si>
  <si>
    <t>PT Garuda Indonesia (Persero) Tbk</t>
  </si>
  <si>
    <t>GIAA</t>
  </si>
  <si>
    <t>PT Pengembangan Pariwisata Indonesia (Persero)</t>
  </si>
  <si>
    <t>ITDC</t>
  </si>
  <si>
    <t>PT Telekomunikasi Indonesia (Persero) Tbk</t>
  </si>
  <si>
    <t>TLKM</t>
  </si>
  <si>
    <t>Perum Percetakan Uang Republik Indonesia</t>
  </si>
  <si>
    <t>PERURI</t>
  </si>
  <si>
    <t>Perum Produksi Film Negara</t>
  </si>
  <si>
    <t>PPFN</t>
  </si>
  <si>
    <t>Perum Lembaga Kantor Berita Nasional Antara</t>
  </si>
  <si>
    <t>LKBN</t>
  </si>
  <si>
    <t>PT Danareksa (Persero)</t>
  </si>
  <si>
    <t>DNRS</t>
  </si>
  <si>
    <t>Perum Jasa Tirta I</t>
  </si>
  <si>
    <t>PJT1</t>
  </si>
  <si>
    <t>Perum Jasa Tirta II</t>
  </si>
  <si>
    <t>PJT2</t>
  </si>
  <si>
    <t xml:space="preserve"> </t>
  </si>
  <si>
    <t>Pengembangan Bisnis Baru </t>
  </si>
  <si>
    <t>Pelindo senantiasa berupaya mengembangkan bisnis secara vertikal dan horizontal</t>
  </si>
  <si>
    <t>PT Pelindo (Persero) berupaya untuk mencapai target market throughput / trafik</t>
  </si>
  <si>
    <t>Sales &amp; Marketing</t>
  </si>
  <si>
    <t>PT. Pelindo (Persero) akan berupaya untuk meningkatkan kualitas layanan melalui optimalisasi aset dan meningkatkan daya saing</t>
  </si>
  <si>
    <t>PT Pelindo (Persero) berusaha melakukan optimalisasi pengelolaan volatilitas pasar dan makroekonomi</t>
  </si>
  <si>
    <t>Pengelolaan Anak Perusahaan &amp; Afiliasi</t>
  </si>
  <si>
    <t>Pelindo berupaya menjaga kontribusi nilai Anak Perusahaan sesuai dengan target yang ditetapkan</t>
  </si>
  <si>
    <t>Peningkatan Biaya</t>
  </si>
  <si>
    <t>PT Pelindo (Persero) berupaya untuk meningkatkan efisiensi biaya dalam menjalan kegiatan bisnis</t>
  </si>
  <si>
    <t>Environmental Social Governance</t>
  </si>
  <si>
    <t>PT Pelindo (Persero) akan berupaya untuk menjaga kelestarian lingkungan dan mencegah terjadinya komplain atau tuntutan masyarakat sekitar pelabuhan</t>
  </si>
  <si>
    <t>Keamanan Jaringan</t>
  </si>
  <si>
    <t>PT Pelabuhan Indonesia (Persero) tidak memberikan ruang untuk kelalaian terhadap keamanan siber dan keamanan jaringan.</t>
  </si>
  <si>
    <t>Keselamatan dan Kesehatan Kerja (K3)</t>
  </si>
  <si>
    <t>PT Pelindo (Persero) tidak memberikan ruang terhadap fatality accident</t>
  </si>
  <si>
    <t>Compliance Ratio/Rasio Pemenuhan Kepatuhan Pada rencana mitigasi risiko kecelakaan kerja</t>
  </si>
  <si>
    <t>Ketersediaan Tenaga Terampil</t>
  </si>
  <si>
    <t>Pelindo berupaya mengembangkan kapabilitas dan kualitas SDM agar sesuai dengan kebutuhan bisnis Perusahaan </t>
  </si>
  <si>
    <t>Pelanggaran Kode Etik (Fraud, Penyuapan, Gratifiikasi dan Pelanggaran Etik Lainnya)</t>
  </si>
  <si>
    <t>PT Pelindo (Persero) tidak memberikan ruang untuk melakukan Pelanggaran Kode Etik (Fraud, Penyuapan, Gratifikasi, dll).</t>
  </si>
  <si>
    <t>Compliance Ratio/Rasio Pemenuhan Kepatuhan Pada rencana mitigasi risiko fraud yang didapatkan dari evaluasi internal control</t>
  </si>
  <si>
    <t>PT Pelindo (Persero) akan berupaya untuk melaksanakan program  investasi agar terlaksana sesuai dengan target yang ditentukan</t>
  </si>
  <si>
    <t>Pelaksanaan Investasi</t>
  </si>
  <si>
    <t>Disrupsi Bisnis</t>
  </si>
  <si>
    <t>PT Pelabuhan Indonesia (Persero) akan meningkatkan kualitas layanan jasa kepelabuhanan dan memperhatikan aspek ESG</t>
  </si>
  <si>
    <t>Rasio pemenuhan persyaratan jabatan</t>
  </si>
  <si>
    <t>Rasio realisasi PROPER terhadap target</t>
  </si>
  <si>
    <t>Pergerakan Rupiah</t>
  </si>
  <si>
    <t>Tercapainya target  EBT sebesar 100% pada tahun 2025</t>
  </si>
  <si>
    <t>Porsi pendapatan layanan kapal sebesar Rp 6994 M.</t>
  </si>
  <si>
    <t>Porsi pendapatan layanan petikemas sebesar Rp 13100 M.</t>
  </si>
  <si>
    <t>Porsi pendapatan layanan non-petikemas sebesar Rp 5151 M.</t>
  </si>
  <si>
    <t>Porsi pendapatan properti, air, listrik sebesar Rp 4712 M.</t>
  </si>
  <si>
    <t>Tercapainya target  EBITDA sebesar 100% pada tahun 2025</t>
  </si>
  <si>
    <t>Implementasi Green Technology di Pelabuhan tecapai 100% di 2025</t>
  </si>
  <si>
    <t>Program Standardisasi dan Digitalisasi Proses Bisnis Pelabuhan tecapai 100% di 2025</t>
  </si>
  <si>
    <t>Zero Fatality dan Zero Major Accident</t>
  </si>
  <si>
    <t>Tercapainya rasio pengembangan talenta muda dan perwakilan perempuan dalam nominated talent sebesar 15%</t>
  </si>
  <si>
    <t>Tidak terjadinya pelanggaran terhadap nilai–nilai etika yang berlaku di Perusahaan seperti tindakan curang, fraud, penyiapan, dll.</t>
  </si>
  <si>
    <t>1. Studi dan implementasi ekspansi jasa maritim;
2. Pengembangan bisnis layanan tambahan (Marine &amp; Port Service);
3. Optimalisasi klaster bisnis (marine &amp; port services) melalui pelaksanaan pemurnian bisnis dalam rangka penataan struktur korporasi di Pelindo Group secara bertahap.</t>
  </si>
  <si>
    <t>1. Pengembangan potensi pelabuhan melalui kerjasama dengan Strategic Partners )e.g. INA);
2. Studi dan implementasi ekspansi regional petikemas;
3. Mempertahankan dan meningkatkan penyelarasan bisnis serta pelayanan perusahaan diantaranya melalui standardisasi operasional, pengembangan infrastruktur &amp; peralatan pelabuhan, dan pelaksanaan Key Account Management yang terintegrasi;
4. Optimalisasi klaster bisnis (petikemas) melalui pelaksanaan pemurnian bisnis dalam rangka penataan struktur korporasi di Pelindo Group secara bertahap.</t>
  </si>
  <si>
    <t>1. Pengembangan bisnis layanan tambahan (Non-Petikemas &amp; Port Service);
2. Integrasi dengan kawasan industri / logistik untuk menstimulasi pertumbuhan cargo;
3. Optimalisasi klaster bisnis (non-petikemas, logistic &amp; hinterland) melalui pelaksanaan pemurnian bisnis dalam rangka penataan struktur korporasi di Pelindo Group secara bertahap.</t>
  </si>
  <si>
    <t>1. Optimalisasi aset melalui komersialisasi aset, relokasi aset serta inbreng aset kepada subholding selaku Business Owner;
2. Meningkatkan sinergi antar entitas dalam Pelindo Group.</t>
  </si>
  <si>
    <t xml:space="preserve">Penerapan Sustainabiity Effort di Pelabuhan </t>
  </si>
  <si>
    <t>1. Digitalisasi &amp; Sitemisasi Proses Bisnis
2. Implementasi enterprise architect dan IT masterplan</t>
  </si>
  <si>
    <t>Standardisasi Operasi Bidang Safety</t>
  </si>
  <si>
    <t>Program L&amp;D terintegrasi untuk standardisasi dan peningkatan kualitas SDM</t>
  </si>
  <si>
    <t>1. Pengembangan kapabilitas dan fokus pelayanan bisnis di pelabuhan
2. Meningkatkan sinergi antar entitas dalam group Pelindo
3. Implementasi Pelindo Bersih</t>
  </si>
  <si>
    <t>Pengembangan Infrastruktur dan peralatan Pelabuhan</t>
  </si>
  <si>
    <t>1. Pengembangan layanan operasi TUKS BUMN dan Swasta
2. Pengembangan layanan operasi Pelabuhan Milik K/L
3. Pengembangan Pelabuhan untuk mendukung IKN
4. Pengembangan bisnis tambahan MEPS, bunding services MEPS dengan bongkar muat, layanan MEPS di TUKS dan K/L
5. Pengembangan bisnis Dredging Solution
6. Pengembangan kawasan heritage (pariwisata marina)</t>
  </si>
  <si>
    <t>Target tambahan laba  Rp 150,34 Miliar</t>
  </si>
  <si>
    <t>Hasil yang diharapkan diukur secara kualitatif</t>
  </si>
  <si>
    <t>Target Keterlambatan proyek kurang dari 3 bulan</t>
  </si>
  <si>
    <t>Publikasi negatif mencapai skala nasional yang tersebar di sosial media dari / atau memerlukan penanganan kewenangan Kantor Pusat</t>
  </si>
  <si>
    <t>Program Pengembangan Infrastruktur dan Peralatan Pelabuhan terlaksana 100% di tahun 2025</t>
  </si>
  <si>
    <t>Kegagalan penyiapan pengembangan bisnis baru (ekspansi Regional)</t>
  </si>
  <si>
    <t>Penurunan Trafik Kapal</t>
  </si>
  <si>
    <t>Penurunan Throughput Petikemas</t>
  </si>
  <si>
    <t xml:space="preserve">Penurunan Throughput Non-Petikemas
</t>
  </si>
  <si>
    <t>Tidak Optimalnya Pengelolaan Aset Idle</t>
  </si>
  <si>
    <t>Rugi selisih kurs</t>
  </si>
  <si>
    <t>Inefisiensi Biaya</t>
  </si>
  <si>
    <t>Keterlambatan pelaksanaan investasi strategis (di atas Rp 200 M)</t>
  </si>
  <si>
    <t>Enviroment Social Government</t>
  </si>
  <si>
    <t>Cyber Attack Sistem Informasi</t>
  </si>
  <si>
    <t>Kecelakaan Kerja pada Pekerja Perusahaan</t>
  </si>
  <si>
    <t>Ketidaksesuaian kualifikasi Pekerja</t>
  </si>
  <si>
    <t>Pelanggaran Kode Etik (Fraud/Penyuapan/Gratifikasi/lainnya)</t>
  </si>
  <si>
    <t>Gangguan layanan</t>
  </si>
  <si>
    <t>Terlambatnya Implementasi Inisiatif Strategis berkaitan dengan pemurnian bisnis anak perusahaan</t>
  </si>
  <si>
    <t xml:space="preserve">Dampak keterlambatan pencapaian program strategis tertunda antara 3 sampai 6 bulan
--
Keterlambataan dalam perencanaan pemilihan mitra berpotensi menimbulkan reputasi buruk di hadapan pemegang saham dan calon partner,
--
Keterlambatan dalam perencanaan pemilihan mitra berpotensi menimbulkan reputasi buruk di hadapan pemegang saham dan calon partner. </t>
  </si>
  <si>
    <t xml:space="preserve">Emisi karbon yang dihasilkan dari aktivitas di pelabuhan dpt menjadi kontributor perubahan iklim bersama dengan emisi gas rumah kaca. Dampak terhadap lingkungan dipandang berupa Efek minor pada lingkungan, Efek jangka pendek (1-2 tahun) tetapi tidak mempengaruihi fungsi ekosistem.
--
Risiko akan berdampak pada munculnya pemberitaan negatif pada lingkungan eksternal perusahaan.
--
</t>
  </si>
  <si>
    <t>Jumlah insident TW I sebesar 131, dan jumlah insident TW II sebesar 261 pada tahun 2024  
--
Diasumsikan jumlah serangan ditahun 2025 100-199 kali 
--
Merujuk kasus cyber attack di JICT pada 17 Nov 2022 yg menyebabkan down sistem selama lebih dari 24 jam,</t>
  </si>
  <si>
    <t>Risiko berdampak pada Kasus kematian tunggal/ Cacat, baik dari kalangan pekerja perusahan ataupun TKBM eksternal.</t>
  </si>
  <si>
    <t>Ketidaksiapan kompetensi pekerja berdampak pada tidak tercapainya sasaran perusahaan.</t>
  </si>
  <si>
    <t>Kehilangan pelanggan akan berdampak pada penurunan pengsa pasar antara 5 sampai dengan 10%</t>
  </si>
  <si>
    <t>Kegagalan penyiapan pengembangan bisnis baru pada :
1. SPTP (supporting program IKN, Pemindagan traffic dari Sunda Kelapa, MNP, Dumai, Pelabuhan Kementrian/Lembaga, TUKS) 
2. SPJM (Pengelolaan Alur baru, Layanan Docking, Operasi Layanan MEPS di TUKS)
3. SPMT ( Layanan Operasi TUKS, Layanan Operasi Pelabuhan Kementrian, Layanan STS Handling, Layanan Dedicaterd Terminal Gas, Pengembangan kijing;Kuala Tanjung;dll) , dan 
4. SPSL (Integrasi Pelabuhan dengan Hinterland Melalui Multimoda, Pengembangan dan Optimalisaasi Kawasan Industri, Pengembangan BMTH, Kerjasama dengan Pelaku Industri Logistik)</t>
  </si>
  <si>
    <t>Adanya penurunan jumlah kapal yang masuk dan keluar dari pelabuhan</t>
  </si>
  <si>
    <t>Penurunan jumlah kontainer yang diangkut melalui pelabuhan, yang dapat menandakan adanya masalah dalam rantai pasokan atau penurunan permintaan dari mitra bisnis.</t>
  </si>
  <si>
    <t>Penurunan volume barang lainnya selain kontainer yang diangkut melalui pelabuhan, menunjukkan potensi masalah operasional atau permintaan pasar.</t>
  </si>
  <si>
    <t>Ketidakpastian kondisi Perusahaan sehingga Perusahaan sulit untuk mengembangkan bisnis</t>
  </si>
  <si>
    <t>Kesulitan dalam menerapkan strategi lindung nilai untuk memitigasi risiko fluktuasi nilai tukar</t>
  </si>
  <si>
    <t>Penggunaan dana yang tidak efektif atau berlebihan dalam mencapai tujuan.</t>
  </si>
  <si>
    <t>Kesulitan dalam melakukan restrukturisasi atau divestasi bisnis yang tidak lagi sesuai dengan fokus strategis perusahaan.</t>
  </si>
  <si>
    <t>Dampak dari perubahan kondisi cuaca dan iklim yang ekstrem, seperti banjir atau badai, yang dapat mengganggu operasi pelabuhan dan merusak infrastruktur
--
Adanya keluhan atau tuntutan dari masyarakat sekitar pelabuhan terkait dampak lingkungan, kebisingan, atau masalah lain yang terkait dengan operasi pelabuhan.
--</t>
  </si>
  <si>
    <t>Ancaman keamanan siber yang dapat menghambat operasi sistem informasi pelabuhan, mengakibatkan kerugian data atau gangguan operasional.
Ancaman keamanan siber yang mengurangi ketersediaan layanan sistem informasi pelabuhan, sehingga  menghambat kegiatan operasional.</t>
  </si>
  <si>
    <t>Kejadian yang mengakibatkan cedera atau kematian pada pekerja saat menjalankan tugas</t>
  </si>
  <si>
    <t>Kesulitan dalam mengembangkan atau mempersiapkan talenta internal untuk posisi kunci di KBUMN</t>
  </si>
  <si>
    <t>Kegagalan pekerja atau mitra bisnis dalam mematuhi kode etik perusahaan</t>
  </si>
  <si>
    <t>Penurunan jumlah pelanggan atau mitra bisnis yang dapat mengakibatkan penurunan pendapatan.</t>
  </si>
  <si>
    <t>Pelindo - 1</t>
  </si>
  <si>
    <t>Pelindo - 2</t>
  </si>
  <si>
    <t>Pelindo - 3</t>
  </si>
  <si>
    <t>Pelindo - 4</t>
  </si>
  <si>
    <t xml:space="preserve">Pelindo - 5 </t>
  </si>
  <si>
    <t>Pelindo - 6</t>
  </si>
  <si>
    <t>Pelindo - 8</t>
  </si>
  <si>
    <t>Pelindo - 9</t>
  </si>
  <si>
    <t>Pelindo - 10</t>
  </si>
  <si>
    <t>Pelindo - 11</t>
  </si>
  <si>
    <t>Pelindo - 12</t>
  </si>
  <si>
    <t>Pelindo - 13</t>
  </si>
  <si>
    <t>Pelindo - 14</t>
  </si>
  <si>
    <t>Pelindo - 16</t>
  </si>
  <si>
    <t xml:space="preserve">Rendahnya progres implementasi inisiatif strategi </t>
  </si>
  <si>
    <t>Adanya kebijakan pemerintah terkait pembatasan ekspor batu bara yang berdampak pada penurunan trafik pada cabang yang melayani TUKS dg kargo batu bara.
--
Tidak mendapatkan rekomendasi pelimpahan pemanduan dari Regulator.</t>
  </si>
  <si>
    <t>Fluktuasi nilai tukar Rp terhadap USD</t>
  </si>
  <si>
    <t>Pemborosan sumber daya atau proses yang tidak efektif</t>
  </si>
  <si>
    <t>Ketidaksesuaian pelaksanaan proyek antara rencana dan realisasi di lapangan</t>
  </si>
  <si>
    <t>Banyaknya stakeholder yang terlibat dalam proses permurnian bisnis serta memerlukan pembahasan yang alot.</t>
  </si>
  <si>
    <t>Adanya ancaman tindakan berbahaya seperti Virus, malware, dll.</t>
  </si>
  <si>
    <t>Kurangnya kepedulian dan kesadaran terhadap implementasi Budaya K3</t>
  </si>
  <si>
    <t>Level kompetensi pekerja pada jabatan yang sama tidak seragam</t>
  </si>
  <si>
    <t xml:space="preserve"> ketidaktahuan peraturan, atau pengawasan yang lemah</t>
  </si>
  <si>
    <t>Realisasi implementasi inisiatif strategi di Sub Holding</t>
  </si>
  <si>
    <t>Tingkat pelaksanaan pengembangan bisnis</t>
  </si>
  <si>
    <t>Tingkat kemampuan membayar kewajiban USD</t>
  </si>
  <si>
    <t>Realisasi  BOPO atau OR terhadap target</t>
  </si>
  <si>
    <t>Realisasi fisik program investasi yang telah/sedang dilaksanakan</t>
  </si>
  <si>
    <t xml:space="preserve">Realisasi Progres Bulanan
</t>
  </si>
  <si>
    <t>Jumlah</t>
  </si>
  <si>
    <t>Jumlah security incident  yang di close terhadap total security incident</t>
  </si>
  <si>
    <t xml:space="preserve"> %</t>
  </si>
  <si>
    <t>Kedisiplinan pelaksanaan program wajib K3 (Safety Briefing, Safety Patrol, Management Walktrough)</t>
  </si>
  <si>
    <t>Variansi level kompetensi pekerja</t>
  </si>
  <si>
    <t>Skor rata-rata</t>
  </si>
  <si>
    <t>Jumlah Laporan Indikasi Pelanggaran Etik di WBS</t>
  </si>
  <si>
    <t>96-100</t>
  </si>
  <si>
    <t>85 - 95</t>
  </si>
  <si>
    <t>&gt;78-80</t>
  </si>
  <si>
    <t>91-99</t>
  </si>
  <si>
    <t>98-100</t>
  </si>
  <si>
    <t>&gt;75-90</t>
  </si>
  <si>
    <t>1,5-2,0</t>
  </si>
  <si>
    <t>86-95</t>
  </si>
  <si>
    <t>20-30</t>
  </si>
  <si>
    <t>&gt;100%</t>
  </si>
  <si>
    <t>&lt;65%</t>
  </si>
  <si>
    <t>&lt;85%</t>
  </si>
  <si>
    <t>&lt;65</t>
  </si>
  <si>
    <t>&gt;83</t>
  </si>
  <si>
    <t>&lt;30</t>
  </si>
  <si>
    <t>&lt;80</t>
  </si>
  <si>
    <t>&lt;0,5</t>
  </si>
  <si>
    <t>5 - 6</t>
  </si>
  <si>
    <t>65-85%</t>
  </si>
  <si>
    <t>85-95</t>
  </si>
  <si>
    <t>65-85</t>
  </si>
  <si>
    <t>31-100%</t>
  </si>
  <si>
    <t>&gt;80-83</t>
  </si>
  <si>
    <t>80-90</t>
  </si>
  <si>
    <t>65-75</t>
  </si>
  <si>
    <t>0,5-1,5</t>
  </si>
  <si>
    <t>1-4</t>
  </si>
  <si>
    <t>- SOP Pelaksanaan Proyek Investasi
- SOP Penyusunan dan Pelaksanaan Perjanjian Kerjasama Bidang Teknik</t>
  </si>
  <si>
    <t>- SOP Permohonan Pengurusan Izin Pelimpahan Pemanduan
- SOP Evaluasi Pelimpahan Pemanduan</t>
  </si>
  <si>
    <t>- SOP Pengelolaan Suara Pelanggan</t>
  </si>
  <si>
    <t>SOP Kajian Strategis Kepelabuhanan</t>
  </si>
  <si>
    <t>SOP Pengelolaan Biaya</t>
  </si>
  <si>
    <t>- Anggaran Dasar Perusahaan</t>
  </si>
  <si>
    <t>- Pengendalian Pencemaran Udara
--
'- SOP Pelaksanaan ESR (Employee Social Responsibility)
- SOP Pelaksanaan Bantuan/Kegiatan Lainnya
- Pelaksanaan CSR bagi masyarakat sekitar proyek konstruksi
--
'- SOP Pemantauan Pengelolaan Lingkungan
- Pengendalian Pencemaran Air
- Pengendalian Pencemaran Udara
- Pengelolaan Limbah B3</t>
  </si>
  <si>
    <t>- SOP Patch Management
- SOP Pengelolaan Konfigurasi
- SOP Pengelolaan Antivirus
- SOP Pemeliharaan Berkala Perangkat
- SOP Operational Data Centre
- SOP Penanganan Insiden TI
- SOP Keamanan TIK</t>
  </si>
  <si>
    <t>- Partisipiasi dan Komunikasi K3
- Inspeksi K3
- Perencanaan Kegiatan Preventive K3
- Job Safety Analysis (JSA)
- Safety Induction and Safety Briefing
- Pengelolaan APAR dan APD
- Latihan/Drill Preventive K3
- Evaluasi dan Monitoring Preventive K3
- Investigasi Corrective K3
- Pelaksanaan Tanggap Darurat K3
- Evaluasi Pelaksanaan Kejadian 
- Emergency (Kondisi Kedaruratan)
- Insiden Manajemen</t>
  </si>
  <si>
    <t>- SOP Penyusunan Peraturan Kepegawaian terkait Kebijakan Remunerasi​
- SOP Penetapan Kebijakan Insentif Produksi pada Grup Bisnis Perusahaan</t>
  </si>
  <si>
    <t>- Portal Whistleblowing System (WBS) Pelindo
- SOP Implementasi Sistem Manajemen Anti Penyuapan</t>
  </si>
  <si>
    <t>- SOP Pelayanan Jasa Kapal
- SOP Perencanaan Sarana dan Prasarana Pelayanan Kapal</t>
  </si>
  <si>
    <t>Januari 2025-Desember 2025</t>
  </si>
  <si>
    <t>Pelindo - 15</t>
  </si>
  <si>
    <t>Adanya emisi karbon yang dihasilkan dari aktivitas di pelabuhan
--
Masyarakat merasa adanya dampak yang dipandang buruk terhadap aset/fasilitas/aktivitas-nya yang telah ada di sekitar lokasi pelabuhan.
Adanya harapan dari masyarakat atas peningkatan taraf hidup atau ekonomi sebagai bagian dari komunitas yang ada di sekitar pelabuhan.  
--
Proses bongkar muat curah yang tidak sesuai standar,Minimnya pengawasan dan monitoring pengelolaan lingkungan, Minimnya fasilitas penyimpanan limbah B3.</t>
  </si>
  <si>
    <t>1. Checklist atau Berita acara Rapat
2. Laporan Monitoring Pelaksanaan Kegiatan Pengerukan per Triwulan</t>
  </si>
  <si>
    <t>1. Laporan Bulanan Waiting Time for Pilot. Data jumlah pandu eksisting  dan kebutuhan pada setiap wilayah/unit. Dokumentasi Penyusunan Aturan Pola Karir Pandu. Laporan implementasi kelengkapan Petugas Pandu sesuai dengan Guide Book Pelayanan Kapal 
2. Inisiatif Paper Implementasi Hub and Site Pelabuhan. Laporan Penyiapan Infrastruktur. SOP dan Struktur Organisasi. Laporan Monitoring dan Evaluasi
3. Dokumen Inisiasi Pengelolaan Alur. Dokumen Perizinan Lingkungan. Dokumen Teknis Keselamatan Alur Pelayaran. Dokumen Kesepakatan dan Persetujuan Tarif</t>
  </si>
  <si>
    <t>1. Laporan Hasil Asesmen dan Gap Analysis. Project Plan/ Timeline dan Project Charter. Progress Report &amp; Dokumentasi. Monthly Meeting, Final Report
1. Timeline Rencana Piloting. Konsep Integrasi &amp; Business Requirement Document. Implementasi piloting terminal/cabang. Monthly Meeting, Progress Report</t>
  </si>
  <si>
    <t>1 &amp; 2. Initiation - Assesment, Gap Analysis dan Penyusunan Project Charter. Planning - Penyusunan Improvement / Project Plan. Execution - Pemenuhan Aspek Standarisasi dan Implementasi PTOS-M</t>
  </si>
  <si>
    <t>1. Rekapitulasi &amp; laporan utilisasi alat yang direlokasi
2. Data Properti Investasi. Perbaikan Data SAP. Berita Acara Inventarisasi
3. Data lahan idle Tahun 2025. Evaluasi rencana kerjasama, dokumen kajian. Rapat/BANegosiasi/BA Kesepakatan, Surat Persetujuan. Surat Perjanjian</t>
  </si>
  <si>
    <t>1. Optimalisasi kas dan pendanaan Pelindo Group</t>
  </si>
  <si>
    <t>1. Proyeksi CF, BS dan P&amp;L. Kajian pendanaan untuk pendanaan tahun 2025. Persetujuan Direksi dalam radir/BAKD. Tanggapan Dewan Komisaris. Perjanjian pendaaan. Bukti Pembayaran Global Bond yang jatuh tempo</t>
  </si>
  <si>
    <t>1. Program Efisiensi. Hasil evaluasi program efisiensi bulanan dan tahunan</t>
  </si>
  <si>
    <t>1. Pengurusan Persetujuan Lingkungan - Proyek Strategis Nasional dan Penugasan
2. Penyusunan Dokumen Desain Fasilitas Pelabuhan
3. Monitoring dan controling terhadap pelaksanaan proyek di lingkungan pelindo group
4. Monitoring impelementasi kaidah / aturan manajemen proyek di lingkungan Pelindo Group
5. Pengembangan dashboard Monitoring Pelaksanaan proyek Investasi (Tahap III)
6. Enhancement Lanjutan Sistem Aplikasi Pelindo Usulan Investasi (PELUIT) Dokumen Timeline dan Rencana Kebutuhan Dana
7. Monitoring Realisasi Investasi
8. Evaluasi Paska Investasi</t>
  </si>
  <si>
    <t>1. Laporan Pengurusan Persetujuan Lingkungan
2. Nota Dinas Permohonan Pengadaan Barang/Jasa ke Group Pengadaan untuk Pemilihan Kontraktor
3. Laporan Monitoring dan controling terhadap pelaksanaan proyek di lingkungan pelindo group
4. Laporan Monitoring impelementasi kaidah / aturan manajemen proyek di lingkungan Pelindo Group
5. Web dashboard tahap III
6. Go Live Aplikasi PELUIT
7 Laporan Monitoring Realisasi Investasi
8. Laporan Evaluasi Paska Investasi</t>
  </si>
  <si>
    <t>1. Kajian. RUPS. Akta. BA
2. Notulen BPR
3. Dokumentasi Forum Anak Perusahaan</t>
  </si>
  <si>
    <t xml:space="preserve">1. Final Report (Asesmen Sturktur Organisasi Pelindo Group terkait Fungsi Corsus, Readiness Analysis ISO 14064-1 2018, dan Review Kebijakan kerberlanjutan di SH). Progress Report 
2. ESG/SR Data Collection, Dokumen Mekanisme Pelaporan, dan Report ESG/SR Pelindo Group
3. Hasil Assesmen. Kertas Kerja Tindak Lanjut PROPER Biru. Report Progress Pemenuhan Kriteria PROPER Biru dan Pencabutan Sanksi. Report dan Evaluasi Peringkat PROPER
4. Kertas Kerja Monitoring. Report Pengurusan Persetujuan Lingkungan
5. Project Charter. Bukti Submit PTSP. Laporan Monitoring
6. Dokumen kajian FS E-TT
7. Laporan Pelaksanaan Layanan Keterbukaan Informasi Publik. Sertifikat Hasil Monev
</t>
  </si>
  <si>
    <t>1. Integrasi Sistem Operasi Terminal Non Petikemas
2. Implementasi Integrasi Sistem Operasi Pelayanan Kapal dan Petikemas
3. Peningkatan Cyber Security di LIngkungan PT Pelabuhan Indonesia</t>
  </si>
  <si>
    <t>1.2.3 Go Live</t>
  </si>
  <si>
    <t xml:space="preserve">1. Laporan pelaksanaan peningkatan dan pemenuhan Sarana dan Prasarana K3 tahun 2025. Daftar Sarana dan Prasarana K3 minimal (must have) yang akan dipenuhi di Tahun 2025. Laporan hasil gap analysis kebutuhan Sarana dan Prasarana K3 tahun 2025.
2. Laporan Hasil Pemetaan Maturitas Implementasi Sistem Manajemen K3. Laporan hasil penyelarasan tata kelola kebijakan dan proses K3. Daftar kebutuhan kompetensi berupa pelatihan dan sertifikasi untuk pengelola K3 dan business owner. Laporan Pelaksanaan Pengembangan Platform Aplikasi MyHSSE fase 2.
</t>
  </si>
  <si>
    <t>1. Penerapan dan Pengelolaan Sistem Manajemen Terpadu di Lingkungan PT Pelabuhan Indonesia (Persero)
2. Implementasi Program Kerja Stranas PK (Strategi Nasional Pencegahan Korupsi)</t>
  </si>
  <si>
    <t>1. Dokumen monitoring dan analisa penerapan Sistem Manajemen Anti Penyuapan (ISO 37001) &amp; Sistem Manajemen Mutu (ISO 9001) dan satu sistem manajemen lainnya* di Kantor Pusat dan Regional
2. Daftar Implementasi Sistem Manajemen di Seluruh Regional,  Subholding dan Anak Perusahaan
3. Buku Panduan SMT Kantor Pusat dan Regional
4. Dokumentasi Tinjauan Manajemen (Agenda Tinjauan Manajemen, Notulen Tinjauan Manajemen)
5. Dokumentasi Penyelarasan dan Pembagian Peran pengelolaan Sistem Manajemen Terpadu antara Pelindo Holding dengan SHO dan Anper, dalam pembagian peran pengelolaan sistem manajemen terpadu pada Pelindo Group
6. Laporan Audit Surveillance/Sertifikat ISO 37001 dan 9001 Ruang Lingkup Pelindo Kantor Pusat dan Regional, serta laporan monitoring pada Subholding
7. Laporan Analisa kesiapan sistem manajemen lainnya di lingkungan Pelindo Holding
8. Dokumentasi Audit Internal (Program Audit, Audit Plan, NCR Report) serta laporan monitoring tindak lanjut temuan hasil audit
9. Laporan utilisasi penggunaan aplikasi Integrated Management System (IMS) di lingkungan Pelindo Holding
10. Laporan Progress RKM dan Progres KPI
11. Implementasi Program Kerja Stranas PK</t>
  </si>
  <si>
    <t>1. List Kondisi Kesiapan Fasilitas
2. Laporan Monitoring Triwulan</t>
  </si>
  <si>
    <t>Direktur Investasi Holding</t>
  </si>
  <si>
    <t>Direktur Keuangan Holding</t>
  </si>
  <si>
    <t>Direktur Keuangan Holding dan Anak Perusahaan</t>
  </si>
  <si>
    <t>Direktur Strategi Holding, Direktur Pengelola Holding</t>
  </si>
  <si>
    <t>Wakil Direktur Utama Holding</t>
  </si>
  <si>
    <t>Direktur Pengelola Holding</t>
  </si>
  <si>
    <t>Direktur SDM &amp; Umum Holding</t>
  </si>
  <si>
    <t>Wakil Direktur Utama Holding, Direktur Investasi Holding</t>
  </si>
  <si>
    <t>Direktur Pengelola Holding,
Direktur SPJM</t>
  </si>
  <si>
    <t>Direktur Pengelola Holding,
Direktur SPTP dan SPMT</t>
  </si>
  <si>
    <t>Direktur Pengelola Holding,
Direktur SPMT</t>
  </si>
  <si>
    <t>Direktur Pengelola Holding, Direktur SPSL</t>
  </si>
  <si>
    <t>Direktur Utama Holding, Direktur Investasi Holding, Direktur Pengelola Holding,
Direktur Subholding</t>
  </si>
  <si>
    <t xml:space="preserve"> 1.	Laporan Pelaksanaan Apprenticeship &amp; Laporan Pelaksanaan ALPI: Cycle 2
2.	Rekapitulasi hasil asesmen, laporan individual hasil asesmen, dan laporan ke Direksi. Database hasil asesmen pekerja dalam sistem</t>
  </si>
  <si>
    <t>Monitoring Availability dan Pemeliharaan Fasilitas Sipil Pelabuhan</t>
  </si>
  <si>
    <t xml:space="preserve">1. Leadership Development Program
2. Strategis Asesmen Kompetensi Pekerja Struktural
</t>
  </si>
  <si>
    <t>1. Peningkatan dan Pemenuhan Sarana dan Prasarana K3
2. Peningkatan awareness K3 melalui proses internalisasi budaya, peningkatan kapabilitas SDM dan platform digital K3</t>
  </si>
  <si>
    <t xml:space="preserve">
1. Pengembangan dan Integrasi fungsi corporate sustainability berbasis Aspek Environment, Social, and Governance (ESG)
2. Pengembangan Sistem Pelaporan dan Praktik Pengungkapan Kinerja SR dan ESG
3. Monitoring Tingkat Pemenuhan Terhadap Peraturan Perundang-undangan di Bidang Lingkungan Hidup
4. Monitoring Pengurusan Persetujuan Lingkungan dan DELH/DPLH
5. Implementasi Energi Terbarukan dan Energi Ramah Lingkungan
6. Implementasi Green Teknologi Alat Bongkat Muat
7. Pengelolaan Keterbukaan Informasi Publik
</t>
  </si>
  <si>
    <t>Program Efisiensi Biaya</t>
  </si>
  <si>
    <t>1. Standarisasi dan Digitalisasi Operasi Terminal Non Petikemas - Multipurpose
2. Standarisasi dan Digitalisasi Operasi Terminal Non Petikemas - Curah</t>
  </si>
  <si>
    <t>1. Standarisasi dan Digitalisasi Operasi Pelayanan Petikemas
2. Implementasi Integrasi Sistem Operasi Pelayanan Kapal dan Petikemas</t>
  </si>
  <si>
    <t xml:space="preserve">1. Monitoring impelementasi kaidah / aturan manajemen proyek di lingkungan Pelindo Group
2. Monitoring Pelaksanaan Pengerukan Alur Pelayaran dan Kolam Pelabuhan
</t>
  </si>
  <si>
    <t>30-69</t>
  </si>
  <si>
    <t>&gt;=70</t>
  </si>
  <si>
    <t>90-97</t>
  </si>
  <si>
    <t>PT Pelabuhan Indonesia (Persero) siap melaksanakan pemenuhan kewajiban kontraktual dan peraturan terkait</t>
  </si>
  <si>
    <t>Compliance Ratio/Rasio Pemenuhan Kepatuhan Pada rencana mitigasi risiko perpajakan yang didapatkan dari evaluasi internal control</t>
  </si>
  <si>
    <t>Denda Pajak
(atas SPT Masa Withholding dan PPN bulanan)</t>
  </si>
  <si>
    <t>Ketepatan dalam Penyetoran dan Pelaporan Pajak tahun 2025</t>
  </si>
  <si>
    <t>Sanksi berupa biaya tambahan yang dikenakan kepada Perusahaan karena keterlambatan atau pelanggaran ketentuan perpajakan</t>
  </si>
  <si>
    <t>Ketersediaan SDM untuk collect data pelaporan Pajak dan keterbatasan data pelaporan</t>
  </si>
  <si>
    <t>Jumlah pelaporan pajak atas SPT Masa dibanding dengan target penyampaian SPT</t>
  </si>
  <si>
    <t>&lt;=90</t>
  </si>
  <si>
    <t>- SOP dan Petunjuk Teknis Perpajakan
- Pengembangan aplikasi perpajakan (Sim Tax)</t>
  </si>
  <si>
    <t>1. Sosialisasi Perpajakan PT Pelabuhan Indonesia (Persero)
2. Pengajuan SKB (Surat Keterangan Bebas) PPh Pasal 23
3. Pengajuan SKF (Surat Keterangan Fiskal) PT Pelabuhan Indonesia (Persero)
4.Pengembangan Sistem Informasi Perpajakan PT Pelabuhan Indonesia (Persero) - (Lanjutan)
5. Pengajuan SKTD (Surat Keterangan Tidak Dipungut) PPN PT Pelabuhan Indonesia (Persero)</t>
  </si>
  <si>
    <t>1. Pelaksanaan Sosialisasi Perpajakan
2. Surat Pengajuan Bebas Pemotongan dan/ Pemungutan PPh Pasal 23
3. Keputusan Direktur Jenderal Pajak tentang SKF PT Pelabuhan Indonesia (Persero)
4. Modul Perhitungan dan Pelaporan PPh Unifikasi, Modul PPh 21,  Modul PPN dan PPN Wapu, Modul Perhitungan PPh Badan, Modul PNBP/Konsesi dan PBB, Integrasi PJAP
5. Pengajuan SKTD (Surat Keterangan Tidak Dipungut) PPN</t>
  </si>
  <si>
    <t xml:space="preserve">Belum terstandarnya pola operasional sehingga berdampak pada kinerja yang rendah
--
Ketidaksiapan fasilitas ketika akan digunakan oleh pelanggan (misal terbatasnya jumlah kapal tunda, kekurangan alat, kekurangan lapangan penumpukan)
</t>
  </si>
  <si>
    <t>Target realisasi trafik petikemas dibanding target bulanan</t>
  </si>
  <si>
    <t>Target realisasi trafik non - petikemas dibanding target bulanan</t>
  </si>
  <si>
    <t xml:space="preserve">- Realisasi Biaya sesuai / dibawah RKAP Rp 26 T
</t>
  </si>
  <si>
    <t>Efisiensi biaya yang tidak mendukung peningkatan pendapatan.</t>
  </si>
  <si>
    <r>
      <t>1. Monitoring Implementasi Standardisasi Pelayanan Pemanduan
2. Standardisasi Operasi Pelayanan Kapal di Lingkungan PT Pelabuhan Indonesia (Persero)</t>
    </r>
    <r>
      <rPr>
        <sz val="8"/>
        <color theme="8"/>
        <rFont val="Arial"/>
        <family val="2"/>
      </rPr>
      <t xml:space="preserve">
</t>
    </r>
  </si>
  <si>
    <t>1. Relokasi Peralatan Pelabuhan
2. Optimalisasi Aset Lahan Tahun 2025</t>
  </si>
  <si>
    <r>
      <rPr>
        <sz val="8"/>
        <rFont val="Arial"/>
        <family val="2"/>
      </rPr>
      <t>1. Aksi Korporasi pada Anak Perusahaan</t>
    </r>
    <r>
      <rPr>
        <sz val="8"/>
        <color theme="1"/>
        <rFont val="Arial"/>
        <family val="2"/>
      </rPr>
      <t xml:space="preserve">
2. Pelaksanaan Business Performance Review Triwulanan
3. Forum Anak Perusahaan
</t>
    </r>
  </si>
  <si>
    <t>Target realisasi trafik kedatangan kapal dibanding target bulanan</t>
  </si>
  <si>
    <t>Kalah bersaing dengan kompetitor PBM petikemas
--
Penurunan kegiatan transhipment di beberapa cabang pelabuhan.</t>
  </si>
  <si>
    <t xml:space="preserve">
Kalah bersaing dengan kompetitor PBM non petikemas
--
Penurunan kegiatan ekspor/impor akibat penurunan kegiatan industri atau adanya kebijakan larangan ekspor/impor komoditas tertentu</t>
  </si>
  <si>
    <t>Utlisasi alat Bongkar Muat yang rendah &amp;  ketersediaan lahan idle/belum siap pakai</t>
  </si>
  <si>
    <t>Tingkat realisasi pemenuhan dibandingkan dengan standar baku mutu</t>
  </si>
  <si>
    <t>&gt;95</t>
  </si>
  <si>
    <t>95-85</t>
  </si>
  <si>
    <t>&lt;85</t>
  </si>
  <si>
    <t xml:space="preserve">tingkat kesiapan alat </t>
  </si>
  <si>
    <t>&gt;90</t>
  </si>
  <si>
    <t>90-75</t>
  </si>
  <si>
    <t>&lt;75</t>
  </si>
  <si>
    <t>Pelindo - 7</t>
  </si>
  <si>
    <t>Target pendapatan Rp 6,865 T</t>
  </si>
  <si>
    <t>Target pendapatan Rp 13,3 T</t>
  </si>
  <si>
    <t>Target pendapatan Rp 5,2 T</t>
  </si>
  <si>
    <t>Target pendapatan Rp 5,05 T</t>
  </si>
  <si>
    <t>Porsi pendapatan layanan kapal sebesar Rp 6865 M.</t>
  </si>
  <si>
    <t>Porsi pendapatan layanan petikemas sebesar Rp 13335 M.</t>
  </si>
  <si>
    <t>Porsi pendapatan layanan non-petikemas sebesar Rp 5203 M.</t>
  </si>
  <si>
    <t>Porsi pendapatan properti, air, listrik sebesar Rp 5055 M.</t>
  </si>
  <si>
    <t>Ketidaktercapaian Realisasi dibandingkan dengan target trafik kapal</t>
  </si>
  <si>
    <t>Ketidaktercapaian Realisasi dibandingkan dengan target trafik petikemas</t>
  </si>
  <si>
    <t>Ketidaktercapaian Realisasi dibandingkan dengan target trafik non petikemas</t>
  </si>
  <si>
    <t>1. Memberikan tarif khusus ke beberapa Perusahaan Angkutan Logistik dan Transporter
2. Melakukan optimalisasi bisnis dengan integrasi jalur</t>
  </si>
  <si>
    <t>Tercapainya target Anak Perusahaan dengan aksi korporasi</t>
  </si>
  <si>
    <t>&lt;50</t>
  </si>
  <si>
    <t>50-90</t>
  </si>
  <si>
    <t>Pelindo - 17</t>
  </si>
  <si>
    <t>Tidak tercapainya target Trafik JTCC</t>
  </si>
  <si>
    <t>Kesulitan PT CTP dalam mengelola JTCC yang saat ini realisasi trafik lalu lintas masih rendah</t>
  </si>
  <si>
    <t>Belum terintegrasinya JTCC dengan Jalan Tol Umum lainnya
Adanya ketidakpastian rencana pengembangan wilayah koridor JTCC dari pemerintah Daerah setempat
Keluhan pelaku usaha logistik terhadap tarif terlalu mahal</t>
  </si>
  <si>
    <t xml:space="preserve">Realisasi pelaksanaan progres integrasi terhadap target
</t>
  </si>
  <si>
    <t>Ketidaktercapaian Realisasi dibandingkan dengan target trafik JTCC</t>
  </si>
  <si>
    <t>1.	Persetujuan Integrasi Tarif Tol oleh Pemerintah
2.	Perolehan porsi pendapatan untuk PT CTP</t>
  </si>
  <si>
    <t>Target penambahan pendapatan Anak Perusahaan PT CTP integrasi JTCC tahun 2025 tercapai 150 M</t>
  </si>
  <si>
    <t>Integrasi JTCC dengan JORR-1 dan/atau Divestasi Saham PT CTP</t>
  </si>
  <si>
    <t>Wakil Direktur Utama Holding, Direktur SPSL</t>
  </si>
  <si>
    <t>Kualitatif</t>
  </si>
  <si>
    <t>Kuantitatif</t>
  </si>
  <si>
    <t>Risiko Terhadap Pendapatan</t>
  </si>
  <si>
    <t>Risiko Terhadap Biaya</t>
  </si>
  <si>
    <t>Risiko</t>
  </si>
  <si>
    <t>Eksposur Risiko Inheren</t>
  </si>
  <si>
    <t>Biaya Perlakuan Risiko</t>
  </si>
  <si>
    <t>Eksposur Risiko Residual (Total)</t>
  </si>
  <si>
    <t>Eksposur Risiko Residual (Pendapatan)</t>
  </si>
  <si>
    <t>Eksposur Risiko Residual (Beban)</t>
  </si>
  <si>
    <t>Rp</t>
  </si>
  <si>
    <t>Risiko Pengembangan Bisnis Baru</t>
  </si>
  <si>
    <t>Risiko Sales &amp; Marketing</t>
  </si>
  <si>
    <t>Risiko Pergerakan Rupiah</t>
  </si>
  <si>
    <t>Risiko Peningkatan Biaya</t>
  </si>
  <si>
    <t>Risiko Pajak</t>
  </si>
  <si>
    <t>Risiko Pelaksanaan Investasi</t>
  </si>
  <si>
    <t>Risiko Pengelolaan Anak Perusahaan &amp; Afiliasi</t>
  </si>
  <si>
    <t>Risiko Environmental Social Governance</t>
  </si>
  <si>
    <t>Risiko Keamanan Jaringan</t>
  </si>
  <si>
    <t>34,221,800,000,000</t>
  </si>
  <si>
    <t>Risiko Keselamatan dan Kesehatan Kerja (K3)</t>
  </si>
  <si>
    <t>Risiko Ketersediaan Tenaga Terampil</t>
  </si>
  <si>
    <t>Risiko Pelanggaran Kode Etik (Fraud, Penyuapan, Gratifiikasi dan Pelanggaran Etik Lainnya)</t>
  </si>
  <si>
    <t>Risiko Disrupsi Bisnis</t>
  </si>
  <si>
    <t xml:space="preserve">c </t>
  </si>
  <si>
    <t>d = a+ b-c</t>
  </si>
  <si>
    <t>f</t>
  </si>
  <si>
    <t>g</t>
  </si>
  <si>
    <t>h</t>
  </si>
  <si>
    <t>i=e+f+g+h</t>
  </si>
  <si>
    <t>j = d-i</t>
  </si>
  <si>
    <t>k</t>
  </si>
  <si>
    <t>l=j-k</t>
  </si>
  <si>
    <t>PERHITUNGAN EXUM</t>
  </si>
  <si>
    <t>2.400.000.000 (kualitatif)</t>
  </si>
  <si>
    <t>3.600.000.000 (kualitatif)</t>
  </si>
  <si>
    <t>1.600.000.000 (kualitatif)</t>
  </si>
  <si>
    <t xml:space="preserve">   -    </t>
  </si>
  <si>
    <t>(Kualitatif tidak dihitung)</t>
  </si>
  <si>
    <t>`</t>
  </si>
  <si>
    <t>Eksposur Risiko Residual</t>
  </si>
  <si>
    <t>Penurunan Eksposur Risiko</t>
  </si>
  <si>
    <t xml:space="preserve">Manfaat yang didapatkan atas perencanaan perlakuan risiko </t>
  </si>
  <si>
    <t>c = a- b</t>
  </si>
  <si>
    <t>e = c-d</t>
  </si>
  <si>
    <t>Proyeksi Pendapatan Bisnis Rutin</t>
  </si>
  <si>
    <t>Proyeksi Pendapatan atas Strategi Bisnis Baru</t>
  </si>
  <si>
    <t>Eksposur Risiko Residual yang Berdampak pada Pendapatan</t>
  </si>
  <si>
    <t>Total Proyeksi Pendapatan</t>
  </si>
  <si>
    <t>Biaya Rutin untuk Pencapaian Pendapatan Bisnis Rutin</t>
  </si>
  <si>
    <t>Biaya Non Rutin untuk Pencapaian Pendapatan atas Strategi Bisnis Baru</t>
  </si>
  <si>
    <t>Eksposur Risiko Residual yang Berdampak pada Biaya</t>
  </si>
  <si>
    <t>Biaya Mitigasi Risiko untuk menjaga risiko Residual yang berdampak pada pendapatan &amp; biaya</t>
  </si>
  <si>
    <t>Total Biaya</t>
  </si>
  <si>
    <t>Target Laba Bersih*</t>
  </si>
  <si>
    <t>1.734.000.000.000 angka sebelumnya</t>
  </si>
  <si>
    <t>Target Laba Sebelum Pajak</t>
  </si>
  <si>
    <t>Target Laba Bersih</t>
  </si>
  <si>
    <t>Bisnis Rutin</t>
  </si>
  <si>
    <t>Proyeksi Pendapatan</t>
  </si>
  <si>
    <t>Strategi Bisnis Baru</t>
  </si>
  <si>
    <r>
      <t xml:space="preserve">Biaya Pelaksanaan Strategi Bisnis Baru </t>
    </r>
    <r>
      <rPr>
        <b/>
        <sz val="9"/>
        <color rgb="FFFF0000"/>
        <rFont val="Century Gothic"/>
        <family val="2"/>
      </rPr>
      <t>(sama dengan biaya non rutin)</t>
    </r>
  </si>
  <si>
    <t>Pelayanan Kapal &amp; Lainnya</t>
  </si>
  <si>
    <t>Integrasi Tarif Tol JTCC</t>
  </si>
  <si>
    <t>Pelayanan Petikemas</t>
  </si>
  <si>
    <t>Pendapatan dari inisiatif strategis pengembangan bisnis baru Subholding</t>
  </si>
  <si>
    <t>Pelayanan Non-Petikemas</t>
  </si>
  <si>
    <t>1735000000000 sebelumnya</t>
  </si>
  <si>
    <t>Pengusahaan Properti, Listrik &amp; Air</t>
  </si>
  <si>
    <t>Pelayanan Rupa-Rupa Usaha</t>
  </si>
  <si>
    <t>Eksposure Inheren</t>
  </si>
  <si>
    <t>Total Inheren</t>
  </si>
  <si>
    <t>Eksposure Residual</t>
  </si>
  <si>
    <t>Penurunan</t>
  </si>
  <si>
    <t>Biaya</t>
  </si>
  <si>
    <t>Manfaat</t>
  </si>
  <si>
    <t>Deviasi pencapaian progres milestone</t>
  </si>
  <si>
    <t>Aset Idle (Lahan/Alat)</t>
  </si>
  <si>
    <t xml:space="preserve"> Kenaikan nilai kurs terhadap asumsi</t>
  </si>
  <si>
    <t>Poin</t>
  </si>
  <si>
    <t>Deviasi Kenaikan BOPO</t>
  </si>
  <si>
    <t>Keterlambatan Pemenuhan persyaratan investasi</t>
  </si>
  <si>
    <t xml:space="preserve">Rasio penyelesaian security insiden </t>
  </si>
  <si>
    <t>Pencapaian recovery time objective (RTO)</t>
  </si>
  <si>
    <t xml:space="preserve">Mengacu pada data realisasi triwulan II tahun 2024, perusahaan pernah mengalami kerugian kurs sebesar ± Rp 733 M
</t>
  </si>
  <si>
    <t>Mengacu pada inisiatif strategis tahun 2025 :
- Potensi pendapatan inisiatif strategis diasumsikan sebesar Rp 395 M.
Sikap risiko terhadap pengembangan bisnis adalah moderat sehingga nilai kemungkinan sebesar 50%. 
Namun secara kualitatif kegagalan penyiapan program ekspansi ini dapat berdampak pada tertundanya program antara 3 - 6 bulan, dampak kualitatif level 3.</t>
  </si>
  <si>
    <t>Berdasarkan data 4 tahun terakhir, rata-rata deviasi pendapatan properti, air, listrik adalah -6,23%. 
Target Pendapatan properti, air, listrik tahun 2025 sebesar 5055 M. Maka dampak risiko adalah sebesar 6,23%* 5055 M= 314,9 M.
--
Nilai kemungkinan 3/4=75% (3x kejadian dalam 4 tahun)
Namun secara kualitatif tidak optimalnya aset idle disebabkan pula oelh adanya lahan yang masih bermasalah yang bila tidak dikelola dapat berdampak pada dampak tuntutan hukum, Level 3.</t>
  </si>
  <si>
    <t>Berdasarkan data TW 2 tahun 2024 terdapat deviasi anggaran Beban Usaha sebesar 2% dari RKAP.
Target Beban Usaha RKAP 2025 sebesar 26 T, maka dampak risiko sebesar 2%*26T = 520 M.
Namun secara kualitatif, pengelolaan biaya yang tidak efektif dapat berdampak pada peningkatan biaya pada kisaran 2,5-10% atau level 3.</t>
  </si>
  <si>
    <t>Dampak keterlambatan penyelesaiaan investasi diperkirakan mengalami keterlambatan antara 3 sampai 6 bulan.
Asumsi terdapat klaim dari pihak Penyedia Pekerjaan atas keterlambatan perizinan dengan dampak klaim Rp 160 M.</t>
  </si>
  <si>
    <t xml:space="preserve">Dampak denda pajak meliputi pembayaran biaya tambahan yang mengurangi profitabilitas, gangguan pada aliran kas, serta potensi kerusakan reputasi dan hubungan dengan otoritas pajak dengan potensi tahun 2025 Rp 138 M.
Namun secara kualitatif kesalahan dalam perhitungan/pelaporan pajak berpotrensi pada dampak kualitatif level 3, yakni adanya peringatan tertulis / formal dan terkena denda. 
</t>
  </si>
  <si>
    <t>Berdasarkan analisis data 6 tahun terakhir, deviasi pencapaian pendapatan kapal adalah 10,15%.
Target pendapatan kapal 2025 sebesar Rp 6865 M. Nilai dampak utk 2025 adalah 10,15%*6865 M=697 M.
--
Nilai kemungkinan 3/6=50% (3x  kejadian dalam 6 tahun).
Namun secara kualitatif penuruan trafik ini berdampak pada aspek reputasi khususnya berkurangnya daya saing di atas 10%, level 3.</t>
  </si>
  <si>
    <t>Berdasarkan analisis data 6 tahun terakhir,  deviasi pencapaian pendapatan petikemas adalah 12,31%.
Target pendapatan petikemas 2025 sebesar Rp 13335 M. Nilai dampak utk 2025 adalah 12,31%*13335 M=1.641,5 M.
--
Nilai kemungkinan 4/6=67% (4 kali kejadian dalam 6 tahun).</t>
  </si>
  <si>
    <t>Berdasarkan analisis data 7 tahun terakhir,  deviasi pencapaian pendapatan non-petikemas adalah 13,69%.
Target pendapatan non-petikemas 2025 sebesar Rp 5203 M. Nilai dampak utk 2025 adalah 13,69%*5203 M=712 M.
--
Nilai kemungkinan 3/6=50% (3x  kejadian dalam 6 tahun).
Namun secara kualitatif penuruan trafik ini berdampak pada aspek reputasi khususnya berkurangnya daya saing di atas 10%, level 3.</t>
  </si>
  <si>
    <t>Kerugian dari beban keuangan di luar usaha diasumsikan tahun 2025 sebesar Rp 761 M berdasarkan laporan audited 2023.
Dari sisi pencapaian pendapatan trafik, terdapat potensi pendapatan atas inisiatif integrasi tarif tol sebesar Rp 200 M. 
Namun secara kualitatif ketidaktercapaian target trafik JTCC ini dapat berdampak pada keterlambatan pencapaian program strategis antara 6 - 9 bulan (level 4).</t>
  </si>
  <si>
    <t>Peristiwa Risiko (T5)</t>
  </si>
  <si>
    <t xml:space="preserve">Risiko Inheren </t>
  </si>
  <si>
    <t>Eksposur (Rp M)</t>
  </si>
  <si>
    <r>
      <t xml:space="preserve">Penurunan </t>
    </r>
    <r>
      <rPr>
        <i/>
        <sz val="8"/>
        <color theme="1"/>
        <rFont val="Arial"/>
        <family val="2"/>
      </rPr>
      <t>Throughput</t>
    </r>
    <r>
      <rPr>
        <sz val="8"/>
        <color theme="1"/>
        <rFont val="Arial"/>
        <family val="2"/>
      </rPr>
      <t xml:space="preserve"> Petikemas</t>
    </r>
  </si>
  <si>
    <r>
      <t xml:space="preserve">Penurunan </t>
    </r>
    <r>
      <rPr>
        <i/>
        <sz val="8"/>
        <color theme="1"/>
        <rFont val="Arial"/>
        <family val="2"/>
      </rPr>
      <t>Throughput</t>
    </r>
    <r>
      <rPr>
        <sz val="8"/>
        <color theme="1"/>
        <rFont val="Arial"/>
        <family val="2"/>
      </rPr>
      <t xml:space="preserve"> Non Petikemas</t>
    </r>
  </si>
  <si>
    <r>
      <t xml:space="preserve">Tidak Optimalnya Pengelolaan Aset </t>
    </r>
    <r>
      <rPr>
        <i/>
        <sz val="8"/>
        <color theme="1"/>
        <rFont val="Arial"/>
        <family val="2"/>
      </rPr>
      <t>Idle</t>
    </r>
  </si>
  <si>
    <t>Keterlambatan pelaksanaan investasi strategis (di atas Rp 200M)</t>
  </si>
  <si>
    <t>Denda Pajak</t>
  </si>
  <si>
    <r>
      <t>Cyber Attack</t>
    </r>
    <r>
      <rPr>
        <sz val="8"/>
        <color theme="1"/>
        <rFont val="Arial"/>
        <family val="2"/>
      </rPr>
      <t xml:space="preserve"> Sistem Informasi</t>
    </r>
  </si>
  <si>
    <r>
      <t>Pelanggaran Kode Etik (</t>
    </r>
    <r>
      <rPr>
        <i/>
        <sz val="8"/>
        <color theme="1"/>
        <rFont val="Arial"/>
        <family val="2"/>
      </rPr>
      <t>Fraud</t>
    </r>
    <r>
      <rPr>
        <sz val="8"/>
        <color theme="1"/>
        <rFont val="Arial"/>
        <family val="2"/>
      </rPr>
      <t>/Penyuapan/Gratifikasi/lainnya)</t>
    </r>
  </si>
  <si>
    <t>Gangguan Layanan</t>
  </si>
  <si>
    <t>Skala probility</t>
  </si>
  <si>
    <t>Skala dampak</t>
  </si>
  <si>
    <t>Skala risiko</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</si>
</sst>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Rp&quot;#,##0;[Red]\-&quot;Rp&quot;#,##0"/>
    <numFmt numFmtId="42" formatCode="_-&quot;Rp&quot;* #,##0_-;\-&quot;Rp&quot;* #,##0_-;_-&quot;Rp&quot;* &quot;-&quot;_-;_-@_-"/>
    <numFmt numFmtId="41" formatCode="_-* #,##0_-;\-* #,##0_-;_-* &quot;-&quot;_-;_-@_-"/>
    <numFmt numFmtId="43" formatCode="_-* #,##0.00_-;\-* #,##0.00_-;_-* &quot;-&quot;??_-;_-@_-"/>
    <numFmt numFmtId="164" formatCode="_(* #,##0_);_(* \(#,##0\);_(* &quot;-&quot;_);_(@_)"/>
    <numFmt numFmtId="165" formatCode="_(* #,##0.00_);_(* \(#,##0.00\);_(* &quot;-&quot;??_);_(@_)"/>
    <numFmt numFmtId="166" formatCode="\ #,##0;\-#,##0;\-"/>
    <numFmt numFmtId="167" formatCode="0_);\(0\)"/>
    <numFmt numFmtId="168" formatCode="_-&quot;Rp&quot;* #,##0_-;\-&quot;Rp&quot;* #,##0_-;_-&quot;Rp&quot;* &quot;-&quot;??_-;_-@_-"/>
    <numFmt numFmtId="169" formatCode="_-[$Rp-421]* #,##0_-;\-[$Rp-421]* #,##0_-;_-[$Rp-421]* &quot;-&quot;??_-;_-@_-"/>
    <numFmt numFmtId="170" formatCode="&quot;Rp&quot;#,##0.00"/>
    <numFmt numFmtId="171" formatCode="[$-F800]dddd\,\ mmmm\ dd\,\ yyyy"/>
    <numFmt numFmtId="172" formatCode="_-* #,##0_-;\-* #,##0_-;_-* &quot;-&quot;??_-;_-@_-"/>
    <numFmt numFmtId="173" formatCode="_-* #,##0.0_-;\-* #,##0.0_-;_-* &quot;-&quot;??_-;_-@_-"/>
  </numFmts>
  <fonts count="82">
    <font>
      <sz val="11"/>
      <color theme="1"/>
      <name val="Calibri"/>
      <family val="2"/>
      <scheme val="minor"/>
    </font>
    <font>
      <sz val="11"/>
      <color theme="1"/>
      <name val="Calibri"/>
      <family val="2"/>
      <scheme val="minor"/>
    </font>
    <font>
      <sz val="11"/>
      <color theme="1"/>
      <name val="Arial"/>
      <family val="2"/>
    </font>
    <font>
      <u/>
      <sz val="11"/>
      <color theme="10"/>
      <name val="Calibri"/>
      <family val="2"/>
      <scheme val="minor"/>
    </font>
    <font>
      <u/>
      <sz val="11"/>
      <color theme="10"/>
      <name val="Arial"/>
      <family val="2"/>
    </font>
    <font>
      <b/>
      <sz val="8"/>
      <color theme="0"/>
      <name val="Arial"/>
      <family val="2"/>
    </font>
    <font>
      <b/>
      <sz val="8"/>
      <color theme="1"/>
      <name val="Arial"/>
      <family val="2"/>
    </font>
    <font>
      <i/>
      <sz val="8"/>
      <color rgb="FF0000FF"/>
      <name val="Arial"/>
      <family val="2"/>
    </font>
    <font>
      <sz val="8"/>
      <color theme="1"/>
      <name val="Arial"/>
      <family val="2"/>
    </font>
    <font>
      <b/>
      <sz val="8"/>
      <color rgb="FF000000"/>
      <name val="Arial"/>
      <family val="2"/>
    </font>
    <font>
      <sz val="8"/>
      <color rgb="FF000000"/>
      <name val="Arial"/>
      <family val="2"/>
    </font>
    <font>
      <b/>
      <i/>
      <sz val="8"/>
      <color theme="0"/>
      <name val="Arial"/>
      <family val="2"/>
    </font>
    <font>
      <i/>
      <sz val="8"/>
      <color theme="1"/>
      <name val="Arial"/>
      <family val="2"/>
    </font>
    <font>
      <i/>
      <sz val="8"/>
      <color rgb="FF000000"/>
      <name val="Arial"/>
      <family val="2"/>
    </font>
    <font>
      <u/>
      <sz val="8"/>
      <color rgb="FF000000"/>
      <name val="Arial"/>
      <family val="2"/>
    </font>
    <font>
      <b/>
      <sz val="16"/>
      <color theme="1"/>
      <name val="Arial"/>
      <family val="2"/>
    </font>
    <font>
      <sz val="18"/>
      <color theme="1"/>
      <name val="Arial"/>
      <family val="2"/>
    </font>
    <font>
      <b/>
      <sz val="18"/>
      <color theme="1"/>
      <name val="Arial"/>
      <family val="2"/>
    </font>
    <font>
      <b/>
      <sz val="14"/>
      <color theme="1"/>
      <name val="Arial"/>
      <family val="2"/>
    </font>
    <font>
      <b/>
      <sz val="12"/>
      <name val="Arial"/>
      <family val="2"/>
    </font>
    <font>
      <sz val="12"/>
      <color rgb="FF000000"/>
      <name val="Arial"/>
      <family val="2"/>
    </font>
    <font>
      <sz val="12"/>
      <color theme="1"/>
      <name val="Arial"/>
      <family val="2"/>
    </font>
    <font>
      <sz val="12"/>
      <name val="Arial"/>
      <family val="2"/>
    </font>
    <font>
      <b/>
      <sz val="11"/>
      <color theme="1"/>
      <name val="Arial"/>
      <family val="2"/>
    </font>
    <font>
      <sz val="8"/>
      <color theme="0"/>
      <name val="Arial"/>
      <family val="2"/>
    </font>
    <font>
      <sz val="10"/>
      <color theme="1"/>
      <name val="Arial"/>
      <family val="2"/>
    </font>
    <font>
      <sz val="10"/>
      <color theme="0"/>
      <name val="Arial"/>
      <family val="2"/>
    </font>
    <font>
      <b/>
      <sz val="10"/>
      <color theme="1"/>
      <name val="Arial"/>
      <family val="2"/>
    </font>
    <font>
      <sz val="16"/>
      <color theme="1"/>
      <name val="Arial"/>
      <family val="2"/>
    </font>
    <font>
      <sz val="16"/>
      <color theme="0"/>
      <name val="Arial"/>
      <family val="2"/>
    </font>
    <font>
      <sz val="16"/>
      <name val="Arial"/>
      <family val="2"/>
    </font>
    <font>
      <sz val="8"/>
      <color theme="1"/>
      <name val="Calibri"/>
      <family val="2"/>
      <scheme val="minor"/>
    </font>
    <font>
      <sz val="8"/>
      <color rgb="FFFF0000"/>
      <name val="Arial"/>
      <family val="2"/>
    </font>
    <font>
      <sz val="10"/>
      <color rgb="FFFFFFFF"/>
      <name val="Arial"/>
      <family val="2"/>
    </font>
    <font>
      <i/>
      <sz val="10"/>
      <color rgb="FFFFFFFF"/>
      <name val="Arial"/>
      <family val="2"/>
    </font>
    <font>
      <sz val="10"/>
      <color rgb="FF000000"/>
      <name val="Arial"/>
      <family val="2"/>
    </font>
    <font>
      <sz val="10"/>
      <name val="Arial"/>
      <family val="2"/>
    </font>
    <font>
      <i/>
      <sz val="10"/>
      <name val="Arial"/>
      <family val="2"/>
    </font>
    <font>
      <i/>
      <sz val="10"/>
      <color theme="1"/>
      <name val="Arial"/>
      <family val="2"/>
    </font>
    <font>
      <i/>
      <sz val="10"/>
      <color rgb="FF000000"/>
      <name val="Arial"/>
      <family val="2"/>
    </font>
    <font>
      <sz val="8"/>
      <name val="Arial"/>
      <family val="2"/>
    </font>
    <font>
      <i/>
      <sz val="11"/>
      <color theme="1"/>
      <name val="Arial"/>
      <family val="2"/>
    </font>
    <font>
      <b/>
      <sz val="8"/>
      <color rgb="FFFFFFFF"/>
      <name val="Arial"/>
      <family val="2"/>
    </font>
    <font>
      <sz val="12"/>
      <color theme="1"/>
      <name val="Arial\"/>
    </font>
    <font>
      <sz val="9"/>
      <color rgb="FFFFFFFF"/>
      <name val="Arial"/>
      <family val="2"/>
    </font>
    <font>
      <sz val="9"/>
      <color theme="1"/>
      <name val="Arial"/>
      <family val="2"/>
    </font>
    <font>
      <b/>
      <sz val="9"/>
      <color theme="1"/>
      <name val="Arial"/>
      <family val="2"/>
    </font>
    <font>
      <sz val="8"/>
      <color rgb="FFFFFFFF"/>
      <name val="Arial"/>
      <family val="2"/>
    </font>
    <font>
      <i/>
      <sz val="8"/>
      <color rgb="FFFFFFFF"/>
      <name val="Arial"/>
      <family val="2"/>
    </font>
    <font>
      <sz val="11"/>
      <color theme="1"/>
      <name val="Times New Roman"/>
      <family val="1"/>
    </font>
    <font>
      <i/>
      <sz val="9"/>
      <color rgb="FFFFFFFF"/>
      <name val="Arial"/>
      <family val="2"/>
    </font>
    <font>
      <b/>
      <sz val="11"/>
      <color rgb="FF000000"/>
      <name val="Arial"/>
      <family val="2"/>
    </font>
    <font>
      <sz val="11"/>
      <color rgb="FF000000"/>
      <name val="Arial"/>
      <family val="2"/>
    </font>
    <font>
      <i/>
      <sz val="11"/>
      <color rgb="FF000000"/>
      <name val="Arial"/>
      <family val="2"/>
    </font>
    <font>
      <b/>
      <sz val="13.5"/>
      <color theme="1"/>
      <name val="Arial"/>
      <family val="2"/>
    </font>
    <font>
      <sz val="11"/>
      <color rgb="FF000000"/>
      <name val="Arial"/>
      <family val="2"/>
    </font>
    <font>
      <sz val="8"/>
      <name val="Calibri"/>
      <family val="2"/>
      <scheme val="minor"/>
    </font>
    <font>
      <sz val="8"/>
      <color theme="8"/>
      <name val="Arial"/>
      <family val="2"/>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b/>
      <sz val="9"/>
      <color rgb="FFFFFFFF"/>
      <name val="Century Gothic"/>
      <family val="2"/>
    </font>
    <font>
      <sz val="9"/>
      <color rgb="FF000000"/>
      <name val="Century Gothic"/>
      <family val="2"/>
    </font>
    <font>
      <b/>
      <sz val="8"/>
      <color rgb="FF00B050"/>
      <name val="Century Gothic"/>
      <family val="2"/>
    </font>
    <font>
      <b/>
      <sz val="10"/>
      <color rgb="FF00B050"/>
      <name val="Calibri"/>
      <family val="2"/>
      <scheme val="minor"/>
    </font>
    <font>
      <b/>
      <sz val="9"/>
      <color rgb="FF000000"/>
      <name val="Century Gothic"/>
      <family val="2"/>
    </font>
    <font>
      <b/>
      <sz val="8"/>
      <color rgb="FF1796A4"/>
      <name val="Century Gothic"/>
      <family val="2"/>
    </font>
    <font>
      <b/>
      <sz val="9"/>
      <color rgb="FF1796A4"/>
      <name val="Century Gothic"/>
      <family val="2"/>
    </font>
    <font>
      <sz val="9"/>
      <color rgb="FF00B050"/>
      <name val="Calibri"/>
      <family val="2"/>
    </font>
    <font>
      <sz val="10"/>
      <color rgb="FF00B050"/>
      <name val="Calibri"/>
      <family val="2"/>
    </font>
    <font>
      <b/>
      <sz val="9"/>
      <color rgb="FF00B050"/>
      <name val="Century Gothic"/>
      <family val="2"/>
    </font>
    <font>
      <b/>
      <sz val="9"/>
      <color rgb="FFFF0000"/>
      <name val="Century Gothic"/>
      <family val="2"/>
    </font>
    <font>
      <sz val="9"/>
      <color rgb="FF00B050"/>
      <name val="Century Gothic"/>
      <family val="2"/>
    </font>
    <font>
      <sz val="9"/>
      <color theme="1"/>
      <name val="Century Gothic"/>
      <family val="2"/>
    </font>
    <font>
      <sz val="10"/>
      <color rgb="FF000000"/>
      <name val="Century Gothic"/>
      <family val="2"/>
    </font>
    <font>
      <sz val="18"/>
      <name val="Arial"/>
      <family val="2"/>
    </font>
    <font>
      <b/>
      <sz val="10"/>
      <color rgb="FF000000"/>
      <name val="Century Gothic"/>
      <family val="2"/>
    </font>
    <font>
      <b/>
      <sz val="8"/>
      <name val="Arial"/>
      <family val="2"/>
    </font>
    <font>
      <u/>
      <sz val="8"/>
      <color theme="10"/>
      <name val="Arial"/>
      <family val="2"/>
    </font>
    <font>
      <b/>
      <sz val="8"/>
      <color rgb="FFFF0000"/>
      <name val="Arial"/>
      <family val="2"/>
    </font>
    <font>
      <b/>
      <strike/>
      <sz val="8"/>
      <color theme="1"/>
      <name val="Arial"/>
      <family val="2"/>
    </font>
  </fonts>
  <fills count="29">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rgb="FFE3E9FF"/>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92D050"/>
        <bgColor indexed="64"/>
      </patternFill>
    </fill>
    <fill>
      <patternFill patternType="solid">
        <fgColor theme="0"/>
        <bgColor indexed="64"/>
      </patternFill>
    </fill>
    <fill>
      <patternFill patternType="solid">
        <fgColor rgb="FF1896A4"/>
        <bgColor indexed="64"/>
      </patternFill>
    </fill>
    <fill>
      <patternFill patternType="solid">
        <fgColor rgb="FFB6DDE8"/>
        <bgColor indexed="64"/>
      </patternFill>
    </fill>
    <fill>
      <patternFill patternType="solid">
        <fgColor rgb="FF1896A4"/>
        <bgColor rgb="FF000000"/>
      </patternFill>
    </fill>
    <fill>
      <patternFill patternType="solid">
        <fgColor rgb="FFF2F2F2"/>
        <bgColor rgb="FF000000"/>
      </patternFill>
    </fill>
    <fill>
      <patternFill patternType="solid">
        <fgColor rgb="FFFFFFFF"/>
        <bgColor rgb="FF000000"/>
      </patternFill>
    </fill>
    <fill>
      <patternFill patternType="solid">
        <fgColor rgb="FFFFFFFF"/>
        <bgColor indexed="64"/>
      </patternFill>
    </fill>
    <fill>
      <patternFill patternType="solid">
        <fgColor theme="4" tint="0.39997558519241921"/>
        <bgColor indexed="64"/>
      </patternFill>
    </fill>
    <fill>
      <patternFill patternType="solid">
        <fgColor rgb="FF001539"/>
        <bgColor indexed="64"/>
      </patternFill>
    </fill>
    <fill>
      <patternFill patternType="solid">
        <fgColor rgb="FFE7E7E8"/>
        <bgColor indexed="64"/>
      </patternFill>
    </fill>
    <fill>
      <patternFill patternType="solid">
        <fgColor rgb="FFCBCCCE"/>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5" tint="-0.249977111117893"/>
        <bgColor indexed="64"/>
      </patternFill>
    </fill>
    <fill>
      <patternFill patternType="solid">
        <fgColor theme="9"/>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rgb="FF00206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auto="1"/>
      </left>
      <right style="medium">
        <color auto="1"/>
      </right>
      <top style="thin">
        <color auto="1"/>
      </top>
      <bottom style="thin">
        <color auto="1"/>
      </bottom>
      <diagonal/>
    </border>
    <border>
      <left/>
      <right/>
      <top style="medium">
        <color auto="1"/>
      </top>
      <bottom/>
      <diagonal/>
    </border>
    <border>
      <left style="hair">
        <color auto="1"/>
      </left>
      <right/>
      <top style="medium">
        <color auto="1"/>
      </top>
      <bottom/>
      <diagonal/>
    </border>
    <border>
      <left/>
      <right style="hair">
        <color auto="1"/>
      </right>
      <top style="medium">
        <color auto="1"/>
      </top>
      <bottom/>
      <diagonal/>
    </border>
    <border>
      <left style="medium">
        <color auto="1"/>
      </left>
      <right/>
      <top/>
      <bottom/>
      <diagonal/>
    </border>
    <border>
      <left style="hair">
        <color auto="1"/>
      </left>
      <right/>
      <top/>
      <bottom/>
      <diagonal/>
    </border>
    <border>
      <left/>
      <right style="hair">
        <color auto="1"/>
      </right>
      <top/>
      <bottom/>
      <diagonal/>
    </border>
    <border>
      <left style="medium">
        <color auto="1"/>
      </left>
      <right/>
      <top/>
      <bottom style="hair">
        <color auto="1"/>
      </bottom>
      <diagonal/>
    </border>
    <border>
      <left/>
      <right/>
      <top/>
      <bottom style="hair">
        <color auto="1"/>
      </bottom>
      <diagonal/>
    </border>
    <border>
      <left style="hair">
        <color auto="1"/>
      </left>
      <right/>
      <top/>
      <bottom style="hair">
        <color auto="1"/>
      </bottom>
      <diagonal/>
    </border>
    <border>
      <left/>
      <right style="hair">
        <color auto="1"/>
      </right>
      <top/>
      <bottom style="hair">
        <color auto="1"/>
      </bottom>
      <diagonal/>
    </border>
    <border>
      <left style="medium">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style="hair">
        <color auto="1"/>
      </top>
      <bottom/>
      <diagonal/>
    </border>
    <border>
      <left style="medium">
        <color auto="1"/>
      </left>
      <right/>
      <top/>
      <bottom style="medium">
        <color auto="1"/>
      </bottom>
      <diagonal/>
    </border>
    <border>
      <left/>
      <right/>
      <top/>
      <bottom style="medium">
        <color auto="1"/>
      </bottom>
      <diagonal/>
    </border>
    <border>
      <left/>
      <right style="hair">
        <color auto="1"/>
      </right>
      <top/>
      <bottom style="medium">
        <color auto="1"/>
      </bottom>
      <diagonal/>
    </border>
    <border>
      <left style="hair">
        <color auto="1"/>
      </left>
      <right/>
      <top/>
      <bottom style="medium">
        <color auto="1"/>
      </bottom>
      <diagonal/>
    </border>
    <border>
      <left style="thin">
        <color auto="1"/>
      </left>
      <right style="thin">
        <color auto="1"/>
      </right>
      <top style="medium">
        <color auto="1"/>
      </top>
      <bottom style="thin">
        <color auto="1"/>
      </bottom>
      <diagonal/>
    </border>
    <border>
      <left style="hair">
        <color auto="1"/>
      </left>
      <right/>
      <top style="medium">
        <color auto="1"/>
      </top>
      <bottom style="hair">
        <color auto="1"/>
      </bottom>
      <diagonal/>
    </border>
    <border>
      <left/>
      <right/>
      <top style="medium">
        <color auto="1"/>
      </top>
      <bottom style="hair">
        <color auto="1"/>
      </bottom>
      <diagonal/>
    </border>
    <border>
      <left/>
      <right style="hair">
        <color auto="1"/>
      </right>
      <top style="medium">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style="medium">
        <color auto="1"/>
      </bottom>
      <diagonal/>
    </border>
    <border>
      <left/>
      <right/>
      <top style="hair">
        <color auto="1"/>
      </top>
      <bottom style="medium">
        <color auto="1"/>
      </bottom>
      <diagonal/>
    </border>
    <border>
      <left/>
      <right style="hair">
        <color auto="1"/>
      </right>
      <top style="hair">
        <color auto="1"/>
      </top>
      <bottom style="medium">
        <color auto="1"/>
      </bottom>
      <diagonal/>
    </border>
    <border>
      <left/>
      <right/>
      <top/>
      <bottom style="double">
        <color indexed="64"/>
      </bottom>
      <diagonal/>
    </border>
    <border>
      <left style="thin">
        <color indexed="64"/>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medium">
        <color rgb="FFFFFFFF"/>
      </left>
      <right style="medium">
        <color rgb="FFFFFFFF"/>
      </right>
      <top style="medium">
        <color rgb="FFFFFFFF"/>
      </top>
      <bottom/>
      <diagonal/>
    </border>
    <border>
      <left style="medium">
        <color rgb="FFFFFFFF"/>
      </left>
      <right style="medium">
        <color rgb="FFFFFFFF"/>
      </right>
      <top/>
      <bottom style="thick">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bottom style="medium">
        <color rgb="FFFFFFFF"/>
      </bottom>
      <diagonal/>
    </border>
    <border>
      <left style="medium">
        <color indexed="64"/>
      </left>
      <right style="medium">
        <color rgb="FFFFFFFF"/>
      </right>
      <top style="medium">
        <color indexed="64"/>
      </top>
      <bottom/>
      <diagonal/>
    </border>
    <border>
      <left style="medium">
        <color indexed="64"/>
      </left>
      <right style="medium">
        <color rgb="FFFFFFFF"/>
      </right>
      <top/>
      <bottom/>
      <diagonal/>
    </border>
    <border>
      <left style="medium">
        <color indexed="64"/>
      </left>
      <right style="medium">
        <color rgb="FFFFFFFF"/>
      </right>
      <top/>
      <bottom style="medium">
        <color indexed="64"/>
      </bottom>
      <diagonal/>
    </border>
    <border>
      <left/>
      <right style="medium">
        <color rgb="FFFFFFFF"/>
      </right>
      <top/>
      <bottom style="medium">
        <color indexed="64"/>
      </bottom>
      <diagonal/>
    </border>
    <border>
      <left/>
      <right style="medium">
        <color rgb="FFFFFFFF"/>
      </right>
      <top style="medium">
        <color indexed="64"/>
      </top>
      <bottom style="medium">
        <color rgb="FFFFFFFF"/>
      </bottom>
      <diagonal/>
    </border>
    <border>
      <left/>
      <right/>
      <top style="medium">
        <color indexed="64"/>
      </top>
      <bottom style="medium">
        <color rgb="FFFFFFFF"/>
      </bottom>
      <diagonal/>
    </border>
    <border>
      <left/>
      <right style="medium">
        <color indexed="64"/>
      </right>
      <top style="medium">
        <color indexed="64"/>
      </top>
      <bottom style="medium">
        <color rgb="FFFFFFFF"/>
      </bottom>
      <diagonal/>
    </border>
    <border>
      <left/>
      <right style="medium">
        <color indexed="64"/>
      </right>
      <top/>
      <bottom style="medium">
        <color indexed="64"/>
      </bottom>
      <diagonal/>
    </border>
    <border>
      <left style="medium">
        <color rgb="FF000000"/>
      </left>
      <right style="medium">
        <color rgb="FF000000"/>
      </right>
      <top/>
      <bottom style="medium">
        <color rgb="FF000000"/>
      </bottom>
      <diagonal/>
    </border>
    <border>
      <left/>
      <right style="medium">
        <color indexed="64"/>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indexed="64"/>
      </bottom>
      <diagonal/>
    </border>
    <border>
      <left style="medium">
        <color rgb="FFFFFFFF"/>
      </left>
      <right style="medium">
        <color rgb="FFFFFFFF"/>
      </right>
      <top style="medium">
        <color indexed="64"/>
      </top>
      <bottom/>
      <diagonal/>
    </border>
    <border>
      <left style="medium">
        <color rgb="FFFFFFFF"/>
      </left>
      <right style="medium">
        <color rgb="FFFFFFFF"/>
      </right>
      <top/>
      <bottom/>
      <diagonal/>
    </border>
    <border>
      <left style="medium">
        <color rgb="FFFFFFFF"/>
      </left>
      <right style="medium">
        <color rgb="FFFFFFFF"/>
      </right>
      <top/>
      <bottom style="medium">
        <color indexed="64"/>
      </bottom>
      <diagonal/>
    </border>
    <border>
      <left style="medium">
        <color rgb="FFFFFFFF"/>
      </left>
      <right/>
      <top style="medium">
        <color indexed="64"/>
      </top>
      <bottom style="medium">
        <color rgb="FFFFFFFF"/>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right style="medium">
        <color indexed="64"/>
      </right>
      <top style="medium">
        <color rgb="FFFFFFFF"/>
      </top>
      <bottom style="medium">
        <color rgb="FFFFFFFF"/>
      </bottom>
      <diagonal/>
    </border>
  </borders>
  <cellStyleXfs count="19">
    <xf numFmtId="0" fontId="0" fillId="0" borderId="0"/>
    <xf numFmtId="9" fontId="1" fillId="0" borderId="0" applyFont="0" applyFill="0" applyBorder="0" applyAlignment="0" applyProtection="0"/>
    <xf numFmtId="164" fontId="1" fillId="0" borderId="0" applyFont="0" applyFill="0" applyBorder="0" applyAlignment="0" applyProtection="0"/>
    <xf numFmtId="0" fontId="3" fillId="0" borderId="0" applyNumberFormat="0" applyFill="0" applyBorder="0" applyAlignment="0" applyProtection="0"/>
    <xf numFmtId="42"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41"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607">
    <xf numFmtId="0" fontId="0" fillId="0" borderId="0" xfId="0"/>
    <xf numFmtId="0" fontId="2" fillId="0" borderId="0" xfId="0" applyFont="1"/>
    <xf numFmtId="0" fontId="6" fillId="5" borderId="1" xfId="0" applyFont="1" applyFill="1" applyBorder="1" applyAlignment="1" applyProtection="1">
      <alignment horizontal="center" vertical="center" wrapText="1"/>
      <protection locked="0"/>
    </xf>
    <xf numFmtId="0" fontId="7" fillId="8" borderId="1" xfId="0" applyFont="1" applyFill="1" applyBorder="1" applyAlignment="1" applyProtection="1">
      <alignment horizontal="center" vertical="center" wrapText="1"/>
      <protection locked="0"/>
    </xf>
    <xf numFmtId="0" fontId="7" fillId="8" borderId="1" xfId="0" applyFont="1" applyFill="1" applyBorder="1" applyAlignment="1">
      <alignment horizontal="center" vertical="center" wrapText="1"/>
    </xf>
    <xf numFmtId="0" fontId="6" fillId="5" borderId="1" xfId="0" applyFont="1" applyFill="1" applyBorder="1" applyAlignment="1" applyProtection="1">
      <alignment horizontal="left" vertical="center" wrapText="1"/>
      <protection locked="0"/>
    </xf>
    <xf numFmtId="0" fontId="8" fillId="0" borderId="1" xfId="0" applyFont="1" applyBorder="1" applyAlignment="1">
      <alignment horizontal="left"/>
    </xf>
    <xf numFmtId="0" fontId="8" fillId="0" borderId="1" xfId="0" applyFont="1" applyBorder="1" applyAlignment="1" applyProtection="1">
      <alignment horizontal="left" vertical="center" wrapText="1"/>
      <protection locked="0"/>
    </xf>
    <xf numFmtId="0" fontId="8" fillId="0" borderId="1" xfId="0" applyFont="1" applyBorder="1" applyAlignment="1">
      <alignment horizontal="left" vertical="center" wrapText="1"/>
    </xf>
    <xf numFmtId="0" fontId="2" fillId="0" borderId="0" xfId="0" applyFont="1" applyAlignment="1">
      <alignment horizontal="left"/>
    </xf>
    <xf numFmtId="0" fontId="9" fillId="5" borderId="1" xfId="0" applyFont="1" applyFill="1" applyBorder="1" applyAlignment="1" applyProtection="1">
      <alignment horizontal="left" vertical="center" wrapText="1"/>
      <protection locked="0"/>
    </xf>
    <xf numFmtId="0" fontId="9" fillId="0" borderId="1" xfId="0" applyFont="1" applyBorder="1" applyAlignment="1" applyProtection="1">
      <alignment horizontal="left" vertical="center" wrapText="1"/>
      <protection locked="0"/>
    </xf>
    <xf numFmtId="0" fontId="10" fillId="0" borderId="1" xfId="0" applyFont="1" applyBorder="1" applyAlignment="1" applyProtection="1">
      <alignment horizontal="left" vertical="center" wrapText="1"/>
      <protection locked="0"/>
    </xf>
    <xf numFmtId="0" fontId="10" fillId="0" borderId="1" xfId="0" quotePrefix="1" applyFont="1" applyBorder="1" applyAlignment="1" applyProtection="1">
      <alignment horizontal="left" vertical="center" wrapText="1"/>
      <protection locked="0"/>
    </xf>
    <xf numFmtId="0" fontId="8" fillId="0" borderId="1" xfId="0" applyFont="1" applyBorder="1" applyAlignment="1">
      <alignment horizontal="center" vertical="center"/>
    </xf>
    <xf numFmtId="0" fontId="8" fillId="0" borderId="1" xfId="0" applyFont="1" applyBorder="1" applyAlignment="1" applyProtection="1">
      <alignment horizontal="center" vertical="center" wrapText="1"/>
      <protection locked="0"/>
    </xf>
    <xf numFmtId="0" fontId="9" fillId="0" borderId="1" xfId="0" applyFont="1" applyBorder="1" applyAlignment="1" applyProtection="1">
      <alignment horizontal="center" vertical="center" wrapText="1"/>
      <protection locked="0"/>
    </xf>
    <xf numFmtId="0" fontId="10" fillId="0" borderId="1" xfId="0" applyFont="1" applyBorder="1" applyAlignment="1" applyProtection="1">
      <alignment horizontal="center" vertical="center" wrapText="1"/>
      <protection locked="0"/>
    </xf>
    <xf numFmtId="0" fontId="8" fillId="0" borderId="1" xfId="0" applyFont="1" applyBorder="1" applyAlignment="1">
      <alignment horizontal="center" vertical="center" wrapText="1"/>
    </xf>
    <xf numFmtId="0" fontId="2" fillId="0" borderId="0" xfId="0" applyFont="1" applyAlignment="1">
      <alignment horizontal="center"/>
    </xf>
    <xf numFmtId="0" fontId="8" fillId="0" borderId="1" xfId="0" applyFont="1" applyBorder="1" applyAlignment="1">
      <alignment horizontal="left" vertical="center"/>
    </xf>
    <xf numFmtId="0" fontId="8" fillId="0" borderId="0" xfId="0" applyFont="1" applyAlignment="1" applyProtection="1">
      <alignment horizontal="center" vertical="center" wrapText="1"/>
      <protection locked="0"/>
    </xf>
    <xf numFmtId="0" fontId="8" fillId="0" borderId="1" xfId="0" applyFont="1" applyBorder="1" applyAlignment="1" applyProtection="1">
      <alignment horizontal="left" vertical="center" wrapText="1"/>
      <protection locked="0" hidden="1"/>
    </xf>
    <xf numFmtId="166" fontId="8" fillId="0" borderId="1" xfId="0" quotePrefix="1" applyNumberFormat="1" applyFont="1" applyBorder="1" applyAlignment="1" applyProtection="1">
      <alignment horizontal="left" vertical="center" wrapText="1"/>
      <protection locked="0"/>
    </xf>
    <xf numFmtId="0" fontId="8" fillId="0" borderId="0" xfId="0" applyFont="1" applyAlignment="1" applyProtection="1">
      <alignment horizontal="left" vertical="center" wrapText="1"/>
      <protection locked="0"/>
    </xf>
    <xf numFmtId="0" fontId="10" fillId="0" borderId="0" xfId="0" applyFont="1" applyAlignment="1" applyProtection="1">
      <alignment horizontal="left" vertical="center" wrapText="1"/>
      <protection locked="0"/>
    </xf>
    <xf numFmtId="0" fontId="2" fillId="0" borderId="0" xfId="0" applyFont="1" applyProtection="1">
      <protection locked="0"/>
    </xf>
    <xf numFmtId="0" fontId="2" fillId="0" borderId="0" xfId="0" applyFont="1" applyAlignment="1" applyProtection="1">
      <alignment horizontal="center" vertical="center" wrapText="1"/>
      <protection locked="0"/>
    </xf>
    <xf numFmtId="0" fontId="2" fillId="0" borderId="0" xfId="0" applyFont="1" applyAlignment="1" applyProtection="1">
      <alignment horizontal="center" vertical="center" wrapText="1"/>
      <protection locked="0" hidden="1"/>
    </xf>
    <xf numFmtId="0" fontId="2" fillId="0" borderId="0" xfId="0" applyFont="1" applyAlignment="1" applyProtection="1">
      <alignment horizontal="left" vertical="center" wrapText="1"/>
      <protection locked="0"/>
    </xf>
    <xf numFmtId="0" fontId="8" fillId="0" borderId="0" xfId="0" applyFont="1" applyAlignment="1">
      <alignment horizontal="center" vertical="center" wrapText="1"/>
    </xf>
    <xf numFmtId="0" fontId="6" fillId="2"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166" fontId="8" fillId="0" borderId="1" xfId="0" applyNumberFormat="1" applyFont="1" applyBorder="1" applyAlignment="1">
      <alignment horizontal="left" vertical="center" wrapText="1"/>
    </xf>
    <xf numFmtId="0" fontId="2" fillId="0" borderId="0" xfId="0" applyFont="1" applyAlignment="1">
      <alignment horizontal="left" vertical="center"/>
    </xf>
    <xf numFmtId="0" fontId="9" fillId="5" borderId="1" xfId="0" applyFont="1" applyFill="1" applyBorder="1" applyAlignment="1">
      <alignment horizontal="center" vertical="center" wrapText="1"/>
    </xf>
    <xf numFmtId="0" fontId="10" fillId="0" borderId="1" xfId="0" applyFont="1" applyBorder="1" applyAlignment="1">
      <alignment horizontal="left" vertical="center" wrapText="1"/>
    </xf>
    <xf numFmtId="0" fontId="10" fillId="0" borderId="6" xfId="0" applyFont="1" applyBorder="1" applyAlignment="1">
      <alignment horizontal="left" vertical="center" wrapText="1"/>
    </xf>
    <xf numFmtId="42" fontId="8" fillId="0" borderId="1" xfId="4" applyFont="1" applyBorder="1" applyAlignment="1">
      <alignment horizontal="center" vertical="center" wrapText="1"/>
    </xf>
    <xf numFmtId="9" fontId="8" fillId="0" borderId="1" xfId="1" applyFont="1" applyBorder="1" applyAlignment="1">
      <alignment horizontal="center" vertical="center" wrapText="1"/>
    </xf>
    <xf numFmtId="164" fontId="8" fillId="0" borderId="1" xfId="2" applyFont="1" applyBorder="1" applyAlignment="1">
      <alignment horizontal="center" vertical="center" wrapText="1"/>
    </xf>
    <xf numFmtId="166" fontId="8" fillId="0" borderId="1" xfId="0" applyNumberFormat="1" applyFont="1" applyBorder="1" applyAlignment="1">
      <alignment horizontal="center" vertical="center" wrapText="1"/>
    </xf>
    <xf numFmtId="0" fontId="2" fillId="0" borderId="0" xfId="0" applyFont="1" applyAlignment="1">
      <alignment horizontal="center" vertical="center" wrapText="1"/>
    </xf>
    <xf numFmtId="0" fontId="8" fillId="0" borderId="0" xfId="0" applyFont="1"/>
    <xf numFmtId="0" fontId="8" fillId="0" borderId="0" xfId="0" applyFont="1" applyAlignment="1">
      <alignment horizontal="left" vertical="center"/>
    </xf>
    <xf numFmtId="0" fontId="8" fillId="0" borderId="1" xfId="0" applyFont="1" applyBorder="1"/>
    <xf numFmtId="0" fontId="6" fillId="7" borderId="1" xfId="0" applyFont="1" applyFill="1" applyBorder="1" applyAlignment="1">
      <alignment horizontal="center" vertical="center" wrapText="1"/>
    </xf>
    <xf numFmtId="0" fontId="8" fillId="0" borderId="0" xfId="0" applyFont="1" applyAlignment="1">
      <alignment horizontal="center"/>
    </xf>
    <xf numFmtId="0" fontId="6" fillId="2" borderId="1" xfId="0" applyFont="1" applyFill="1" applyBorder="1" applyAlignment="1">
      <alignment vertical="center" wrapText="1"/>
    </xf>
    <xf numFmtId="0" fontId="8" fillId="0" borderId="1" xfId="0" quotePrefix="1" applyFont="1" applyBorder="1" applyAlignment="1">
      <alignment horizontal="left" vertical="center" wrapText="1"/>
    </xf>
    <xf numFmtId="0" fontId="10" fillId="0" borderId="1" xfId="0" applyFont="1" applyBorder="1" applyAlignment="1">
      <alignment horizontal="center" vertical="center" wrapText="1"/>
    </xf>
    <xf numFmtId="0" fontId="8" fillId="0" borderId="1" xfId="0" applyFont="1" applyBorder="1" applyAlignment="1">
      <alignment vertical="center" wrapText="1"/>
    </xf>
    <xf numFmtId="42" fontId="8" fillId="0" borderId="1" xfId="4" applyFont="1" applyFill="1" applyBorder="1" applyAlignment="1">
      <alignment horizontal="center" vertical="center" wrapText="1"/>
    </xf>
    <xf numFmtId="0" fontId="20" fillId="0" borderId="1" xfId="0" applyFont="1" applyBorder="1" applyAlignment="1">
      <alignment vertical="top" wrapText="1"/>
    </xf>
    <xf numFmtId="167" fontId="21" fillId="0" borderId="1" xfId="5" applyNumberFormat="1" applyFont="1" applyBorder="1" applyAlignment="1">
      <alignment horizontal="center" vertical="top" wrapText="1"/>
    </xf>
    <xf numFmtId="0" fontId="22" fillId="0" borderId="1" xfId="0" applyFont="1" applyBorder="1" applyAlignment="1">
      <alignment vertical="top" wrapText="1"/>
    </xf>
    <xf numFmtId="0" fontId="2" fillId="0" borderId="0" xfId="5" applyFont="1" applyAlignment="1">
      <alignment vertical="center"/>
    </xf>
    <xf numFmtId="0" fontId="2" fillId="0" borderId="0" xfId="5" applyFont="1" applyAlignment="1">
      <alignment horizontal="center" vertical="center"/>
    </xf>
    <xf numFmtId="0" fontId="16" fillId="0" borderId="0" xfId="5" applyFont="1" applyAlignment="1">
      <alignment vertical="center"/>
    </xf>
    <xf numFmtId="0" fontId="16" fillId="0" borderId="0" xfId="5" applyFont="1" applyAlignment="1">
      <alignment horizontal="center" vertical="center"/>
    </xf>
    <xf numFmtId="165" fontId="15" fillId="0" borderId="0" xfId="6" applyFont="1" applyAlignment="1">
      <alignment vertical="center"/>
    </xf>
    <xf numFmtId="0" fontId="23" fillId="0" borderId="0" xfId="5" applyFont="1" applyAlignment="1">
      <alignment horizontal="center" vertical="center"/>
    </xf>
    <xf numFmtId="0" fontId="10" fillId="0" borderId="1" xfId="0" applyFont="1" applyBorder="1" applyAlignment="1">
      <alignment horizontal="left" vertical="top" wrapText="1"/>
    </xf>
    <xf numFmtId="0" fontId="8" fillId="0" borderId="1" xfId="0" applyFont="1" applyBorder="1" applyAlignment="1">
      <alignment horizontal="left" vertical="top" wrapText="1"/>
    </xf>
    <xf numFmtId="0" fontId="10" fillId="0" borderId="1" xfId="0" applyFont="1" applyBorder="1" applyAlignment="1">
      <alignment horizontal="center" vertical="top" wrapText="1"/>
    </xf>
    <xf numFmtId="0" fontId="5" fillId="4"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25" fillId="0" borderId="0" xfId="0" applyFont="1" applyAlignment="1">
      <alignment vertical="center"/>
    </xf>
    <xf numFmtId="0" fontId="26" fillId="0" borderId="0" xfId="0" applyFont="1" applyAlignment="1">
      <alignment vertical="center"/>
    </xf>
    <xf numFmtId="0" fontId="27" fillId="0" borderId="0" xfId="0" applyFont="1" applyAlignment="1">
      <alignment vertical="center"/>
    </xf>
    <xf numFmtId="0" fontId="25" fillId="0" borderId="0" xfId="0" applyFont="1" applyAlignment="1">
      <alignment horizontal="center" vertical="center"/>
    </xf>
    <xf numFmtId="0" fontId="5" fillId="12" borderId="3" xfId="0" applyFont="1" applyFill="1" applyBorder="1" applyAlignment="1" applyProtection="1">
      <alignment horizontal="center" vertical="center" wrapText="1"/>
      <protection locked="0"/>
    </xf>
    <xf numFmtId="0" fontId="24" fillId="12" borderId="1" xfId="0" applyFont="1" applyFill="1" applyBorder="1" applyAlignment="1">
      <alignment horizontal="center" vertical="center" wrapText="1"/>
    </xf>
    <xf numFmtId="0" fontId="5" fillId="12" borderId="1" xfId="0" applyFont="1" applyFill="1" applyBorder="1" applyAlignment="1" applyProtection="1">
      <alignment horizontal="center" vertical="center" wrapText="1"/>
      <protection locked="0"/>
    </xf>
    <xf numFmtId="0" fontId="31" fillId="0" borderId="1" xfId="0" applyFont="1" applyBorder="1" applyAlignment="1">
      <alignment horizontal="center" vertical="center" wrapText="1"/>
    </xf>
    <xf numFmtId="166" fontId="31" fillId="0" borderId="1" xfId="0" applyNumberFormat="1" applyFont="1" applyBorder="1" applyAlignment="1">
      <alignment horizontal="center" vertical="center" wrapText="1"/>
    </xf>
    <xf numFmtId="0" fontId="31" fillId="0" borderId="1" xfId="0" applyFont="1" applyBorder="1" applyAlignment="1">
      <alignment horizontal="center" vertical="center"/>
    </xf>
    <xf numFmtId="0" fontId="0" fillId="0" borderId="0" xfId="0" applyAlignment="1">
      <alignment wrapText="1"/>
    </xf>
    <xf numFmtId="0" fontId="10" fillId="0" borderId="1" xfId="0" quotePrefix="1" applyFont="1" applyBorder="1" applyAlignment="1">
      <alignment horizontal="left" vertical="center" wrapText="1"/>
    </xf>
    <xf numFmtId="0" fontId="23" fillId="0" borderId="0" xfId="0" applyFont="1"/>
    <xf numFmtId="0" fontId="33" fillId="12" borderId="1" xfId="0" applyFont="1" applyFill="1" applyBorder="1" applyAlignment="1">
      <alignment horizontal="center" vertical="center" wrapText="1"/>
    </xf>
    <xf numFmtId="0" fontId="34" fillId="12" borderId="3" xfId="0" applyFont="1" applyFill="1" applyBorder="1" applyAlignment="1">
      <alignment horizontal="center" vertical="center" wrapText="1"/>
    </xf>
    <xf numFmtId="0" fontId="33" fillId="12" borderId="3" xfId="0" applyFont="1" applyFill="1" applyBorder="1" applyAlignment="1">
      <alignment horizontal="center" vertical="center" wrapText="1"/>
    </xf>
    <xf numFmtId="0" fontId="33" fillId="12" borderId="5" xfId="0" applyFont="1" applyFill="1" applyBorder="1" applyAlignment="1">
      <alignment horizontal="center" vertical="center" wrapText="1"/>
    </xf>
    <xf numFmtId="0" fontId="36" fillId="0" borderId="1" xfId="0" applyFont="1" applyBorder="1" applyAlignment="1">
      <alignment vertical="center" wrapText="1"/>
    </xf>
    <xf numFmtId="0" fontId="25" fillId="0" borderId="1" xfId="0" applyFont="1" applyBorder="1" applyAlignment="1">
      <alignment vertical="center" wrapText="1"/>
    </xf>
    <xf numFmtId="0" fontId="37" fillId="0" borderId="1" xfId="0" applyFont="1" applyBorder="1" applyAlignment="1">
      <alignment vertical="center" wrapText="1"/>
    </xf>
    <xf numFmtId="0" fontId="38" fillId="0" borderId="1" xfId="0" applyFont="1" applyBorder="1" applyAlignment="1">
      <alignment vertical="center" wrapText="1"/>
    </xf>
    <xf numFmtId="0" fontId="0" fillId="0" borderId="1" xfId="0" applyBorder="1" applyAlignment="1">
      <alignment vertical="top" wrapText="1"/>
    </xf>
    <xf numFmtId="0" fontId="25" fillId="0" borderId="5" xfId="0" applyFont="1" applyBorder="1" applyAlignment="1">
      <alignment vertical="center" wrapText="1"/>
    </xf>
    <xf numFmtId="0" fontId="2" fillId="0" borderId="0" xfId="0" applyFont="1" applyAlignment="1">
      <alignment horizontal="left" vertical="top"/>
    </xf>
    <xf numFmtId="0" fontId="2" fillId="0" borderId="0" xfId="0" applyFont="1" applyAlignment="1">
      <alignment horizontal="justify" vertical="center"/>
    </xf>
    <xf numFmtId="0" fontId="23" fillId="0" borderId="0" xfId="0" applyFont="1" applyAlignment="1">
      <alignment horizontal="left" vertical="top"/>
    </xf>
    <xf numFmtId="0" fontId="42" fillId="14" borderId="3" xfId="0" applyFont="1" applyFill="1" applyBorder="1" applyAlignment="1">
      <alignment horizontal="center" vertical="center" wrapText="1"/>
    </xf>
    <xf numFmtId="0" fontId="8" fillId="0" borderId="1" xfId="0" quotePrefix="1" applyFont="1" applyBorder="1" applyAlignment="1">
      <alignment vertical="center" wrapText="1"/>
    </xf>
    <xf numFmtId="0" fontId="0" fillId="0" borderId="0" xfId="0" applyAlignment="1">
      <alignment vertical="center"/>
    </xf>
    <xf numFmtId="0" fontId="0" fillId="0" borderId="1" xfId="0" applyBorder="1"/>
    <xf numFmtId="0" fontId="25" fillId="0" borderId="1" xfId="0" applyFont="1" applyBorder="1" applyAlignment="1">
      <alignment horizontal="center" vertical="center" wrapText="1"/>
    </xf>
    <xf numFmtId="0" fontId="18" fillId="0" borderId="0" xfId="0" applyFont="1" applyAlignment="1">
      <alignment horizontal="center" vertical="center"/>
    </xf>
    <xf numFmtId="0" fontId="43" fillId="0" borderId="0" xfId="0" applyFont="1"/>
    <xf numFmtId="0" fontId="43" fillId="0" borderId="0" xfId="0" applyFont="1" applyAlignment="1">
      <alignment horizontal="center"/>
    </xf>
    <xf numFmtId="0" fontId="4" fillId="0" borderId="0" xfId="3" applyFont="1" applyAlignment="1">
      <alignment vertical="center"/>
    </xf>
    <xf numFmtId="0" fontId="3" fillId="0" borderId="0" xfId="3"/>
    <xf numFmtId="0" fontId="23" fillId="0" borderId="0" xfId="0" applyFont="1" applyAlignment="1">
      <alignment horizontal="left"/>
    </xf>
    <xf numFmtId="0" fontId="38" fillId="0" borderId="0" xfId="0" applyFont="1" applyAlignment="1">
      <alignment horizontal="left"/>
    </xf>
    <xf numFmtId="3" fontId="25" fillId="0" borderId="1" xfId="0" applyNumberFormat="1" applyFont="1" applyBorder="1" applyAlignment="1">
      <alignment horizontal="left" vertical="center" wrapText="1" indent="1"/>
    </xf>
    <xf numFmtId="0" fontId="25" fillId="0" borderId="1" xfId="0" applyFont="1" applyBorder="1" applyAlignment="1">
      <alignment horizontal="left" vertical="center" wrapText="1" indent="1"/>
    </xf>
    <xf numFmtId="3" fontId="2" fillId="0" borderId="0" xfId="0" applyNumberFormat="1" applyFont="1"/>
    <xf numFmtId="0" fontId="37" fillId="0" borderId="0" xfId="0" applyFont="1" applyAlignment="1">
      <alignment horizontal="left" vertical="center"/>
    </xf>
    <xf numFmtId="3" fontId="25" fillId="0" borderId="1" xfId="0" applyNumberFormat="1" applyFont="1" applyBorder="1" applyAlignment="1">
      <alignment horizontal="center" vertical="center" wrapText="1"/>
    </xf>
    <xf numFmtId="0" fontId="2" fillId="0" borderId="0" xfId="0" applyFont="1" applyAlignment="1">
      <alignment horizontal="center" wrapText="1"/>
    </xf>
    <xf numFmtId="0" fontId="44" fillId="12" borderId="1" xfId="0" applyFont="1" applyFill="1" applyBorder="1" applyAlignment="1">
      <alignment horizontal="center" vertical="center" wrapText="1"/>
    </xf>
    <xf numFmtId="0" fontId="45" fillId="0" borderId="1" xfId="0" applyFont="1" applyBorder="1" applyAlignment="1">
      <alignment horizontal="center" vertical="center" wrapText="1"/>
    </xf>
    <xf numFmtId="3" fontId="45" fillId="0" borderId="1" xfId="0" applyNumberFormat="1" applyFont="1" applyBorder="1" applyAlignment="1">
      <alignment horizontal="center" vertical="center" wrapText="1"/>
    </xf>
    <xf numFmtId="0" fontId="46" fillId="0" borderId="1" xfId="0" applyFont="1" applyBorder="1" applyAlignment="1">
      <alignment horizontal="center" vertical="center" wrapText="1"/>
    </xf>
    <xf numFmtId="0" fontId="38" fillId="0" borderId="0" xfId="0" applyFont="1"/>
    <xf numFmtId="0" fontId="25" fillId="0" borderId="1" xfId="0" applyFont="1" applyBorder="1" applyAlignment="1">
      <alignment horizontal="justify" vertical="center" wrapText="1"/>
    </xf>
    <xf numFmtId="9" fontId="2" fillId="0" borderId="0" xfId="0" applyNumberFormat="1" applyFont="1"/>
    <xf numFmtId="0" fontId="27" fillId="0" borderId="1" xfId="0" applyFont="1" applyBorder="1" applyAlignment="1">
      <alignment horizontal="justify" vertical="center" wrapText="1"/>
    </xf>
    <xf numFmtId="0" fontId="27" fillId="0" borderId="1" xfId="0" applyFont="1" applyBorder="1" applyAlignment="1">
      <alignment horizontal="center" vertical="center" wrapText="1"/>
    </xf>
    <xf numFmtId="0" fontId="2" fillId="0" borderId="0" xfId="0" applyFont="1" applyAlignment="1">
      <alignment horizontal="center" vertical="top"/>
    </xf>
    <xf numFmtId="0" fontId="25" fillId="0" borderId="0" xfId="0" applyFont="1"/>
    <xf numFmtId="0" fontId="37" fillId="0" borderId="0" xfId="0" applyFont="1" applyAlignment="1">
      <alignment horizontal="center" vertical="center"/>
    </xf>
    <xf numFmtId="0" fontId="2" fillId="0" borderId="0" xfId="0" applyFont="1" applyAlignment="1">
      <alignment horizontal="center" vertical="top" wrapText="1"/>
    </xf>
    <xf numFmtId="0" fontId="2" fillId="0" borderId="0" xfId="0" applyFont="1" applyAlignment="1">
      <alignment vertical="top"/>
    </xf>
    <xf numFmtId="0" fontId="47" fillId="12" borderId="1" xfId="0" applyFont="1" applyFill="1" applyBorder="1" applyAlignment="1">
      <alignment horizontal="center" vertical="center" wrapText="1"/>
    </xf>
    <xf numFmtId="0" fontId="48" fillId="12" borderId="1" xfId="0" applyFont="1" applyFill="1" applyBorder="1" applyAlignment="1">
      <alignment horizontal="center" vertical="center" wrapText="1"/>
    </xf>
    <xf numFmtId="0" fontId="25" fillId="0" borderId="0" xfId="0" applyFont="1" applyAlignment="1">
      <alignment horizontal="center" vertical="top"/>
    </xf>
    <xf numFmtId="0" fontId="8" fillId="0" borderId="3"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0" xfId="0" applyFont="1" applyAlignment="1">
      <alignment vertical="center" wrapText="1"/>
    </xf>
    <xf numFmtId="0" fontId="8" fillId="0" borderId="0" xfId="0" applyFont="1" applyAlignment="1">
      <alignment horizontal="left" vertical="center" wrapText="1" indent="1"/>
    </xf>
    <xf numFmtId="0" fontId="23" fillId="0" borderId="0" xfId="0" applyFont="1" applyAlignment="1">
      <alignment vertical="center"/>
    </xf>
    <xf numFmtId="9" fontId="25" fillId="0" borderId="1" xfId="0" applyNumberFormat="1" applyFont="1" applyBorder="1" applyAlignment="1">
      <alignment horizontal="center" vertical="center" wrapText="1"/>
    </xf>
    <xf numFmtId="6" fontId="45" fillId="0" borderId="1" xfId="0" applyNumberFormat="1" applyFont="1" applyBorder="1" applyAlignment="1">
      <alignment horizontal="right" vertical="center" wrapText="1"/>
    </xf>
    <xf numFmtId="0" fontId="45" fillId="0" borderId="1" xfId="0" applyFont="1" applyBorder="1" applyAlignment="1">
      <alignment horizontal="right" vertical="center" wrapText="1"/>
    </xf>
    <xf numFmtId="0" fontId="46" fillId="0" borderId="1" xfId="0" applyFont="1" applyBorder="1" applyAlignment="1">
      <alignment vertical="center" wrapText="1"/>
    </xf>
    <xf numFmtId="0" fontId="38" fillId="0" borderId="0" xfId="0" applyFont="1" applyAlignment="1">
      <alignment horizontal="justify" vertical="center"/>
    </xf>
    <xf numFmtId="10" fontId="45" fillId="0" borderId="1" xfId="0" applyNumberFormat="1" applyFont="1" applyBorder="1" applyAlignment="1">
      <alignment horizontal="center" vertical="center" wrapText="1"/>
    </xf>
    <xf numFmtId="10" fontId="46" fillId="0" borderId="1" xfId="0" applyNumberFormat="1" applyFont="1" applyBorder="1" applyAlignment="1">
      <alignment horizontal="center" vertical="center" wrapText="1"/>
    </xf>
    <xf numFmtId="0" fontId="8" fillId="0" borderId="1" xfId="0" applyFont="1" applyBorder="1" applyAlignment="1">
      <alignment horizontal="justify" vertical="center" wrapText="1"/>
    </xf>
    <xf numFmtId="0" fontId="6" fillId="0" borderId="1" xfId="0" applyFont="1" applyBorder="1" applyAlignment="1">
      <alignment horizontal="center" vertical="center" wrapText="1"/>
    </xf>
    <xf numFmtId="9" fontId="8" fillId="0" borderId="1" xfId="0" applyNumberFormat="1" applyFont="1" applyBorder="1" applyAlignment="1">
      <alignment horizontal="justify" vertical="center" wrapText="1"/>
    </xf>
    <xf numFmtId="0" fontId="41" fillId="0" borderId="0" xfId="0" applyFont="1"/>
    <xf numFmtId="2" fontId="25" fillId="0" borderId="1" xfId="0" quotePrefix="1" applyNumberFormat="1" applyFont="1" applyBorder="1" applyAlignment="1">
      <alignment horizontal="center" vertical="center" wrapText="1"/>
    </xf>
    <xf numFmtId="0" fontId="35" fillId="4" borderId="1" xfId="0" applyFont="1" applyFill="1" applyBorder="1" applyAlignment="1">
      <alignment horizontal="center" vertical="center" wrapText="1"/>
    </xf>
    <xf numFmtId="0" fontId="35" fillId="10" borderId="1" xfId="0" applyFont="1" applyFill="1" applyBorder="1" applyAlignment="1">
      <alignment horizontal="center" vertical="center" wrapText="1"/>
    </xf>
    <xf numFmtId="0" fontId="35" fillId="5" borderId="1" xfId="0" applyFont="1" applyFill="1" applyBorder="1" applyAlignment="1">
      <alignment horizontal="center" vertical="center" wrapText="1"/>
    </xf>
    <xf numFmtId="0" fontId="35" fillId="9" borderId="1" xfId="0" applyFont="1" applyFill="1" applyBorder="1" applyAlignment="1">
      <alignment horizontal="center" vertical="center" wrapText="1"/>
    </xf>
    <xf numFmtId="0" fontId="33" fillId="6" borderId="1" xfId="0" applyFont="1" applyFill="1" applyBorder="1" applyAlignment="1">
      <alignment horizontal="center" vertical="center" wrapText="1"/>
    </xf>
    <xf numFmtId="0" fontId="45" fillId="0" borderId="1" xfId="0" applyFont="1" applyBorder="1" applyAlignment="1">
      <alignment horizontal="justify" vertical="center" wrapText="1"/>
    </xf>
    <xf numFmtId="0" fontId="45" fillId="0" borderId="1" xfId="0" applyFont="1" applyBorder="1" applyAlignment="1">
      <alignment horizontal="left" vertical="center" wrapText="1"/>
    </xf>
    <xf numFmtId="0" fontId="25" fillId="0" borderId="0" xfId="0" applyFont="1" applyAlignment="1">
      <alignment vertical="top"/>
    </xf>
    <xf numFmtId="0" fontId="2" fillId="0" borderId="0" xfId="0" applyFont="1" applyAlignment="1">
      <alignment wrapText="1"/>
    </xf>
    <xf numFmtId="0" fontId="23" fillId="0" borderId="0" xfId="0" applyFont="1" applyAlignment="1">
      <alignment vertical="top"/>
    </xf>
    <xf numFmtId="0" fontId="4" fillId="0" borderId="0" xfId="3" applyFont="1" applyFill="1"/>
    <xf numFmtId="0" fontId="52" fillId="0" borderId="0" xfId="0" applyFont="1" applyAlignment="1">
      <alignment horizontal="justify" vertical="center"/>
    </xf>
    <xf numFmtId="0" fontId="7" fillId="15" borderId="1" xfId="0" applyFont="1" applyFill="1" applyBorder="1" applyAlignment="1">
      <alignment horizontal="center" vertical="center" wrapText="1"/>
    </xf>
    <xf numFmtId="0" fontId="10" fillId="0" borderId="1" xfId="0" applyFont="1" applyBorder="1" applyAlignment="1">
      <alignment vertical="center" wrapText="1"/>
    </xf>
    <xf numFmtId="0" fontId="21" fillId="0" borderId="0" xfId="0" applyFont="1"/>
    <xf numFmtId="0" fontId="21" fillId="0" borderId="0" xfId="0" applyFont="1" applyAlignment="1">
      <alignment horizontal="left"/>
    </xf>
    <xf numFmtId="0" fontId="21" fillId="0" borderId="0" xfId="0" applyFont="1" applyAlignment="1">
      <alignment vertical="top" wrapText="1"/>
    </xf>
    <xf numFmtId="0" fontId="54" fillId="0" borderId="0" xfId="0" applyFont="1" applyAlignment="1">
      <alignment horizontal="center" vertical="center"/>
    </xf>
    <xf numFmtId="0" fontId="55" fillId="0" borderId="0" xfId="0" applyFont="1" applyAlignment="1">
      <alignment horizontal="justify" vertical="center"/>
    </xf>
    <xf numFmtId="0" fontId="52" fillId="0" borderId="0" xfId="0" applyFont="1" applyAlignment="1">
      <alignment wrapText="1"/>
    </xf>
    <xf numFmtId="0" fontId="4" fillId="0" borderId="0" xfId="3" applyFont="1"/>
    <xf numFmtId="0" fontId="8" fillId="0" borderId="3" xfId="0" applyFont="1" applyBorder="1" applyAlignment="1">
      <alignment vertical="center" wrapText="1"/>
    </xf>
    <xf numFmtId="0" fontId="8" fillId="0" borderId="47" xfId="0" applyFont="1" applyBorder="1" applyAlignment="1" applyProtection="1">
      <alignment horizontal="left" vertical="center" wrapText="1"/>
      <protection locked="0"/>
    </xf>
    <xf numFmtId="9" fontId="8" fillId="0" borderId="1" xfId="1" applyFont="1" applyFill="1" applyBorder="1" applyAlignment="1">
      <alignment horizontal="center" vertical="center" wrapText="1"/>
    </xf>
    <xf numFmtId="0" fontId="7" fillId="8" borderId="1" xfId="0" applyFont="1" applyFill="1" applyBorder="1" applyAlignment="1" applyProtection="1">
      <alignment horizontal="center" vertical="center" wrapText="1"/>
      <protection locked="0" hidden="1"/>
    </xf>
    <xf numFmtId="166" fontId="40" fillId="0" borderId="1" xfId="0" applyNumberFormat="1" applyFont="1" applyBorder="1" applyAlignment="1">
      <alignment horizontal="center" vertical="center" wrapText="1"/>
    </xf>
    <xf numFmtId="0" fontId="8" fillId="0" borderId="47" xfId="0" applyFont="1" applyBorder="1" applyAlignment="1">
      <alignment horizontal="center" vertical="center" wrapText="1"/>
    </xf>
    <xf numFmtId="9" fontId="8" fillId="0" borderId="47" xfId="1" applyFont="1" applyFill="1" applyBorder="1" applyAlignment="1">
      <alignment horizontal="center" vertical="center" wrapText="1"/>
    </xf>
    <xf numFmtId="0" fontId="40" fillId="0" borderId="1" xfId="0" applyFont="1" applyBorder="1" applyAlignment="1">
      <alignment horizontal="center" vertical="center" wrapText="1"/>
    </xf>
    <xf numFmtId="9" fontId="40" fillId="0" borderId="1" xfId="1" applyFont="1" applyFill="1" applyBorder="1" applyAlignment="1">
      <alignment horizontal="center" vertical="center" wrapText="1"/>
    </xf>
    <xf numFmtId="0" fontId="40" fillId="0" borderId="49" xfId="0" applyFont="1" applyBorder="1" applyAlignment="1">
      <alignment horizontal="center" vertical="center" wrapText="1"/>
    </xf>
    <xf numFmtId="9" fontId="40" fillId="0" borderId="49" xfId="1" applyFont="1" applyFill="1" applyBorder="1" applyAlignment="1">
      <alignment horizontal="center" vertical="center" wrapText="1"/>
    </xf>
    <xf numFmtId="166" fontId="40" fillId="0" borderId="3" xfId="0" applyNumberFormat="1" applyFont="1" applyBorder="1" applyAlignment="1">
      <alignment horizontal="center" vertical="center" wrapText="1"/>
    </xf>
    <xf numFmtId="0" fontId="40" fillId="16" borderId="1" xfId="0" applyFont="1" applyFill="1" applyBorder="1" applyAlignment="1">
      <alignment vertical="center" wrapText="1"/>
    </xf>
    <xf numFmtId="0" fontId="8" fillId="0" borderId="1" xfId="0" quotePrefix="1" applyFont="1" applyBorder="1" applyAlignment="1" applyProtection="1">
      <alignment horizontal="left" vertical="center" wrapText="1"/>
      <protection locked="0"/>
    </xf>
    <xf numFmtId="0" fontId="40" fillId="16" borderId="1" xfId="0" applyFont="1" applyFill="1" applyBorder="1" applyAlignment="1">
      <alignment horizontal="left" vertical="center" wrapText="1"/>
    </xf>
    <xf numFmtId="0" fontId="40" fillId="0" borderId="49" xfId="0" applyFont="1" applyBorder="1" applyAlignment="1">
      <alignment vertical="center" wrapText="1"/>
    </xf>
    <xf numFmtId="0" fontId="8" fillId="0" borderId="3" xfId="0" applyFont="1" applyBorder="1" applyAlignment="1">
      <alignment horizontal="left" vertical="center" wrapText="1"/>
    </xf>
    <xf numFmtId="0" fontId="10" fillId="0" borderId="47" xfId="0" applyFont="1" applyBorder="1" applyAlignment="1">
      <alignment horizontal="center" vertical="center" wrapText="1"/>
    </xf>
    <xf numFmtId="0" fontId="8" fillId="0" borderId="47" xfId="0" applyFont="1" applyBorder="1" applyAlignment="1">
      <alignment horizontal="left" vertical="center" wrapText="1"/>
    </xf>
    <xf numFmtId="0" fontId="10" fillId="0" borderId="47" xfId="0" applyFont="1" applyBorder="1" applyAlignment="1">
      <alignment vertical="center" wrapText="1"/>
    </xf>
    <xf numFmtId="0" fontId="10" fillId="0" borderId="49" xfId="0" applyFont="1" applyBorder="1" applyAlignment="1">
      <alignment vertical="center" wrapText="1"/>
    </xf>
    <xf numFmtId="0" fontId="40" fillId="0" borderId="47" xfId="0" applyFont="1" applyBorder="1" applyAlignment="1">
      <alignment horizontal="left" vertical="center" wrapText="1"/>
    </xf>
    <xf numFmtId="0" fontId="10" fillId="0" borderId="47" xfId="0" applyFont="1" applyBorder="1" applyAlignment="1">
      <alignment horizontal="center" vertical="center"/>
    </xf>
    <xf numFmtId="0" fontId="10" fillId="11" borderId="50" xfId="0" applyFont="1" applyFill="1" applyBorder="1" applyAlignment="1">
      <alignment horizontal="center" vertical="center" wrapText="1"/>
    </xf>
    <xf numFmtId="0" fontId="10" fillId="0" borderId="50" xfId="0" applyFont="1" applyBorder="1" applyAlignment="1">
      <alignment horizontal="center" vertical="center" wrapText="1"/>
    </xf>
    <xf numFmtId="0" fontId="10" fillId="17" borderId="50" xfId="0" applyFont="1" applyFill="1" applyBorder="1" applyAlignment="1">
      <alignment horizontal="center" vertical="center" wrapText="1"/>
    </xf>
    <xf numFmtId="0" fontId="10" fillId="11" borderId="6" xfId="0" applyFont="1" applyFill="1" applyBorder="1" applyAlignment="1">
      <alignment horizontal="center" vertical="center" wrapText="1"/>
    </xf>
    <xf numFmtId="0" fontId="10" fillId="0" borderId="50" xfId="0" applyFont="1" applyBorder="1" applyAlignment="1">
      <alignment vertical="center" wrapText="1"/>
    </xf>
    <xf numFmtId="0" fontId="8" fillId="0" borderId="49" xfId="0" applyFont="1" applyBorder="1" applyAlignment="1">
      <alignment horizontal="left" vertical="center" wrapText="1"/>
    </xf>
    <xf numFmtId="9" fontId="8" fillId="11" borderId="1" xfId="1" applyFont="1" applyFill="1" applyBorder="1" applyAlignment="1">
      <alignment horizontal="center" vertical="center" wrapText="1"/>
    </xf>
    <xf numFmtId="0" fontId="8" fillId="0" borderId="49" xfId="0" applyFont="1" applyBorder="1" applyAlignment="1" applyProtection="1">
      <alignment horizontal="left" vertical="center" wrapText="1"/>
      <protection locked="0"/>
    </xf>
    <xf numFmtId="0" fontId="32" fillId="0" borderId="1" xfId="0" applyFont="1" applyBorder="1" applyAlignment="1">
      <alignment horizontal="left" vertical="center" wrapText="1"/>
    </xf>
    <xf numFmtId="0" fontId="8" fillId="0" borderId="47" xfId="0" applyFont="1" applyBorder="1" applyAlignment="1">
      <alignment vertical="center" wrapText="1"/>
    </xf>
    <xf numFmtId="0" fontId="10" fillId="0" borderId="51" xfId="0" applyFont="1" applyBorder="1" applyAlignment="1">
      <alignment horizontal="center" vertical="center" wrapText="1"/>
    </xf>
    <xf numFmtId="168" fontId="8" fillId="0" borderId="47" xfId="0" applyNumberFormat="1" applyFont="1" applyBorder="1" applyAlignment="1">
      <alignment horizontal="center" vertical="center"/>
    </xf>
    <xf numFmtId="168" fontId="8" fillId="0" borderId="47" xfId="0" applyNumberFormat="1" applyFont="1" applyBorder="1" applyAlignment="1">
      <alignment horizontal="center" vertical="center" wrapText="1"/>
    </xf>
    <xf numFmtId="168" fontId="8" fillId="0" borderId="48" xfId="0" applyNumberFormat="1" applyFont="1" applyBorder="1" applyAlignment="1">
      <alignment horizontal="center" vertical="center" wrapText="1"/>
    </xf>
    <xf numFmtId="168" fontId="8" fillId="0" borderId="1" xfId="0" applyNumberFormat="1" applyFont="1" applyBorder="1" applyAlignment="1">
      <alignment horizontal="center" vertical="center"/>
    </xf>
    <xf numFmtId="9" fontId="8" fillId="0" borderId="1" xfId="0" applyNumberFormat="1" applyFont="1" applyBorder="1" applyAlignment="1">
      <alignment horizontal="center" vertical="center" wrapText="1"/>
    </xf>
    <xf numFmtId="42" fontId="40" fillId="0" borderId="1" xfId="4" applyFont="1" applyFill="1" applyBorder="1" applyAlignment="1">
      <alignment horizontal="left" vertical="center" wrapText="1"/>
    </xf>
    <xf numFmtId="42" fontId="40" fillId="0" borderId="1" xfId="4" quotePrefix="1" applyFont="1" applyFill="1" applyBorder="1" applyAlignment="1">
      <alignment horizontal="left" vertical="center" wrapText="1"/>
    </xf>
    <xf numFmtId="42" fontId="40" fillId="0" borderId="1" xfId="4" applyFont="1" applyFill="1" applyBorder="1" applyAlignment="1">
      <alignment horizontal="center" vertical="center" wrapText="1"/>
    </xf>
    <xf numFmtId="42" fontId="8" fillId="0" borderId="47" xfId="4" applyFont="1" applyFill="1" applyBorder="1" applyAlignment="1">
      <alignment horizontal="center" vertical="center" wrapText="1"/>
    </xf>
    <xf numFmtId="42" fontId="40" fillId="0" borderId="3" xfId="4" applyFont="1" applyFill="1" applyBorder="1" applyAlignment="1">
      <alignment horizontal="center" vertical="center" wrapText="1"/>
    </xf>
    <xf numFmtId="0" fontId="8" fillId="11" borderId="47" xfId="0" applyFont="1" applyFill="1" applyBorder="1" applyAlignment="1" applyProtection="1">
      <alignment horizontal="left" vertical="center" wrapText="1"/>
      <protection locked="0"/>
    </xf>
    <xf numFmtId="0" fontId="8" fillId="0" borderId="47" xfId="0" applyFont="1" applyBorder="1" applyAlignment="1" applyProtection="1">
      <alignment horizontal="center" vertical="center" wrapText="1"/>
      <protection locked="0" hidden="1"/>
    </xf>
    <xf numFmtId="16" fontId="8" fillId="0" borderId="1" xfId="0" quotePrefix="1" applyNumberFormat="1" applyFont="1" applyBorder="1" applyAlignment="1">
      <alignment horizontal="center" vertical="center" wrapText="1"/>
    </xf>
    <xf numFmtId="0" fontId="8" fillId="0" borderId="1" xfId="0" quotePrefix="1" applyFont="1" applyBorder="1" applyAlignment="1">
      <alignment horizontal="center" vertical="center" wrapText="1"/>
    </xf>
    <xf numFmtId="169" fontId="8" fillId="0" borderId="1" xfId="2" applyNumberFormat="1" applyFont="1" applyFill="1" applyBorder="1" applyAlignment="1">
      <alignment horizontal="center" vertical="center" wrapText="1"/>
    </xf>
    <xf numFmtId="169" fontId="8" fillId="0" borderId="47" xfId="2" applyNumberFormat="1" applyFont="1" applyFill="1" applyBorder="1" applyAlignment="1">
      <alignment horizontal="center" vertical="center" wrapText="1"/>
    </xf>
    <xf numFmtId="169" fontId="40" fillId="0" borderId="1" xfId="2" applyNumberFormat="1" applyFont="1" applyFill="1" applyBorder="1" applyAlignment="1">
      <alignment horizontal="center" vertical="center" wrapText="1"/>
    </xf>
    <xf numFmtId="0" fontId="10" fillId="0" borderId="50" xfId="0" applyFont="1" applyBorder="1" applyAlignment="1">
      <alignment horizontal="center" vertical="center"/>
    </xf>
    <xf numFmtId="164" fontId="24" fillId="0" borderId="0" xfId="2" applyFont="1" applyBorder="1" applyAlignment="1">
      <alignment horizontal="center" vertical="center" wrapText="1"/>
    </xf>
    <xf numFmtId="42" fontId="8" fillId="0" borderId="1" xfId="14" applyFont="1" applyFill="1" applyBorder="1" applyAlignment="1">
      <alignment horizontal="center" vertical="center" wrapText="1"/>
    </xf>
    <xf numFmtId="43" fontId="0" fillId="0" borderId="0" xfId="18" applyFont="1"/>
    <xf numFmtId="43" fontId="24" fillId="12" borderId="1" xfId="18" applyFont="1" applyFill="1" applyBorder="1" applyAlignment="1">
      <alignment horizontal="center" vertical="center" wrapText="1"/>
    </xf>
    <xf numFmtId="43" fontId="7" fillId="8" borderId="1" xfId="18" applyFont="1" applyFill="1" applyBorder="1" applyAlignment="1" applyProtection="1">
      <alignment horizontal="center" vertical="center" wrapText="1"/>
      <protection locked="0"/>
    </xf>
    <xf numFmtId="43" fontId="8" fillId="0" borderId="1" xfId="18" applyFont="1" applyBorder="1" applyAlignment="1">
      <alignment horizontal="left" vertical="center" wrapText="1"/>
    </xf>
    <xf numFmtId="43" fontId="8" fillId="0" borderId="1" xfId="18" applyFont="1" applyBorder="1" applyAlignment="1">
      <alignment horizontal="left" vertical="top" wrapText="1"/>
    </xf>
    <xf numFmtId="0" fontId="32" fillId="0" borderId="0" xfId="0" applyFont="1" applyAlignment="1">
      <alignment horizontal="center" vertical="center" wrapText="1"/>
    </xf>
    <xf numFmtId="0" fontId="40" fillId="0" borderId="1" xfId="0" applyFont="1" applyBorder="1" applyAlignment="1">
      <alignment horizontal="left" vertical="center"/>
    </xf>
    <xf numFmtId="0" fontId="40" fillId="0" borderId="1" xfId="0" applyFont="1" applyBorder="1" applyAlignment="1">
      <alignment horizontal="center" vertical="center"/>
    </xf>
    <xf numFmtId="0" fontId="40" fillId="0" borderId="1" xfId="0" applyFont="1" applyBorder="1" applyAlignment="1" applyProtection="1">
      <alignment horizontal="center" vertical="center" wrapText="1"/>
      <protection locked="0"/>
    </xf>
    <xf numFmtId="0" fontId="40" fillId="0" borderId="47" xfId="0" applyFont="1" applyBorder="1" applyAlignment="1">
      <alignment horizontal="center" vertical="center" wrapText="1"/>
    </xf>
    <xf numFmtId="0" fontId="40" fillId="0" borderId="1" xfId="0" applyFont="1" applyBorder="1" applyAlignment="1" applyProtection="1">
      <alignment horizontal="left" vertical="center" wrapText="1"/>
      <protection locked="0"/>
    </xf>
    <xf numFmtId="0" fontId="40" fillId="11" borderId="1" xfId="0" applyFont="1" applyFill="1" applyBorder="1" applyAlignment="1">
      <alignment horizontal="center" vertical="center" wrapText="1"/>
    </xf>
    <xf numFmtId="9" fontId="40" fillId="0" borderId="1" xfId="0" applyNumberFormat="1" applyFont="1" applyBorder="1" applyAlignment="1">
      <alignment horizontal="center" vertical="center" wrapText="1"/>
    </xf>
    <xf numFmtId="0" fontId="40" fillId="11" borderId="47" xfId="0" applyFont="1" applyFill="1" applyBorder="1" applyAlignment="1">
      <alignment horizontal="center" vertical="center"/>
    </xf>
    <xf numFmtId="0" fontId="40" fillId="0" borderId="50" xfId="0" applyFont="1" applyBorder="1" applyAlignment="1">
      <alignment horizontal="center" vertical="center" wrapText="1"/>
    </xf>
    <xf numFmtId="0" fontId="40" fillId="0" borderId="47" xfId="0" applyFont="1" applyBorder="1" applyAlignment="1">
      <alignment horizontal="center" vertical="center"/>
    </xf>
    <xf numFmtId="0" fontId="2" fillId="0" borderId="0" xfId="0" applyFont="1" applyAlignment="1" applyProtection="1">
      <alignment vertical="center"/>
      <protection locked="0"/>
    </xf>
    <xf numFmtId="164" fontId="8" fillId="0" borderId="0" xfId="0" applyNumberFormat="1" applyFont="1" applyAlignment="1">
      <alignment horizontal="center" vertical="center" wrapText="1"/>
    </xf>
    <xf numFmtId="166" fontId="24" fillId="0" borderId="0" xfId="0" applyNumberFormat="1" applyFont="1" applyAlignment="1">
      <alignment horizontal="center" vertical="center" wrapText="1"/>
    </xf>
    <xf numFmtId="9" fontId="40" fillId="0" borderId="1" xfId="4" applyNumberFormat="1" applyFont="1" applyFill="1" applyBorder="1" applyAlignment="1">
      <alignment horizontal="right" vertical="center" wrapText="1"/>
    </xf>
    <xf numFmtId="0" fontId="6" fillId="0" borderId="1" xfId="0" applyFont="1" applyBorder="1" applyAlignment="1" applyProtection="1">
      <alignment horizontal="center" vertical="center" wrapText="1"/>
      <protection locked="0"/>
    </xf>
    <xf numFmtId="166" fontId="8" fillId="0" borderId="0" xfId="0" applyNumberFormat="1" applyFont="1" applyAlignment="1">
      <alignment horizontal="center" vertical="center" wrapText="1"/>
    </xf>
    <xf numFmtId="166" fontId="6" fillId="18" borderId="0" xfId="0" applyNumberFormat="1" applyFont="1" applyFill="1" applyAlignment="1">
      <alignment horizontal="center" vertical="center" wrapText="1"/>
    </xf>
    <xf numFmtId="0" fontId="8" fillId="0" borderId="0" xfId="0" applyFont="1" applyAlignment="1">
      <alignment horizontal="right" vertical="center"/>
    </xf>
    <xf numFmtId="166" fontId="8" fillId="10" borderId="1" xfId="0" applyNumberFormat="1" applyFont="1" applyFill="1" applyBorder="1" applyAlignment="1">
      <alignment horizontal="center" vertical="center" wrapText="1"/>
    </xf>
    <xf numFmtId="164" fontId="8" fillId="10" borderId="1" xfId="2" applyFont="1" applyFill="1" applyBorder="1" applyAlignment="1">
      <alignment horizontal="center" vertical="center" wrapText="1"/>
    </xf>
    <xf numFmtId="0" fontId="6" fillId="0" borderId="1" xfId="0" applyFont="1" applyBorder="1" applyAlignment="1" applyProtection="1">
      <alignment horizontal="left" vertical="center" wrapText="1"/>
      <protection locked="0"/>
    </xf>
    <xf numFmtId="166" fontId="6" fillId="0" borderId="0" xfId="0" applyNumberFormat="1" applyFont="1" applyAlignment="1">
      <alignment horizontal="center" vertical="center" wrapText="1"/>
    </xf>
    <xf numFmtId="3" fontId="0" fillId="0" borderId="0" xfId="0" applyNumberFormat="1"/>
    <xf numFmtId="0" fontId="62" fillId="19" borderId="52" xfId="0" applyFont="1" applyFill="1" applyBorder="1" applyAlignment="1">
      <alignment horizontal="center" vertical="center" wrapText="1" readingOrder="1"/>
    </xf>
    <xf numFmtId="0" fontId="62" fillId="19" borderId="53" xfId="0" applyFont="1" applyFill="1" applyBorder="1" applyAlignment="1">
      <alignment horizontal="center" vertical="center" wrapText="1" readingOrder="1"/>
    </xf>
    <xf numFmtId="0" fontId="63" fillId="20" borderId="54" xfId="0" applyFont="1" applyFill="1" applyBorder="1" applyAlignment="1">
      <alignment horizontal="left" wrapText="1" readingOrder="1"/>
    </xf>
    <xf numFmtId="3" fontId="63" fillId="11" borderId="1" xfId="0" applyNumberFormat="1" applyFont="1" applyFill="1" applyBorder="1" applyAlignment="1">
      <alignment horizontal="center" wrapText="1" readingOrder="1"/>
    </xf>
    <xf numFmtId="0" fontId="63" fillId="11" borderId="1" xfId="0" applyFont="1" applyFill="1" applyBorder="1" applyAlignment="1">
      <alignment horizontal="center" wrapText="1" readingOrder="1"/>
    </xf>
    <xf numFmtId="0" fontId="63" fillId="21" borderId="55" xfId="0" applyFont="1" applyFill="1" applyBorder="1" applyAlignment="1">
      <alignment horizontal="left" wrapText="1" readingOrder="1"/>
    </xf>
    <xf numFmtId="3" fontId="63" fillId="11" borderId="1" xfId="0" applyNumberFormat="1" applyFont="1" applyFill="1" applyBorder="1" applyAlignment="1">
      <alignment horizontal="center" vertical="center" wrapText="1" readingOrder="1"/>
    </xf>
    <xf numFmtId="0" fontId="63" fillId="21" borderId="54" xfId="0" applyFont="1" applyFill="1" applyBorder="1" applyAlignment="1">
      <alignment horizontal="left" wrapText="1" readingOrder="1"/>
    </xf>
    <xf numFmtId="170" fontId="0" fillId="0" borderId="0" xfId="0" applyNumberFormat="1"/>
    <xf numFmtId="0" fontId="64" fillId="0" borderId="0" xfId="0" applyFont="1" applyAlignment="1">
      <alignment horizontal="center" vertical="center" readingOrder="1"/>
    </xf>
    <xf numFmtId="3" fontId="65" fillId="0" borderId="0" xfId="0" applyNumberFormat="1" applyFont="1" applyAlignment="1">
      <alignment horizontal="center" readingOrder="1"/>
    </xf>
    <xf numFmtId="0" fontId="66" fillId="21" borderId="54" xfId="0" applyFont="1" applyFill="1" applyBorder="1" applyAlignment="1">
      <alignment horizontal="left" wrapText="1" readingOrder="1"/>
    </xf>
    <xf numFmtId="0" fontId="67" fillId="19" borderId="56" xfId="0" applyFont="1" applyFill="1" applyBorder="1" applyAlignment="1">
      <alignment horizontal="center" vertical="center" wrapText="1" readingOrder="1"/>
    </xf>
    <xf numFmtId="0" fontId="68" fillId="19" borderId="56" xfId="0" applyFont="1" applyFill="1" applyBorder="1" applyAlignment="1">
      <alignment horizontal="center" vertical="center" wrapText="1" readingOrder="1"/>
    </xf>
    <xf numFmtId="3" fontId="63" fillId="21" borderId="55" xfId="0" applyNumberFormat="1" applyFont="1" applyFill="1" applyBorder="1" applyAlignment="1">
      <alignment horizontal="center" vertical="center" wrapText="1" readingOrder="1"/>
    </xf>
    <xf numFmtId="3" fontId="64" fillId="21" borderId="55" xfId="0" applyNumberFormat="1" applyFont="1" applyFill="1" applyBorder="1" applyAlignment="1">
      <alignment horizontal="center" vertical="center" wrapText="1" readingOrder="1"/>
    </xf>
    <xf numFmtId="3" fontId="63" fillId="21" borderId="55" xfId="0" applyNumberFormat="1" applyFont="1" applyFill="1" applyBorder="1" applyAlignment="1">
      <alignment horizontal="center" wrapText="1" readingOrder="1"/>
    </xf>
    <xf numFmtId="3" fontId="70" fillId="21" borderId="55" xfId="0" applyNumberFormat="1" applyFont="1" applyFill="1" applyBorder="1" applyAlignment="1">
      <alignment horizontal="center" wrapText="1" readingOrder="1"/>
    </xf>
    <xf numFmtId="3" fontId="71" fillId="21" borderId="55" xfId="0" applyNumberFormat="1" applyFont="1" applyFill="1" applyBorder="1" applyAlignment="1">
      <alignment horizontal="center" vertical="center" wrapText="1" readingOrder="1"/>
    </xf>
    <xf numFmtId="3" fontId="66" fillId="21" borderId="55" xfId="0" applyNumberFormat="1" applyFont="1" applyFill="1" applyBorder="1" applyAlignment="1">
      <alignment horizontal="center" vertical="center" wrapText="1" readingOrder="1"/>
    </xf>
    <xf numFmtId="0" fontId="61" fillId="5" borderId="0" xfId="0" applyFont="1" applyFill="1" applyAlignment="1">
      <alignment horizontal="center"/>
    </xf>
    <xf numFmtId="170" fontId="63" fillId="21" borderId="55" xfId="0" applyNumberFormat="1" applyFont="1" applyFill="1" applyBorder="1" applyAlignment="1">
      <alignment horizontal="center" wrapText="1" readingOrder="1"/>
    </xf>
    <xf numFmtId="170" fontId="63" fillId="21" borderId="55" xfId="0" applyNumberFormat="1" applyFont="1" applyFill="1" applyBorder="1" applyAlignment="1">
      <alignment horizontal="center" vertical="center" wrapText="1" readingOrder="1"/>
    </xf>
    <xf numFmtId="170" fontId="63" fillId="20" borderId="54" xfId="0" applyNumberFormat="1" applyFont="1" applyFill="1" applyBorder="1" applyAlignment="1">
      <alignment horizontal="center" wrapText="1" readingOrder="1"/>
    </xf>
    <xf numFmtId="170" fontId="63" fillId="21" borderId="54" xfId="0" applyNumberFormat="1" applyFont="1" applyFill="1" applyBorder="1" applyAlignment="1">
      <alignment horizontal="center" wrapText="1" readingOrder="1"/>
    </xf>
    <xf numFmtId="170" fontId="63" fillId="21" borderId="54" xfId="0" applyNumberFormat="1" applyFont="1" applyFill="1" applyBorder="1" applyAlignment="1">
      <alignment horizontal="center" vertical="center" wrapText="1" readingOrder="1"/>
    </xf>
    <xf numFmtId="170" fontId="63" fillId="20" borderId="54" xfId="0" applyNumberFormat="1" applyFont="1" applyFill="1" applyBorder="1" applyAlignment="1">
      <alignment horizontal="center" vertical="center" wrapText="1" readingOrder="1"/>
    </xf>
    <xf numFmtId="170" fontId="66" fillId="24" borderId="52" xfId="0" applyNumberFormat="1" applyFont="1" applyFill="1" applyBorder="1" applyAlignment="1">
      <alignment horizontal="center" wrapText="1" readingOrder="1"/>
    </xf>
    <xf numFmtId="170" fontId="66" fillId="20" borderId="52" xfId="0" applyNumberFormat="1" applyFont="1" applyFill="1" applyBorder="1" applyAlignment="1">
      <alignment horizontal="center" vertical="center" wrapText="1" readingOrder="1"/>
    </xf>
    <xf numFmtId="170" fontId="66" fillId="20" borderId="57" xfId="0" applyNumberFormat="1" applyFont="1" applyFill="1" applyBorder="1" applyAlignment="1">
      <alignment horizontal="center" wrapText="1" readingOrder="1"/>
    </xf>
    <xf numFmtId="170" fontId="66" fillId="20" borderId="57" xfId="0" applyNumberFormat="1" applyFont="1" applyFill="1" applyBorder="1" applyAlignment="1">
      <alignment horizontal="center" vertical="center" wrapText="1" readingOrder="1"/>
    </xf>
    <xf numFmtId="0" fontId="62" fillId="19" borderId="56" xfId="0" applyFont="1" applyFill="1" applyBorder="1" applyAlignment="1">
      <alignment horizontal="center" vertical="center" wrapText="1" readingOrder="1"/>
    </xf>
    <xf numFmtId="0" fontId="68" fillId="21" borderId="55" xfId="0" applyFont="1" applyFill="1" applyBorder="1" applyAlignment="1">
      <alignment horizontal="center" vertical="center" wrapText="1" readingOrder="1"/>
    </xf>
    <xf numFmtId="3" fontId="66" fillId="22" borderId="54" xfId="0" applyNumberFormat="1" applyFont="1" applyFill="1" applyBorder="1" applyAlignment="1">
      <alignment horizontal="center" wrapText="1" readingOrder="1"/>
    </xf>
    <xf numFmtId="3" fontId="66" fillId="20" borderId="54" xfId="0" applyNumberFormat="1" applyFont="1" applyFill="1" applyBorder="1" applyAlignment="1">
      <alignment horizontal="center" vertical="center" wrapText="1" readingOrder="1"/>
    </xf>
    <xf numFmtId="3" fontId="66" fillId="23" borderId="54" xfId="0" applyNumberFormat="1" applyFont="1" applyFill="1" applyBorder="1" applyAlignment="1">
      <alignment horizontal="center" wrapText="1" readingOrder="1"/>
    </xf>
    <xf numFmtId="3" fontId="66" fillId="0" borderId="0" xfId="0" applyNumberFormat="1" applyFont="1" applyAlignment="1">
      <alignment horizontal="center" wrapText="1" readingOrder="1"/>
    </xf>
    <xf numFmtId="3" fontId="66" fillId="0" borderId="0" xfId="0" applyNumberFormat="1" applyFont="1" applyAlignment="1">
      <alignment horizontal="center" vertical="center" wrapText="1" readingOrder="1"/>
    </xf>
    <xf numFmtId="0" fontId="72" fillId="19" borderId="56" xfId="0" applyFont="1" applyFill="1" applyBorder="1" applyAlignment="1">
      <alignment horizontal="center" vertical="center" wrapText="1" readingOrder="1"/>
    </xf>
    <xf numFmtId="0" fontId="67" fillId="21" borderId="55" xfId="0" applyFont="1" applyFill="1" applyBorder="1" applyAlignment="1">
      <alignment horizontal="center" vertical="center" wrapText="1" readingOrder="1"/>
    </xf>
    <xf numFmtId="3" fontId="63" fillId="20" borderId="54" xfId="0" applyNumberFormat="1" applyFont="1" applyFill="1" applyBorder="1" applyAlignment="1">
      <alignment horizontal="center" vertical="center" wrapText="1" readingOrder="1"/>
    </xf>
    <xf numFmtId="3" fontId="66" fillId="5" borderId="54" xfId="0" applyNumberFormat="1" applyFont="1" applyFill="1" applyBorder="1" applyAlignment="1">
      <alignment horizontal="center" vertical="center" wrapText="1" readingOrder="1"/>
    </xf>
    <xf numFmtId="3" fontId="73" fillId="20" borderId="54" xfId="0" applyNumberFormat="1" applyFont="1" applyFill="1" applyBorder="1" applyAlignment="1">
      <alignment horizontal="center" wrapText="1" readingOrder="1"/>
    </xf>
    <xf numFmtId="3" fontId="74" fillId="20" borderId="54" xfId="0" applyNumberFormat="1" applyFont="1" applyFill="1" applyBorder="1" applyAlignment="1">
      <alignment horizontal="center" wrapText="1" readingOrder="1"/>
    </xf>
    <xf numFmtId="3" fontId="63" fillId="23" borderId="54" xfId="0" applyNumberFormat="1" applyFont="1" applyFill="1" applyBorder="1" applyAlignment="1">
      <alignment horizontal="center" vertical="center" wrapText="1" readingOrder="1"/>
    </xf>
    <xf numFmtId="3" fontId="63" fillId="0" borderId="0" xfId="0" applyNumberFormat="1" applyFont="1" applyAlignment="1">
      <alignment horizontal="center" vertical="center" wrapText="1" readingOrder="1"/>
    </xf>
    <xf numFmtId="3" fontId="73" fillId="0" borderId="0" xfId="0" applyNumberFormat="1" applyFont="1" applyAlignment="1">
      <alignment horizontal="center" wrapText="1" readingOrder="1"/>
    </xf>
    <xf numFmtId="3" fontId="74" fillId="0" borderId="0" xfId="0" applyNumberFormat="1" applyFont="1" applyAlignment="1">
      <alignment horizontal="center" wrapText="1" readingOrder="1"/>
    </xf>
    <xf numFmtId="170" fontId="60" fillId="0" borderId="0" xfId="0" applyNumberFormat="1" applyFont="1"/>
    <xf numFmtId="0" fontId="62" fillId="19" borderId="56" xfId="0" applyFont="1" applyFill="1" applyBorder="1" applyAlignment="1">
      <alignment horizontal="center" wrapText="1" readingOrder="1"/>
    </xf>
    <xf numFmtId="0" fontId="75" fillId="21" borderId="55" xfId="0" applyFont="1" applyFill="1" applyBorder="1" applyAlignment="1">
      <alignment horizontal="left" wrapText="1" readingOrder="1"/>
    </xf>
    <xf numFmtId="3" fontId="75" fillId="21" borderId="55" xfId="0" applyNumberFormat="1" applyFont="1" applyFill="1" applyBorder="1" applyAlignment="1">
      <alignment horizontal="center" wrapText="1" readingOrder="1"/>
    </xf>
    <xf numFmtId="0" fontId="76" fillId="21" borderId="55" xfId="0" applyFont="1" applyFill="1" applyBorder="1" applyAlignment="1">
      <alignment horizontal="center" vertical="center" wrapText="1"/>
    </xf>
    <xf numFmtId="0" fontId="75" fillId="20" borderId="54" xfId="0" applyFont="1" applyFill="1" applyBorder="1" applyAlignment="1">
      <alignment horizontal="left" wrapText="1" readingOrder="1"/>
    </xf>
    <xf numFmtId="3" fontId="75" fillId="20" borderId="54" xfId="0" applyNumberFormat="1" applyFont="1" applyFill="1" applyBorder="1" applyAlignment="1">
      <alignment horizontal="center" wrapText="1" readingOrder="1"/>
    </xf>
    <xf numFmtId="0" fontId="76" fillId="20" borderId="54" xfId="0" applyFont="1" applyFill="1" applyBorder="1" applyAlignment="1">
      <alignment horizontal="center" vertical="center" wrapText="1"/>
    </xf>
    <xf numFmtId="0" fontId="75" fillId="21" borderId="54" xfId="0" applyFont="1" applyFill="1" applyBorder="1" applyAlignment="1">
      <alignment horizontal="left" wrapText="1" readingOrder="1"/>
    </xf>
    <xf numFmtId="0" fontId="77" fillId="21" borderId="54" xfId="0" applyFont="1" applyFill="1" applyBorder="1" applyAlignment="1">
      <alignment horizontal="left" wrapText="1" readingOrder="1"/>
    </xf>
    <xf numFmtId="3" fontId="77" fillId="21" borderId="54" xfId="0" applyNumberFormat="1" applyFont="1" applyFill="1" applyBorder="1" applyAlignment="1">
      <alignment horizontal="center" wrapText="1" readingOrder="1"/>
    </xf>
    <xf numFmtId="3" fontId="71" fillId="20" borderId="54" xfId="0" applyNumberFormat="1" applyFont="1" applyFill="1" applyBorder="1" applyAlignment="1">
      <alignment horizontal="center" wrapText="1" readingOrder="1"/>
    </xf>
    <xf numFmtId="0" fontId="77" fillId="20" borderId="54" xfId="0" applyFont="1" applyFill="1" applyBorder="1" applyAlignment="1">
      <alignment horizontal="left" wrapText="1" readingOrder="1"/>
    </xf>
    <xf numFmtId="164" fontId="8" fillId="0" borderId="1" xfId="0" applyNumberFormat="1" applyFont="1" applyBorder="1" applyAlignment="1" applyProtection="1">
      <alignment horizontal="left" vertical="center" wrapText="1"/>
      <protection locked="0"/>
    </xf>
    <xf numFmtId="0" fontId="0" fillId="0" borderId="0" xfId="0" applyAlignment="1">
      <alignment horizontal="center"/>
    </xf>
    <xf numFmtId="3" fontId="0" fillId="0" borderId="0" xfId="0" applyNumberFormat="1" applyAlignment="1">
      <alignment horizontal="center"/>
    </xf>
    <xf numFmtId="0" fontId="62" fillId="19" borderId="52" xfId="0" applyFont="1" applyFill="1" applyBorder="1" applyAlignment="1">
      <alignment horizontal="center" vertical="center" wrapText="1"/>
    </xf>
    <xf numFmtId="0" fontId="62" fillId="19" borderId="53" xfId="0" applyFont="1" applyFill="1" applyBorder="1" applyAlignment="1">
      <alignment horizontal="center" vertical="center" wrapText="1"/>
    </xf>
    <xf numFmtId="3" fontId="63" fillId="11" borderId="1" xfId="0" applyNumberFormat="1" applyFont="1" applyFill="1" applyBorder="1" applyAlignment="1">
      <alignment horizontal="center" wrapText="1"/>
    </xf>
    <xf numFmtId="3" fontId="61" fillId="10" borderId="1" xfId="0" applyNumberFormat="1" applyFont="1" applyFill="1" applyBorder="1" applyAlignment="1">
      <alignment horizontal="center"/>
    </xf>
    <xf numFmtId="0" fontId="67" fillId="19" borderId="53" xfId="0" applyFont="1" applyFill="1" applyBorder="1" applyAlignment="1">
      <alignment horizontal="center" vertical="center" wrapText="1"/>
    </xf>
    <xf numFmtId="0" fontId="67" fillId="19" borderId="56" xfId="0" applyFont="1" applyFill="1" applyBorder="1" applyAlignment="1">
      <alignment horizontal="center" vertical="center" wrapText="1"/>
    </xf>
    <xf numFmtId="3" fontId="63" fillId="21" borderId="55" xfId="0" applyNumberFormat="1" applyFont="1" applyFill="1" applyBorder="1" applyAlignment="1">
      <alignment horizontal="center" vertical="center" wrapText="1"/>
    </xf>
    <xf numFmtId="3" fontId="69" fillId="21" borderId="55" xfId="0" applyNumberFormat="1" applyFont="1" applyFill="1" applyBorder="1" applyAlignment="1">
      <alignment horizontal="center" wrapText="1"/>
    </xf>
    <xf numFmtId="0" fontId="68" fillId="19" borderId="56" xfId="0" applyFont="1" applyFill="1" applyBorder="1" applyAlignment="1">
      <alignment horizontal="center" vertical="center" wrapText="1"/>
    </xf>
    <xf numFmtId="3" fontId="71" fillId="21" borderId="55" xfId="0" applyNumberFormat="1" applyFont="1" applyFill="1" applyBorder="1" applyAlignment="1">
      <alignment horizontal="center" vertical="center" wrapText="1"/>
    </xf>
    <xf numFmtId="171" fontId="61" fillId="5" borderId="0" xfId="0" applyNumberFormat="1" applyFont="1" applyFill="1" applyAlignment="1">
      <alignment horizontal="center"/>
    </xf>
    <xf numFmtId="170" fontId="63" fillId="21" borderId="55" xfId="0" applyNumberFormat="1" applyFont="1" applyFill="1" applyBorder="1" applyAlignment="1">
      <alignment horizontal="center" wrapText="1"/>
    </xf>
    <xf numFmtId="3" fontId="63" fillId="19" borderId="56" xfId="0" applyNumberFormat="1" applyFont="1" applyFill="1" applyBorder="1" applyAlignment="1">
      <alignment horizontal="center" wrapText="1"/>
    </xf>
    <xf numFmtId="170" fontId="63" fillId="20" borderId="54" xfId="0" applyNumberFormat="1" applyFont="1" applyFill="1" applyBorder="1" applyAlignment="1">
      <alignment horizontal="center" wrapText="1"/>
    </xf>
    <xf numFmtId="3" fontId="63" fillId="21" borderId="55" xfId="0" applyNumberFormat="1" applyFont="1" applyFill="1" applyBorder="1" applyAlignment="1">
      <alignment horizontal="center" wrapText="1"/>
    </xf>
    <xf numFmtId="170" fontId="63" fillId="21" borderId="54" xfId="0" applyNumberFormat="1" applyFont="1" applyFill="1" applyBorder="1" applyAlignment="1">
      <alignment horizontal="center" wrapText="1"/>
    </xf>
    <xf numFmtId="0" fontId="63" fillId="20" borderId="54" xfId="0" applyFont="1" applyFill="1" applyBorder="1" applyAlignment="1">
      <alignment horizontal="center" wrapText="1"/>
    </xf>
    <xf numFmtId="0" fontId="63" fillId="21" borderId="54" xfId="0" applyFont="1" applyFill="1" applyBorder="1" applyAlignment="1">
      <alignment horizontal="center" wrapText="1"/>
    </xf>
    <xf numFmtId="3" fontId="63" fillId="21" borderId="54" xfId="0" applyNumberFormat="1" applyFont="1" applyFill="1" applyBorder="1" applyAlignment="1">
      <alignment horizontal="center" wrapText="1"/>
    </xf>
    <xf numFmtId="3" fontId="63" fillId="20" borderId="54" xfId="0" applyNumberFormat="1" applyFont="1" applyFill="1" applyBorder="1" applyAlignment="1">
      <alignment horizontal="center" wrapText="1"/>
    </xf>
    <xf numFmtId="0" fontId="62" fillId="19" borderId="56" xfId="0" applyFont="1" applyFill="1" applyBorder="1" applyAlignment="1">
      <alignment horizontal="center" vertical="center" wrapText="1"/>
    </xf>
    <xf numFmtId="0" fontId="68" fillId="21" borderId="55" xfId="0" applyFont="1" applyFill="1" applyBorder="1" applyAlignment="1">
      <alignment horizontal="center" vertical="center" wrapText="1"/>
    </xf>
    <xf numFmtId="3" fontId="66" fillId="24" borderId="54" xfId="0" applyNumberFormat="1" applyFont="1" applyFill="1" applyBorder="1" applyAlignment="1">
      <alignment horizontal="center" wrapText="1"/>
    </xf>
    <xf numFmtId="3" fontId="66" fillId="20" borderId="54" xfId="0" applyNumberFormat="1" applyFont="1" applyFill="1" applyBorder="1" applyAlignment="1">
      <alignment horizontal="center" vertical="center" wrapText="1"/>
    </xf>
    <xf numFmtId="3" fontId="66" fillId="0" borderId="0" xfId="0" applyNumberFormat="1" applyFont="1" applyAlignment="1">
      <alignment horizontal="center" wrapText="1"/>
    </xf>
    <xf numFmtId="3" fontId="66" fillId="0" borderId="0" xfId="0" applyNumberFormat="1" applyFont="1" applyAlignment="1">
      <alignment horizontal="center" vertical="center" wrapText="1"/>
    </xf>
    <xf numFmtId="0" fontId="67" fillId="21" borderId="55" xfId="0" applyFont="1" applyFill="1" applyBorder="1" applyAlignment="1">
      <alignment horizontal="center" vertical="center" wrapText="1"/>
    </xf>
    <xf numFmtId="3" fontId="63" fillId="20" borderId="54" xfId="0" applyNumberFormat="1" applyFont="1" applyFill="1" applyBorder="1" applyAlignment="1">
      <alignment horizontal="center" vertical="center" wrapText="1"/>
    </xf>
    <xf numFmtId="3" fontId="63" fillId="0" borderId="0" xfId="0" applyNumberFormat="1" applyFont="1" applyAlignment="1">
      <alignment horizontal="center" vertical="center" wrapText="1"/>
    </xf>
    <xf numFmtId="3" fontId="73" fillId="0" borderId="0" xfId="0" applyNumberFormat="1" applyFont="1" applyAlignment="1">
      <alignment horizontal="center" wrapText="1"/>
    </xf>
    <xf numFmtId="170" fontId="60" fillId="0" borderId="0" xfId="0" applyNumberFormat="1" applyFont="1" applyAlignment="1">
      <alignment horizontal="center"/>
    </xf>
    <xf numFmtId="0" fontId="62" fillId="19" borderId="56" xfId="0" applyFont="1" applyFill="1" applyBorder="1" applyAlignment="1">
      <alignment horizontal="center" wrapText="1"/>
    </xf>
    <xf numFmtId="3" fontId="63" fillId="25" borderId="55" xfId="0" applyNumberFormat="1" applyFont="1" applyFill="1" applyBorder="1" applyAlignment="1">
      <alignment horizontal="center" wrapText="1"/>
    </xf>
    <xf numFmtId="3" fontId="63" fillId="25" borderId="54" xfId="0" applyNumberFormat="1" applyFont="1" applyFill="1" applyBorder="1" applyAlignment="1">
      <alignment horizontal="center" wrapText="1"/>
    </xf>
    <xf numFmtId="3" fontId="63" fillId="5" borderId="54" xfId="0" applyNumberFormat="1" applyFont="1" applyFill="1" applyBorder="1" applyAlignment="1">
      <alignment horizontal="center" wrapText="1"/>
    </xf>
    <xf numFmtId="3" fontId="66" fillId="5" borderId="54" xfId="0" applyNumberFormat="1" applyFont="1" applyFill="1" applyBorder="1" applyAlignment="1">
      <alignment horizontal="center" vertical="center" wrapText="1"/>
    </xf>
    <xf numFmtId="3" fontId="61" fillId="10" borderId="1" xfId="0" applyNumberFormat="1" applyFont="1" applyFill="1" applyBorder="1" applyAlignment="1">
      <alignment horizontal="center" readingOrder="1"/>
    </xf>
    <xf numFmtId="3" fontId="63" fillId="26" borderId="1" xfId="0" applyNumberFormat="1" applyFont="1" applyFill="1" applyBorder="1" applyAlignment="1">
      <alignment horizontal="center" vertical="center" wrapText="1" readingOrder="1"/>
    </xf>
    <xf numFmtId="0" fontId="6" fillId="0" borderId="0" xfId="0" applyFont="1" applyAlignment="1">
      <alignment horizontal="center" vertical="center" wrapText="1"/>
    </xf>
    <xf numFmtId="164" fontId="78" fillId="0" borderId="0" xfId="0" applyNumberFormat="1" applyFont="1" applyAlignment="1">
      <alignment horizontal="center" vertical="center" wrapText="1"/>
    </xf>
    <xf numFmtId="164" fontId="78" fillId="0" borderId="0" xfId="2" applyFont="1" applyBorder="1" applyAlignment="1">
      <alignment horizontal="center" vertical="center" wrapText="1"/>
    </xf>
    <xf numFmtId="0" fontId="6" fillId="0" borderId="0" xfId="0" applyFont="1"/>
    <xf numFmtId="0" fontId="6" fillId="0" borderId="0" xfId="0" applyFont="1" applyAlignment="1">
      <alignment horizontal="right"/>
    </xf>
    <xf numFmtId="164" fontId="6" fillId="0" borderId="0" xfId="0" applyNumberFormat="1" applyFont="1"/>
    <xf numFmtId="0" fontId="79" fillId="0" borderId="0" xfId="3" applyFont="1"/>
    <xf numFmtId="0" fontId="8" fillId="0" borderId="0" xfId="0" applyFont="1" applyAlignment="1">
      <alignment horizontal="center" vertical="center"/>
    </xf>
    <xf numFmtId="0" fontId="8" fillId="0" borderId="0" xfId="0" applyFont="1" applyAlignment="1">
      <alignment horizontal="left"/>
    </xf>
    <xf numFmtId="0" fontId="8" fillId="27" borderId="1" xfId="0" applyFont="1" applyFill="1" applyBorder="1" applyAlignment="1">
      <alignment horizontal="center" vertical="center" wrapText="1"/>
    </xf>
    <xf numFmtId="0" fontId="8" fillId="27" borderId="1" xfId="0" applyFont="1" applyFill="1" applyBorder="1" applyAlignment="1" applyProtection="1">
      <alignment horizontal="left" vertical="center" wrapText="1"/>
      <protection locked="0"/>
    </xf>
    <xf numFmtId="42" fontId="8" fillId="27" borderId="1" xfId="4" applyFont="1" applyFill="1" applyBorder="1" applyAlignment="1">
      <alignment horizontal="center" vertical="center" wrapText="1"/>
    </xf>
    <xf numFmtId="166" fontId="80" fillId="18" borderId="0" xfId="0" applyNumberFormat="1" applyFont="1" applyFill="1" applyAlignment="1">
      <alignment horizontal="center" vertical="center" wrapText="1"/>
    </xf>
    <xf numFmtId="0" fontId="8" fillId="10" borderId="1" xfId="0" applyFont="1" applyFill="1" applyBorder="1" applyAlignment="1">
      <alignment horizontal="center" vertical="center" wrapText="1"/>
    </xf>
    <xf numFmtId="0" fontId="8" fillId="10" borderId="1" xfId="0" applyFont="1" applyFill="1" applyBorder="1" applyAlignment="1" applyProtection="1">
      <alignment horizontal="left" vertical="center" wrapText="1"/>
      <protection locked="0"/>
    </xf>
    <xf numFmtId="42" fontId="40" fillId="10" borderId="1" xfId="4" applyFont="1" applyFill="1" applyBorder="1" applyAlignment="1">
      <alignment horizontal="center" vertical="center" wrapText="1"/>
    </xf>
    <xf numFmtId="166" fontId="2" fillId="0" borderId="0" xfId="0" applyNumberFormat="1" applyFont="1" applyAlignment="1">
      <alignment horizontal="center" vertical="center" wrapText="1"/>
    </xf>
    <xf numFmtId="166" fontId="81" fillId="18" borderId="0" xfId="0" applyNumberFormat="1" applyFont="1" applyFill="1" applyAlignment="1">
      <alignment horizontal="center" vertical="center" wrapText="1"/>
    </xf>
    <xf numFmtId="172" fontId="0" fillId="0" borderId="0" xfId="18" applyNumberFormat="1" applyFont="1"/>
    <xf numFmtId="0" fontId="8" fillId="0" borderId="1" xfId="0" applyFont="1" applyBorder="1" applyAlignment="1">
      <alignment horizontal="center" vertical="center" wrapText="1"/>
    </xf>
    <xf numFmtId="0" fontId="47" fillId="28" borderId="61" xfId="0" applyFont="1" applyFill="1" applyBorder="1" applyAlignment="1">
      <alignment horizontal="center" vertical="center"/>
    </xf>
    <xf numFmtId="0" fontId="47" fillId="28" borderId="61" xfId="0" applyFont="1" applyFill="1" applyBorder="1" applyAlignment="1">
      <alignment horizontal="center" vertical="center" wrapText="1"/>
    </xf>
    <xf numFmtId="0" fontId="47" fillId="28" borderId="65" xfId="0" applyFont="1" applyFill="1" applyBorder="1" applyAlignment="1">
      <alignment horizontal="center" vertical="center" wrapText="1"/>
    </xf>
    <xf numFmtId="0" fontId="10" fillId="0" borderId="66" xfId="0" applyFont="1" applyBorder="1" applyAlignment="1">
      <alignment horizontal="center" vertical="center"/>
    </xf>
    <xf numFmtId="0" fontId="8" fillId="0" borderId="67" xfId="0" applyFont="1" applyBorder="1" applyAlignment="1">
      <alignment vertical="center" wrapText="1"/>
    </xf>
    <xf numFmtId="0" fontId="10" fillId="0" borderId="67" xfId="0" applyFont="1" applyBorder="1" applyAlignment="1">
      <alignment horizontal="center" vertical="center" wrapText="1"/>
    </xf>
    <xf numFmtId="0" fontId="10" fillId="5" borderId="67" xfId="0" applyFont="1" applyFill="1" applyBorder="1" applyAlignment="1">
      <alignment horizontal="center" vertical="center" wrapText="1"/>
    </xf>
    <xf numFmtId="0" fontId="10" fillId="0" borderId="68" xfId="0" applyFont="1" applyBorder="1" applyAlignment="1">
      <alignment horizontal="center" vertical="center"/>
    </xf>
    <xf numFmtId="0" fontId="10" fillId="5" borderId="68" xfId="0" applyFont="1" applyFill="1" applyBorder="1" applyAlignment="1">
      <alignment horizontal="center" vertical="center" wrapText="1"/>
    </xf>
    <xf numFmtId="0" fontId="10" fillId="10" borderId="68" xfId="0" applyFont="1" applyFill="1" applyBorder="1" applyAlignment="1">
      <alignment horizontal="center" vertical="center" wrapText="1"/>
    </xf>
    <xf numFmtId="0" fontId="10" fillId="9" borderId="67" xfId="0" applyFont="1" applyFill="1" applyBorder="1" applyAlignment="1">
      <alignment horizontal="center" vertical="center" wrapText="1"/>
    </xf>
    <xf numFmtId="0" fontId="10" fillId="9" borderId="68" xfId="0" applyFont="1" applyFill="1" applyBorder="1" applyAlignment="1">
      <alignment horizontal="center" vertical="center" wrapText="1"/>
    </xf>
    <xf numFmtId="0" fontId="12" fillId="0" borderId="67" xfId="0" applyFont="1" applyBorder="1" applyAlignment="1">
      <alignment vertical="center" wrapText="1"/>
    </xf>
    <xf numFmtId="0" fontId="10" fillId="0" borderId="69" xfId="0" applyFont="1" applyBorder="1" applyAlignment="1">
      <alignment horizontal="center" vertical="center"/>
    </xf>
    <xf numFmtId="0" fontId="8" fillId="0" borderId="65" xfId="0" applyFont="1" applyBorder="1" applyAlignment="1">
      <alignment vertical="center" wrapText="1"/>
    </xf>
    <xf numFmtId="0" fontId="10" fillId="0" borderId="67" xfId="0" applyFont="1" applyBorder="1" applyAlignment="1">
      <alignment vertical="center" wrapText="1"/>
    </xf>
    <xf numFmtId="173" fontId="10" fillId="0" borderId="65" xfId="18" applyNumberFormat="1" applyFont="1" applyBorder="1" applyAlignment="1">
      <alignment horizontal="center" vertical="center" wrapText="1"/>
    </xf>
    <xf numFmtId="173" fontId="0" fillId="0" borderId="0" xfId="18" applyNumberFormat="1" applyFont="1" applyAlignment="1">
      <alignment horizontal="center"/>
    </xf>
    <xf numFmtId="173" fontId="10" fillId="0" borderId="68" xfId="18" applyNumberFormat="1" applyFont="1" applyBorder="1" applyAlignment="1">
      <alignment horizontal="center" vertical="center"/>
    </xf>
    <xf numFmtId="0" fontId="21" fillId="0" borderId="0" xfId="0" applyFont="1" applyAlignment="1">
      <alignment horizontal="left" wrapText="1"/>
    </xf>
    <xf numFmtId="0" fontId="21" fillId="0" borderId="0" xfId="0" applyFont="1" applyAlignment="1">
      <alignment horizontal="left"/>
    </xf>
    <xf numFmtId="0" fontId="21" fillId="0" borderId="0" xfId="0" applyFont="1" applyAlignment="1">
      <alignment horizontal="left" vertical="top" wrapText="1"/>
    </xf>
    <xf numFmtId="0" fontId="27" fillId="0" borderId="44" xfId="0" applyFont="1" applyBorder="1" applyAlignment="1">
      <alignment horizontal="center" vertical="center"/>
    </xf>
    <xf numFmtId="0" fontId="6" fillId="5" borderId="1" xfId="0" applyFont="1" applyFill="1" applyBorder="1" applyAlignment="1" applyProtection="1">
      <alignment horizontal="left" vertical="center" wrapText="1"/>
      <protection locked="0"/>
    </xf>
    <xf numFmtId="0" fontId="10" fillId="0" borderId="1" xfId="0" applyFont="1" applyBorder="1" applyAlignment="1">
      <alignment horizontal="left" vertical="center" wrapText="1"/>
    </xf>
    <xf numFmtId="43" fontId="10" fillId="0" borderId="1" xfId="18" applyFont="1" applyBorder="1" applyAlignment="1">
      <alignment horizontal="left" vertical="center" wrapText="1"/>
    </xf>
    <xf numFmtId="0" fontId="10" fillId="0" borderId="1" xfId="0" applyFont="1" applyBorder="1" applyAlignment="1">
      <alignment horizontal="center" vertical="center" wrapText="1"/>
    </xf>
    <xf numFmtId="0" fontId="5" fillId="12" borderId="1" xfId="0" applyFont="1" applyFill="1" applyBorder="1" applyAlignment="1" applyProtection="1">
      <alignment horizontal="center" vertical="center" wrapText="1"/>
      <protection locked="0" hidden="1"/>
    </xf>
    <xf numFmtId="0" fontId="5" fillId="12" borderId="1" xfId="0" applyFont="1" applyFill="1" applyBorder="1" applyAlignment="1" applyProtection="1">
      <alignment horizontal="center" vertical="center" wrapText="1"/>
      <protection locked="0"/>
    </xf>
    <xf numFmtId="0" fontId="5" fillId="12" borderId="1" xfId="0" applyFont="1" applyFill="1" applyBorder="1" applyAlignment="1">
      <alignment horizontal="center" vertical="center" wrapText="1"/>
    </xf>
    <xf numFmtId="0" fontId="11" fillId="12" borderId="1" xfId="0" applyFont="1" applyFill="1" applyBorder="1" applyAlignment="1" applyProtection="1">
      <alignment horizontal="center" vertical="center" wrapText="1"/>
      <protection locked="0"/>
    </xf>
    <xf numFmtId="0" fontId="6" fillId="2" borderId="1"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5" fillId="12" borderId="6" xfId="0" applyFont="1" applyFill="1" applyBorder="1" applyAlignment="1">
      <alignment horizontal="center" vertical="center" wrapText="1"/>
    </xf>
    <xf numFmtId="0" fontId="5" fillId="12" borderId="7"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5" fillId="12" borderId="3" xfId="0" applyFont="1" applyFill="1" applyBorder="1" applyAlignment="1">
      <alignment horizontal="center" vertical="center" wrapText="1"/>
    </xf>
    <xf numFmtId="0" fontId="5" fillId="12" borderId="4" xfId="0" applyFont="1" applyFill="1" applyBorder="1" applyAlignment="1">
      <alignment horizontal="center" vertical="center" wrapText="1"/>
    </xf>
    <xf numFmtId="0" fontId="5" fillId="12" borderId="5"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7" fillId="8"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11" borderId="1"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14"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13" xfId="0" applyFont="1" applyFill="1" applyBorder="1" applyAlignment="1">
      <alignment horizontal="center" vertical="center" wrapText="1"/>
    </xf>
    <xf numFmtId="0" fontId="8" fillId="0" borderId="1" xfId="0" applyFont="1" applyBorder="1" applyAlignment="1">
      <alignment horizontal="left" vertical="center" wrapText="1"/>
    </xf>
    <xf numFmtId="0" fontId="14" fillId="0" borderId="1" xfId="0" applyFont="1" applyBorder="1" applyAlignment="1">
      <alignment horizontal="left" vertical="center" wrapText="1"/>
    </xf>
    <xf numFmtId="166" fontId="8" fillId="0" borderId="1" xfId="0" applyNumberFormat="1" applyFont="1" applyBorder="1" applyAlignment="1">
      <alignment horizontal="left" vertical="center" wrapText="1"/>
    </xf>
    <xf numFmtId="0" fontId="6" fillId="11" borderId="6" xfId="0" applyFont="1" applyFill="1" applyBorder="1" applyAlignment="1">
      <alignment horizontal="center" vertical="center" wrapText="1"/>
    </xf>
    <xf numFmtId="0" fontId="6" fillId="11" borderId="7" xfId="0" applyFont="1" applyFill="1" applyBorder="1" applyAlignment="1">
      <alignment horizontal="center" vertical="center" wrapText="1"/>
    </xf>
    <xf numFmtId="0" fontId="6" fillId="11" borderId="8" xfId="0" applyFont="1" applyFill="1" applyBorder="1" applyAlignment="1">
      <alignment horizontal="center" vertical="center" wrapText="1"/>
    </xf>
    <xf numFmtId="0" fontId="9" fillId="12" borderId="1" xfId="0" applyFont="1" applyFill="1" applyBorder="1" applyAlignment="1" applyProtection="1">
      <alignment horizontal="center" vertical="center" wrapText="1"/>
      <protection locked="0"/>
    </xf>
    <xf numFmtId="0" fontId="7" fillId="8" borderId="1" xfId="0" applyFont="1" applyFill="1" applyBorder="1" applyAlignment="1" applyProtection="1">
      <alignment horizontal="center" vertical="center" wrapText="1"/>
      <protection locked="0"/>
    </xf>
    <xf numFmtId="0" fontId="7" fillId="8" borderId="6" xfId="0" applyFont="1" applyFill="1" applyBorder="1" applyAlignment="1" applyProtection="1">
      <alignment horizontal="center" vertical="center" wrapText="1"/>
      <protection locked="0"/>
    </xf>
    <xf numFmtId="0" fontId="7" fillId="8" borderId="7" xfId="0" applyFont="1" applyFill="1" applyBorder="1" applyAlignment="1" applyProtection="1">
      <alignment horizontal="center" vertical="center" wrapText="1"/>
      <protection locked="0"/>
    </xf>
    <xf numFmtId="0" fontId="7" fillId="8" borderId="8" xfId="0" applyFont="1" applyFill="1" applyBorder="1" applyAlignment="1" applyProtection="1">
      <alignment horizontal="center" vertical="center" wrapText="1"/>
      <protection locked="0"/>
    </xf>
    <xf numFmtId="0" fontId="7" fillId="8" borderId="6" xfId="0" applyFont="1" applyFill="1" applyBorder="1" applyAlignment="1">
      <alignment horizontal="center" vertical="center" wrapText="1"/>
    </xf>
    <xf numFmtId="0" fontId="7" fillId="8" borderId="7" xfId="0" applyFont="1" applyFill="1" applyBorder="1" applyAlignment="1">
      <alignment horizontal="center" vertical="center" wrapText="1"/>
    </xf>
    <xf numFmtId="0" fontId="7" fillId="8" borderId="8" xfId="0" applyFont="1" applyFill="1" applyBorder="1" applyAlignment="1">
      <alignment horizontal="center" vertical="center" wrapText="1"/>
    </xf>
    <xf numFmtId="0" fontId="29" fillId="6" borderId="35" xfId="7" applyFont="1" applyFill="1" applyBorder="1" applyAlignment="1">
      <alignment horizontal="center" vertical="center" wrapText="1"/>
    </xf>
    <xf numFmtId="0" fontId="29" fillId="6" borderId="36" xfId="7" applyFont="1" applyFill="1" applyBorder="1" applyAlignment="1">
      <alignment horizontal="center" vertical="center"/>
    </xf>
    <xf numFmtId="0" fontId="29" fillId="6" borderId="37" xfId="7" applyFont="1" applyFill="1" applyBorder="1" applyAlignment="1">
      <alignment horizontal="center" vertical="center"/>
    </xf>
    <xf numFmtId="0" fontId="29" fillId="6" borderId="38" xfId="7" applyFont="1" applyFill="1" applyBorder="1" applyAlignment="1">
      <alignment horizontal="center" vertical="center"/>
    </xf>
    <xf numFmtId="0" fontId="29" fillId="6" borderId="39" xfId="7" applyFont="1" applyFill="1" applyBorder="1" applyAlignment="1">
      <alignment horizontal="center" vertical="center"/>
    </xf>
    <xf numFmtId="0" fontId="29" fillId="6" borderId="40" xfId="7" applyFont="1" applyFill="1" applyBorder="1" applyAlignment="1">
      <alignment horizontal="center" vertical="center"/>
    </xf>
    <xf numFmtId="0" fontId="29" fillId="6" borderId="38" xfId="7" applyFont="1" applyFill="1" applyBorder="1" applyAlignment="1">
      <alignment horizontal="center" vertical="center" wrapText="1"/>
    </xf>
    <xf numFmtId="0" fontId="29" fillId="6" borderId="41" xfId="7" applyFont="1" applyFill="1" applyBorder="1" applyAlignment="1">
      <alignment horizontal="center" vertical="center"/>
    </xf>
    <xf numFmtId="0" fontId="29" fillId="6" borderId="42" xfId="7" applyFont="1" applyFill="1" applyBorder="1" applyAlignment="1">
      <alignment horizontal="center" vertical="center"/>
    </xf>
    <xf numFmtId="0" fontId="29" fillId="6" borderId="43" xfId="7" applyFont="1" applyFill="1" applyBorder="1" applyAlignment="1">
      <alignment horizontal="center" vertical="center"/>
    </xf>
    <xf numFmtId="0" fontId="30" fillId="9" borderId="29" xfId="7" applyFont="1" applyFill="1" applyBorder="1" applyAlignment="1">
      <alignment horizontal="center" vertical="center" wrapText="1"/>
    </xf>
    <xf numFmtId="0" fontId="30" fillId="9" borderId="27" xfId="7" applyFont="1" applyFill="1" applyBorder="1" applyAlignment="1">
      <alignment horizontal="center" vertical="center"/>
    </xf>
    <xf numFmtId="0" fontId="30" fillId="9" borderId="28" xfId="7" applyFont="1" applyFill="1" applyBorder="1" applyAlignment="1">
      <alignment horizontal="center" vertical="center"/>
    </xf>
    <xf numFmtId="0" fontId="30" fillId="9" borderId="20" xfId="7" applyFont="1" applyFill="1" applyBorder="1" applyAlignment="1">
      <alignment horizontal="center" vertical="center"/>
    </xf>
    <xf numFmtId="0" fontId="30" fillId="9" borderId="0" xfId="7" applyFont="1" applyFill="1" applyAlignment="1">
      <alignment horizontal="center" vertical="center"/>
    </xf>
    <xf numFmtId="0" fontId="30" fillId="9" borderId="21" xfId="7" applyFont="1" applyFill="1" applyBorder="1" applyAlignment="1">
      <alignment horizontal="center" vertical="center"/>
    </xf>
    <xf numFmtId="0" fontId="30" fillId="9" borderId="24" xfId="7" applyFont="1" applyFill="1" applyBorder="1" applyAlignment="1">
      <alignment horizontal="center" vertical="center"/>
    </xf>
    <xf numFmtId="0" fontId="30" fillId="9" borderId="23" xfId="7" applyFont="1" applyFill="1" applyBorder="1" applyAlignment="1">
      <alignment horizontal="center" vertical="center"/>
    </xf>
    <xf numFmtId="0" fontId="30" fillId="9" borderId="25" xfId="7" applyFont="1" applyFill="1" applyBorder="1" applyAlignment="1">
      <alignment horizontal="center" vertical="center"/>
    </xf>
    <xf numFmtId="0" fontId="28" fillId="10" borderId="29" xfId="7" applyFont="1" applyFill="1" applyBorder="1" applyAlignment="1">
      <alignment horizontal="center" vertical="center" wrapText="1"/>
    </xf>
    <xf numFmtId="0" fontId="28" fillId="10" borderId="27" xfId="7" applyFont="1" applyFill="1" applyBorder="1" applyAlignment="1">
      <alignment horizontal="center" vertical="center"/>
    </xf>
    <xf numFmtId="0" fontId="28" fillId="10" borderId="28" xfId="7" applyFont="1" applyFill="1" applyBorder="1" applyAlignment="1">
      <alignment horizontal="center" vertical="center"/>
    </xf>
    <xf numFmtId="0" fontId="28" fillId="10" borderId="20" xfId="7" applyFont="1" applyFill="1" applyBorder="1" applyAlignment="1">
      <alignment horizontal="center" vertical="center"/>
    </xf>
    <xf numFmtId="0" fontId="28" fillId="10" borderId="0" xfId="7" applyFont="1" applyFill="1" applyAlignment="1">
      <alignment horizontal="center" vertical="center"/>
    </xf>
    <xf numFmtId="0" fontId="28" fillId="10" borderId="21" xfId="7" applyFont="1" applyFill="1" applyBorder="1" applyAlignment="1">
      <alignment horizontal="center" vertical="center"/>
    </xf>
    <xf numFmtId="0" fontId="28" fillId="10" borderId="24" xfId="7" applyFont="1" applyFill="1" applyBorder="1" applyAlignment="1">
      <alignment horizontal="center" vertical="center"/>
    </xf>
    <xf numFmtId="0" fontId="28" fillId="10" borderId="23" xfId="7" applyFont="1" applyFill="1" applyBorder="1" applyAlignment="1">
      <alignment horizontal="center" vertical="center"/>
    </xf>
    <xf numFmtId="0" fontId="28" fillId="10" borderId="25" xfId="7" applyFont="1" applyFill="1" applyBorder="1" applyAlignment="1">
      <alignment horizontal="center" vertical="center"/>
    </xf>
    <xf numFmtId="0" fontId="28" fillId="10" borderId="33" xfId="7" applyFont="1" applyFill="1" applyBorder="1" applyAlignment="1">
      <alignment horizontal="center" vertical="center"/>
    </xf>
    <xf numFmtId="0" fontId="28" fillId="10" borderId="31" xfId="7" applyFont="1" applyFill="1" applyBorder="1" applyAlignment="1">
      <alignment horizontal="center" vertical="center"/>
    </xf>
    <xf numFmtId="0" fontId="28" fillId="10" borderId="32" xfId="7" applyFont="1" applyFill="1" applyBorder="1" applyAlignment="1">
      <alignment horizontal="center" vertical="center"/>
    </xf>
    <xf numFmtId="0" fontId="28" fillId="5" borderId="29" xfId="7" applyFont="1" applyFill="1" applyBorder="1" applyAlignment="1">
      <alignment horizontal="center" vertical="center" wrapText="1"/>
    </xf>
    <xf numFmtId="0" fontId="28" fillId="5" borderId="27" xfId="7" applyFont="1" applyFill="1" applyBorder="1" applyAlignment="1">
      <alignment horizontal="center" vertical="center"/>
    </xf>
    <xf numFmtId="0" fontId="28" fillId="5" borderId="28" xfId="7" applyFont="1" applyFill="1" applyBorder="1" applyAlignment="1">
      <alignment horizontal="center" vertical="center"/>
    </xf>
    <xf numFmtId="0" fontId="28" fillId="5" borderId="20" xfId="7" applyFont="1" applyFill="1" applyBorder="1" applyAlignment="1">
      <alignment horizontal="center" vertical="center"/>
    </xf>
    <xf numFmtId="0" fontId="28" fillId="5" borderId="0" xfId="7" applyFont="1" applyFill="1" applyAlignment="1">
      <alignment horizontal="center" vertical="center"/>
    </xf>
    <xf numFmtId="0" fontId="28" fillId="5" borderId="21" xfId="7" applyFont="1" applyFill="1" applyBorder="1" applyAlignment="1">
      <alignment horizontal="center" vertical="center"/>
    </xf>
    <xf numFmtId="0" fontId="28" fillId="5" borderId="33" xfId="7" applyFont="1" applyFill="1" applyBorder="1" applyAlignment="1">
      <alignment horizontal="center" vertical="center"/>
    </xf>
    <xf numFmtId="0" fontId="28" fillId="5" borderId="31" xfId="7" applyFont="1" applyFill="1" applyBorder="1" applyAlignment="1">
      <alignment horizontal="center" vertical="center"/>
    </xf>
    <xf numFmtId="0" fontId="28" fillId="5" borderId="32" xfId="7" applyFont="1" applyFill="1" applyBorder="1" applyAlignment="1">
      <alignment horizontal="center" vertical="center"/>
    </xf>
    <xf numFmtId="0" fontId="29" fillId="6" borderId="17" xfId="7" applyFont="1" applyFill="1" applyBorder="1" applyAlignment="1">
      <alignment horizontal="center" vertical="center" wrapText="1"/>
    </xf>
    <xf numFmtId="0" fontId="29" fillId="6" borderId="16" xfId="7" applyFont="1" applyFill="1" applyBorder="1" applyAlignment="1">
      <alignment horizontal="center" vertical="center"/>
    </xf>
    <xf numFmtId="0" fontId="29" fillId="6" borderId="18" xfId="7" applyFont="1" applyFill="1" applyBorder="1" applyAlignment="1">
      <alignment horizontal="center" vertical="center"/>
    </xf>
    <xf numFmtId="0" fontId="29" fillId="6" borderId="20" xfId="7" applyFont="1" applyFill="1" applyBorder="1" applyAlignment="1">
      <alignment horizontal="center" vertical="center"/>
    </xf>
    <xf numFmtId="0" fontId="29" fillId="6" borderId="0" xfId="7" applyFont="1" applyFill="1" applyAlignment="1">
      <alignment horizontal="center" vertical="center"/>
    </xf>
    <xf numFmtId="0" fontId="29" fillId="6" borderId="21" xfId="7" applyFont="1" applyFill="1" applyBorder="1" applyAlignment="1">
      <alignment horizontal="center" vertical="center"/>
    </xf>
    <xf numFmtId="0" fontId="29" fillId="6" borderId="24" xfId="7" applyFont="1" applyFill="1" applyBorder="1" applyAlignment="1">
      <alignment horizontal="center" vertical="center"/>
    </xf>
    <xf numFmtId="0" fontId="29" fillId="6" borderId="23" xfId="7" applyFont="1" applyFill="1" applyBorder="1" applyAlignment="1">
      <alignment horizontal="center" vertical="center"/>
    </xf>
    <xf numFmtId="0" fontId="29" fillId="6" borderId="25" xfId="7" applyFont="1" applyFill="1" applyBorder="1" applyAlignment="1">
      <alignment horizontal="center" vertical="center"/>
    </xf>
    <xf numFmtId="0" fontId="28" fillId="5" borderId="17" xfId="7" applyFont="1" applyFill="1" applyBorder="1" applyAlignment="1">
      <alignment horizontal="center" vertical="center" wrapText="1"/>
    </xf>
    <xf numFmtId="0" fontId="28" fillId="5" borderId="16" xfId="7" applyFont="1" applyFill="1" applyBorder="1" applyAlignment="1">
      <alignment horizontal="center" vertical="center"/>
    </xf>
    <xf numFmtId="0" fontId="28" fillId="5" borderId="18" xfId="7" applyFont="1" applyFill="1" applyBorder="1" applyAlignment="1">
      <alignment horizontal="center" vertical="center"/>
    </xf>
    <xf numFmtId="0" fontId="28" fillId="5" borderId="24" xfId="7" applyFont="1" applyFill="1" applyBorder="1" applyAlignment="1">
      <alignment horizontal="center" vertical="center"/>
    </xf>
    <xf numFmtId="0" fontId="28" fillId="5" borderId="23" xfId="7" applyFont="1" applyFill="1" applyBorder="1" applyAlignment="1">
      <alignment horizontal="center" vertical="center"/>
    </xf>
    <xf numFmtId="0" fontId="28" fillId="5" borderId="25" xfId="7" applyFont="1" applyFill="1" applyBorder="1" applyAlignment="1">
      <alignment horizontal="center" vertical="center"/>
    </xf>
    <xf numFmtId="0" fontId="28" fillId="9" borderId="17" xfId="7" applyFont="1" applyFill="1" applyBorder="1" applyAlignment="1">
      <alignment horizontal="center" vertical="center" wrapText="1"/>
    </xf>
    <xf numFmtId="0" fontId="28" fillId="9" borderId="16" xfId="7" applyFont="1" applyFill="1" applyBorder="1" applyAlignment="1">
      <alignment horizontal="center" vertical="center"/>
    </xf>
    <xf numFmtId="0" fontId="28" fillId="9" borderId="18" xfId="7" applyFont="1" applyFill="1" applyBorder="1" applyAlignment="1">
      <alignment horizontal="center" vertical="center"/>
    </xf>
    <xf numFmtId="0" fontId="28" fillId="9" borderId="20" xfId="7" applyFont="1" applyFill="1" applyBorder="1" applyAlignment="1">
      <alignment horizontal="center" vertical="center"/>
    </xf>
    <xf numFmtId="0" fontId="28" fillId="9" borderId="0" xfId="7" applyFont="1" applyFill="1" applyAlignment="1">
      <alignment horizontal="center" vertical="center"/>
    </xf>
    <xf numFmtId="0" fontId="28" fillId="9" borderId="21" xfId="7" applyFont="1" applyFill="1" applyBorder="1" applyAlignment="1">
      <alignment horizontal="center" vertical="center"/>
    </xf>
    <xf numFmtId="0" fontId="28" fillId="9" borderId="24" xfId="7" applyFont="1" applyFill="1" applyBorder="1" applyAlignment="1">
      <alignment horizontal="center" vertical="center"/>
    </xf>
    <xf numFmtId="0" fontId="28" fillId="9" borderId="23" xfId="7" applyFont="1" applyFill="1" applyBorder="1" applyAlignment="1">
      <alignment horizontal="center" vertical="center"/>
    </xf>
    <xf numFmtId="0" fontId="28" fillId="9" borderId="25" xfId="7" applyFont="1" applyFill="1" applyBorder="1" applyAlignment="1">
      <alignment horizontal="center" vertical="center"/>
    </xf>
    <xf numFmtId="0" fontId="19" fillId="0" borderId="1" xfId="0" applyFont="1" applyBorder="1" applyAlignment="1">
      <alignment horizontal="center" vertical="top" wrapText="1"/>
    </xf>
    <xf numFmtId="165" fontId="18" fillId="8" borderId="1" xfId="6" applyFont="1" applyFill="1" applyBorder="1" applyAlignment="1">
      <alignment horizontal="center" vertical="center" wrapText="1"/>
    </xf>
    <xf numFmtId="0" fontId="16" fillId="0" borderId="1" xfId="5" applyFont="1" applyBorder="1" applyAlignment="1">
      <alignment horizontal="center" vertical="center" wrapText="1"/>
    </xf>
    <xf numFmtId="0" fontId="28" fillId="10" borderId="2" xfId="7" applyFont="1" applyFill="1" applyBorder="1" applyAlignment="1">
      <alignment horizontal="center" vertical="center" wrapText="1"/>
    </xf>
    <xf numFmtId="0" fontId="28" fillId="10" borderId="16" xfId="7" applyFont="1" applyFill="1" applyBorder="1" applyAlignment="1">
      <alignment horizontal="center" vertical="center"/>
    </xf>
    <xf numFmtId="0" fontId="28" fillId="10" borderId="18" xfId="7" applyFont="1" applyFill="1" applyBorder="1" applyAlignment="1">
      <alignment horizontal="center" vertical="center"/>
    </xf>
    <xf numFmtId="0" fontId="28" fillId="10" borderId="19" xfId="7" applyFont="1" applyFill="1" applyBorder="1" applyAlignment="1">
      <alignment horizontal="center" vertical="center"/>
    </xf>
    <xf numFmtId="0" fontId="28" fillId="10" borderId="22" xfId="7" applyFont="1" applyFill="1" applyBorder="1" applyAlignment="1">
      <alignment horizontal="center" vertical="center"/>
    </xf>
    <xf numFmtId="0" fontId="29" fillId="4" borderId="26" xfId="7" applyFont="1" applyFill="1" applyBorder="1" applyAlignment="1">
      <alignment horizontal="center" vertical="center" wrapText="1"/>
    </xf>
    <xf numFmtId="0" fontId="29" fillId="4" borderId="27" xfId="7" applyFont="1" applyFill="1" applyBorder="1" applyAlignment="1">
      <alignment horizontal="center" vertical="center"/>
    </xf>
    <xf numFmtId="0" fontId="29" fillId="4" borderId="28" xfId="7" applyFont="1" applyFill="1" applyBorder="1" applyAlignment="1">
      <alignment horizontal="center" vertical="center"/>
    </xf>
    <xf numFmtId="0" fontId="29" fillId="4" borderId="19" xfId="7" applyFont="1" applyFill="1" applyBorder="1" applyAlignment="1">
      <alignment horizontal="center" vertical="center"/>
    </xf>
    <xf numFmtId="0" fontId="29" fillId="4" borderId="0" xfId="7" applyFont="1" applyFill="1" applyAlignment="1">
      <alignment horizontal="center" vertical="center"/>
    </xf>
    <xf numFmtId="0" fontId="29" fillId="4" borderId="21" xfId="7" applyFont="1" applyFill="1" applyBorder="1" applyAlignment="1">
      <alignment horizontal="center" vertical="center"/>
    </xf>
    <xf numFmtId="0" fontId="29" fillId="4" borderId="22" xfId="7" applyFont="1" applyFill="1" applyBorder="1" applyAlignment="1">
      <alignment horizontal="center" vertical="center"/>
    </xf>
    <xf numFmtId="0" fontId="29" fillId="4" borderId="23" xfId="7" applyFont="1" applyFill="1" applyBorder="1" applyAlignment="1">
      <alignment horizontal="center" vertical="center"/>
    </xf>
    <xf numFmtId="0" fontId="29" fillId="4" borderId="25" xfId="7" applyFont="1" applyFill="1" applyBorder="1" applyAlignment="1">
      <alignment horizontal="center" vertical="center"/>
    </xf>
    <xf numFmtId="0" fontId="29" fillId="4" borderId="30" xfId="7" applyFont="1" applyFill="1" applyBorder="1" applyAlignment="1">
      <alignment horizontal="center" vertical="center"/>
    </xf>
    <xf numFmtId="0" fontId="29" fillId="4" borderId="31" xfId="7" applyFont="1" applyFill="1" applyBorder="1" applyAlignment="1">
      <alignment horizontal="center" vertical="center"/>
    </xf>
    <xf numFmtId="0" fontId="29" fillId="4" borderId="32" xfId="7" applyFont="1" applyFill="1" applyBorder="1" applyAlignment="1">
      <alignment horizontal="center" vertical="center"/>
    </xf>
    <xf numFmtId="0" fontId="29" fillId="4" borderId="29" xfId="7" applyFont="1" applyFill="1" applyBorder="1" applyAlignment="1">
      <alignment horizontal="center" vertical="center" wrapText="1"/>
    </xf>
    <xf numFmtId="0" fontId="29" fillId="4" borderId="20" xfId="7" applyFont="1" applyFill="1" applyBorder="1" applyAlignment="1">
      <alignment horizontal="center" vertical="center"/>
    </xf>
    <xf numFmtId="0" fontId="29" fillId="4" borderId="33" xfId="7" applyFont="1" applyFill="1" applyBorder="1" applyAlignment="1">
      <alignment horizontal="center" vertical="center"/>
    </xf>
    <xf numFmtId="0" fontId="17" fillId="0" borderId="1" xfId="5" applyFont="1" applyBorder="1" applyAlignment="1">
      <alignment horizontal="center" vertical="center"/>
    </xf>
    <xf numFmtId="0" fontId="17" fillId="0" borderId="15" xfId="5" applyFont="1" applyBorder="1" applyAlignment="1">
      <alignment horizontal="center" vertical="center" wrapText="1"/>
    </xf>
    <xf numFmtId="0" fontId="17" fillId="0" borderId="34" xfId="5" applyFont="1" applyBorder="1" applyAlignment="1">
      <alignment horizontal="center" vertical="center" wrapText="1"/>
    </xf>
    <xf numFmtId="0" fontId="15" fillId="0" borderId="1" xfId="5" applyFont="1" applyBorder="1" applyAlignment="1">
      <alignment horizontal="center" vertical="center" textRotation="90"/>
    </xf>
    <xf numFmtId="165" fontId="16" fillId="0" borderId="1" xfId="6" applyFont="1" applyBorder="1" applyAlignment="1">
      <alignment horizontal="center" vertical="center" wrapText="1"/>
    </xf>
    <xf numFmtId="0" fontId="9" fillId="0" borderId="15" xfId="5" applyFont="1" applyBorder="1" applyAlignment="1">
      <alignment horizontal="center" vertical="center" wrapText="1"/>
    </xf>
    <xf numFmtId="0" fontId="47" fillId="28" borderId="58" xfId="0" applyFont="1" applyFill="1" applyBorder="1" applyAlignment="1">
      <alignment horizontal="center" vertical="center"/>
    </xf>
    <xf numFmtId="0" fontId="47" fillId="28" borderId="59" xfId="0" applyFont="1" applyFill="1" applyBorder="1" applyAlignment="1">
      <alignment horizontal="center" vertical="center"/>
    </xf>
    <xf numFmtId="0" fontId="47" fillId="28" borderId="60" xfId="0" applyFont="1" applyFill="1" applyBorder="1" applyAlignment="1">
      <alignment horizontal="center" vertical="center"/>
    </xf>
    <xf numFmtId="0" fontId="47" fillId="28" borderId="70" xfId="0" applyFont="1" applyFill="1" applyBorder="1" applyAlignment="1">
      <alignment horizontal="center" vertical="center" wrapText="1"/>
    </xf>
    <xf numFmtId="0" fontId="47" fillId="28" borderId="71" xfId="0" applyFont="1" applyFill="1" applyBorder="1" applyAlignment="1">
      <alignment horizontal="center" vertical="center" wrapText="1"/>
    </xf>
    <xf numFmtId="0" fontId="47" fillId="28" borderId="72" xfId="0" applyFont="1" applyFill="1" applyBorder="1" applyAlignment="1">
      <alignment horizontal="center" vertical="center" wrapText="1"/>
    </xf>
    <xf numFmtId="0" fontId="47" fillId="28" borderId="73" xfId="0" applyFont="1" applyFill="1" applyBorder="1" applyAlignment="1">
      <alignment horizontal="center" vertical="center" wrapText="1"/>
    </xf>
    <xf numFmtId="0" fontId="47" fillId="28" borderId="63" xfId="0" applyFont="1" applyFill="1" applyBorder="1" applyAlignment="1">
      <alignment horizontal="center" vertical="center" wrapText="1"/>
    </xf>
    <xf numFmtId="0" fontId="47" fillId="28" borderId="62" xfId="0" applyFont="1" applyFill="1" applyBorder="1" applyAlignment="1">
      <alignment horizontal="center" vertical="center" wrapText="1"/>
    </xf>
    <xf numFmtId="0" fontId="47" fillId="28" borderId="73" xfId="0" applyFont="1" applyFill="1" applyBorder="1" applyAlignment="1">
      <alignment horizontal="center" vertical="center"/>
    </xf>
    <xf numFmtId="0" fontId="47" fillId="28" borderId="63" xfId="0" applyFont="1" applyFill="1" applyBorder="1" applyAlignment="1">
      <alignment horizontal="center" vertical="center"/>
    </xf>
    <xf numFmtId="0" fontId="47" fillId="28" borderId="64" xfId="0" applyFont="1" applyFill="1" applyBorder="1" applyAlignment="1">
      <alignment horizontal="center" vertical="center"/>
    </xf>
    <xf numFmtId="173" fontId="47" fillId="28" borderId="52" xfId="18" applyNumberFormat="1" applyFont="1" applyFill="1" applyBorder="1" applyAlignment="1">
      <alignment horizontal="center" vertical="center" wrapText="1"/>
    </xf>
    <xf numFmtId="173" fontId="47" fillId="28" borderId="72" xfId="18" applyNumberFormat="1" applyFont="1" applyFill="1" applyBorder="1" applyAlignment="1">
      <alignment horizontal="center" vertical="center" wrapText="1"/>
    </xf>
    <xf numFmtId="0" fontId="47" fillId="28" borderId="52" xfId="0" applyFont="1" applyFill="1" applyBorder="1" applyAlignment="1">
      <alignment horizontal="center" vertical="center" wrapText="1"/>
    </xf>
    <xf numFmtId="0" fontId="47" fillId="28" borderId="74" xfId="0" applyFont="1" applyFill="1" applyBorder="1" applyAlignment="1">
      <alignment horizontal="center" vertical="center"/>
    </xf>
    <xf numFmtId="0" fontId="47" fillId="28" borderId="75" xfId="0" applyFont="1" applyFill="1" applyBorder="1" applyAlignment="1">
      <alignment horizontal="center" vertical="center"/>
    </xf>
    <xf numFmtId="0" fontId="47" fillId="28" borderId="76" xfId="0" applyFont="1" applyFill="1" applyBorder="1" applyAlignment="1">
      <alignment horizontal="center" vertical="center"/>
    </xf>
    <xf numFmtId="0" fontId="47" fillId="28" borderId="74" xfId="0" applyFont="1" applyFill="1" applyBorder="1" applyAlignment="1">
      <alignment horizontal="center" vertical="center" wrapText="1"/>
    </xf>
    <xf numFmtId="0" fontId="47" fillId="28" borderId="75" xfId="0" applyFont="1" applyFill="1" applyBorder="1" applyAlignment="1">
      <alignment horizontal="center" vertical="center" wrapText="1"/>
    </xf>
    <xf numFmtId="0" fontId="47" fillId="28" borderId="77" xfId="0" applyFont="1" applyFill="1" applyBorder="1" applyAlignment="1">
      <alignment horizontal="center" vertical="center" wrapText="1"/>
    </xf>
    <xf numFmtId="170" fontId="66" fillId="20" borderId="52" xfId="0" applyNumberFormat="1" applyFont="1" applyFill="1" applyBorder="1" applyAlignment="1">
      <alignment horizontal="center" vertical="center" wrapText="1" readingOrder="1"/>
    </xf>
    <xf numFmtId="170" fontId="66" fillId="20" borderId="57" xfId="0" applyNumberFormat="1" applyFont="1" applyFill="1" applyBorder="1" applyAlignment="1">
      <alignment horizontal="center" vertical="center" wrapText="1" readingOrder="1"/>
    </xf>
    <xf numFmtId="0" fontId="62" fillId="19" borderId="52" xfId="0" applyFont="1" applyFill="1" applyBorder="1" applyAlignment="1">
      <alignment horizontal="center" vertical="center" wrapText="1" readingOrder="1"/>
    </xf>
    <xf numFmtId="0" fontId="62" fillId="19" borderId="53" xfId="0" applyFont="1" applyFill="1" applyBorder="1" applyAlignment="1">
      <alignment horizontal="center" vertical="center" wrapText="1" readingOrder="1"/>
    </xf>
    <xf numFmtId="0" fontId="66" fillId="20" borderId="52" xfId="0" applyFont="1" applyFill="1" applyBorder="1" applyAlignment="1">
      <alignment horizontal="left" wrapText="1" readingOrder="1"/>
    </xf>
    <xf numFmtId="0" fontId="66" fillId="20" borderId="57" xfId="0" applyFont="1" applyFill="1" applyBorder="1" applyAlignment="1">
      <alignment horizontal="left" wrapText="1" readingOrder="1"/>
    </xf>
    <xf numFmtId="170" fontId="66" fillId="22" borderId="52" xfId="0" applyNumberFormat="1" applyFont="1" applyFill="1" applyBorder="1" applyAlignment="1">
      <alignment horizontal="center" vertical="center" wrapText="1"/>
    </xf>
    <xf numFmtId="170" fontId="66" fillId="22" borderId="57" xfId="0" applyNumberFormat="1" applyFont="1" applyFill="1" applyBorder="1" applyAlignment="1">
      <alignment horizontal="center" vertical="center" wrapText="1"/>
    </xf>
    <xf numFmtId="170" fontId="66" fillId="23" borderId="52" xfId="0" applyNumberFormat="1" applyFont="1" applyFill="1" applyBorder="1" applyAlignment="1">
      <alignment horizontal="center" vertical="center" wrapText="1"/>
    </xf>
    <xf numFmtId="170" fontId="66" fillId="23" borderId="57" xfId="0" applyNumberFormat="1" applyFont="1" applyFill="1" applyBorder="1" applyAlignment="1">
      <alignment horizontal="center" vertical="center" wrapText="1"/>
    </xf>
    <xf numFmtId="0" fontId="35" fillId="13" borderId="1" xfId="0" applyFont="1" applyFill="1" applyBorder="1" applyAlignment="1">
      <alignment vertical="center" wrapText="1"/>
    </xf>
    <xf numFmtId="0" fontId="33" fillId="12" borderId="1" xfId="0" applyFont="1" applyFill="1" applyBorder="1" applyAlignment="1">
      <alignment horizontal="center" vertical="center" wrapText="1"/>
    </xf>
    <xf numFmtId="0" fontId="33" fillId="12" borderId="6" xfId="0" applyFont="1" applyFill="1" applyBorder="1" applyAlignment="1">
      <alignment horizontal="center" vertical="center" wrapText="1"/>
    </xf>
    <xf numFmtId="0" fontId="33" fillId="12" borderId="3" xfId="0" applyFont="1" applyFill="1" applyBorder="1" applyAlignment="1">
      <alignment horizontal="center" vertical="center" wrapText="1"/>
    </xf>
    <xf numFmtId="0" fontId="25" fillId="0" borderId="1" xfId="0" applyFont="1" applyBorder="1" applyAlignment="1">
      <alignment vertical="center" wrapText="1"/>
    </xf>
    <xf numFmtId="0" fontId="38" fillId="0" borderId="1" xfId="0" applyFont="1" applyBorder="1" applyAlignment="1">
      <alignment vertical="center" wrapText="1"/>
    </xf>
    <xf numFmtId="0" fontId="25" fillId="0" borderId="1" xfId="0" applyFont="1" applyBorder="1" applyAlignment="1">
      <alignment horizontal="center" vertical="center" wrapText="1"/>
    </xf>
    <xf numFmtId="0" fontId="25" fillId="0" borderId="6" xfId="0" applyFont="1" applyBorder="1" applyAlignment="1">
      <alignment horizontal="left" vertical="center" wrapText="1"/>
    </xf>
    <xf numFmtId="0" fontId="25" fillId="0" borderId="3" xfId="0" applyFont="1" applyBorder="1" applyAlignment="1">
      <alignment horizontal="center" vertical="center" wrapText="1"/>
    </xf>
    <xf numFmtId="0" fontId="25" fillId="0" borderId="5" xfId="0" applyFont="1" applyBorder="1" applyAlignment="1">
      <alignment horizontal="center" vertical="center" wrapText="1"/>
    </xf>
    <xf numFmtId="0" fontId="25" fillId="0" borderId="8" xfId="0" applyFont="1" applyBorder="1" applyAlignment="1">
      <alignment horizontal="left" vertical="center" wrapText="1"/>
    </xf>
    <xf numFmtId="0" fontId="2" fillId="0" borderId="0" xfId="0" applyFont="1" applyAlignment="1">
      <alignment horizontal="left" vertical="center" wrapText="1"/>
    </xf>
    <xf numFmtId="0" fontId="35" fillId="13" borderId="5" xfId="0" applyFont="1" applyFill="1" applyBorder="1" applyAlignment="1">
      <alignment vertical="center" wrapText="1"/>
    </xf>
    <xf numFmtId="0" fontId="23" fillId="0" borderId="44" xfId="0" applyFont="1" applyBorder="1" applyAlignment="1">
      <alignment horizontal="center"/>
    </xf>
    <xf numFmtId="0" fontId="8" fillId="0" borderId="1" xfId="0" applyFont="1" applyBorder="1" applyAlignment="1">
      <alignment horizontal="center" vertical="center" wrapText="1"/>
    </xf>
    <xf numFmtId="0" fontId="23" fillId="0" borderId="0" xfId="0" applyFont="1" applyAlignment="1">
      <alignment horizontal="left" vertical="top" wrapText="1"/>
    </xf>
    <xf numFmtId="0" fontId="23" fillId="0" borderId="0" xfId="0" applyFont="1" applyAlignment="1">
      <alignment horizontal="left" wrapText="1"/>
    </xf>
    <xf numFmtId="0" fontId="2" fillId="0" borderId="0" xfId="0" applyFont="1" applyAlignment="1">
      <alignment horizontal="left" wrapText="1"/>
    </xf>
    <xf numFmtId="0" fontId="23" fillId="0" borderId="44" xfId="0" applyFont="1" applyBorder="1" applyAlignment="1">
      <alignment horizontal="center" wrapText="1"/>
    </xf>
    <xf numFmtId="0" fontId="2" fillId="0" borderId="0" xfId="0" applyFont="1" applyAlignment="1">
      <alignment horizontal="left" vertical="top" wrapText="1"/>
    </xf>
    <xf numFmtId="0" fontId="25" fillId="0" borderId="0" xfId="0" applyFont="1" applyAlignment="1">
      <alignment horizontal="left" vertical="top" wrapText="1"/>
    </xf>
    <xf numFmtId="0" fontId="36" fillId="0" borderId="1" xfId="0" applyFont="1" applyBorder="1" applyAlignment="1">
      <alignment horizontal="center" vertical="center" wrapText="1"/>
    </xf>
    <xf numFmtId="0" fontId="25" fillId="0" borderId="0" xfId="0" applyFont="1" applyAlignment="1">
      <alignment horizontal="left" wrapText="1"/>
    </xf>
    <xf numFmtId="0" fontId="45" fillId="0" borderId="1" xfId="0" applyFont="1" applyBorder="1" applyAlignment="1">
      <alignment horizontal="right" vertical="center" wrapText="1"/>
    </xf>
    <xf numFmtId="0" fontId="46" fillId="0" borderId="1" xfId="0" applyFont="1" applyBorder="1" applyAlignment="1">
      <alignment horizontal="center" vertical="center" wrapText="1"/>
    </xf>
    <xf numFmtId="0" fontId="44" fillId="12" borderId="1" xfId="0" applyFont="1" applyFill="1" applyBorder="1" applyAlignment="1">
      <alignment horizontal="center" vertical="center" wrapText="1"/>
    </xf>
    <xf numFmtId="0" fontId="25" fillId="0" borderId="1" xfId="0" applyFont="1" applyBorder="1" applyAlignment="1">
      <alignment horizontal="left" vertical="center" wrapText="1"/>
    </xf>
    <xf numFmtId="0" fontId="8" fillId="0" borderId="1" xfId="0" quotePrefix="1" applyFont="1" applyBorder="1" applyAlignment="1">
      <alignment horizontal="left" vertical="center" wrapText="1"/>
    </xf>
    <xf numFmtId="0" fontId="49" fillId="0" borderId="0" xfId="0" applyFont="1" applyAlignment="1">
      <alignment horizontal="center" vertical="center" wrapText="1"/>
    </xf>
    <xf numFmtId="0" fontId="47" fillId="12" borderId="1" xfId="0" applyFont="1" applyFill="1" applyBorder="1" applyAlignment="1">
      <alignment horizontal="center" vertical="center" wrapText="1"/>
    </xf>
    <xf numFmtId="0" fontId="47" fillId="12" borderId="45" xfId="0" applyFont="1" applyFill="1" applyBorder="1" applyAlignment="1">
      <alignment horizontal="center" vertical="center" wrapText="1"/>
    </xf>
    <xf numFmtId="0" fontId="47" fillId="12" borderId="46" xfId="0" applyFont="1" applyFill="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38" fillId="0" borderId="0" xfId="0" applyFont="1" applyAlignment="1">
      <alignment horizontal="left" vertical="top" wrapText="1"/>
    </xf>
    <xf numFmtId="0" fontId="27" fillId="0" borderId="1" xfId="0" applyFont="1" applyBorder="1" applyAlignment="1">
      <alignment horizontal="center" vertical="center" wrapText="1"/>
    </xf>
    <xf numFmtId="0" fontId="38" fillId="0" borderId="1" xfId="0" applyFont="1" applyBorder="1" applyAlignment="1">
      <alignment horizontal="center" vertical="center" wrapText="1"/>
    </xf>
    <xf numFmtId="0" fontId="34" fillId="12" borderId="1" xfId="0" applyFont="1" applyFill="1" applyBorder="1" applyAlignment="1">
      <alignment horizontal="center" vertical="center" wrapText="1"/>
    </xf>
    <xf numFmtId="0" fontId="45" fillId="0" borderId="1" xfId="0" applyFont="1" applyBorder="1" applyAlignment="1">
      <alignment horizontal="center" vertical="center" wrapText="1"/>
    </xf>
    <xf numFmtId="9" fontId="45" fillId="0" borderId="1" xfId="0" applyNumberFormat="1" applyFont="1" applyBorder="1" applyAlignment="1">
      <alignment horizontal="center" vertical="center" wrapText="1"/>
    </xf>
    <xf numFmtId="9" fontId="46" fillId="0" borderId="1" xfId="0" applyNumberFormat="1" applyFont="1" applyBorder="1" applyAlignment="1">
      <alignment horizontal="center" vertical="center" wrapText="1"/>
    </xf>
    <xf numFmtId="0" fontId="44" fillId="12" borderId="3" xfId="0" applyFont="1" applyFill="1" applyBorder="1" applyAlignment="1">
      <alignment horizontal="center" vertical="center" wrapText="1"/>
    </xf>
    <xf numFmtId="0" fontId="44" fillId="12" borderId="5" xfId="0" applyFont="1" applyFill="1" applyBorder="1" applyAlignment="1">
      <alignment horizontal="center" vertical="center" wrapText="1"/>
    </xf>
  </cellXfs>
  <cellStyles count="19">
    <cellStyle name="Comma" xfId="18" builtinId="3"/>
    <cellStyle name="Comma [0]" xfId="2" builtinId="6"/>
    <cellStyle name="Comma [0] 2" xfId="8"/>
    <cellStyle name="Comma 2" xfId="11"/>
    <cellStyle name="Comma 3" xfId="12"/>
    <cellStyle name="Comma 4" xfId="6"/>
    <cellStyle name="Comma 4 2" xfId="10"/>
    <cellStyle name="Comma 5" xfId="13"/>
    <cellStyle name="Comma 6" xfId="15"/>
    <cellStyle name="Comma 7" xfId="16"/>
    <cellStyle name="Comma 8" xfId="17"/>
    <cellStyle name="Currency [0]" xfId="4" builtinId="7"/>
    <cellStyle name="Currency [0] 2" xfId="9"/>
    <cellStyle name="Currency [0] 3" xfId="14"/>
    <cellStyle name="Hyperlink" xfId="3" builtinId="8"/>
    <cellStyle name="Normal" xfId="0" builtinId="0"/>
    <cellStyle name="Normal 7" xfId="5"/>
    <cellStyle name="Normal 7 2 2" xfId="7"/>
    <cellStyle name="Percent" xfId="1" builtinId="5"/>
  </cellStyles>
  <dxfs count="46">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70C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theme="1"/>
        </patternFill>
      </fill>
    </dxf>
    <dxf>
      <fill>
        <patternFill>
          <bgColor theme="1"/>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70C0"/>
        </patternFill>
      </fill>
    </dxf>
    <dxf>
      <fill>
        <patternFill>
          <bgColor theme="1"/>
        </patternFill>
      </fill>
    </dxf>
    <dxf>
      <fill>
        <patternFill>
          <bgColor theme="1"/>
        </patternFill>
      </fill>
    </dxf>
    <dxf>
      <fill>
        <patternFill>
          <bgColor theme="1"/>
        </patternFill>
      </fill>
    </dxf>
    <dxf>
      <fill>
        <patternFill>
          <bgColor theme="1"/>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theme="1"/>
        </patternFill>
      </fill>
    </dxf>
    <dxf>
      <fill>
        <patternFill>
          <bgColor theme="1"/>
        </patternFill>
      </fill>
    </dxf>
    <dxf>
      <fill>
        <patternFill>
          <bgColor theme="1"/>
        </patternFill>
      </fill>
    </dxf>
    <dxf>
      <fill>
        <patternFill>
          <bgColor theme="1"/>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70C0"/>
        </patternFill>
      </fill>
    </dxf>
    <dxf>
      <fill>
        <patternFill>
          <bgColor theme="1"/>
        </patternFill>
      </fill>
    </dxf>
    <dxf>
      <fill>
        <patternFill>
          <bgColor theme="1"/>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theme="1"/>
        </patternFill>
      </fill>
    </dxf>
    <dxf>
      <fill>
        <patternFill>
          <bgColor theme="1"/>
        </patternFill>
      </fill>
    </dxf>
    <dxf>
      <font>
        <color rgb="FF006100"/>
      </font>
      <fill>
        <patternFill>
          <bgColor rgb="FFC6EFCE"/>
        </patternFill>
      </fill>
    </dxf>
  </dxfs>
  <tableStyles count="0" defaultTableStyle="TableStyleMedium2" defaultPivotStyle="PivotStyleLight16"/>
  <colors>
    <mruColors>
      <color rgb="FF1896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3" Type="http://schemas.openxmlformats.org/officeDocument/2006/relationships/image" Target="../media/image4.png"/><Relationship Id="rId21" Type="http://schemas.openxmlformats.org/officeDocument/2006/relationships/image" Target="../media/image22.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 Type="http://schemas.openxmlformats.org/officeDocument/2006/relationships/image" Target="../media/image3.png"/><Relationship Id="rId16" Type="http://schemas.openxmlformats.org/officeDocument/2006/relationships/image" Target="../media/image17.png"/><Relationship Id="rId20" Type="http://schemas.openxmlformats.org/officeDocument/2006/relationships/image" Target="../media/image21.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19" Type="http://schemas.openxmlformats.org/officeDocument/2006/relationships/image" Target="../media/image20.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 Id="rId22" Type="http://schemas.openxmlformats.org/officeDocument/2006/relationships/image" Target="../media/image23.png"/></Relationships>
</file>

<file path=xl/drawings/_rels/drawing4.xml.rels><?xml version="1.0" encoding="UTF-8" standalone="yes"?>
<Relationships xmlns="http://schemas.openxmlformats.org/package/2006/relationships"><Relationship Id="rId8" Type="http://schemas.openxmlformats.org/officeDocument/2006/relationships/image" Target="../media/image31.png"/><Relationship Id="rId3" Type="http://schemas.openxmlformats.org/officeDocument/2006/relationships/image" Target="../media/image26.png"/><Relationship Id="rId7" Type="http://schemas.openxmlformats.org/officeDocument/2006/relationships/image" Target="../media/image30.png"/><Relationship Id="rId2" Type="http://schemas.openxmlformats.org/officeDocument/2006/relationships/image" Target="../media/image25.png"/><Relationship Id="rId1" Type="http://schemas.openxmlformats.org/officeDocument/2006/relationships/image" Target="../media/image24.png"/><Relationship Id="rId6" Type="http://schemas.openxmlformats.org/officeDocument/2006/relationships/image" Target="../media/image29.png"/><Relationship Id="rId5" Type="http://schemas.openxmlformats.org/officeDocument/2006/relationships/image" Target="../media/image28.png"/><Relationship Id="rId4"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editAs="oneCell">
    <xdr:from>
      <xdr:col>1</xdr:col>
      <xdr:colOff>552450</xdr:colOff>
      <xdr:row>14</xdr:row>
      <xdr:rowOff>76200</xdr:rowOff>
    </xdr:from>
    <xdr:to>
      <xdr:col>6</xdr:col>
      <xdr:colOff>287154</xdr:colOff>
      <xdr:row>22</xdr:row>
      <xdr:rowOff>123825</xdr:rowOff>
    </xdr:to>
    <xdr:pic>
      <xdr:nvPicPr>
        <xdr:cNvPr id="3" name="Picture 2">
          <a:extLst>
            <a:ext uri="{FF2B5EF4-FFF2-40B4-BE49-F238E27FC236}">
              <a16:creationId xmlns:a16="http://schemas.microsoft.com/office/drawing/2014/main" xmlns="" id="{4A705536-CD3B-4DB6-A5E8-AFEB37636BC7}"/>
            </a:ext>
          </a:extLst>
        </xdr:cNvPr>
        <xdr:cNvPicPr/>
      </xdr:nvPicPr>
      <xdr:blipFill>
        <a:blip xmlns:r="http://schemas.openxmlformats.org/officeDocument/2006/relationships" r:embed="rId1"/>
        <a:srcRect/>
        <a:stretch>
          <a:fillRect/>
        </a:stretch>
      </xdr:blipFill>
      <xdr:spPr>
        <a:xfrm>
          <a:off x="1143000" y="3095625"/>
          <a:ext cx="3077936" cy="1619250"/>
        </a:xfrm>
        <a:prstGeom prst="rect">
          <a:avLst/>
        </a:prstGeom>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68217</xdr:colOff>
      <xdr:row>14</xdr:row>
      <xdr:rowOff>98590</xdr:rowOff>
    </xdr:from>
    <xdr:to>
      <xdr:col>14</xdr:col>
      <xdr:colOff>567114</xdr:colOff>
      <xdr:row>16</xdr:row>
      <xdr:rowOff>96464</xdr:rowOff>
    </xdr:to>
    <xdr:sp macro="" textlink="">
      <xdr:nvSpPr>
        <xdr:cNvPr id="73" name="Oval 135">
          <a:extLst>
            <a:ext uri="{FF2B5EF4-FFF2-40B4-BE49-F238E27FC236}">
              <a16:creationId xmlns:a16="http://schemas.microsoft.com/office/drawing/2014/main" xmlns="" id="{41CD5E2B-5A15-4E2F-58E8-3EEC4950587E}"/>
            </a:ext>
          </a:extLst>
        </xdr:cNvPr>
        <xdr:cNvSpPr/>
      </xdr:nvSpPr>
      <xdr:spPr>
        <a:xfrm>
          <a:off x="9010511" y="3169002"/>
          <a:ext cx="498897" cy="446109"/>
        </a:xfrm>
        <a:prstGeom prst="roundRect">
          <a:avLst/>
        </a:prstGeom>
        <a:solidFill>
          <a:srgbClr val="BDE1E5"/>
        </a:solidFill>
        <a:ln>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r>
            <a:rPr lang="en-US" sz="1000">
              <a:solidFill>
                <a:srgbClr val="002060"/>
              </a:solidFill>
              <a:latin typeface="+mj-lt"/>
            </a:rPr>
            <a:t>4</a:t>
          </a:r>
          <a:endParaRPr lang="id-ID" sz="1000">
            <a:solidFill>
              <a:srgbClr val="002060"/>
            </a:solidFill>
            <a:latin typeface="+mj-lt"/>
          </a:endParaRPr>
        </a:p>
      </xdr:txBody>
    </xdr:sp>
    <xdr:clientData/>
  </xdr:twoCellAnchor>
  <xdr:twoCellAnchor>
    <xdr:from>
      <xdr:col>15</xdr:col>
      <xdr:colOff>45806</xdr:colOff>
      <xdr:row>12</xdr:row>
      <xdr:rowOff>36871</xdr:rowOff>
    </xdr:from>
    <xdr:to>
      <xdr:col>15</xdr:col>
      <xdr:colOff>544705</xdr:colOff>
      <xdr:row>14</xdr:row>
      <xdr:rowOff>52847</xdr:rowOff>
    </xdr:to>
    <xdr:sp macro="" textlink="">
      <xdr:nvSpPr>
        <xdr:cNvPr id="74" name="Oval 139">
          <a:extLst>
            <a:ext uri="{FF2B5EF4-FFF2-40B4-BE49-F238E27FC236}">
              <a16:creationId xmlns:a16="http://schemas.microsoft.com/office/drawing/2014/main" xmlns="" id="{13FBD89A-F42D-99D0-2CB3-F0B7B19EB3AB}"/>
            </a:ext>
          </a:extLst>
        </xdr:cNvPr>
        <xdr:cNvSpPr/>
      </xdr:nvSpPr>
      <xdr:spPr>
        <a:xfrm>
          <a:off x="9570806" y="2659047"/>
          <a:ext cx="498899" cy="464212"/>
        </a:xfrm>
        <a:prstGeom prst="roundRect">
          <a:avLst/>
        </a:prstGeom>
        <a:solidFill>
          <a:srgbClr val="BDE1E5"/>
        </a:solidFill>
        <a:ln>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r>
            <a:rPr lang="en-US" sz="1000">
              <a:solidFill>
                <a:srgbClr val="002060"/>
              </a:solidFill>
              <a:latin typeface="+mj-lt"/>
            </a:rPr>
            <a:t>10</a:t>
          </a:r>
          <a:endParaRPr lang="id-ID" sz="1000">
            <a:solidFill>
              <a:srgbClr val="002060"/>
            </a:solidFill>
            <a:latin typeface="+mj-lt"/>
          </a:endParaRPr>
        </a:p>
      </xdr:txBody>
    </xdr:sp>
    <xdr:clientData/>
  </xdr:twoCellAnchor>
  <xdr:twoCellAnchor>
    <xdr:from>
      <xdr:col>14</xdr:col>
      <xdr:colOff>68217</xdr:colOff>
      <xdr:row>12</xdr:row>
      <xdr:rowOff>37047</xdr:rowOff>
    </xdr:from>
    <xdr:to>
      <xdr:col>14</xdr:col>
      <xdr:colOff>567114</xdr:colOff>
      <xdr:row>14</xdr:row>
      <xdr:rowOff>34920</xdr:rowOff>
    </xdr:to>
    <xdr:sp macro="" textlink="">
      <xdr:nvSpPr>
        <xdr:cNvPr id="75" name="Oval 141">
          <a:extLst>
            <a:ext uri="{FF2B5EF4-FFF2-40B4-BE49-F238E27FC236}">
              <a16:creationId xmlns:a16="http://schemas.microsoft.com/office/drawing/2014/main" xmlns="" id="{BB44A6AF-F8B5-2E3E-A51E-A1E1EBE55C8E}"/>
            </a:ext>
          </a:extLst>
        </xdr:cNvPr>
        <xdr:cNvSpPr/>
      </xdr:nvSpPr>
      <xdr:spPr>
        <a:xfrm>
          <a:off x="9010511" y="2659223"/>
          <a:ext cx="498897" cy="446109"/>
        </a:xfrm>
        <a:prstGeom prst="roundRect">
          <a:avLst/>
        </a:prstGeom>
        <a:solidFill>
          <a:srgbClr val="BDE1E5"/>
        </a:solidFill>
        <a:ln>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r>
            <a:rPr lang="en-US" sz="1000">
              <a:solidFill>
                <a:srgbClr val="002060"/>
              </a:solidFill>
              <a:latin typeface="+mj-lt"/>
            </a:rPr>
            <a:t>1</a:t>
          </a:r>
          <a:endParaRPr lang="id-ID" sz="1000">
            <a:solidFill>
              <a:srgbClr val="002060"/>
            </a:solidFill>
            <a:latin typeface="+mj-lt"/>
          </a:endParaRPr>
        </a:p>
      </xdr:txBody>
    </xdr:sp>
    <xdr:clientData/>
  </xdr:twoCellAnchor>
  <xdr:twoCellAnchor>
    <xdr:from>
      <xdr:col>14</xdr:col>
      <xdr:colOff>57010</xdr:colOff>
      <xdr:row>9</xdr:row>
      <xdr:rowOff>179293</xdr:rowOff>
    </xdr:from>
    <xdr:to>
      <xdr:col>14</xdr:col>
      <xdr:colOff>555907</xdr:colOff>
      <xdr:row>11</xdr:row>
      <xdr:rowOff>177167</xdr:rowOff>
    </xdr:to>
    <xdr:sp macro="" textlink="">
      <xdr:nvSpPr>
        <xdr:cNvPr id="76" name="Oval 141">
          <a:extLst>
            <a:ext uri="{FF2B5EF4-FFF2-40B4-BE49-F238E27FC236}">
              <a16:creationId xmlns:a16="http://schemas.microsoft.com/office/drawing/2014/main" xmlns="" id="{B2FEF5D6-6F2A-26E2-BFD2-76E489179F95}"/>
            </a:ext>
          </a:extLst>
        </xdr:cNvPr>
        <xdr:cNvSpPr/>
      </xdr:nvSpPr>
      <xdr:spPr>
        <a:xfrm>
          <a:off x="8999304" y="2129117"/>
          <a:ext cx="498897" cy="446109"/>
        </a:xfrm>
        <a:prstGeom prst="roundRect">
          <a:avLst/>
        </a:prstGeom>
        <a:solidFill>
          <a:srgbClr val="BDE1E5"/>
        </a:solidFill>
        <a:ln>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r>
            <a:rPr lang="en-US" sz="1000">
              <a:solidFill>
                <a:srgbClr val="002060"/>
              </a:solidFill>
              <a:latin typeface="+mj-lt"/>
            </a:rPr>
            <a:t>8</a:t>
          </a:r>
          <a:endParaRPr lang="id-ID" sz="1000">
            <a:solidFill>
              <a:srgbClr val="002060"/>
            </a:solidFill>
            <a:latin typeface="+mj-lt"/>
          </a:endParaRPr>
        </a:p>
      </xdr:txBody>
    </xdr:sp>
    <xdr:clientData/>
  </xdr:twoCellAnchor>
  <xdr:twoCellAnchor>
    <xdr:from>
      <xdr:col>19</xdr:col>
      <xdr:colOff>60782</xdr:colOff>
      <xdr:row>9</xdr:row>
      <xdr:rowOff>134470</xdr:rowOff>
    </xdr:from>
    <xdr:to>
      <xdr:col>19</xdr:col>
      <xdr:colOff>559679</xdr:colOff>
      <xdr:row>11</xdr:row>
      <xdr:rowOff>132344</xdr:rowOff>
    </xdr:to>
    <xdr:sp macro="" textlink="">
      <xdr:nvSpPr>
        <xdr:cNvPr id="77" name="Oval 141">
          <a:extLst>
            <a:ext uri="{FF2B5EF4-FFF2-40B4-BE49-F238E27FC236}">
              <a16:creationId xmlns:a16="http://schemas.microsoft.com/office/drawing/2014/main" xmlns="" id="{732DAC24-AA48-2A1E-C8E8-1F578CE6644C}"/>
            </a:ext>
          </a:extLst>
        </xdr:cNvPr>
        <xdr:cNvSpPr/>
      </xdr:nvSpPr>
      <xdr:spPr>
        <a:xfrm>
          <a:off x="11916606" y="2084294"/>
          <a:ext cx="498897" cy="446109"/>
        </a:xfrm>
        <a:prstGeom prst="roundRect">
          <a:avLst/>
        </a:prstGeom>
        <a:solidFill>
          <a:srgbClr val="BDE1E5"/>
        </a:solidFill>
        <a:ln>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r>
            <a:rPr lang="en-US" sz="1000">
              <a:solidFill>
                <a:srgbClr val="002060"/>
              </a:solidFill>
              <a:latin typeface="+mj-lt"/>
            </a:rPr>
            <a:t>5</a:t>
          </a:r>
          <a:endParaRPr lang="id-ID" sz="1000">
            <a:solidFill>
              <a:srgbClr val="002060"/>
            </a:solidFill>
            <a:latin typeface="+mj-lt"/>
          </a:endParaRPr>
        </a:p>
      </xdr:txBody>
    </xdr:sp>
    <xdr:clientData/>
  </xdr:twoCellAnchor>
  <xdr:twoCellAnchor>
    <xdr:from>
      <xdr:col>24</xdr:col>
      <xdr:colOff>79071</xdr:colOff>
      <xdr:row>9</xdr:row>
      <xdr:rowOff>145676</xdr:rowOff>
    </xdr:from>
    <xdr:to>
      <xdr:col>24</xdr:col>
      <xdr:colOff>598512</xdr:colOff>
      <xdr:row>11</xdr:row>
      <xdr:rowOff>143550</xdr:rowOff>
    </xdr:to>
    <xdr:sp macro="" textlink="">
      <xdr:nvSpPr>
        <xdr:cNvPr id="78" name="Oval 141">
          <a:extLst>
            <a:ext uri="{FF2B5EF4-FFF2-40B4-BE49-F238E27FC236}">
              <a16:creationId xmlns:a16="http://schemas.microsoft.com/office/drawing/2014/main" xmlns="" id="{860FF180-8DC2-B275-88AF-DB3E6E1BE772}"/>
            </a:ext>
          </a:extLst>
        </xdr:cNvPr>
        <xdr:cNvSpPr/>
      </xdr:nvSpPr>
      <xdr:spPr>
        <a:xfrm>
          <a:off x="15382571" y="2082426"/>
          <a:ext cx="519441" cy="442374"/>
        </a:xfrm>
        <a:prstGeom prst="roundRect">
          <a:avLst/>
        </a:prstGeom>
        <a:solidFill>
          <a:srgbClr val="BDE1E5"/>
        </a:solidFill>
        <a:ln>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r>
            <a:rPr lang="en-US" sz="1000">
              <a:solidFill>
                <a:srgbClr val="002060"/>
              </a:solidFill>
              <a:latin typeface="+mj-lt"/>
            </a:rPr>
            <a:t>3</a:t>
          </a:r>
          <a:endParaRPr lang="id-ID" sz="1000">
            <a:solidFill>
              <a:srgbClr val="002060"/>
            </a:solidFill>
            <a:latin typeface="+mj-lt"/>
          </a:endParaRPr>
        </a:p>
      </xdr:txBody>
    </xdr:sp>
    <xdr:clientData/>
  </xdr:twoCellAnchor>
  <xdr:twoCellAnchor>
    <xdr:from>
      <xdr:col>24</xdr:col>
      <xdr:colOff>65998</xdr:colOff>
      <xdr:row>14</xdr:row>
      <xdr:rowOff>135661</xdr:rowOff>
    </xdr:from>
    <xdr:to>
      <xdr:col>24</xdr:col>
      <xdr:colOff>564895</xdr:colOff>
      <xdr:row>16</xdr:row>
      <xdr:rowOff>133535</xdr:rowOff>
    </xdr:to>
    <xdr:sp macro="" textlink="">
      <xdr:nvSpPr>
        <xdr:cNvPr id="79" name="Oval 141">
          <a:extLst>
            <a:ext uri="{FF2B5EF4-FFF2-40B4-BE49-F238E27FC236}">
              <a16:creationId xmlns:a16="http://schemas.microsoft.com/office/drawing/2014/main" xmlns="" id="{C6334945-878E-D43A-1E26-80CCBAEFC52A}"/>
            </a:ext>
          </a:extLst>
        </xdr:cNvPr>
        <xdr:cNvSpPr/>
      </xdr:nvSpPr>
      <xdr:spPr>
        <a:xfrm>
          <a:off x="14835351" y="3206073"/>
          <a:ext cx="498897" cy="446109"/>
        </a:xfrm>
        <a:prstGeom prst="roundRect">
          <a:avLst/>
        </a:prstGeom>
        <a:solidFill>
          <a:srgbClr val="BDE1E5"/>
        </a:solidFill>
        <a:ln>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r>
            <a:rPr lang="en-US" sz="1000">
              <a:solidFill>
                <a:srgbClr val="002060"/>
              </a:solidFill>
              <a:latin typeface="+mj-lt"/>
            </a:rPr>
            <a:t>6</a:t>
          </a:r>
          <a:endParaRPr lang="id-ID" sz="1000">
            <a:solidFill>
              <a:srgbClr val="002060"/>
            </a:solidFill>
            <a:latin typeface="+mj-lt"/>
          </a:endParaRPr>
        </a:p>
      </xdr:txBody>
    </xdr:sp>
    <xdr:clientData/>
  </xdr:twoCellAnchor>
  <xdr:twoCellAnchor>
    <xdr:from>
      <xdr:col>19</xdr:col>
      <xdr:colOff>67107</xdr:colOff>
      <xdr:row>12</xdr:row>
      <xdr:rowOff>53767</xdr:rowOff>
    </xdr:from>
    <xdr:to>
      <xdr:col>19</xdr:col>
      <xdr:colOff>566004</xdr:colOff>
      <xdr:row>14</xdr:row>
      <xdr:rowOff>51640</xdr:rowOff>
    </xdr:to>
    <xdr:sp macro="" textlink="">
      <xdr:nvSpPr>
        <xdr:cNvPr id="81" name="Oval 141">
          <a:extLst>
            <a:ext uri="{FF2B5EF4-FFF2-40B4-BE49-F238E27FC236}">
              <a16:creationId xmlns:a16="http://schemas.microsoft.com/office/drawing/2014/main" xmlns="" id="{DF03FD98-924C-9F24-C2AF-7108CBC6B6EC}"/>
            </a:ext>
          </a:extLst>
        </xdr:cNvPr>
        <xdr:cNvSpPr/>
      </xdr:nvSpPr>
      <xdr:spPr>
        <a:xfrm>
          <a:off x="11922931" y="2675943"/>
          <a:ext cx="498897" cy="446109"/>
        </a:xfrm>
        <a:prstGeom prst="roundRect">
          <a:avLst/>
        </a:prstGeom>
        <a:solidFill>
          <a:srgbClr val="BDE1E5"/>
        </a:solidFill>
        <a:ln>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r>
            <a:rPr lang="en-US" sz="1000">
              <a:solidFill>
                <a:srgbClr val="002060"/>
              </a:solidFill>
              <a:latin typeface="+mj-lt"/>
            </a:rPr>
            <a:t>2</a:t>
          </a:r>
          <a:endParaRPr lang="id-ID" sz="1000">
            <a:solidFill>
              <a:srgbClr val="002060"/>
            </a:solidFill>
            <a:latin typeface="+mj-lt"/>
          </a:endParaRPr>
        </a:p>
      </xdr:txBody>
    </xdr:sp>
    <xdr:clientData/>
  </xdr:twoCellAnchor>
  <xdr:twoCellAnchor>
    <xdr:from>
      <xdr:col>18</xdr:col>
      <xdr:colOff>31424</xdr:colOff>
      <xdr:row>14</xdr:row>
      <xdr:rowOff>135661</xdr:rowOff>
    </xdr:from>
    <xdr:to>
      <xdr:col>18</xdr:col>
      <xdr:colOff>530321</xdr:colOff>
      <xdr:row>16</xdr:row>
      <xdr:rowOff>133535</xdr:rowOff>
    </xdr:to>
    <xdr:sp macro="" textlink="">
      <xdr:nvSpPr>
        <xdr:cNvPr id="82" name="Oval 141">
          <a:extLst>
            <a:ext uri="{FF2B5EF4-FFF2-40B4-BE49-F238E27FC236}">
              <a16:creationId xmlns:a16="http://schemas.microsoft.com/office/drawing/2014/main" xmlns="" id="{37E58F3A-1647-8371-2B2B-38E0273D9C45}"/>
            </a:ext>
          </a:extLst>
        </xdr:cNvPr>
        <xdr:cNvSpPr/>
      </xdr:nvSpPr>
      <xdr:spPr>
        <a:xfrm>
          <a:off x="11304542" y="3206073"/>
          <a:ext cx="498897" cy="446109"/>
        </a:xfrm>
        <a:prstGeom prst="roundRect">
          <a:avLst/>
        </a:prstGeom>
        <a:solidFill>
          <a:srgbClr val="BDE1E5"/>
        </a:solidFill>
        <a:ln>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r>
            <a:rPr lang="en-US" sz="1000">
              <a:solidFill>
                <a:srgbClr val="002060"/>
              </a:solidFill>
              <a:latin typeface="+mj-lt"/>
            </a:rPr>
            <a:t>16</a:t>
          </a:r>
          <a:endParaRPr lang="id-ID" sz="1000">
            <a:solidFill>
              <a:srgbClr val="002060"/>
            </a:solidFill>
            <a:latin typeface="+mj-lt"/>
          </a:endParaRPr>
        </a:p>
      </xdr:txBody>
    </xdr:sp>
    <xdr:clientData/>
  </xdr:twoCellAnchor>
  <xdr:twoCellAnchor>
    <xdr:from>
      <xdr:col>18</xdr:col>
      <xdr:colOff>13298</xdr:colOff>
      <xdr:row>12</xdr:row>
      <xdr:rowOff>64974</xdr:rowOff>
    </xdr:from>
    <xdr:to>
      <xdr:col>18</xdr:col>
      <xdr:colOff>512195</xdr:colOff>
      <xdr:row>14</xdr:row>
      <xdr:rowOff>62847</xdr:rowOff>
    </xdr:to>
    <xdr:sp macro="" textlink="">
      <xdr:nvSpPr>
        <xdr:cNvPr id="83" name="Oval 141">
          <a:extLst>
            <a:ext uri="{FF2B5EF4-FFF2-40B4-BE49-F238E27FC236}">
              <a16:creationId xmlns:a16="http://schemas.microsoft.com/office/drawing/2014/main" xmlns="" id="{856D202A-3016-180B-790B-592B434E416E}"/>
            </a:ext>
          </a:extLst>
        </xdr:cNvPr>
        <xdr:cNvSpPr/>
      </xdr:nvSpPr>
      <xdr:spPr>
        <a:xfrm>
          <a:off x="11286416" y="2687150"/>
          <a:ext cx="498897" cy="446109"/>
        </a:xfrm>
        <a:prstGeom prst="roundRect">
          <a:avLst/>
        </a:prstGeom>
        <a:solidFill>
          <a:srgbClr val="BDE1E5"/>
        </a:solidFill>
        <a:ln>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r>
            <a:rPr lang="en-US" sz="1000">
              <a:solidFill>
                <a:srgbClr val="002060"/>
              </a:solidFill>
              <a:latin typeface="+mj-lt"/>
            </a:rPr>
            <a:t>14</a:t>
          </a:r>
          <a:endParaRPr lang="id-ID" sz="1000">
            <a:solidFill>
              <a:srgbClr val="002060"/>
            </a:solidFill>
            <a:latin typeface="+mj-lt"/>
          </a:endParaRPr>
        </a:p>
      </xdr:txBody>
    </xdr:sp>
    <xdr:clientData/>
  </xdr:twoCellAnchor>
  <xdr:twoCellAnchor>
    <xdr:from>
      <xdr:col>15</xdr:col>
      <xdr:colOff>42350</xdr:colOff>
      <xdr:row>14</xdr:row>
      <xdr:rowOff>120225</xdr:rowOff>
    </xdr:from>
    <xdr:to>
      <xdr:col>15</xdr:col>
      <xdr:colOff>541247</xdr:colOff>
      <xdr:row>16</xdr:row>
      <xdr:rowOff>118099</xdr:rowOff>
    </xdr:to>
    <xdr:sp macro="" textlink="">
      <xdr:nvSpPr>
        <xdr:cNvPr id="84" name="Oval 141">
          <a:extLst>
            <a:ext uri="{FF2B5EF4-FFF2-40B4-BE49-F238E27FC236}">
              <a16:creationId xmlns:a16="http://schemas.microsoft.com/office/drawing/2014/main" xmlns="" id="{C4B0D55C-9244-4DD9-FEB5-6BB2741A056E}"/>
            </a:ext>
          </a:extLst>
        </xdr:cNvPr>
        <xdr:cNvSpPr/>
      </xdr:nvSpPr>
      <xdr:spPr>
        <a:xfrm>
          <a:off x="9567350" y="3190637"/>
          <a:ext cx="498897" cy="446109"/>
        </a:xfrm>
        <a:prstGeom prst="roundRect">
          <a:avLst/>
        </a:prstGeom>
        <a:solidFill>
          <a:srgbClr val="BDE1E5"/>
        </a:solidFill>
        <a:ln>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r>
            <a:rPr lang="en-US" sz="1000">
              <a:solidFill>
                <a:srgbClr val="002060"/>
              </a:solidFill>
              <a:latin typeface="+mj-lt"/>
            </a:rPr>
            <a:t>11</a:t>
          </a:r>
          <a:endParaRPr lang="id-ID" sz="1000">
            <a:solidFill>
              <a:srgbClr val="002060"/>
            </a:solidFill>
            <a:latin typeface="+mj-lt"/>
          </a:endParaRPr>
        </a:p>
      </xdr:txBody>
    </xdr:sp>
    <xdr:clientData/>
  </xdr:twoCellAnchor>
  <xdr:twoCellAnchor>
    <xdr:from>
      <xdr:col>22</xdr:col>
      <xdr:colOff>576592</xdr:colOff>
      <xdr:row>14</xdr:row>
      <xdr:rowOff>146867</xdr:rowOff>
    </xdr:from>
    <xdr:to>
      <xdr:col>23</xdr:col>
      <xdr:colOff>492783</xdr:colOff>
      <xdr:row>16</xdr:row>
      <xdr:rowOff>144741</xdr:rowOff>
    </xdr:to>
    <xdr:sp macro="" textlink="">
      <xdr:nvSpPr>
        <xdr:cNvPr id="85" name="Oval 141">
          <a:extLst>
            <a:ext uri="{FF2B5EF4-FFF2-40B4-BE49-F238E27FC236}">
              <a16:creationId xmlns:a16="http://schemas.microsoft.com/office/drawing/2014/main" xmlns="" id="{576BAE38-EA2E-BC0F-2954-4310493417D7}"/>
            </a:ext>
          </a:extLst>
        </xdr:cNvPr>
        <xdr:cNvSpPr/>
      </xdr:nvSpPr>
      <xdr:spPr>
        <a:xfrm>
          <a:off x="14180533" y="3217279"/>
          <a:ext cx="498897" cy="446109"/>
        </a:xfrm>
        <a:prstGeom prst="roundRect">
          <a:avLst/>
        </a:prstGeom>
        <a:solidFill>
          <a:srgbClr val="BDE1E5"/>
        </a:solidFill>
        <a:ln>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r>
            <a:rPr lang="en-US" sz="1000">
              <a:solidFill>
                <a:srgbClr val="002060"/>
              </a:solidFill>
              <a:latin typeface="+mj-lt"/>
            </a:rPr>
            <a:t>13</a:t>
          </a:r>
          <a:endParaRPr lang="id-ID" sz="1000">
            <a:solidFill>
              <a:srgbClr val="002060"/>
            </a:solidFill>
            <a:latin typeface="+mj-lt"/>
          </a:endParaRPr>
        </a:p>
      </xdr:txBody>
    </xdr:sp>
    <xdr:clientData/>
  </xdr:twoCellAnchor>
  <xdr:twoCellAnchor>
    <xdr:from>
      <xdr:col>22</xdr:col>
      <xdr:colOff>565385</xdr:colOff>
      <xdr:row>12</xdr:row>
      <xdr:rowOff>53768</xdr:rowOff>
    </xdr:from>
    <xdr:to>
      <xdr:col>23</xdr:col>
      <xdr:colOff>481576</xdr:colOff>
      <xdr:row>14</xdr:row>
      <xdr:rowOff>51641</xdr:rowOff>
    </xdr:to>
    <xdr:sp macro="" textlink="">
      <xdr:nvSpPr>
        <xdr:cNvPr id="86" name="Oval 141">
          <a:extLst>
            <a:ext uri="{FF2B5EF4-FFF2-40B4-BE49-F238E27FC236}">
              <a16:creationId xmlns:a16="http://schemas.microsoft.com/office/drawing/2014/main" xmlns="" id="{A8214C20-01D7-A73F-A4A0-B862C118055F}"/>
            </a:ext>
          </a:extLst>
        </xdr:cNvPr>
        <xdr:cNvSpPr/>
      </xdr:nvSpPr>
      <xdr:spPr>
        <a:xfrm>
          <a:off x="14169326" y="2675944"/>
          <a:ext cx="498897" cy="446109"/>
        </a:xfrm>
        <a:prstGeom prst="roundRect">
          <a:avLst/>
        </a:prstGeom>
        <a:solidFill>
          <a:srgbClr val="BDE1E5"/>
        </a:solidFill>
        <a:ln>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r>
            <a:rPr lang="en-US" sz="1000">
              <a:solidFill>
                <a:srgbClr val="002060"/>
              </a:solidFill>
              <a:latin typeface="+mj-lt"/>
            </a:rPr>
            <a:t>7</a:t>
          </a:r>
          <a:endParaRPr lang="id-ID" sz="1000">
            <a:solidFill>
              <a:srgbClr val="002060"/>
            </a:solidFill>
            <a:latin typeface="+mj-lt"/>
          </a:endParaRPr>
        </a:p>
      </xdr:txBody>
    </xdr:sp>
    <xdr:clientData/>
  </xdr:twoCellAnchor>
  <xdr:twoCellAnchor>
    <xdr:from>
      <xdr:col>19</xdr:col>
      <xdr:colOff>78312</xdr:colOff>
      <xdr:row>19</xdr:row>
      <xdr:rowOff>134384</xdr:rowOff>
    </xdr:from>
    <xdr:to>
      <xdr:col>19</xdr:col>
      <xdr:colOff>577209</xdr:colOff>
      <xdr:row>21</xdr:row>
      <xdr:rowOff>132258</xdr:rowOff>
    </xdr:to>
    <xdr:sp macro="" textlink="">
      <xdr:nvSpPr>
        <xdr:cNvPr id="87" name="Oval 141">
          <a:extLst>
            <a:ext uri="{FF2B5EF4-FFF2-40B4-BE49-F238E27FC236}">
              <a16:creationId xmlns:a16="http://schemas.microsoft.com/office/drawing/2014/main" xmlns="" id="{237EC71C-51A7-33E1-6543-0CAD015F282B}"/>
            </a:ext>
          </a:extLst>
        </xdr:cNvPr>
        <xdr:cNvSpPr/>
      </xdr:nvSpPr>
      <xdr:spPr>
        <a:xfrm>
          <a:off x="11934136" y="4325384"/>
          <a:ext cx="498897" cy="446109"/>
        </a:xfrm>
        <a:prstGeom prst="roundRect">
          <a:avLst/>
        </a:prstGeom>
        <a:solidFill>
          <a:srgbClr val="BDE1E5"/>
        </a:solidFill>
        <a:ln>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r>
            <a:rPr lang="en-US" sz="1000">
              <a:solidFill>
                <a:srgbClr val="002060"/>
              </a:solidFill>
              <a:latin typeface="+mj-lt"/>
            </a:rPr>
            <a:t>12</a:t>
          </a:r>
          <a:endParaRPr lang="id-ID" sz="1000">
            <a:solidFill>
              <a:srgbClr val="002060"/>
            </a:solidFill>
            <a:latin typeface="+mj-lt"/>
          </a:endParaRPr>
        </a:p>
      </xdr:txBody>
    </xdr:sp>
    <xdr:clientData/>
  </xdr:twoCellAnchor>
  <xdr:twoCellAnchor>
    <xdr:from>
      <xdr:col>23</xdr:col>
      <xdr:colOff>5091</xdr:colOff>
      <xdr:row>19</xdr:row>
      <xdr:rowOff>145590</xdr:rowOff>
    </xdr:from>
    <xdr:to>
      <xdr:col>23</xdr:col>
      <xdr:colOff>503988</xdr:colOff>
      <xdr:row>21</xdr:row>
      <xdr:rowOff>143464</xdr:rowOff>
    </xdr:to>
    <xdr:sp macro="" textlink="">
      <xdr:nvSpPr>
        <xdr:cNvPr id="88" name="Oval 141">
          <a:extLst>
            <a:ext uri="{FF2B5EF4-FFF2-40B4-BE49-F238E27FC236}">
              <a16:creationId xmlns:a16="http://schemas.microsoft.com/office/drawing/2014/main" xmlns="" id="{8A6EE346-86E4-0A8F-EBEE-B9C82276E1A7}"/>
            </a:ext>
          </a:extLst>
        </xdr:cNvPr>
        <xdr:cNvSpPr/>
      </xdr:nvSpPr>
      <xdr:spPr>
        <a:xfrm>
          <a:off x="14191738" y="4336590"/>
          <a:ext cx="498897" cy="446109"/>
        </a:xfrm>
        <a:prstGeom prst="roundRect">
          <a:avLst/>
        </a:prstGeom>
        <a:solidFill>
          <a:srgbClr val="BDE1E5"/>
        </a:solidFill>
        <a:ln>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r>
            <a:rPr lang="en-US" sz="1000">
              <a:solidFill>
                <a:srgbClr val="002060"/>
              </a:solidFill>
              <a:latin typeface="+mj-lt"/>
            </a:rPr>
            <a:t>15</a:t>
          </a:r>
          <a:endParaRPr lang="id-ID" sz="1000">
            <a:solidFill>
              <a:srgbClr val="002060"/>
            </a:solidFill>
            <a:latin typeface="+mj-lt"/>
          </a:endParaRPr>
        </a:p>
      </xdr:txBody>
    </xdr:sp>
    <xdr:clientData/>
  </xdr:twoCellAnchor>
  <xdr:twoCellAnchor>
    <xdr:from>
      <xdr:col>9</xdr:col>
      <xdr:colOff>33617</xdr:colOff>
      <xdr:row>19</xdr:row>
      <xdr:rowOff>145591</xdr:rowOff>
    </xdr:from>
    <xdr:to>
      <xdr:col>9</xdr:col>
      <xdr:colOff>532516</xdr:colOff>
      <xdr:row>21</xdr:row>
      <xdr:rowOff>161568</xdr:rowOff>
    </xdr:to>
    <xdr:sp macro="" textlink="">
      <xdr:nvSpPr>
        <xdr:cNvPr id="89" name="Oval 139">
          <a:extLst>
            <a:ext uri="{FF2B5EF4-FFF2-40B4-BE49-F238E27FC236}">
              <a16:creationId xmlns:a16="http://schemas.microsoft.com/office/drawing/2014/main" xmlns="" id="{1A2C404C-0322-EA41-3802-1FE44E0FCE23}"/>
            </a:ext>
          </a:extLst>
        </xdr:cNvPr>
        <xdr:cNvSpPr/>
      </xdr:nvSpPr>
      <xdr:spPr>
        <a:xfrm>
          <a:off x="6062382" y="4336591"/>
          <a:ext cx="498899" cy="464212"/>
        </a:xfrm>
        <a:prstGeom prst="roundRect">
          <a:avLst/>
        </a:prstGeom>
        <a:solidFill>
          <a:srgbClr val="404040"/>
        </a:solidFill>
        <a:ln>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r>
            <a:rPr lang="en-US" sz="1000">
              <a:solidFill>
                <a:schemeClr val="bg1"/>
              </a:solidFill>
              <a:latin typeface="+mj-lt"/>
            </a:rPr>
            <a:t>10</a:t>
          </a:r>
          <a:endParaRPr lang="id-ID" sz="1000">
            <a:solidFill>
              <a:schemeClr val="bg1"/>
            </a:solidFill>
            <a:latin typeface="+mj-lt"/>
          </a:endParaRPr>
        </a:p>
      </xdr:txBody>
    </xdr:sp>
    <xdr:clientData/>
  </xdr:twoCellAnchor>
  <xdr:twoCellAnchor>
    <xdr:from>
      <xdr:col>12</xdr:col>
      <xdr:colOff>63999</xdr:colOff>
      <xdr:row>19</xdr:row>
      <xdr:rowOff>138719</xdr:rowOff>
    </xdr:from>
    <xdr:to>
      <xdr:col>12</xdr:col>
      <xdr:colOff>562898</xdr:colOff>
      <xdr:row>21</xdr:row>
      <xdr:rowOff>154696</xdr:rowOff>
    </xdr:to>
    <xdr:sp macro="" textlink="">
      <xdr:nvSpPr>
        <xdr:cNvPr id="90" name="Oval 139">
          <a:extLst>
            <a:ext uri="{FF2B5EF4-FFF2-40B4-BE49-F238E27FC236}">
              <a16:creationId xmlns:a16="http://schemas.microsoft.com/office/drawing/2014/main" xmlns="" id="{ADD3F8A4-9849-21EE-E461-BB8D0F3B4E0B}"/>
            </a:ext>
          </a:extLst>
        </xdr:cNvPr>
        <xdr:cNvSpPr/>
      </xdr:nvSpPr>
      <xdr:spPr>
        <a:xfrm>
          <a:off x="7840881" y="4329719"/>
          <a:ext cx="498899" cy="464212"/>
        </a:xfrm>
        <a:prstGeom prst="roundRect">
          <a:avLst/>
        </a:prstGeom>
        <a:solidFill>
          <a:srgbClr val="404040"/>
        </a:solidFill>
        <a:ln>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r>
            <a:rPr lang="en-US" sz="1000">
              <a:solidFill>
                <a:schemeClr val="bg1"/>
              </a:solidFill>
              <a:latin typeface="+mj-lt"/>
            </a:rPr>
            <a:t>16</a:t>
          </a:r>
          <a:endParaRPr lang="id-ID" sz="1000">
            <a:solidFill>
              <a:schemeClr val="bg1"/>
            </a:solidFill>
            <a:latin typeface="+mj-lt"/>
          </a:endParaRPr>
        </a:p>
      </xdr:txBody>
    </xdr:sp>
    <xdr:clientData/>
  </xdr:twoCellAnchor>
  <xdr:twoCellAnchor>
    <xdr:from>
      <xdr:col>13</xdr:col>
      <xdr:colOff>19175</xdr:colOff>
      <xdr:row>19</xdr:row>
      <xdr:rowOff>156797</xdr:rowOff>
    </xdr:from>
    <xdr:to>
      <xdr:col>13</xdr:col>
      <xdr:colOff>518074</xdr:colOff>
      <xdr:row>21</xdr:row>
      <xdr:rowOff>172774</xdr:rowOff>
    </xdr:to>
    <xdr:sp macro="" textlink="">
      <xdr:nvSpPr>
        <xdr:cNvPr id="91" name="Oval 139">
          <a:extLst>
            <a:ext uri="{FF2B5EF4-FFF2-40B4-BE49-F238E27FC236}">
              <a16:creationId xmlns:a16="http://schemas.microsoft.com/office/drawing/2014/main" xmlns="" id="{967E788C-E9D3-D0F7-BDAA-5140690F0EB8}"/>
            </a:ext>
          </a:extLst>
        </xdr:cNvPr>
        <xdr:cNvSpPr/>
      </xdr:nvSpPr>
      <xdr:spPr>
        <a:xfrm>
          <a:off x="8378763" y="4347797"/>
          <a:ext cx="498899" cy="464212"/>
        </a:xfrm>
        <a:prstGeom prst="roundRect">
          <a:avLst/>
        </a:prstGeom>
        <a:solidFill>
          <a:srgbClr val="404040"/>
        </a:solidFill>
        <a:ln>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r>
            <a:rPr lang="en-US" sz="1000">
              <a:solidFill>
                <a:schemeClr val="bg1"/>
              </a:solidFill>
              <a:latin typeface="+mj-lt"/>
            </a:rPr>
            <a:t>15</a:t>
          </a:r>
          <a:endParaRPr lang="id-ID" sz="1000">
            <a:solidFill>
              <a:schemeClr val="bg1"/>
            </a:solidFill>
            <a:latin typeface="+mj-lt"/>
          </a:endParaRPr>
        </a:p>
      </xdr:txBody>
    </xdr:sp>
    <xdr:clientData/>
  </xdr:twoCellAnchor>
  <xdr:twoCellAnchor>
    <xdr:from>
      <xdr:col>9</xdr:col>
      <xdr:colOff>22411</xdr:colOff>
      <xdr:row>17</xdr:row>
      <xdr:rowOff>84176</xdr:rowOff>
    </xdr:from>
    <xdr:to>
      <xdr:col>9</xdr:col>
      <xdr:colOff>521310</xdr:colOff>
      <xdr:row>19</xdr:row>
      <xdr:rowOff>100153</xdr:rowOff>
    </xdr:to>
    <xdr:sp macro="" textlink="">
      <xdr:nvSpPr>
        <xdr:cNvPr id="92" name="Oval 139">
          <a:extLst>
            <a:ext uri="{FF2B5EF4-FFF2-40B4-BE49-F238E27FC236}">
              <a16:creationId xmlns:a16="http://schemas.microsoft.com/office/drawing/2014/main" xmlns="" id="{9AF29BBD-0334-1944-877C-7B5174835241}"/>
            </a:ext>
          </a:extLst>
        </xdr:cNvPr>
        <xdr:cNvSpPr/>
      </xdr:nvSpPr>
      <xdr:spPr>
        <a:xfrm>
          <a:off x="6051176" y="3826941"/>
          <a:ext cx="498899" cy="464212"/>
        </a:xfrm>
        <a:prstGeom prst="roundRect">
          <a:avLst/>
        </a:prstGeom>
        <a:solidFill>
          <a:srgbClr val="404040"/>
        </a:solidFill>
        <a:ln>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r>
            <a:rPr lang="en-US" sz="1000">
              <a:solidFill>
                <a:schemeClr val="bg1"/>
              </a:solidFill>
              <a:latin typeface="+mj-lt"/>
            </a:rPr>
            <a:t>4</a:t>
          </a:r>
          <a:endParaRPr lang="id-ID" sz="1000">
            <a:solidFill>
              <a:schemeClr val="bg1"/>
            </a:solidFill>
            <a:latin typeface="+mj-lt"/>
          </a:endParaRPr>
        </a:p>
      </xdr:txBody>
    </xdr:sp>
    <xdr:clientData/>
  </xdr:twoCellAnchor>
  <xdr:twoCellAnchor>
    <xdr:from>
      <xdr:col>9</xdr:col>
      <xdr:colOff>568514</xdr:colOff>
      <xdr:row>19</xdr:row>
      <xdr:rowOff>152362</xdr:rowOff>
    </xdr:from>
    <xdr:to>
      <xdr:col>10</xdr:col>
      <xdr:colOff>484707</xdr:colOff>
      <xdr:row>21</xdr:row>
      <xdr:rowOff>168339</xdr:rowOff>
    </xdr:to>
    <xdr:sp macro="" textlink="">
      <xdr:nvSpPr>
        <xdr:cNvPr id="93" name="Oval 139">
          <a:extLst>
            <a:ext uri="{FF2B5EF4-FFF2-40B4-BE49-F238E27FC236}">
              <a16:creationId xmlns:a16="http://schemas.microsoft.com/office/drawing/2014/main" xmlns="" id="{9C8B651B-B338-3B96-10AD-EB2BF9B7C06B}"/>
            </a:ext>
          </a:extLst>
        </xdr:cNvPr>
        <xdr:cNvSpPr/>
      </xdr:nvSpPr>
      <xdr:spPr>
        <a:xfrm>
          <a:off x="6597279" y="4343362"/>
          <a:ext cx="498899" cy="464212"/>
        </a:xfrm>
        <a:prstGeom prst="roundRect">
          <a:avLst/>
        </a:prstGeom>
        <a:solidFill>
          <a:srgbClr val="404040"/>
        </a:solidFill>
        <a:ln>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r>
            <a:rPr lang="en-US" sz="1000">
              <a:solidFill>
                <a:schemeClr val="bg1"/>
              </a:solidFill>
              <a:latin typeface="+mj-lt"/>
            </a:rPr>
            <a:t>11</a:t>
          </a:r>
          <a:endParaRPr lang="id-ID" sz="1000">
            <a:solidFill>
              <a:schemeClr val="bg1"/>
            </a:solidFill>
            <a:latin typeface="+mj-lt"/>
          </a:endParaRPr>
        </a:p>
      </xdr:txBody>
    </xdr:sp>
    <xdr:clientData/>
  </xdr:twoCellAnchor>
  <xdr:twoCellAnchor>
    <xdr:from>
      <xdr:col>9</xdr:col>
      <xdr:colOff>560293</xdr:colOff>
      <xdr:row>17</xdr:row>
      <xdr:rowOff>79843</xdr:rowOff>
    </xdr:from>
    <xdr:to>
      <xdr:col>10</xdr:col>
      <xdr:colOff>476486</xdr:colOff>
      <xdr:row>19</xdr:row>
      <xdr:rowOff>95820</xdr:rowOff>
    </xdr:to>
    <xdr:sp macro="" textlink="">
      <xdr:nvSpPr>
        <xdr:cNvPr id="94" name="Oval 139">
          <a:extLst>
            <a:ext uri="{FF2B5EF4-FFF2-40B4-BE49-F238E27FC236}">
              <a16:creationId xmlns:a16="http://schemas.microsoft.com/office/drawing/2014/main" xmlns="" id="{F2FB9C87-A16F-7E8E-1CC5-4E77B8784C87}"/>
            </a:ext>
          </a:extLst>
        </xdr:cNvPr>
        <xdr:cNvSpPr/>
      </xdr:nvSpPr>
      <xdr:spPr>
        <a:xfrm>
          <a:off x="6589058" y="3822608"/>
          <a:ext cx="498899" cy="464212"/>
        </a:xfrm>
        <a:prstGeom prst="roundRect">
          <a:avLst/>
        </a:prstGeom>
        <a:solidFill>
          <a:srgbClr val="404040"/>
        </a:solidFill>
        <a:ln>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r>
            <a:rPr lang="en-US" sz="1000">
              <a:solidFill>
                <a:schemeClr val="bg1"/>
              </a:solidFill>
              <a:latin typeface="+mj-lt"/>
            </a:rPr>
            <a:t>8</a:t>
          </a:r>
          <a:endParaRPr lang="id-ID" sz="1000">
            <a:solidFill>
              <a:schemeClr val="bg1"/>
            </a:solidFill>
            <a:latin typeface="+mj-lt"/>
          </a:endParaRPr>
        </a:p>
      </xdr:txBody>
    </xdr:sp>
    <xdr:clientData/>
  </xdr:twoCellAnchor>
  <xdr:twoCellAnchor>
    <xdr:from>
      <xdr:col>13</xdr:col>
      <xdr:colOff>19175</xdr:colOff>
      <xdr:row>17</xdr:row>
      <xdr:rowOff>72971</xdr:rowOff>
    </xdr:from>
    <xdr:to>
      <xdr:col>13</xdr:col>
      <xdr:colOff>518074</xdr:colOff>
      <xdr:row>19</xdr:row>
      <xdr:rowOff>88948</xdr:rowOff>
    </xdr:to>
    <xdr:sp macro="" textlink="">
      <xdr:nvSpPr>
        <xdr:cNvPr id="95" name="Oval 139">
          <a:extLst>
            <a:ext uri="{FF2B5EF4-FFF2-40B4-BE49-F238E27FC236}">
              <a16:creationId xmlns:a16="http://schemas.microsoft.com/office/drawing/2014/main" xmlns="" id="{EBDDA12F-A340-C2E5-EBAA-0666FA3FE796}"/>
            </a:ext>
          </a:extLst>
        </xdr:cNvPr>
        <xdr:cNvSpPr/>
      </xdr:nvSpPr>
      <xdr:spPr>
        <a:xfrm>
          <a:off x="8378763" y="3815736"/>
          <a:ext cx="498899" cy="464212"/>
        </a:xfrm>
        <a:prstGeom prst="roundRect">
          <a:avLst/>
        </a:prstGeom>
        <a:solidFill>
          <a:srgbClr val="404040"/>
        </a:solidFill>
        <a:ln>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r>
            <a:rPr lang="en-US" sz="1000">
              <a:solidFill>
                <a:schemeClr val="bg1"/>
              </a:solidFill>
              <a:latin typeface="+mj-lt"/>
            </a:rPr>
            <a:t>14</a:t>
          </a:r>
          <a:endParaRPr lang="id-ID" sz="1000">
            <a:solidFill>
              <a:schemeClr val="bg1"/>
            </a:solidFill>
            <a:latin typeface="+mj-lt"/>
          </a:endParaRPr>
        </a:p>
      </xdr:txBody>
    </xdr:sp>
    <xdr:clientData/>
  </xdr:twoCellAnchor>
  <xdr:twoCellAnchor>
    <xdr:from>
      <xdr:col>10</xdr:col>
      <xdr:colOff>523310</xdr:colOff>
      <xdr:row>12</xdr:row>
      <xdr:rowOff>19998</xdr:rowOff>
    </xdr:from>
    <xdr:to>
      <xdr:col>11</xdr:col>
      <xdr:colOff>439504</xdr:colOff>
      <xdr:row>14</xdr:row>
      <xdr:rowOff>35974</xdr:rowOff>
    </xdr:to>
    <xdr:sp macro="" textlink="">
      <xdr:nvSpPr>
        <xdr:cNvPr id="96" name="Oval 139">
          <a:extLst>
            <a:ext uri="{FF2B5EF4-FFF2-40B4-BE49-F238E27FC236}">
              <a16:creationId xmlns:a16="http://schemas.microsoft.com/office/drawing/2014/main" xmlns="" id="{42DDF6CB-6F3B-90A1-1443-24A52DAB24B4}"/>
            </a:ext>
          </a:extLst>
        </xdr:cNvPr>
        <xdr:cNvSpPr/>
      </xdr:nvSpPr>
      <xdr:spPr>
        <a:xfrm>
          <a:off x="7134781" y="2642174"/>
          <a:ext cx="498899" cy="464212"/>
        </a:xfrm>
        <a:prstGeom prst="roundRect">
          <a:avLst/>
        </a:prstGeom>
        <a:solidFill>
          <a:srgbClr val="404040"/>
        </a:solidFill>
        <a:ln>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r>
            <a:rPr lang="en-US" sz="1000">
              <a:solidFill>
                <a:schemeClr val="bg1"/>
              </a:solidFill>
              <a:latin typeface="+mj-lt"/>
            </a:rPr>
            <a:t>3</a:t>
          </a:r>
          <a:endParaRPr lang="id-ID" sz="1000">
            <a:solidFill>
              <a:schemeClr val="bg1"/>
            </a:solidFill>
            <a:latin typeface="+mj-lt"/>
          </a:endParaRPr>
        </a:p>
      </xdr:txBody>
    </xdr:sp>
    <xdr:clientData/>
  </xdr:twoCellAnchor>
  <xdr:twoCellAnchor>
    <xdr:from>
      <xdr:col>9</xdr:col>
      <xdr:colOff>7840</xdr:colOff>
      <xdr:row>12</xdr:row>
      <xdr:rowOff>25819</xdr:rowOff>
    </xdr:from>
    <xdr:to>
      <xdr:col>9</xdr:col>
      <xdr:colOff>506739</xdr:colOff>
      <xdr:row>14</xdr:row>
      <xdr:rowOff>41795</xdr:rowOff>
    </xdr:to>
    <xdr:sp macro="" textlink="">
      <xdr:nvSpPr>
        <xdr:cNvPr id="97" name="Oval 139">
          <a:extLst>
            <a:ext uri="{FF2B5EF4-FFF2-40B4-BE49-F238E27FC236}">
              <a16:creationId xmlns:a16="http://schemas.microsoft.com/office/drawing/2014/main" xmlns="" id="{835AFA97-E064-8A19-B6BE-374C2FC1E526}"/>
            </a:ext>
          </a:extLst>
        </xdr:cNvPr>
        <xdr:cNvSpPr/>
      </xdr:nvSpPr>
      <xdr:spPr>
        <a:xfrm>
          <a:off x="6036605" y="2647995"/>
          <a:ext cx="498899" cy="464212"/>
        </a:xfrm>
        <a:prstGeom prst="roundRect">
          <a:avLst/>
        </a:prstGeom>
        <a:solidFill>
          <a:srgbClr val="404040"/>
        </a:solidFill>
        <a:ln>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r>
            <a:rPr lang="en-US" sz="1000">
              <a:solidFill>
                <a:schemeClr val="bg1"/>
              </a:solidFill>
              <a:latin typeface="+mj-lt"/>
            </a:rPr>
            <a:t>1</a:t>
          </a:r>
          <a:endParaRPr lang="id-ID" sz="1000">
            <a:solidFill>
              <a:schemeClr val="bg1"/>
            </a:solidFill>
            <a:latin typeface="+mj-lt"/>
          </a:endParaRPr>
        </a:p>
      </xdr:txBody>
    </xdr:sp>
    <xdr:clientData/>
  </xdr:twoCellAnchor>
  <xdr:twoCellAnchor>
    <xdr:from>
      <xdr:col>9</xdr:col>
      <xdr:colOff>41458</xdr:colOff>
      <xdr:row>14</xdr:row>
      <xdr:rowOff>122337</xdr:rowOff>
    </xdr:from>
    <xdr:to>
      <xdr:col>9</xdr:col>
      <xdr:colOff>540357</xdr:colOff>
      <xdr:row>16</xdr:row>
      <xdr:rowOff>138314</xdr:rowOff>
    </xdr:to>
    <xdr:sp macro="" textlink="">
      <xdr:nvSpPr>
        <xdr:cNvPr id="98" name="Oval 139">
          <a:extLst>
            <a:ext uri="{FF2B5EF4-FFF2-40B4-BE49-F238E27FC236}">
              <a16:creationId xmlns:a16="http://schemas.microsoft.com/office/drawing/2014/main" xmlns="" id="{63229C8D-F2EF-0FF7-FBCD-97561728BA8B}"/>
            </a:ext>
          </a:extLst>
        </xdr:cNvPr>
        <xdr:cNvSpPr/>
      </xdr:nvSpPr>
      <xdr:spPr>
        <a:xfrm>
          <a:off x="6070223" y="3192749"/>
          <a:ext cx="498899" cy="464212"/>
        </a:xfrm>
        <a:prstGeom prst="roundRect">
          <a:avLst/>
        </a:prstGeom>
        <a:solidFill>
          <a:srgbClr val="404040"/>
        </a:solidFill>
        <a:ln>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r>
            <a:rPr lang="en-US" sz="1000">
              <a:solidFill>
                <a:schemeClr val="bg1"/>
              </a:solidFill>
              <a:latin typeface="+mj-lt"/>
            </a:rPr>
            <a:t>2</a:t>
          </a:r>
          <a:endParaRPr lang="id-ID" sz="1000">
            <a:solidFill>
              <a:schemeClr val="bg1"/>
            </a:solidFill>
            <a:latin typeface="+mj-lt"/>
          </a:endParaRPr>
        </a:p>
      </xdr:txBody>
    </xdr:sp>
    <xdr:clientData/>
  </xdr:twoCellAnchor>
  <xdr:twoCellAnchor>
    <xdr:from>
      <xdr:col>13</xdr:col>
      <xdr:colOff>20158</xdr:colOff>
      <xdr:row>14</xdr:row>
      <xdr:rowOff>132056</xdr:rowOff>
    </xdr:from>
    <xdr:to>
      <xdr:col>13</xdr:col>
      <xdr:colOff>519057</xdr:colOff>
      <xdr:row>16</xdr:row>
      <xdr:rowOff>148033</xdr:rowOff>
    </xdr:to>
    <xdr:sp macro="" textlink="">
      <xdr:nvSpPr>
        <xdr:cNvPr id="99" name="Oval 139">
          <a:extLst>
            <a:ext uri="{FF2B5EF4-FFF2-40B4-BE49-F238E27FC236}">
              <a16:creationId xmlns:a16="http://schemas.microsoft.com/office/drawing/2014/main" xmlns="" id="{EE1695E1-E5F0-C239-A9E3-A2AEC2855B7D}"/>
            </a:ext>
          </a:extLst>
        </xdr:cNvPr>
        <xdr:cNvSpPr/>
      </xdr:nvSpPr>
      <xdr:spPr>
        <a:xfrm>
          <a:off x="8379746" y="3202468"/>
          <a:ext cx="498899" cy="464212"/>
        </a:xfrm>
        <a:prstGeom prst="roundRect">
          <a:avLst/>
        </a:prstGeom>
        <a:solidFill>
          <a:srgbClr val="404040"/>
        </a:solidFill>
        <a:ln>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r>
            <a:rPr lang="en-US" sz="1000">
              <a:solidFill>
                <a:schemeClr val="bg1"/>
              </a:solidFill>
              <a:latin typeface="+mj-lt"/>
            </a:rPr>
            <a:t>7</a:t>
          </a:r>
          <a:endParaRPr lang="id-ID" sz="1000">
            <a:solidFill>
              <a:schemeClr val="bg1"/>
            </a:solidFill>
            <a:latin typeface="+mj-lt"/>
          </a:endParaRPr>
        </a:p>
      </xdr:txBody>
    </xdr:sp>
    <xdr:clientData/>
  </xdr:twoCellAnchor>
  <xdr:twoCellAnchor>
    <xdr:from>
      <xdr:col>12</xdr:col>
      <xdr:colOff>580452</xdr:colOff>
      <xdr:row>12</xdr:row>
      <xdr:rowOff>55101</xdr:rowOff>
    </xdr:from>
    <xdr:to>
      <xdr:col>13</xdr:col>
      <xdr:colOff>496645</xdr:colOff>
      <xdr:row>14</xdr:row>
      <xdr:rowOff>71077</xdr:rowOff>
    </xdr:to>
    <xdr:sp macro="" textlink="">
      <xdr:nvSpPr>
        <xdr:cNvPr id="100" name="Oval 139">
          <a:extLst>
            <a:ext uri="{FF2B5EF4-FFF2-40B4-BE49-F238E27FC236}">
              <a16:creationId xmlns:a16="http://schemas.microsoft.com/office/drawing/2014/main" xmlns="" id="{92D180A4-35B5-A175-5903-14DDC0B76ECB}"/>
            </a:ext>
          </a:extLst>
        </xdr:cNvPr>
        <xdr:cNvSpPr/>
      </xdr:nvSpPr>
      <xdr:spPr>
        <a:xfrm>
          <a:off x="8357334" y="2677277"/>
          <a:ext cx="498899" cy="464212"/>
        </a:xfrm>
        <a:prstGeom prst="roundRect">
          <a:avLst/>
        </a:prstGeom>
        <a:solidFill>
          <a:srgbClr val="404040"/>
        </a:solidFill>
        <a:ln>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r>
            <a:rPr lang="en-US" sz="1000">
              <a:solidFill>
                <a:schemeClr val="bg1"/>
              </a:solidFill>
              <a:latin typeface="+mj-lt"/>
            </a:rPr>
            <a:t>5</a:t>
          </a:r>
          <a:endParaRPr lang="id-ID" sz="1000">
            <a:solidFill>
              <a:schemeClr val="bg1"/>
            </a:solidFill>
            <a:latin typeface="+mj-lt"/>
          </a:endParaRPr>
        </a:p>
      </xdr:txBody>
    </xdr:sp>
    <xdr:clientData/>
  </xdr:twoCellAnchor>
  <xdr:twoCellAnchor>
    <xdr:from>
      <xdr:col>15</xdr:col>
      <xdr:colOff>24896</xdr:colOff>
      <xdr:row>19</xdr:row>
      <xdr:rowOff>145591</xdr:rowOff>
    </xdr:from>
    <xdr:to>
      <xdr:col>15</xdr:col>
      <xdr:colOff>523795</xdr:colOff>
      <xdr:row>21</xdr:row>
      <xdr:rowOff>161568</xdr:rowOff>
    </xdr:to>
    <xdr:sp macro="" textlink="">
      <xdr:nvSpPr>
        <xdr:cNvPr id="101" name="Oval 139">
          <a:extLst>
            <a:ext uri="{FF2B5EF4-FFF2-40B4-BE49-F238E27FC236}">
              <a16:creationId xmlns:a16="http://schemas.microsoft.com/office/drawing/2014/main" xmlns="" id="{8DDA87DF-316D-E37A-9FA8-72719872A966}"/>
            </a:ext>
          </a:extLst>
        </xdr:cNvPr>
        <xdr:cNvSpPr/>
      </xdr:nvSpPr>
      <xdr:spPr>
        <a:xfrm>
          <a:off x="9549896" y="4336591"/>
          <a:ext cx="498899" cy="464212"/>
        </a:xfrm>
        <a:prstGeom prst="roundRect">
          <a:avLst/>
        </a:prstGeom>
        <a:solidFill>
          <a:srgbClr val="404040"/>
        </a:solidFill>
        <a:ln>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r>
            <a:rPr lang="en-US" sz="1000">
              <a:solidFill>
                <a:schemeClr val="bg1"/>
              </a:solidFill>
              <a:latin typeface="+mj-lt"/>
            </a:rPr>
            <a:t>12</a:t>
          </a:r>
          <a:endParaRPr lang="id-ID" sz="1000">
            <a:solidFill>
              <a:schemeClr val="bg1"/>
            </a:solidFill>
            <a:latin typeface="+mj-lt"/>
          </a:endParaRPr>
        </a:p>
      </xdr:txBody>
    </xdr:sp>
    <xdr:clientData/>
  </xdr:twoCellAnchor>
  <xdr:twoCellAnchor>
    <xdr:from>
      <xdr:col>14</xdr:col>
      <xdr:colOff>96176</xdr:colOff>
      <xdr:row>19</xdr:row>
      <xdr:rowOff>147653</xdr:rowOff>
    </xdr:from>
    <xdr:to>
      <xdr:col>15</xdr:col>
      <xdr:colOff>12369</xdr:colOff>
      <xdr:row>21</xdr:row>
      <xdr:rowOff>163630</xdr:rowOff>
    </xdr:to>
    <xdr:sp macro="" textlink="">
      <xdr:nvSpPr>
        <xdr:cNvPr id="102" name="Oval 139">
          <a:extLst>
            <a:ext uri="{FF2B5EF4-FFF2-40B4-BE49-F238E27FC236}">
              <a16:creationId xmlns:a16="http://schemas.microsoft.com/office/drawing/2014/main" xmlns="" id="{63329BF2-BADF-2C9F-9F1C-A30E27D99DCB}"/>
            </a:ext>
          </a:extLst>
        </xdr:cNvPr>
        <xdr:cNvSpPr/>
      </xdr:nvSpPr>
      <xdr:spPr>
        <a:xfrm>
          <a:off x="9038470" y="4338653"/>
          <a:ext cx="498899" cy="464212"/>
        </a:xfrm>
        <a:prstGeom prst="roundRect">
          <a:avLst/>
        </a:prstGeom>
        <a:solidFill>
          <a:srgbClr val="404040"/>
        </a:solidFill>
        <a:ln>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r>
            <a:rPr lang="en-US" sz="1000">
              <a:solidFill>
                <a:schemeClr val="bg1"/>
              </a:solidFill>
              <a:latin typeface="+mj-lt"/>
            </a:rPr>
            <a:t>6</a:t>
          </a:r>
          <a:endParaRPr lang="id-ID" sz="1000">
            <a:solidFill>
              <a:schemeClr val="bg1"/>
            </a:solidFill>
            <a:latin typeface="+mj-lt"/>
          </a:endParaRPr>
        </a:p>
      </xdr:txBody>
    </xdr:sp>
    <xdr:clientData/>
  </xdr:twoCellAnchor>
  <xdr:twoCellAnchor>
    <xdr:from>
      <xdr:col>22</xdr:col>
      <xdr:colOff>578534</xdr:colOff>
      <xdr:row>24</xdr:row>
      <xdr:rowOff>107288</xdr:rowOff>
    </xdr:from>
    <xdr:to>
      <xdr:col>23</xdr:col>
      <xdr:colOff>494727</xdr:colOff>
      <xdr:row>26</xdr:row>
      <xdr:rowOff>123264</xdr:rowOff>
    </xdr:to>
    <xdr:sp macro="" textlink="">
      <xdr:nvSpPr>
        <xdr:cNvPr id="103" name="Oval 139">
          <a:extLst>
            <a:ext uri="{FF2B5EF4-FFF2-40B4-BE49-F238E27FC236}">
              <a16:creationId xmlns:a16="http://schemas.microsoft.com/office/drawing/2014/main" xmlns="" id="{BE0074B8-592D-45DE-470B-1306455E0161}"/>
            </a:ext>
          </a:extLst>
        </xdr:cNvPr>
        <xdr:cNvSpPr/>
      </xdr:nvSpPr>
      <xdr:spPr>
        <a:xfrm>
          <a:off x="14182475" y="5418876"/>
          <a:ext cx="498899" cy="464212"/>
        </a:xfrm>
        <a:prstGeom prst="roundRect">
          <a:avLst/>
        </a:prstGeom>
        <a:solidFill>
          <a:srgbClr val="404040"/>
        </a:solidFill>
        <a:ln>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r>
            <a:rPr lang="en-US" sz="1000">
              <a:solidFill>
                <a:schemeClr val="bg1"/>
              </a:solidFill>
              <a:latin typeface="+mj-lt"/>
            </a:rPr>
            <a:t>13</a:t>
          </a:r>
          <a:endParaRPr lang="id-ID" sz="1000">
            <a:solidFill>
              <a:schemeClr val="bg1"/>
            </a:solidFill>
            <a:latin typeface="+mj-lt"/>
          </a:endParaRPr>
        </a:p>
      </xdr:txBody>
    </xdr:sp>
    <xdr:clientData/>
  </xdr:twoCellAnchor>
  <xdr:twoCellAnchor>
    <xdr:from>
      <xdr:col>19</xdr:col>
      <xdr:colOff>0</xdr:colOff>
      <xdr:row>31</xdr:row>
      <xdr:rowOff>0</xdr:rowOff>
    </xdr:from>
    <xdr:to>
      <xdr:col>19</xdr:col>
      <xdr:colOff>252000</xdr:colOff>
      <xdr:row>31</xdr:row>
      <xdr:rowOff>252000</xdr:rowOff>
    </xdr:to>
    <xdr:sp macro="" textlink="">
      <xdr:nvSpPr>
        <xdr:cNvPr id="105" name="Rounded Rectangle 70">
          <a:extLst>
            <a:ext uri="{FF2B5EF4-FFF2-40B4-BE49-F238E27FC236}">
              <a16:creationId xmlns:a16="http://schemas.microsoft.com/office/drawing/2014/main" xmlns="" id="{2A406711-AE9E-5D6F-4B87-1E1AC58FB37A}"/>
            </a:ext>
          </a:extLst>
        </xdr:cNvPr>
        <xdr:cNvSpPr>
          <a:spLocks noChangeAspect="1"/>
        </xdr:cNvSpPr>
      </xdr:nvSpPr>
      <xdr:spPr>
        <a:xfrm>
          <a:off x="11855824" y="6835588"/>
          <a:ext cx="252000" cy="252000"/>
        </a:xfrm>
        <a:prstGeom prst="roundRect">
          <a:avLst/>
        </a:prstGeom>
        <a:solidFill>
          <a:srgbClr val="BDE1E5"/>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36000" tIns="36000" rIns="36000" bIns="36000" rtlCol="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endParaRPr kumimoji="0" lang="en-ID" sz="1000" b="1" i="0" u="none" strike="noStrike" kern="1200" cap="none" spc="0" normalizeH="0" baseline="0">
            <a:ln>
              <a:noFill/>
            </a:ln>
            <a:solidFill>
              <a:prstClr val="white"/>
            </a:solidFill>
            <a:effectLst/>
            <a:uLnTx/>
            <a:uFillTx/>
            <a:latin typeface="Arial"/>
            <a:ea typeface="+mn-ea"/>
            <a:cs typeface="+mn-cs"/>
          </a:endParaRPr>
        </a:p>
      </xdr:txBody>
    </xdr:sp>
    <xdr:clientData/>
  </xdr:twoCellAnchor>
  <xdr:twoCellAnchor>
    <xdr:from>
      <xdr:col>19</xdr:col>
      <xdr:colOff>0</xdr:colOff>
      <xdr:row>32</xdr:row>
      <xdr:rowOff>70225</xdr:rowOff>
    </xdr:from>
    <xdr:to>
      <xdr:col>19</xdr:col>
      <xdr:colOff>252000</xdr:colOff>
      <xdr:row>33</xdr:row>
      <xdr:rowOff>142931</xdr:rowOff>
    </xdr:to>
    <xdr:sp macro="" textlink="">
      <xdr:nvSpPr>
        <xdr:cNvPr id="106" name="Rounded Rectangle 70">
          <a:extLst>
            <a:ext uri="{FF2B5EF4-FFF2-40B4-BE49-F238E27FC236}">
              <a16:creationId xmlns:a16="http://schemas.microsoft.com/office/drawing/2014/main" xmlns="" id="{1F894F37-D212-5148-1B9D-6FF3C49C5B72}"/>
            </a:ext>
          </a:extLst>
        </xdr:cNvPr>
        <xdr:cNvSpPr>
          <a:spLocks noChangeAspect="1"/>
        </xdr:cNvSpPr>
      </xdr:nvSpPr>
      <xdr:spPr>
        <a:xfrm>
          <a:off x="11855824" y="7163549"/>
          <a:ext cx="252000" cy="252000"/>
        </a:xfrm>
        <a:prstGeom prst="roundRect">
          <a:avLst/>
        </a:prstGeom>
        <a:solidFill>
          <a:schemeClr val="tx1">
            <a:lumMod val="75000"/>
            <a:lumOff val="2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36000" tIns="36000" rIns="36000" bIns="36000" rtlCol="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endParaRPr kumimoji="0" lang="en-ID" sz="1000" b="1" i="0" u="none" strike="noStrike" kern="1200" cap="none" spc="0" normalizeH="0" baseline="0">
            <a:ln>
              <a:noFill/>
            </a:ln>
            <a:solidFill>
              <a:prstClr val="white"/>
            </a:solidFill>
            <a:effectLst/>
            <a:uLnTx/>
            <a:uFillTx/>
            <a:latin typeface="Arial"/>
            <a:ea typeface="+mn-ea"/>
            <a:cs typeface="+mn-cs"/>
          </a:endParaRPr>
        </a:p>
      </xdr:txBody>
    </xdr:sp>
    <xdr:clientData/>
  </xdr:twoCellAnchor>
  <xdr:twoCellAnchor>
    <xdr:from>
      <xdr:col>19</xdr:col>
      <xdr:colOff>305340</xdr:colOff>
      <xdr:row>31</xdr:row>
      <xdr:rowOff>15427</xdr:rowOff>
    </xdr:from>
    <xdr:to>
      <xdr:col>21</xdr:col>
      <xdr:colOff>448686</xdr:colOff>
      <xdr:row>32</xdr:row>
      <xdr:rowOff>9691</xdr:rowOff>
    </xdr:to>
    <xdr:sp macro="" textlink="">
      <xdr:nvSpPr>
        <xdr:cNvPr id="107" name="Rounded Rectangle 84">
          <a:extLst>
            <a:ext uri="{FF2B5EF4-FFF2-40B4-BE49-F238E27FC236}">
              <a16:creationId xmlns:a16="http://schemas.microsoft.com/office/drawing/2014/main" xmlns="" id="{43CCFDB8-7EF7-2BF7-89E0-099BBBB1E00A}"/>
            </a:ext>
          </a:extLst>
        </xdr:cNvPr>
        <xdr:cNvSpPr>
          <a:spLocks noChangeAspect="1"/>
        </xdr:cNvSpPr>
      </xdr:nvSpPr>
      <xdr:spPr>
        <a:xfrm>
          <a:off x="12161164" y="6851015"/>
          <a:ext cx="1308757" cy="252000"/>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36000" tIns="36000" rIns="36000" bIns="36000" rtlCol="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kumimoji="0" lang="en-ID" sz="1000" u="none" strike="noStrike" kern="1200" cap="none" spc="0" normalizeH="0" baseline="0">
              <a:ln>
                <a:noFill/>
              </a:ln>
              <a:solidFill>
                <a:schemeClr val="tx1"/>
              </a:solidFill>
              <a:effectLst/>
              <a:uLnTx/>
              <a:uFillTx/>
              <a:latin typeface="Century Gothic" panose="020B0502020202020204" pitchFamily="34" charset="0"/>
            </a:rPr>
            <a:t>Level Risiko </a:t>
          </a:r>
          <a:r>
            <a:rPr lang="en-ID" sz="1000">
              <a:solidFill>
                <a:schemeClr val="tx1"/>
              </a:solidFill>
              <a:latin typeface="Century Gothic" panose="020B0502020202020204" pitchFamily="34" charset="0"/>
            </a:rPr>
            <a:t>Inheren</a:t>
          </a:r>
          <a:endParaRPr kumimoji="0" lang="en-ID" sz="1000" u="none" strike="noStrike" kern="1200" cap="none" spc="0" normalizeH="0" baseline="0">
            <a:ln>
              <a:noFill/>
            </a:ln>
            <a:solidFill>
              <a:schemeClr val="tx1"/>
            </a:solidFill>
            <a:effectLst/>
            <a:uLnTx/>
            <a:uFillTx/>
            <a:latin typeface="Century Gothic" panose="020B0502020202020204" pitchFamily="34" charset="0"/>
          </a:endParaRPr>
        </a:p>
      </xdr:txBody>
    </xdr:sp>
    <xdr:clientData/>
  </xdr:twoCellAnchor>
  <xdr:twoCellAnchor>
    <xdr:from>
      <xdr:col>19</xdr:col>
      <xdr:colOff>305340</xdr:colOff>
      <xdr:row>32</xdr:row>
      <xdr:rowOff>53759</xdr:rowOff>
    </xdr:from>
    <xdr:to>
      <xdr:col>21</xdr:col>
      <xdr:colOff>448686</xdr:colOff>
      <xdr:row>33</xdr:row>
      <xdr:rowOff>126465</xdr:rowOff>
    </xdr:to>
    <xdr:sp macro="" textlink="">
      <xdr:nvSpPr>
        <xdr:cNvPr id="108" name="Rounded Rectangle 84">
          <a:extLst>
            <a:ext uri="{FF2B5EF4-FFF2-40B4-BE49-F238E27FC236}">
              <a16:creationId xmlns:a16="http://schemas.microsoft.com/office/drawing/2014/main" xmlns="" id="{17B44864-3482-B182-8DF6-96F56051B442}"/>
            </a:ext>
          </a:extLst>
        </xdr:cNvPr>
        <xdr:cNvSpPr>
          <a:spLocks noChangeAspect="1"/>
        </xdr:cNvSpPr>
      </xdr:nvSpPr>
      <xdr:spPr>
        <a:xfrm>
          <a:off x="12161164" y="7147083"/>
          <a:ext cx="1308757" cy="252000"/>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36000" tIns="36000" rIns="36000" bIns="36000" rtlCol="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kumimoji="0" lang="en-ID" sz="1000" u="none" strike="noStrike" kern="1200" cap="none" spc="0" normalizeH="0" baseline="0">
              <a:ln>
                <a:noFill/>
              </a:ln>
              <a:solidFill>
                <a:schemeClr val="tx1"/>
              </a:solidFill>
              <a:effectLst/>
              <a:uLnTx/>
              <a:uFillTx/>
              <a:latin typeface="Century Gothic" panose="020B0502020202020204" pitchFamily="34" charset="0"/>
            </a:rPr>
            <a:t>Level Risiko </a:t>
          </a:r>
          <a:r>
            <a:rPr lang="en-ID" sz="1000">
              <a:solidFill>
                <a:schemeClr val="tx1"/>
              </a:solidFill>
              <a:latin typeface="Century Gothic" panose="020B0502020202020204" pitchFamily="34" charset="0"/>
            </a:rPr>
            <a:t>Residual</a:t>
          </a:r>
          <a:endParaRPr kumimoji="0" lang="en-ID" sz="1000" u="none" strike="noStrike" kern="1200" cap="none" spc="0" normalizeH="0" baseline="0">
            <a:ln>
              <a:noFill/>
            </a:ln>
            <a:solidFill>
              <a:schemeClr val="tx1"/>
            </a:solidFill>
            <a:effectLst/>
            <a:uLnTx/>
            <a:uFillTx/>
            <a:latin typeface="Century Gothic" panose="020B0502020202020204" pitchFamily="34" charset="0"/>
          </a:endParaRPr>
        </a:p>
      </xdr:txBody>
    </xdr:sp>
    <xdr:clientData/>
  </xdr:twoCellAnchor>
  <xdr:twoCellAnchor>
    <xdr:from>
      <xdr:col>15</xdr:col>
      <xdr:colOff>574184</xdr:colOff>
      <xdr:row>12</xdr:row>
      <xdr:rowOff>51803</xdr:rowOff>
    </xdr:from>
    <xdr:to>
      <xdr:col>16</xdr:col>
      <xdr:colOff>469831</xdr:colOff>
      <xdr:row>14</xdr:row>
      <xdr:rowOff>49677</xdr:rowOff>
    </xdr:to>
    <xdr:sp macro="" textlink="">
      <xdr:nvSpPr>
        <xdr:cNvPr id="2" name="Oval 141">
          <a:extLst>
            <a:ext uri="{FF2B5EF4-FFF2-40B4-BE49-F238E27FC236}">
              <a16:creationId xmlns:a16="http://schemas.microsoft.com/office/drawing/2014/main" xmlns="" id="{06275227-7B30-4807-BABD-40BFA0D11276}"/>
            </a:ext>
          </a:extLst>
        </xdr:cNvPr>
        <xdr:cNvSpPr/>
      </xdr:nvSpPr>
      <xdr:spPr>
        <a:xfrm>
          <a:off x="10448434" y="2655303"/>
          <a:ext cx="498897" cy="442374"/>
        </a:xfrm>
        <a:prstGeom prst="roundRect">
          <a:avLst/>
        </a:prstGeom>
        <a:solidFill>
          <a:srgbClr val="BDE1E5"/>
        </a:solidFill>
        <a:ln>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r>
            <a:rPr lang="en-US" sz="1000">
              <a:solidFill>
                <a:srgbClr val="002060"/>
              </a:solidFill>
              <a:latin typeface="+mj-lt"/>
            </a:rPr>
            <a:t>9</a:t>
          </a:r>
          <a:endParaRPr lang="id-ID" sz="1000">
            <a:solidFill>
              <a:srgbClr val="002060"/>
            </a:solidFill>
            <a:latin typeface="+mj-lt"/>
          </a:endParaRPr>
        </a:p>
      </xdr:txBody>
    </xdr:sp>
    <xdr:clientData/>
  </xdr:twoCellAnchor>
  <xdr:twoCellAnchor>
    <xdr:from>
      <xdr:col>10</xdr:col>
      <xdr:colOff>523120</xdr:colOff>
      <xdr:row>17</xdr:row>
      <xdr:rowOff>57259</xdr:rowOff>
    </xdr:from>
    <xdr:to>
      <xdr:col>11</xdr:col>
      <xdr:colOff>418769</xdr:colOff>
      <xdr:row>19</xdr:row>
      <xdr:rowOff>73236</xdr:rowOff>
    </xdr:to>
    <xdr:sp macro="" textlink="">
      <xdr:nvSpPr>
        <xdr:cNvPr id="3" name="Oval 139">
          <a:extLst>
            <a:ext uri="{FF2B5EF4-FFF2-40B4-BE49-F238E27FC236}">
              <a16:creationId xmlns:a16="http://schemas.microsoft.com/office/drawing/2014/main" xmlns="" id="{6E282484-58B3-4E55-A2E7-6B2C9BF03766}"/>
            </a:ext>
          </a:extLst>
        </xdr:cNvPr>
        <xdr:cNvSpPr/>
      </xdr:nvSpPr>
      <xdr:spPr>
        <a:xfrm>
          <a:off x="7381120" y="3772009"/>
          <a:ext cx="498899" cy="460477"/>
        </a:xfrm>
        <a:prstGeom prst="roundRect">
          <a:avLst/>
        </a:prstGeom>
        <a:solidFill>
          <a:srgbClr val="404040"/>
        </a:solidFill>
        <a:ln>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r>
            <a:rPr lang="en-US" sz="1000">
              <a:solidFill>
                <a:schemeClr val="bg1"/>
              </a:solidFill>
              <a:latin typeface="+mj-lt"/>
            </a:rPr>
            <a:t>9</a:t>
          </a:r>
          <a:endParaRPr lang="id-ID" sz="1000">
            <a:solidFill>
              <a:schemeClr val="bg1"/>
            </a:solidFill>
            <a:latin typeface="+mj-lt"/>
          </a:endParaRPr>
        </a:p>
      </xdr:txBody>
    </xdr:sp>
    <xdr:clientData/>
  </xdr:twoCellAnchor>
  <xdr:twoCellAnchor>
    <xdr:from>
      <xdr:col>24</xdr:col>
      <xdr:colOff>71601</xdr:colOff>
      <xdr:row>12</xdr:row>
      <xdr:rowOff>62823</xdr:rowOff>
    </xdr:from>
    <xdr:to>
      <xdr:col>24</xdr:col>
      <xdr:colOff>570498</xdr:colOff>
      <xdr:row>14</xdr:row>
      <xdr:rowOff>60697</xdr:rowOff>
    </xdr:to>
    <xdr:sp macro="" textlink="">
      <xdr:nvSpPr>
        <xdr:cNvPr id="38" name="Oval 141">
          <a:extLst>
            <a:ext uri="{FF2B5EF4-FFF2-40B4-BE49-F238E27FC236}">
              <a16:creationId xmlns:a16="http://schemas.microsoft.com/office/drawing/2014/main" xmlns="" id="{C6334945-878E-D43A-1E26-80CCBAEFC52A}"/>
            </a:ext>
          </a:extLst>
        </xdr:cNvPr>
        <xdr:cNvSpPr/>
      </xdr:nvSpPr>
      <xdr:spPr>
        <a:xfrm>
          <a:off x="15375101" y="2666323"/>
          <a:ext cx="498897" cy="442374"/>
        </a:xfrm>
        <a:prstGeom prst="roundRect">
          <a:avLst/>
        </a:prstGeom>
        <a:solidFill>
          <a:srgbClr val="BDE1E5"/>
        </a:solidFill>
        <a:ln>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r>
            <a:rPr lang="en-US" sz="1000">
              <a:solidFill>
                <a:srgbClr val="002060"/>
              </a:solidFill>
              <a:latin typeface="+mj-lt"/>
            </a:rPr>
            <a:t>17</a:t>
          </a:r>
          <a:endParaRPr lang="id-ID" sz="1000">
            <a:solidFill>
              <a:srgbClr val="002060"/>
            </a:solidFill>
            <a:latin typeface="+mj-lt"/>
          </a:endParaRPr>
        </a:p>
      </xdr:txBody>
    </xdr:sp>
    <xdr:clientData/>
  </xdr:twoCellAnchor>
  <xdr:twoCellAnchor>
    <xdr:from>
      <xdr:col>19</xdr:col>
      <xdr:colOff>101350</xdr:colOff>
      <xdr:row>24</xdr:row>
      <xdr:rowOff>100751</xdr:rowOff>
    </xdr:from>
    <xdr:to>
      <xdr:col>20</xdr:col>
      <xdr:colOff>17543</xdr:colOff>
      <xdr:row>26</xdr:row>
      <xdr:rowOff>116727</xdr:rowOff>
    </xdr:to>
    <xdr:sp macro="" textlink="">
      <xdr:nvSpPr>
        <xdr:cNvPr id="39" name="Oval 139">
          <a:extLst>
            <a:ext uri="{FF2B5EF4-FFF2-40B4-BE49-F238E27FC236}">
              <a16:creationId xmlns:a16="http://schemas.microsoft.com/office/drawing/2014/main" xmlns="" id="{BE0074B8-592D-45DE-470B-1306455E0161}"/>
            </a:ext>
          </a:extLst>
        </xdr:cNvPr>
        <xdr:cNvSpPr/>
      </xdr:nvSpPr>
      <xdr:spPr>
        <a:xfrm>
          <a:off x="12388600" y="5371251"/>
          <a:ext cx="519443" cy="460476"/>
        </a:xfrm>
        <a:prstGeom prst="roundRect">
          <a:avLst/>
        </a:prstGeom>
        <a:solidFill>
          <a:srgbClr val="404040"/>
        </a:solidFill>
        <a:ln>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r>
            <a:rPr lang="en-US" sz="1000">
              <a:solidFill>
                <a:schemeClr val="bg1"/>
              </a:solidFill>
              <a:latin typeface="+mj-lt"/>
            </a:rPr>
            <a:t>17</a:t>
          </a:r>
          <a:endParaRPr lang="id-ID" sz="1000">
            <a:solidFill>
              <a:schemeClr val="bg1"/>
            </a:solidFill>
            <a:latin typeface="+mj-lt"/>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11206</xdr:colOff>
      <xdr:row>6</xdr:row>
      <xdr:rowOff>145677</xdr:rowOff>
    </xdr:from>
    <xdr:to>
      <xdr:col>9</xdr:col>
      <xdr:colOff>347383</xdr:colOff>
      <xdr:row>19</xdr:row>
      <xdr:rowOff>81803</xdr:rowOff>
    </xdr:to>
    <xdr:pic>
      <xdr:nvPicPr>
        <xdr:cNvPr id="2" name="Picture 1" descr="A screenshot of a computer&#10;&#10;Description automatically generated">
          <a:extLst>
            <a:ext uri="{FF2B5EF4-FFF2-40B4-BE49-F238E27FC236}">
              <a16:creationId xmlns:a16="http://schemas.microsoft.com/office/drawing/2014/main" xmlns="" id="{D6F837F6-CCC9-4392-A5A6-ED962ADCFC2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2231" y="1650627"/>
          <a:ext cx="4603377" cy="2288801"/>
        </a:xfrm>
        <a:prstGeom prst="rect">
          <a:avLst/>
        </a:prstGeom>
      </xdr:spPr>
    </xdr:pic>
    <xdr:clientData/>
  </xdr:twoCellAnchor>
  <xdr:twoCellAnchor editAs="oneCell">
    <xdr:from>
      <xdr:col>2</xdr:col>
      <xdr:colOff>67235</xdr:colOff>
      <xdr:row>21</xdr:row>
      <xdr:rowOff>145677</xdr:rowOff>
    </xdr:from>
    <xdr:to>
      <xdr:col>9</xdr:col>
      <xdr:colOff>403412</xdr:colOff>
      <xdr:row>34</xdr:row>
      <xdr:rowOff>81804</xdr:rowOff>
    </xdr:to>
    <xdr:pic>
      <xdr:nvPicPr>
        <xdr:cNvPr id="3" name="Picture 2" descr="A screenshot of a computer&#10;&#10;Description automatically generated with medium confidence">
          <a:extLst>
            <a:ext uri="{FF2B5EF4-FFF2-40B4-BE49-F238E27FC236}">
              <a16:creationId xmlns:a16="http://schemas.microsoft.com/office/drawing/2014/main" xmlns="" id="{4AE929EC-8931-472F-93E9-41684E188AC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8260" y="4365252"/>
          <a:ext cx="4603377" cy="2288802"/>
        </a:xfrm>
        <a:prstGeom prst="rect">
          <a:avLst/>
        </a:prstGeom>
      </xdr:spPr>
    </xdr:pic>
    <xdr:clientData/>
  </xdr:twoCellAnchor>
  <xdr:twoCellAnchor editAs="oneCell">
    <xdr:from>
      <xdr:col>2</xdr:col>
      <xdr:colOff>100853</xdr:colOff>
      <xdr:row>36</xdr:row>
      <xdr:rowOff>112058</xdr:rowOff>
    </xdr:from>
    <xdr:to>
      <xdr:col>9</xdr:col>
      <xdr:colOff>437030</xdr:colOff>
      <xdr:row>48</xdr:row>
      <xdr:rowOff>65553</xdr:rowOff>
    </xdr:to>
    <xdr:pic>
      <xdr:nvPicPr>
        <xdr:cNvPr id="4" name="Picture 3" descr="A screenshot of a computer&#10;&#10;Description automatically generated">
          <a:extLst>
            <a:ext uri="{FF2B5EF4-FFF2-40B4-BE49-F238E27FC236}">
              <a16:creationId xmlns:a16="http://schemas.microsoft.com/office/drawing/2014/main" xmlns="" id="{52F6F016-E6E0-43D8-8EFA-BA84BDF4601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81878" y="7046258"/>
          <a:ext cx="4603377" cy="2125195"/>
        </a:xfrm>
        <a:prstGeom prst="rect">
          <a:avLst/>
        </a:prstGeom>
      </xdr:spPr>
    </xdr:pic>
    <xdr:clientData/>
  </xdr:twoCellAnchor>
  <xdr:twoCellAnchor editAs="oneCell">
    <xdr:from>
      <xdr:col>2</xdr:col>
      <xdr:colOff>44824</xdr:colOff>
      <xdr:row>50</xdr:row>
      <xdr:rowOff>145676</xdr:rowOff>
    </xdr:from>
    <xdr:to>
      <xdr:col>9</xdr:col>
      <xdr:colOff>381001</xdr:colOff>
      <xdr:row>62</xdr:row>
      <xdr:rowOff>42023</xdr:rowOff>
    </xdr:to>
    <xdr:pic>
      <xdr:nvPicPr>
        <xdr:cNvPr id="5" name="Picture 4" descr="A screenshot of a computer&#10;&#10;Description automatically generated">
          <a:extLst>
            <a:ext uri="{FF2B5EF4-FFF2-40B4-BE49-F238E27FC236}">
              <a16:creationId xmlns:a16="http://schemas.microsoft.com/office/drawing/2014/main" xmlns="" id="{7C4C07DA-660F-4749-BD10-F487A02DBFC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25849" y="9613526"/>
          <a:ext cx="4603377" cy="2068047"/>
        </a:xfrm>
        <a:prstGeom prst="rect">
          <a:avLst/>
        </a:prstGeom>
      </xdr:spPr>
    </xdr:pic>
    <xdr:clientData/>
  </xdr:twoCellAnchor>
  <xdr:twoCellAnchor editAs="oneCell">
    <xdr:from>
      <xdr:col>2</xdr:col>
      <xdr:colOff>89648</xdr:colOff>
      <xdr:row>71</xdr:row>
      <xdr:rowOff>89647</xdr:rowOff>
    </xdr:from>
    <xdr:to>
      <xdr:col>9</xdr:col>
      <xdr:colOff>425825</xdr:colOff>
      <xdr:row>77</xdr:row>
      <xdr:rowOff>118784</xdr:rowOff>
    </xdr:to>
    <xdr:pic>
      <xdr:nvPicPr>
        <xdr:cNvPr id="6" name="Picture 5" descr="A screenshot of a computer&#10;&#10;Description automatically generated">
          <a:extLst>
            <a:ext uri="{FF2B5EF4-FFF2-40B4-BE49-F238E27FC236}">
              <a16:creationId xmlns:a16="http://schemas.microsoft.com/office/drawing/2014/main" xmlns="" id="{D139F7D0-D7B6-4C78-9E54-7CED917F2C7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70673" y="14339047"/>
          <a:ext cx="4603377" cy="1124512"/>
        </a:xfrm>
        <a:prstGeom prst="rect">
          <a:avLst/>
        </a:prstGeom>
      </xdr:spPr>
    </xdr:pic>
    <xdr:clientData/>
  </xdr:twoCellAnchor>
  <xdr:twoCellAnchor editAs="oneCell">
    <xdr:from>
      <xdr:col>2</xdr:col>
      <xdr:colOff>0</xdr:colOff>
      <xdr:row>85</xdr:row>
      <xdr:rowOff>100853</xdr:rowOff>
    </xdr:from>
    <xdr:to>
      <xdr:col>9</xdr:col>
      <xdr:colOff>336177</xdr:colOff>
      <xdr:row>96</xdr:row>
      <xdr:rowOff>24094</xdr:rowOff>
    </xdr:to>
    <xdr:pic>
      <xdr:nvPicPr>
        <xdr:cNvPr id="7" name="Picture 6" descr="A screenshot of a computer&#10;&#10;Description automatically generated">
          <a:extLst>
            <a:ext uri="{FF2B5EF4-FFF2-40B4-BE49-F238E27FC236}">
              <a16:creationId xmlns:a16="http://schemas.microsoft.com/office/drawing/2014/main" xmlns="" id="{ADF1C2DB-4929-4C28-BF2C-F92020056F7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81025" y="17807828"/>
          <a:ext cx="4603377" cy="1913966"/>
        </a:xfrm>
        <a:prstGeom prst="rect">
          <a:avLst/>
        </a:prstGeom>
      </xdr:spPr>
    </xdr:pic>
    <xdr:clientData/>
  </xdr:twoCellAnchor>
  <xdr:twoCellAnchor editAs="oneCell">
    <xdr:from>
      <xdr:col>2</xdr:col>
      <xdr:colOff>67235</xdr:colOff>
      <xdr:row>104</xdr:row>
      <xdr:rowOff>100853</xdr:rowOff>
    </xdr:from>
    <xdr:to>
      <xdr:col>9</xdr:col>
      <xdr:colOff>403412</xdr:colOff>
      <xdr:row>114</xdr:row>
      <xdr:rowOff>3361</xdr:rowOff>
    </xdr:to>
    <xdr:pic>
      <xdr:nvPicPr>
        <xdr:cNvPr id="8" name="Picture 7" descr="A screenshot of a computer&#10;&#10;Description automatically generated">
          <a:extLst>
            <a:ext uri="{FF2B5EF4-FFF2-40B4-BE49-F238E27FC236}">
              <a16:creationId xmlns:a16="http://schemas.microsoft.com/office/drawing/2014/main" xmlns="" id="{8B8BDF30-96F4-4063-A872-47348D1049A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48260" y="22008353"/>
          <a:ext cx="4603377" cy="1712258"/>
        </a:xfrm>
        <a:prstGeom prst="rect">
          <a:avLst/>
        </a:prstGeom>
      </xdr:spPr>
    </xdr:pic>
    <xdr:clientData/>
  </xdr:twoCellAnchor>
  <xdr:twoCellAnchor editAs="oneCell">
    <xdr:from>
      <xdr:col>2</xdr:col>
      <xdr:colOff>44824</xdr:colOff>
      <xdr:row>122</xdr:row>
      <xdr:rowOff>56029</xdr:rowOff>
    </xdr:from>
    <xdr:to>
      <xdr:col>9</xdr:col>
      <xdr:colOff>381001</xdr:colOff>
      <xdr:row>130</xdr:row>
      <xdr:rowOff>117101</xdr:rowOff>
    </xdr:to>
    <xdr:pic>
      <xdr:nvPicPr>
        <xdr:cNvPr id="9" name="Picture 8" descr="A screenshot of a computer&#10;&#10;Description automatically generated">
          <a:extLst>
            <a:ext uri="{FF2B5EF4-FFF2-40B4-BE49-F238E27FC236}">
              <a16:creationId xmlns:a16="http://schemas.microsoft.com/office/drawing/2014/main" xmlns="" id="{C8D6A34D-36DA-4504-950B-487F31ABAB0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25849" y="25906879"/>
          <a:ext cx="4603377" cy="1508872"/>
        </a:xfrm>
        <a:prstGeom prst="rect">
          <a:avLst/>
        </a:prstGeom>
      </xdr:spPr>
    </xdr:pic>
    <xdr:clientData/>
  </xdr:twoCellAnchor>
  <xdr:twoCellAnchor editAs="oneCell">
    <xdr:from>
      <xdr:col>2</xdr:col>
      <xdr:colOff>78441</xdr:colOff>
      <xdr:row>138</xdr:row>
      <xdr:rowOff>33618</xdr:rowOff>
    </xdr:from>
    <xdr:to>
      <xdr:col>9</xdr:col>
      <xdr:colOff>414618</xdr:colOff>
      <xdr:row>147</xdr:row>
      <xdr:rowOff>48746</xdr:rowOff>
    </xdr:to>
    <xdr:pic>
      <xdr:nvPicPr>
        <xdr:cNvPr id="10" name="Picture 9" descr="A screenshot of a computer&#10;&#10;Description automatically generated">
          <a:extLst>
            <a:ext uri="{FF2B5EF4-FFF2-40B4-BE49-F238E27FC236}">
              <a16:creationId xmlns:a16="http://schemas.microsoft.com/office/drawing/2014/main" xmlns="" id="{334CDC62-F2F6-4183-9924-629E851FBCE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59466" y="29523018"/>
          <a:ext cx="4603377" cy="1643903"/>
        </a:xfrm>
        <a:prstGeom prst="rect">
          <a:avLst/>
        </a:prstGeom>
      </xdr:spPr>
    </xdr:pic>
    <xdr:clientData/>
  </xdr:twoCellAnchor>
  <xdr:twoCellAnchor editAs="oneCell">
    <xdr:from>
      <xdr:col>2</xdr:col>
      <xdr:colOff>56029</xdr:colOff>
      <xdr:row>155</xdr:row>
      <xdr:rowOff>67236</xdr:rowOff>
    </xdr:from>
    <xdr:to>
      <xdr:col>9</xdr:col>
      <xdr:colOff>392206</xdr:colOff>
      <xdr:row>164</xdr:row>
      <xdr:rowOff>15689</xdr:rowOff>
    </xdr:to>
    <xdr:pic>
      <xdr:nvPicPr>
        <xdr:cNvPr id="11" name="Picture 10" descr="A screenshot of a computer&#10;&#10;Description automatically generated">
          <a:extLst>
            <a:ext uri="{FF2B5EF4-FFF2-40B4-BE49-F238E27FC236}">
              <a16:creationId xmlns:a16="http://schemas.microsoft.com/office/drawing/2014/main" xmlns="" id="{EB92DC34-CAF8-4FC1-98E0-B856666EA5C6}"/>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37054" y="33385686"/>
          <a:ext cx="4603377" cy="1577228"/>
        </a:xfrm>
        <a:prstGeom prst="rect">
          <a:avLst/>
        </a:prstGeom>
      </xdr:spPr>
    </xdr:pic>
    <xdr:clientData/>
  </xdr:twoCellAnchor>
  <xdr:twoCellAnchor editAs="oneCell">
    <xdr:from>
      <xdr:col>2</xdr:col>
      <xdr:colOff>33618</xdr:colOff>
      <xdr:row>172</xdr:row>
      <xdr:rowOff>0</xdr:rowOff>
    </xdr:from>
    <xdr:to>
      <xdr:col>9</xdr:col>
      <xdr:colOff>369795</xdr:colOff>
      <xdr:row>179</xdr:row>
      <xdr:rowOff>164165</xdr:rowOff>
    </xdr:to>
    <xdr:pic>
      <xdr:nvPicPr>
        <xdr:cNvPr id="12" name="Picture 11" descr="A screenshot of a computer&#10;&#10;Description automatically generated">
          <a:extLst>
            <a:ext uri="{FF2B5EF4-FFF2-40B4-BE49-F238E27FC236}">
              <a16:creationId xmlns:a16="http://schemas.microsoft.com/office/drawing/2014/main" xmlns="" id="{6CC27DFF-9283-4976-BBC0-876FC94D26C3}"/>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614643" y="37128450"/>
          <a:ext cx="4603377" cy="1430990"/>
        </a:xfrm>
        <a:prstGeom prst="rect">
          <a:avLst/>
        </a:prstGeom>
      </xdr:spPr>
    </xdr:pic>
    <xdr:clientData/>
  </xdr:twoCellAnchor>
  <xdr:twoCellAnchor editAs="oneCell">
    <xdr:from>
      <xdr:col>2</xdr:col>
      <xdr:colOff>0</xdr:colOff>
      <xdr:row>187</xdr:row>
      <xdr:rowOff>0</xdr:rowOff>
    </xdr:from>
    <xdr:to>
      <xdr:col>9</xdr:col>
      <xdr:colOff>336177</xdr:colOff>
      <xdr:row>195</xdr:row>
      <xdr:rowOff>3921</xdr:rowOff>
    </xdr:to>
    <xdr:pic>
      <xdr:nvPicPr>
        <xdr:cNvPr id="13" name="Picture 12" descr="A screenshot of a computer&#10;&#10;Description automatically generated">
          <a:extLst>
            <a:ext uri="{FF2B5EF4-FFF2-40B4-BE49-F238E27FC236}">
              <a16:creationId xmlns:a16="http://schemas.microsoft.com/office/drawing/2014/main" xmlns="" id="{F94FECB9-0DA8-4F82-AD5A-9B634EA4F5FE}"/>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81025" y="40595550"/>
          <a:ext cx="4603377" cy="1451721"/>
        </a:xfrm>
        <a:prstGeom prst="rect">
          <a:avLst/>
        </a:prstGeom>
      </xdr:spPr>
    </xdr:pic>
    <xdr:clientData/>
  </xdr:twoCellAnchor>
  <xdr:twoCellAnchor editAs="oneCell">
    <xdr:from>
      <xdr:col>2</xdr:col>
      <xdr:colOff>0</xdr:colOff>
      <xdr:row>202</xdr:row>
      <xdr:rowOff>0</xdr:rowOff>
    </xdr:from>
    <xdr:to>
      <xdr:col>9</xdr:col>
      <xdr:colOff>336177</xdr:colOff>
      <xdr:row>209</xdr:row>
      <xdr:rowOff>154641</xdr:rowOff>
    </xdr:to>
    <xdr:pic>
      <xdr:nvPicPr>
        <xdr:cNvPr id="14" name="Picture 13" descr="A screenshot of a computer&#10;&#10;Description automatically generated">
          <a:extLst>
            <a:ext uri="{FF2B5EF4-FFF2-40B4-BE49-F238E27FC236}">
              <a16:creationId xmlns:a16="http://schemas.microsoft.com/office/drawing/2014/main" xmlns="" id="{C3E96405-9BB8-4BE8-8930-9A74C07CB28B}"/>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581025" y="44034075"/>
          <a:ext cx="4603377" cy="1421466"/>
        </a:xfrm>
        <a:prstGeom prst="rect">
          <a:avLst/>
        </a:prstGeom>
      </xdr:spPr>
    </xdr:pic>
    <xdr:clientData/>
  </xdr:twoCellAnchor>
  <xdr:twoCellAnchor editAs="oneCell">
    <xdr:from>
      <xdr:col>2</xdr:col>
      <xdr:colOff>0</xdr:colOff>
      <xdr:row>217</xdr:row>
      <xdr:rowOff>0</xdr:rowOff>
    </xdr:from>
    <xdr:to>
      <xdr:col>9</xdr:col>
      <xdr:colOff>336177</xdr:colOff>
      <xdr:row>224</xdr:row>
      <xdr:rowOff>126066</xdr:rowOff>
    </xdr:to>
    <xdr:pic>
      <xdr:nvPicPr>
        <xdr:cNvPr id="15" name="Picture 14" descr="A screenshot of a computer&#10;&#10;Description automatically generated">
          <a:extLst>
            <a:ext uri="{FF2B5EF4-FFF2-40B4-BE49-F238E27FC236}">
              <a16:creationId xmlns:a16="http://schemas.microsoft.com/office/drawing/2014/main" xmlns="" id="{4F31D2E8-47F5-43EF-9CB0-BCC0C70132F5}"/>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581025" y="47491650"/>
          <a:ext cx="4603377" cy="1392891"/>
        </a:xfrm>
        <a:prstGeom prst="rect">
          <a:avLst/>
        </a:prstGeom>
      </xdr:spPr>
    </xdr:pic>
    <xdr:clientData/>
  </xdr:twoCellAnchor>
  <xdr:twoCellAnchor editAs="oneCell">
    <xdr:from>
      <xdr:col>2</xdr:col>
      <xdr:colOff>0</xdr:colOff>
      <xdr:row>232</xdr:row>
      <xdr:rowOff>0</xdr:rowOff>
    </xdr:from>
    <xdr:to>
      <xdr:col>9</xdr:col>
      <xdr:colOff>336177</xdr:colOff>
      <xdr:row>235</xdr:row>
      <xdr:rowOff>109817</xdr:rowOff>
    </xdr:to>
    <xdr:pic>
      <xdr:nvPicPr>
        <xdr:cNvPr id="16" name="Picture 15" descr="A screenshot of a computer&#10;&#10;Description automatically generated">
          <a:extLst>
            <a:ext uri="{FF2B5EF4-FFF2-40B4-BE49-F238E27FC236}">
              <a16:creationId xmlns:a16="http://schemas.microsoft.com/office/drawing/2014/main" xmlns="" id="{5B88898D-D7AE-49CB-8D07-67E78E12EEFC}"/>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581025" y="50930175"/>
          <a:ext cx="4603377" cy="652742"/>
        </a:xfrm>
        <a:prstGeom prst="rect">
          <a:avLst/>
        </a:prstGeom>
      </xdr:spPr>
    </xdr:pic>
    <xdr:clientData/>
  </xdr:twoCellAnchor>
  <xdr:twoCellAnchor editAs="oneCell">
    <xdr:from>
      <xdr:col>2</xdr:col>
      <xdr:colOff>0</xdr:colOff>
      <xdr:row>241</xdr:row>
      <xdr:rowOff>0</xdr:rowOff>
    </xdr:from>
    <xdr:to>
      <xdr:col>9</xdr:col>
      <xdr:colOff>336177</xdr:colOff>
      <xdr:row>249</xdr:row>
      <xdr:rowOff>127746</xdr:rowOff>
    </xdr:to>
    <xdr:pic>
      <xdr:nvPicPr>
        <xdr:cNvPr id="17" name="Picture 16" descr="A screenshot of a computer&#10;&#10;Description automatically generated">
          <a:extLst>
            <a:ext uri="{FF2B5EF4-FFF2-40B4-BE49-F238E27FC236}">
              <a16:creationId xmlns:a16="http://schemas.microsoft.com/office/drawing/2014/main" xmlns="" id="{D313C4F3-C4E1-4788-BC10-DE00184C18E3}"/>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581025" y="53340000"/>
          <a:ext cx="4603377" cy="1575546"/>
        </a:xfrm>
        <a:prstGeom prst="rect">
          <a:avLst/>
        </a:prstGeom>
      </xdr:spPr>
    </xdr:pic>
    <xdr:clientData/>
  </xdr:twoCellAnchor>
  <xdr:twoCellAnchor editAs="oneCell">
    <xdr:from>
      <xdr:col>1</xdr:col>
      <xdr:colOff>112059</xdr:colOff>
      <xdr:row>256</xdr:row>
      <xdr:rowOff>67235</xdr:rowOff>
    </xdr:from>
    <xdr:to>
      <xdr:col>9</xdr:col>
      <xdr:colOff>156883</xdr:colOff>
      <xdr:row>263</xdr:row>
      <xdr:rowOff>1121</xdr:rowOff>
    </xdr:to>
    <xdr:pic>
      <xdr:nvPicPr>
        <xdr:cNvPr id="25" name="Picture 17" descr="A screenshot of a computer&#10;&#10;Description automatically generated">
          <a:extLst>
            <a:ext uri="{FF2B5EF4-FFF2-40B4-BE49-F238E27FC236}">
              <a16:creationId xmlns:a16="http://schemas.microsoft.com/office/drawing/2014/main" xmlns="" id="{DA40EE15-3A02-4C49-871E-C9980B3BB47C}"/>
            </a:ext>
            <a:ext uri="{147F2762-F138-4A5C-976F-8EAC2B608ADB}">
              <a16:predDERef xmlns:a16="http://schemas.microsoft.com/office/drawing/2014/main" xmlns="" pred="{D313C4F3-C4E1-4788-BC10-DE00184C18E3}"/>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397809" y="56826710"/>
          <a:ext cx="4607299" cy="1191186"/>
        </a:xfrm>
        <a:prstGeom prst="rect">
          <a:avLst/>
        </a:prstGeom>
      </xdr:spPr>
    </xdr:pic>
    <xdr:clientData/>
  </xdr:twoCellAnchor>
  <xdr:twoCellAnchor editAs="oneCell">
    <xdr:from>
      <xdr:col>2</xdr:col>
      <xdr:colOff>78442</xdr:colOff>
      <xdr:row>274</xdr:row>
      <xdr:rowOff>22412</xdr:rowOff>
    </xdr:from>
    <xdr:to>
      <xdr:col>10</xdr:col>
      <xdr:colOff>542926</xdr:colOff>
      <xdr:row>284</xdr:row>
      <xdr:rowOff>41762</xdr:rowOff>
    </xdr:to>
    <xdr:pic>
      <xdr:nvPicPr>
        <xdr:cNvPr id="19" name="Picture 18" descr="A screenshot of a computer&#10;&#10;Description automatically generated">
          <a:extLst>
            <a:ext uri="{FF2B5EF4-FFF2-40B4-BE49-F238E27FC236}">
              <a16:creationId xmlns:a16="http://schemas.microsoft.com/office/drawing/2014/main" xmlns="" id="{163446A7-E875-43AB-8B16-83EB4B97C346}"/>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659467" y="60048962"/>
          <a:ext cx="5341284" cy="1829100"/>
        </a:xfrm>
        <a:prstGeom prst="rect">
          <a:avLst/>
        </a:prstGeom>
      </xdr:spPr>
    </xdr:pic>
    <xdr:clientData/>
  </xdr:twoCellAnchor>
  <xdr:twoCellAnchor editAs="oneCell">
    <xdr:from>
      <xdr:col>2</xdr:col>
      <xdr:colOff>44824</xdr:colOff>
      <xdr:row>288</xdr:row>
      <xdr:rowOff>44824</xdr:rowOff>
    </xdr:from>
    <xdr:to>
      <xdr:col>10</xdr:col>
      <xdr:colOff>448983</xdr:colOff>
      <xdr:row>302</xdr:row>
      <xdr:rowOff>15015</xdr:rowOff>
    </xdr:to>
    <xdr:pic>
      <xdr:nvPicPr>
        <xdr:cNvPr id="20" name="Picture 19" descr="A screenshot of a computer&#10;&#10;Description automatically generated">
          <a:extLst>
            <a:ext uri="{FF2B5EF4-FFF2-40B4-BE49-F238E27FC236}">
              <a16:creationId xmlns:a16="http://schemas.microsoft.com/office/drawing/2014/main" xmlns="" id="{B14D86E6-84AF-4A75-B4A0-E6CFB718FECE}"/>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625849" y="62605024"/>
          <a:ext cx="5280959" cy="2503841"/>
        </a:xfrm>
        <a:prstGeom prst="rect">
          <a:avLst/>
        </a:prstGeom>
      </xdr:spPr>
    </xdr:pic>
    <xdr:clientData/>
  </xdr:twoCellAnchor>
  <xdr:twoCellAnchor editAs="oneCell">
    <xdr:from>
      <xdr:col>3</xdr:col>
      <xdr:colOff>17545</xdr:colOff>
      <xdr:row>307</xdr:row>
      <xdr:rowOff>68820</xdr:rowOff>
    </xdr:from>
    <xdr:to>
      <xdr:col>11</xdr:col>
      <xdr:colOff>461074</xdr:colOff>
      <xdr:row>312</xdr:row>
      <xdr:rowOff>30870</xdr:rowOff>
    </xdr:to>
    <xdr:pic>
      <xdr:nvPicPr>
        <xdr:cNvPr id="21" name="Picture 20" descr="A screenshot of a computer&#10;&#10;Description automatically generated">
          <a:extLst>
            <a:ext uri="{FF2B5EF4-FFF2-40B4-BE49-F238E27FC236}">
              <a16:creationId xmlns:a16="http://schemas.microsoft.com/office/drawing/2014/main" xmlns="" id="{00A64CC7-6836-448E-9A90-C53915786B69}"/>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208170" y="66067545"/>
          <a:ext cx="5320329" cy="866925"/>
        </a:xfrm>
        <a:prstGeom prst="rect">
          <a:avLst/>
        </a:prstGeom>
      </xdr:spPr>
    </xdr:pic>
    <xdr:clientData/>
  </xdr:twoCellAnchor>
  <xdr:twoCellAnchor editAs="oneCell">
    <xdr:from>
      <xdr:col>2</xdr:col>
      <xdr:colOff>0</xdr:colOff>
      <xdr:row>349</xdr:row>
      <xdr:rowOff>0</xdr:rowOff>
    </xdr:from>
    <xdr:to>
      <xdr:col>9</xdr:col>
      <xdr:colOff>336177</xdr:colOff>
      <xdr:row>355</xdr:row>
      <xdr:rowOff>133910</xdr:rowOff>
    </xdr:to>
    <xdr:pic>
      <xdr:nvPicPr>
        <xdr:cNvPr id="22" name="Picture 21" descr="A screenshot of a computer&#10;&#10;Description automatically generated">
          <a:extLst>
            <a:ext uri="{FF2B5EF4-FFF2-40B4-BE49-F238E27FC236}">
              <a16:creationId xmlns:a16="http://schemas.microsoft.com/office/drawing/2014/main" xmlns="" id="{4CB4C836-3975-4100-8928-9F0CC23296B0}"/>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581025" y="73609200"/>
          <a:ext cx="4603377" cy="1219760"/>
        </a:xfrm>
        <a:prstGeom prst="rect">
          <a:avLst/>
        </a:prstGeom>
      </xdr:spPr>
    </xdr:pic>
    <xdr:clientData/>
  </xdr:twoCellAnchor>
  <xdr:twoCellAnchor editAs="oneCell">
    <xdr:from>
      <xdr:col>2</xdr:col>
      <xdr:colOff>0</xdr:colOff>
      <xdr:row>362</xdr:row>
      <xdr:rowOff>0</xdr:rowOff>
    </xdr:from>
    <xdr:to>
      <xdr:col>9</xdr:col>
      <xdr:colOff>329046</xdr:colOff>
      <xdr:row>370</xdr:row>
      <xdr:rowOff>4426</xdr:rowOff>
    </xdr:to>
    <xdr:pic>
      <xdr:nvPicPr>
        <xdr:cNvPr id="23" name="Picture 22" descr="A screenshot of a computer&#10;&#10;Description automatically generated">
          <a:extLst>
            <a:ext uri="{FF2B5EF4-FFF2-40B4-BE49-F238E27FC236}">
              <a16:creationId xmlns:a16="http://schemas.microsoft.com/office/drawing/2014/main" xmlns="" id="{AA3B7315-B507-4B6D-88D9-FFE205FDAC68}"/>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581025" y="75961875"/>
          <a:ext cx="4596246" cy="14522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5442</xdr:colOff>
      <xdr:row>59</xdr:row>
      <xdr:rowOff>61232</xdr:rowOff>
    </xdr:from>
    <xdr:to>
      <xdr:col>11</xdr:col>
      <xdr:colOff>566329</xdr:colOff>
      <xdr:row>85</xdr:row>
      <xdr:rowOff>78377</xdr:rowOff>
    </xdr:to>
    <xdr:grpSp>
      <xdr:nvGrpSpPr>
        <xdr:cNvPr id="2" name="Group 1">
          <a:extLst>
            <a:ext uri="{FF2B5EF4-FFF2-40B4-BE49-F238E27FC236}">
              <a16:creationId xmlns:a16="http://schemas.microsoft.com/office/drawing/2014/main" xmlns="" id="{8938B22B-FF27-454D-9538-02CF3000D535}"/>
            </a:ext>
          </a:extLst>
        </xdr:cNvPr>
        <xdr:cNvGrpSpPr/>
      </xdr:nvGrpSpPr>
      <xdr:grpSpPr>
        <a:xfrm>
          <a:off x="2100942" y="19150646"/>
          <a:ext cx="4876697" cy="4799352"/>
          <a:chOff x="1847850" y="17011650"/>
          <a:chExt cx="4825365" cy="4722495"/>
        </a:xfrm>
      </xdr:grpSpPr>
      <xdr:pic>
        <xdr:nvPicPr>
          <xdr:cNvPr id="3" name="Picture 2" descr="A screenshot of a computer&#10;&#10;Description automatically generated">
            <a:extLst>
              <a:ext uri="{FF2B5EF4-FFF2-40B4-BE49-F238E27FC236}">
                <a16:creationId xmlns:a16="http://schemas.microsoft.com/office/drawing/2014/main" xmlns="" id="{5DD2503A-138E-3F78-6617-45C575CB6D0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7850" y="17011650"/>
            <a:ext cx="4825365" cy="2781300"/>
          </a:xfrm>
          <a:prstGeom prst="rect">
            <a:avLst/>
          </a:prstGeom>
          <a:noFill/>
        </xdr:spPr>
      </xdr:pic>
      <xdr:sp macro="" textlink="">
        <xdr:nvSpPr>
          <xdr:cNvPr id="4" name="Arrow: Chevron 3">
            <a:extLst>
              <a:ext uri="{FF2B5EF4-FFF2-40B4-BE49-F238E27FC236}">
                <a16:creationId xmlns:a16="http://schemas.microsoft.com/office/drawing/2014/main" xmlns="" id="{1359FF87-2808-C2A1-DAE5-8D90DDAC99FC}"/>
              </a:ext>
            </a:extLst>
          </xdr:cNvPr>
          <xdr:cNvSpPr/>
        </xdr:nvSpPr>
        <xdr:spPr>
          <a:xfrm rot="5400000">
            <a:off x="3943350" y="19688175"/>
            <a:ext cx="393700" cy="732790"/>
          </a:xfrm>
          <a:prstGeom prst="chevron">
            <a:avLst>
              <a:gd name="adj" fmla="val 54545"/>
            </a:avLst>
          </a:prstGeom>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ID"/>
          </a:p>
        </xdr:txBody>
      </xdr:sp>
      <xdr:pic>
        <xdr:nvPicPr>
          <xdr:cNvPr id="5" name="Picture 4" descr="A screenshot of a computer&#10;&#10;Description automatically generated">
            <a:extLst>
              <a:ext uri="{FF2B5EF4-FFF2-40B4-BE49-F238E27FC236}">
                <a16:creationId xmlns:a16="http://schemas.microsoft.com/office/drawing/2014/main" xmlns="" id="{593A23D1-4D66-ED8F-F75D-91605E95745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354705" y="20333970"/>
            <a:ext cx="1584960" cy="1400175"/>
          </a:xfrm>
          <a:prstGeom prst="rect">
            <a:avLst/>
          </a:prstGeom>
          <a:noFill/>
        </xdr:spPr>
      </xdr:pic>
    </xdr:grpSp>
    <xdr:clientData/>
  </xdr:twoCellAnchor>
  <xdr:twoCellAnchor editAs="oneCell">
    <xdr:from>
      <xdr:col>4</xdr:col>
      <xdr:colOff>206828</xdr:colOff>
      <xdr:row>88</xdr:row>
      <xdr:rowOff>63954</xdr:rowOff>
    </xdr:from>
    <xdr:to>
      <xdr:col>11</xdr:col>
      <xdr:colOff>93798</xdr:colOff>
      <xdr:row>100</xdr:row>
      <xdr:rowOff>25852</xdr:rowOff>
    </xdr:to>
    <xdr:pic>
      <xdr:nvPicPr>
        <xdr:cNvPr id="6" name="Picture 5">
          <a:extLst>
            <a:ext uri="{FF2B5EF4-FFF2-40B4-BE49-F238E27FC236}">
              <a16:creationId xmlns:a16="http://schemas.microsoft.com/office/drawing/2014/main" xmlns="" id="{44065BFA-B9C5-493A-8083-A288D2ADB34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2328" y="24743229"/>
          <a:ext cx="4192270" cy="2133598"/>
        </a:xfrm>
        <a:prstGeom prst="rect">
          <a:avLst/>
        </a:prstGeom>
        <a:noFill/>
      </xdr:spPr>
    </xdr:pic>
    <xdr:clientData/>
  </xdr:twoCellAnchor>
  <xdr:twoCellAnchor>
    <xdr:from>
      <xdr:col>3</xdr:col>
      <xdr:colOff>133350</xdr:colOff>
      <xdr:row>103</xdr:row>
      <xdr:rowOff>50346</xdr:rowOff>
    </xdr:from>
    <xdr:to>
      <xdr:col>10</xdr:col>
      <xdr:colOff>10886</xdr:colOff>
      <xdr:row>127</xdr:row>
      <xdr:rowOff>39551</xdr:rowOff>
    </xdr:to>
    <xdr:grpSp>
      <xdr:nvGrpSpPr>
        <xdr:cNvPr id="7" name="Group 6">
          <a:extLst>
            <a:ext uri="{FF2B5EF4-FFF2-40B4-BE49-F238E27FC236}">
              <a16:creationId xmlns:a16="http://schemas.microsoft.com/office/drawing/2014/main" xmlns="" id="{B658E576-99CF-41A9-8D75-9806B0A8F8C7}"/>
            </a:ext>
          </a:extLst>
        </xdr:cNvPr>
        <xdr:cNvGrpSpPr/>
      </xdr:nvGrpSpPr>
      <xdr:grpSpPr>
        <a:xfrm>
          <a:off x="1578522" y="27679415"/>
          <a:ext cx="4232761" cy="4403550"/>
          <a:chOff x="1085850" y="25031700"/>
          <a:chExt cx="4152900" cy="4332605"/>
        </a:xfrm>
      </xdr:grpSpPr>
      <xdr:pic>
        <xdr:nvPicPr>
          <xdr:cNvPr id="8" name="Picture 7" descr="A screenshot of a computer&#10;&#10;Description automatically generated">
            <a:extLst>
              <a:ext uri="{FF2B5EF4-FFF2-40B4-BE49-F238E27FC236}">
                <a16:creationId xmlns:a16="http://schemas.microsoft.com/office/drawing/2014/main" xmlns="" id="{DA24ADB3-7801-6D87-7DB9-7ED0FD1F17F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85850" y="25031700"/>
            <a:ext cx="4152900" cy="2705100"/>
          </a:xfrm>
          <a:prstGeom prst="rect">
            <a:avLst/>
          </a:prstGeom>
          <a:noFill/>
        </xdr:spPr>
      </xdr:pic>
      <xdr:sp macro="" textlink="">
        <xdr:nvSpPr>
          <xdr:cNvPr id="9" name="Arrow: Chevron 8">
            <a:extLst>
              <a:ext uri="{FF2B5EF4-FFF2-40B4-BE49-F238E27FC236}">
                <a16:creationId xmlns:a16="http://schemas.microsoft.com/office/drawing/2014/main" xmlns="" id="{B3B3C171-BD80-5DC8-50A4-7DC500FCC2DD}"/>
              </a:ext>
            </a:extLst>
          </xdr:cNvPr>
          <xdr:cNvSpPr/>
        </xdr:nvSpPr>
        <xdr:spPr>
          <a:xfrm rot="5400000">
            <a:off x="2600325" y="27593925"/>
            <a:ext cx="393700" cy="732790"/>
          </a:xfrm>
          <a:prstGeom prst="chevron">
            <a:avLst>
              <a:gd name="adj" fmla="val 54545"/>
            </a:avLst>
          </a:prstGeom>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ID"/>
          </a:p>
        </xdr:txBody>
      </xdr:sp>
      <xdr:pic>
        <xdr:nvPicPr>
          <xdr:cNvPr id="10" name="Picture 9" descr="A screenshot of a computer&#10;&#10;Description automatically generated">
            <a:extLst>
              <a:ext uri="{FF2B5EF4-FFF2-40B4-BE49-F238E27FC236}">
                <a16:creationId xmlns:a16="http://schemas.microsoft.com/office/drawing/2014/main" xmlns="" id="{57B295C9-D7EB-489C-3805-9D3499EA437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14525" y="28251150"/>
            <a:ext cx="1790700" cy="1113155"/>
          </a:xfrm>
          <a:prstGeom prst="rect">
            <a:avLst/>
          </a:prstGeom>
          <a:noFill/>
        </xdr:spPr>
      </xdr:pic>
    </xdr:grpSp>
    <xdr:clientData/>
  </xdr:twoCellAnchor>
  <xdr:twoCellAnchor editAs="oneCell">
    <xdr:from>
      <xdr:col>1</xdr:col>
      <xdr:colOff>114300</xdr:colOff>
      <xdr:row>174</xdr:row>
      <xdr:rowOff>0</xdr:rowOff>
    </xdr:from>
    <xdr:to>
      <xdr:col>9</xdr:col>
      <xdr:colOff>347345</xdr:colOff>
      <xdr:row>188</xdr:row>
      <xdr:rowOff>115570</xdr:rowOff>
    </xdr:to>
    <xdr:pic>
      <xdr:nvPicPr>
        <xdr:cNvPr id="11" name="Picture 10" descr="A diagram of a business process&#10;&#10;Description automatically generated">
          <a:extLst>
            <a:ext uri="{FF2B5EF4-FFF2-40B4-BE49-F238E27FC236}">
              <a16:creationId xmlns:a16="http://schemas.microsoft.com/office/drawing/2014/main" xmlns="" id="{3CADC6C0-456E-40E7-A9AA-FD6DEA3B9CB1}"/>
            </a:ext>
          </a:extLst>
        </xdr:cNvPr>
        <xdr:cNvPicPr>
          <a:picLocks noChangeAspect="1"/>
        </xdr:cNvPicPr>
      </xdr:nvPicPr>
      <xdr:blipFill>
        <a:blip xmlns:r="http://schemas.openxmlformats.org/officeDocument/2006/relationships" r:embed="rId6"/>
        <a:stretch>
          <a:fillRect/>
        </a:stretch>
      </xdr:blipFill>
      <xdr:spPr>
        <a:xfrm>
          <a:off x="361950" y="51720750"/>
          <a:ext cx="5166995" cy="2649220"/>
        </a:xfrm>
        <a:prstGeom prst="rect">
          <a:avLst/>
        </a:prstGeom>
      </xdr:spPr>
    </xdr:pic>
    <xdr:clientData/>
  </xdr:twoCellAnchor>
  <xdr:twoCellAnchor editAs="oneCell">
    <xdr:from>
      <xdr:col>2</xdr:col>
      <xdr:colOff>571501</xdr:colOff>
      <xdr:row>303</xdr:row>
      <xdr:rowOff>357188</xdr:rowOff>
    </xdr:from>
    <xdr:to>
      <xdr:col>11</xdr:col>
      <xdr:colOff>476250</xdr:colOff>
      <xdr:row>319</xdr:row>
      <xdr:rowOff>60402</xdr:rowOff>
    </xdr:to>
    <xdr:pic>
      <xdr:nvPicPr>
        <xdr:cNvPr id="14" name="Picture 13">
          <a:extLst>
            <a:ext uri="{FF2B5EF4-FFF2-40B4-BE49-F238E27FC236}">
              <a16:creationId xmlns:a16="http://schemas.microsoft.com/office/drawing/2014/main" xmlns="" id="{9B3C190D-7FB9-24D9-A756-E120013D7D82}"/>
            </a:ext>
          </a:extLst>
        </xdr:cNvPr>
        <xdr:cNvPicPr>
          <a:picLocks noChangeAspect="1"/>
        </xdr:cNvPicPr>
      </xdr:nvPicPr>
      <xdr:blipFill>
        <a:blip xmlns:r="http://schemas.openxmlformats.org/officeDocument/2006/relationships" r:embed="rId7"/>
        <a:stretch>
          <a:fillRect/>
        </a:stretch>
      </xdr:blipFill>
      <xdr:spPr>
        <a:xfrm>
          <a:off x="1333501" y="96988313"/>
          <a:ext cx="5595937" cy="2941714"/>
        </a:xfrm>
        <a:prstGeom prst="rect">
          <a:avLst/>
        </a:prstGeom>
      </xdr:spPr>
    </xdr:pic>
    <xdr:clientData/>
  </xdr:twoCellAnchor>
  <xdr:twoCellAnchor editAs="oneCell">
    <xdr:from>
      <xdr:col>2</xdr:col>
      <xdr:colOff>307547</xdr:colOff>
      <xdr:row>250</xdr:row>
      <xdr:rowOff>85725</xdr:rowOff>
    </xdr:from>
    <xdr:to>
      <xdr:col>9</xdr:col>
      <xdr:colOff>66675</xdr:colOff>
      <xdr:row>268</xdr:row>
      <xdr:rowOff>16705</xdr:rowOff>
    </xdr:to>
    <xdr:pic>
      <xdr:nvPicPr>
        <xdr:cNvPr id="15" name="Picture 14">
          <a:extLst>
            <a:ext uri="{FF2B5EF4-FFF2-40B4-BE49-F238E27FC236}">
              <a16:creationId xmlns:a16="http://schemas.microsoft.com/office/drawing/2014/main" xmlns="" id="{9ED62C1C-7E74-4688-7720-A072816E23F2}"/>
            </a:ext>
          </a:extLst>
        </xdr:cNvPr>
        <xdr:cNvPicPr>
          <a:picLocks noChangeAspect="1"/>
        </xdr:cNvPicPr>
      </xdr:nvPicPr>
      <xdr:blipFill>
        <a:blip xmlns:r="http://schemas.openxmlformats.org/officeDocument/2006/relationships" r:embed="rId8"/>
        <a:stretch>
          <a:fillRect/>
        </a:stretch>
      </xdr:blipFill>
      <xdr:spPr>
        <a:xfrm>
          <a:off x="1069547" y="78419325"/>
          <a:ext cx="4178728" cy="318853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a465a7f1b72be6e0/Pelindo/04.%20MR%20OPS%20HO/2.%20RKAP%202025/1.%20Rancangan%20RKAP%202025%20updateAPS_v23102024%20(Update%20Profi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Rencana Perlakuan Risiko_edit"/>
      <sheetName val="Metrik Strategi Risiko"/>
      <sheetName val="Pilihan Sasaran&amp;Strategi Bisnis"/>
      <sheetName val="Profil Risiko"/>
      <sheetName val="Rencana Perlakuan Risiko"/>
      <sheetName val="Supporting Data"/>
      <sheetName val="Sheet Hitung"/>
      <sheetName val="Risiko Inheren All"/>
      <sheetName val="Risiko Residual All"/>
      <sheetName val="Risiko Inheren Kualitatif"/>
      <sheetName val="Risiko Inheren Kuantitatif"/>
      <sheetName val="Risiko Residual Kualitatif"/>
      <sheetName val="Risiko Residual Kuantitatif"/>
      <sheetName val="Heatmap"/>
      <sheetName val="Skala KBUMN"/>
      <sheetName val="Definisi Taksonomi Risiko"/>
      <sheetName val="Master"/>
    </sheetNames>
    <sheetDataSet>
      <sheetData sheetId="0"/>
      <sheetData sheetId="1"/>
      <sheetData sheetId="2"/>
      <sheetData sheetId="3"/>
      <sheetData sheetId="4"/>
      <sheetData sheetId="5"/>
      <sheetData sheetId="6"/>
      <sheetData sheetId="7"/>
      <sheetData sheetId="8"/>
      <sheetData sheetId="9"/>
      <sheetData sheetId="10"/>
      <sheetData sheetId="11">
        <row r="8">
          <cell r="K8">
            <v>0.5</v>
          </cell>
        </row>
        <row r="9">
          <cell r="K9">
            <v>0.5</v>
          </cell>
        </row>
        <row r="10">
          <cell r="K10">
            <v>0.7</v>
          </cell>
        </row>
        <row r="11">
          <cell r="K11">
            <v>0.5</v>
          </cell>
        </row>
        <row r="12">
          <cell r="K12">
            <v>0.7</v>
          </cell>
        </row>
        <row r="13">
          <cell r="K13">
            <v>0.5</v>
          </cell>
        </row>
        <row r="15">
          <cell r="K15">
            <v>0.5</v>
          </cell>
        </row>
        <row r="16">
          <cell r="K16">
            <v>0.7</v>
          </cell>
        </row>
      </sheetData>
      <sheetData sheetId="12"/>
      <sheetData sheetId="13"/>
      <sheetData sheetId="14"/>
      <sheetData sheetId="15"/>
      <sheetData sheetId="16"/>
      <sheetData sheetId="17"/>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J29"/>
  <sheetViews>
    <sheetView showGridLines="0" zoomScale="85" zoomScaleNormal="85" workbookViewId="0">
      <selection activeCell="L19" sqref="L19"/>
    </sheetView>
  </sheetViews>
  <sheetFormatPr defaultRowHeight="14.4"/>
  <cols>
    <col min="5" max="5" width="13.5546875" customWidth="1"/>
    <col min="9" max="9" width="26.44140625" customWidth="1"/>
  </cols>
  <sheetData>
    <row r="1" spans="5:9" ht="15.6">
      <c r="E1" s="162" t="s">
        <v>0</v>
      </c>
      <c r="F1" s="162"/>
      <c r="G1" s="162"/>
      <c r="H1" s="162"/>
      <c r="I1" s="162"/>
    </row>
    <row r="2" spans="5:9" ht="15.6">
      <c r="E2" s="393" t="s">
        <v>1</v>
      </c>
      <c r="F2" s="393"/>
      <c r="G2" s="393"/>
      <c r="H2" s="393"/>
      <c r="I2" s="393"/>
    </row>
    <row r="3" spans="5:9" ht="15.6">
      <c r="E3" s="162" t="s">
        <v>2</v>
      </c>
      <c r="F3" s="394" t="s">
        <v>3</v>
      </c>
      <c r="G3" s="394"/>
      <c r="H3" s="394"/>
      <c r="I3" s="394"/>
    </row>
    <row r="4" spans="5:9" ht="63" customHeight="1">
      <c r="E4" s="164" t="s">
        <v>4</v>
      </c>
      <c r="F4" s="395" t="s">
        <v>5</v>
      </c>
      <c r="G4" s="395"/>
      <c r="H4" s="395"/>
      <c r="I4" s="395"/>
    </row>
    <row r="5" spans="5:9" ht="15.6">
      <c r="E5" s="162" t="s">
        <v>6</v>
      </c>
      <c r="F5" s="394" t="s">
        <v>7</v>
      </c>
      <c r="G5" s="394"/>
      <c r="H5" s="394"/>
      <c r="I5" s="394"/>
    </row>
    <row r="6" spans="5:9" ht="15.6">
      <c r="E6" s="162"/>
      <c r="F6" s="163"/>
      <c r="G6" s="163"/>
      <c r="H6" s="163"/>
      <c r="I6" s="163"/>
    </row>
    <row r="7" spans="5:9" ht="15.6">
      <c r="E7" s="162"/>
      <c r="F7" s="163"/>
      <c r="G7" s="163"/>
      <c r="H7" s="163"/>
      <c r="I7" s="163"/>
    </row>
    <row r="9" spans="5:9" ht="17.399999999999999">
      <c r="E9" s="98" t="s">
        <v>8</v>
      </c>
    </row>
    <row r="10" spans="5:9" ht="17.399999999999999">
      <c r="E10" s="98" t="s">
        <v>9</v>
      </c>
    </row>
    <row r="11" spans="5:9" ht="17.399999999999999">
      <c r="E11" s="98" t="s">
        <v>10</v>
      </c>
    </row>
    <row r="20" spans="1:10" ht="15.6">
      <c r="J20" s="99"/>
    </row>
    <row r="21" spans="1:10" ht="15.6">
      <c r="J21" s="99"/>
    </row>
    <row r="22" spans="1:10" ht="15.6">
      <c r="J22" s="99"/>
    </row>
    <row r="27" spans="1:10" ht="15.6">
      <c r="A27" s="99"/>
      <c r="B27" s="99"/>
      <c r="C27" s="99"/>
      <c r="D27" s="99"/>
      <c r="E27" s="99"/>
      <c r="F27" s="99"/>
      <c r="G27" s="99"/>
      <c r="H27" s="99"/>
      <c r="I27" s="99"/>
    </row>
    <row r="28" spans="1:10" ht="17.399999999999999">
      <c r="A28" s="99"/>
      <c r="B28" s="99"/>
      <c r="C28" s="99"/>
      <c r="D28" s="100"/>
      <c r="E28" s="165" t="s">
        <v>11</v>
      </c>
      <c r="F28" s="99"/>
      <c r="G28" s="99"/>
      <c r="H28" s="99"/>
      <c r="I28" s="99"/>
    </row>
    <row r="29" spans="1:10" ht="17.399999999999999">
      <c r="A29" s="99"/>
      <c r="B29" s="99"/>
      <c r="C29" s="99"/>
      <c r="D29" s="99"/>
      <c r="E29" s="165" t="s">
        <v>12</v>
      </c>
      <c r="F29" s="99"/>
      <c r="G29" s="99"/>
      <c r="H29" s="99"/>
      <c r="I29" s="99"/>
    </row>
  </sheetData>
  <mergeCells count="4">
    <mergeCell ref="E2:I2"/>
    <mergeCell ref="F3:I3"/>
    <mergeCell ref="F4:I4"/>
    <mergeCell ref="F5:I5"/>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1896A4"/>
  </sheetPr>
  <dimension ref="A1:AU45"/>
  <sheetViews>
    <sheetView showGridLines="0" tabSelected="1" topLeftCell="C1" zoomScale="67" zoomScaleNormal="89" workbookViewId="0">
      <selection activeCell="AS8" sqref="AS8:AU33"/>
    </sheetView>
  </sheetViews>
  <sheetFormatPr defaultColWidth="8.77734375" defaultRowHeight="13.8"/>
  <cols>
    <col min="1" max="1" width="8.77734375" style="1"/>
    <col min="2" max="2" width="8" style="1" bestFit="1" customWidth="1"/>
    <col min="3" max="3" width="21.21875" style="19" customWidth="1"/>
    <col min="4" max="29" width="8.77734375" style="1" customWidth="1"/>
    <col min="30" max="30" width="8.77734375" style="1"/>
    <col min="31" max="31" width="5.77734375" style="1" hidden="1" customWidth="1"/>
    <col min="32" max="32" width="14.77734375" style="1" hidden="1" customWidth="1"/>
    <col min="33" max="33" width="0" style="1" hidden="1" customWidth="1"/>
    <col min="34" max="34" width="12.77734375" style="1" hidden="1" customWidth="1"/>
    <col min="35" max="36" width="0" style="1" hidden="1" customWidth="1"/>
    <col min="37" max="37" width="12.77734375" style="1" hidden="1" customWidth="1"/>
    <col min="38" max="39" width="0" style="1" hidden="1" customWidth="1"/>
    <col min="40" max="40" width="12.77734375" style="1" hidden="1" customWidth="1"/>
    <col min="41" max="42" width="0" style="1" hidden="1" customWidth="1"/>
    <col min="43" max="43" width="12.77734375" style="1" hidden="1" customWidth="1"/>
    <col min="44" max="44" width="0" style="1" hidden="1" customWidth="1"/>
    <col min="45" max="16384" width="8.77734375" style="1"/>
  </cols>
  <sheetData>
    <row r="1" spans="1:47" ht="14.4">
      <c r="A1" s="102" t="s">
        <v>29</v>
      </c>
    </row>
    <row r="2" spans="1:47" ht="14.4" thickBot="1">
      <c r="AE2" s="1">
        <v>1</v>
      </c>
      <c r="AF2" s="1">
        <f>AE2+1</f>
        <v>2</v>
      </c>
      <c r="AG2" s="1">
        <f t="shared" ref="AG2:AR2" si="0">AF2+1</f>
        <v>3</v>
      </c>
      <c r="AH2" s="1">
        <f t="shared" si="0"/>
        <v>4</v>
      </c>
      <c r="AI2" s="1">
        <f t="shared" si="0"/>
        <v>5</v>
      </c>
      <c r="AJ2" s="1">
        <f t="shared" si="0"/>
        <v>6</v>
      </c>
      <c r="AK2" s="1">
        <f t="shared" si="0"/>
        <v>7</v>
      </c>
      <c r="AL2" s="1">
        <f t="shared" si="0"/>
        <v>8</v>
      </c>
      <c r="AM2" s="1">
        <f t="shared" si="0"/>
        <v>9</v>
      </c>
      <c r="AN2" s="1">
        <f t="shared" si="0"/>
        <v>10</v>
      </c>
      <c r="AO2" s="1">
        <f t="shared" si="0"/>
        <v>11</v>
      </c>
      <c r="AP2" s="1">
        <f t="shared" si="0"/>
        <v>12</v>
      </c>
      <c r="AQ2" s="1">
        <f t="shared" si="0"/>
        <v>13</v>
      </c>
      <c r="AR2" s="1">
        <f t="shared" si="0"/>
        <v>14</v>
      </c>
    </row>
    <row r="3" spans="1:47" ht="18" customHeight="1">
      <c r="B3" s="530" t="s">
        <v>235</v>
      </c>
      <c r="C3" s="531" t="s">
        <v>236</v>
      </c>
      <c r="D3" s="528">
        <v>5</v>
      </c>
      <c r="E3" s="507" t="s">
        <v>237</v>
      </c>
      <c r="F3" s="508"/>
      <c r="G3" s="508"/>
      <c r="H3" s="508"/>
      <c r="I3" s="509"/>
      <c r="J3" s="489" t="s">
        <v>238</v>
      </c>
      <c r="K3" s="490"/>
      <c r="L3" s="490"/>
      <c r="M3" s="490"/>
      <c r="N3" s="491"/>
      <c r="O3" s="495" t="s">
        <v>239</v>
      </c>
      <c r="P3" s="496"/>
      <c r="Q3" s="496"/>
      <c r="R3" s="496"/>
      <c r="S3" s="497"/>
      <c r="T3" s="480" t="s">
        <v>240</v>
      </c>
      <c r="U3" s="481"/>
      <c r="V3" s="481"/>
      <c r="W3" s="481"/>
      <c r="X3" s="482"/>
      <c r="Y3" s="440" t="s">
        <v>241</v>
      </c>
      <c r="Z3" s="441"/>
      <c r="AA3" s="441"/>
      <c r="AB3" s="441"/>
      <c r="AC3" s="442"/>
      <c r="AE3" s="505" t="s">
        <v>47</v>
      </c>
      <c r="AF3" s="505" t="s">
        <v>242</v>
      </c>
      <c r="AG3" s="505" t="s">
        <v>243</v>
      </c>
      <c r="AH3" s="505"/>
      <c r="AI3" s="505"/>
      <c r="AJ3" s="505"/>
      <c r="AK3" s="505"/>
      <c r="AL3" s="505"/>
      <c r="AM3" s="505" t="s">
        <v>244</v>
      </c>
      <c r="AN3" s="505"/>
      <c r="AO3" s="505"/>
      <c r="AP3" s="505"/>
      <c r="AQ3" s="505"/>
      <c r="AR3" s="505"/>
    </row>
    <row r="4" spans="1:47" ht="18" customHeight="1">
      <c r="B4" s="530"/>
      <c r="C4" s="531"/>
      <c r="D4" s="528"/>
      <c r="E4" s="510"/>
      <c r="F4" s="463"/>
      <c r="G4" s="463"/>
      <c r="H4" s="463"/>
      <c r="I4" s="464"/>
      <c r="J4" s="474"/>
      <c r="K4" s="475"/>
      <c r="L4" s="475"/>
      <c r="M4" s="475"/>
      <c r="N4" s="476"/>
      <c r="O4" s="498"/>
      <c r="P4" s="499"/>
      <c r="Q4" s="499"/>
      <c r="R4" s="499"/>
      <c r="S4" s="500"/>
      <c r="T4" s="483"/>
      <c r="U4" s="484"/>
      <c r="V4" s="484"/>
      <c r="W4" s="484"/>
      <c r="X4" s="485"/>
      <c r="Y4" s="443"/>
      <c r="Z4" s="444"/>
      <c r="AA4" s="444"/>
      <c r="AB4" s="444"/>
      <c r="AC4" s="445"/>
      <c r="AE4" s="505"/>
      <c r="AF4" s="505"/>
      <c r="AG4" s="504" t="s">
        <v>151</v>
      </c>
      <c r="AH4" s="504"/>
      <c r="AI4" s="504"/>
      <c r="AJ4" s="504" t="s">
        <v>162</v>
      </c>
      <c r="AK4" s="504"/>
      <c r="AL4" s="504"/>
      <c r="AM4" s="504" t="s">
        <v>151</v>
      </c>
      <c r="AN4" s="504"/>
      <c r="AO4" s="504"/>
      <c r="AP4" s="504" t="s">
        <v>162</v>
      </c>
      <c r="AQ4" s="504"/>
      <c r="AR4" s="504"/>
    </row>
    <row r="5" spans="1:47" ht="18" customHeight="1">
      <c r="B5" s="530"/>
      <c r="C5" s="531"/>
      <c r="D5" s="532"/>
      <c r="E5" s="510"/>
      <c r="F5" s="463"/>
      <c r="G5" s="463"/>
      <c r="H5" s="463"/>
      <c r="I5" s="464"/>
      <c r="J5" s="474"/>
      <c r="K5" s="475"/>
      <c r="L5" s="475"/>
      <c r="M5" s="475"/>
      <c r="N5" s="476"/>
      <c r="O5" s="498"/>
      <c r="P5" s="499"/>
      <c r="Q5" s="499"/>
      <c r="R5" s="499"/>
      <c r="S5" s="500"/>
      <c r="T5" s="483"/>
      <c r="U5" s="484"/>
      <c r="V5" s="484"/>
      <c r="W5" s="484"/>
      <c r="X5" s="485"/>
      <c r="Y5" s="443"/>
      <c r="Z5" s="444"/>
      <c r="AA5" s="444"/>
      <c r="AB5" s="444"/>
      <c r="AC5" s="445"/>
      <c r="AE5" s="505"/>
      <c r="AF5" s="505"/>
      <c r="AG5" s="53" t="s">
        <v>245</v>
      </c>
      <c r="AH5" s="53" t="s">
        <v>246</v>
      </c>
      <c r="AI5" s="53" t="s">
        <v>247</v>
      </c>
      <c r="AJ5" s="53" t="s">
        <v>245</v>
      </c>
      <c r="AK5" s="53" t="s">
        <v>246</v>
      </c>
      <c r="AL5" s="53" t="s">
        <v>247</v>
      </c>
      <c r="AM5" s="53" t="s">
        <v>245</v>
      </c>
      <c r="AN5" s="53" t="s">
        <v>246</v>
      </c>
      <c r="AO5" s="53" t="s">
        <v>247</v>
      </c>
      <c r="AP5" s="53" t="s">
        <v>245</v>
      </c>
      <c r="AQ5" s="53" t="s">
        <v>246</v>
      </c>
      <c r="AR5" s="53" t="s">
        <v>247</v>
      </c>
    </row>
    <row r="6" spans="1:47" ht="18" customHeight="1">
      <c r="B6" s="530"/>
      <c r="C6" s="531"/>
      <c r="D6" s="528"/>
      <c r="E6" s="510"/>
      <c r="F6" s="463"/>
      <c r="G6" s="463"/>
      <c r="H6" s="463"/>
      <c r="I6" s="464"/>
      <c r="J6" s="474"/>
      <c r="K6" s="475"/>
      <c r="L6" s="475"/>
      <c r="M6" s="475"/>
      <c r="N6" s="476"/>
      <c r="O6" s="498"/>
      <c r="P6" s="499"/>
      <c r="Q6" s="499"/>
      <c r="R6" s="499"/>
      <c r="S6" s="500"/>
      <c r="T6" s="483"/>
      <c r="U6" s="484"/>
      <c r="V6" s="484"/>
      <c r="W6" s="484"/>
      <c r="X6" s="485"/>
      <c r="Y6" s="443"/>
      <c r="Z6" s="444"/>
      <c r="AA6" s="444"/>
      <c r="AB6" s="444"/>
      <c r="AC6" s="445"/>
      <c r="AE6" s="54">
        <v>1</v>
      </c>
      <c r="AF6" s="53"/>
      <c r="AG6" s="53"/>
      <c r="AH6" s="53"/>
      <c r="AI6" s="53"/>
      <c r="AJ6" s="53"/>
      <c r="AK6" s="53"/>
      <c r="AL6" s="53"/>
      <c r="AM6" s="53"/>
      <c r="AN6" s="53"/>
      <c r="AO6" s="53"/>
      <c r="AP6" s="53"/>
      <c r="AQ6" s="53"/>
      <c r="AR6" s="53"/>
    </row>
    <row r="7" spans="1:47" ht="18" customHeight="1">
      <c r="B7" s="530"/>
      <c r="C7" s="531"/>
      <c r="D7" s="528"/>
      <c r="E7" s="511"/>
      <c r="F7" s="466"/>
      <c r="G7" s="466"/>
      <c r="H7" s="466"/>
      <c r="I7" s="467"/>
      <c r="J7" s="492"/>
      <c r="K7" s="493"/>
      <c r="L7" s="493"/>
      <c r="M7" s="493"/>
      <c r="N7" s="494"/>
      <c r="O7" s="501"/>
      <c r="P7" s="502"/>
      <c r="Q7" s="502"/>
      <c r="R7" s="502"/>
      <c r="S7" s="503"/>
      <c r="T7" s="486"/>
      <c r="U7" s="487"/>
      <c r="V7" s="487"/>
      <c r="W7" s="487"/>
      <c r="X7" s="488"/>
      <c r="Y7" s="443"/>
      <c r="Z7" s="444"/>
      <c r="AA7" s="444"/>
      <c r="AB7" s="444"/>
      <c r="AC7" s="445"/>
      <c r="AE7" s="54">
        <f>AE6+1</f>
        <v>2</v>
      </c>
      <c r="AF7" s="53"/>
      <c r="AG7" s="53"/>
      <c r="AH7" s="53"/>
      <c r="AI7" s="53"/>
      <c r="AJ7" s="53"/>
      <c r="AK7" s="53"/>
      <c r="AL7" s="53"/>
      <c r="AM7" s="53"/>
      <c r="AN7" s="53"/>
      <c r="AO7" s="53"/>
      <c r="AP7" s="53"/>
      <c r="AQ7" s="53"/>
      <c r="AR7" s="53"/>
    </row>
    <row r="8" spans="1:47" ht="18" customHeight="1">
      <c r="B8" s="530"/>
      <c r="C8" s="531" t="s">
        <v>248</v>
      </c>
      <c r="D8" s="528">
        <v>4</v>
      </c>
      <c r="E8" s="512" t="s">
        <v>249</v>
      </c>
      <c r="F8" s="513"/>
      <c r="G8" s="513"/>
      <c r="H8" s="513"/>
      <c r="I8" s="514"/>
      <c r="J8" s="459" t="s">
        <v>250</v>
      </c>
      <c r="K8" s="460"/>
      <c r="L8" s="460"/>
      <c r="M8" s="460"/>
      <c r="N8" s="461"/>
      <c r="O8" s="471" t="s">
        <v>251</v>
      </c>
      <c r="P8" s="472"/>
      <c r="Q8" s="472"/>
      <c r="R8" s="472"/>
      <c r="S8" s="473"/>
      <c r="T8" s="450" t="s">
        <v>252</v>
      </c>
      <c r="U8" s="451"/>
      <c r="V8" s="451"/>
      <c r="W8" s="451"/>
      <c r="X8" s="452"/>
      <c r="Y8" s="446" t="s">
        <v>253</v>
      </c>
      <c r="Z8" s="444"/>
      <c r="AA8" s="444"/>
      <c r="AB8" s="444"/>
      <c r="AC8" s="445"/>
      <c r="AE8" s="54">
        <f t="shared" ref="AE8:AE10" si="1">AE7+1</f>
        <v>3</v>
      </c>
      <c r="AF8" s="53"/>
      <c r="AG8" s="53"/>
      <c r="AH8" s="53"/>
      <c r="AI8" s="53"/>
      <c r="AJ8" s="53"/>
      <c r="AK8" s="53"/>
      <c r="AL8" s="53"/>
      <c r="AM8" s="53"/>
      <c r="AN8" s="53"/>
      <c r="AO8" s="53"/>
      <c r="AP8" s="53"/>
      <c r="AQ8" s="53"/>
      <c r="AR8" s="53"/>
      <c r="AS8" s="1" t="s">
        <v>1526</v>
      </c>
      <c r="AT8" s="1" t="s">
        <v>1527</v>
      </c>
      <c r="AU8" s="1" t="s">
        <v>1528</v>
      </c>
    </row>
    <row r="9" spans="1:47" ht="18" customHeight="1">
      <c r="B9" s="530"/>
      <c r="C9" s="531"/>
      <c r="D9" s="528"/>
      <c r="E9" s="515"/>
      <c r="F9" s="516"/>
      <c r="G9" s="516"/>
      <c r="H9" s="516"/>
      <c r="I9" s="517"/>
      <c r="J9" s="462"/>
      <c r="K9" s="463"/>
      <c r="L9" s="463"/>
      <c r="M9" s="463"/>
      <c r="N9" s="464"/>
      <c r="O9" s="474"/>
      <c r="P9" s="475"/>
      <c r="Q9" s="475"/>
      <c r="R9" s="475"/>
      <c r="S9" s="476"/>
      <c r="T9" s="453"/>
      <c r="U9" s="454"/>
      <c r="V9" s="454"/>
      <c r="W9" s="454"/>
      <c r="X9" s="455"/>
      <c r="Y9" s="443"/>
      <c r="Z9" s="444"/>
      <c r="AA9" s="444"/>
      <c r="AB9" s="444"/>
      <c r="AC9" s="445"/>
      <c r="AE9" s="54">
        <f t="shared" si="1"/>
        <v>4</v>
      </c>
      <c r="AF9" s="53"/>
      <c r="AG9" s="53"/>
      <c r="AH9" s="53"/>
      <c r="AI9" s="53"/>
      <c r="AJ9" s="53"/>
      <c r="AK9" s="53"/>
      <c r="AL9" s="53"/>
      <c r="AM9" s="53"/>
      <c r="AN9" s="53"/>
      <c r="AO9" s="53"/>
      <c r="AP9" s="53"/>
      <c r="AQ9" s="53"/>
      <c r="AR9" s="53"/>
      <c r="AS9" s="1">
        <v>1</v>
      </c>
      <c r="AT9" s="1">
        <v>1</v>
      </c>
      <c r="AU9" s="1">
        <v>1</v>
      </c>
    </row>
    <row r="10" spans="1:47" ht="18" customHeight="1">
      <c r="B10" s="530"/>
      <c r="C10" s="531"/>
      <c r="D10" s="528"/>
      <c r="E10" s="515"/>
      <c r="F10" s="516"/>
      <c r="G10" s="516"/>
      <c r="H10" s="516"/>
      <c r="I10" s="517"/>
      <c r="J10" s="462"/>
      <c r="K10" s="463"/>
      <c r="L10" s="463"/>
      <c r="M10" s="463"/>
      <c r="N10" s="464"/>
      <c r="O10" s="474"/>
      <c r="P10" s="475"/>
      <c r="Q10" s="475"/>
      <c r="R10" s="475"/>
      <c r="S10" s="476"/>
      <c r="T10" s="453"/>
      <c r="U10" s="454"/>
      <c r="V10" s="454"/>
      <c r="W10" s="454"/>
      <c r="X10" s="455"/>
      <c r="Y10" s="443"/>
      <c r="Z10" s="444"/>
      <c r="AA10" s="444"/>
      <c r="AB10" s="444"/>
      <c r="AC10" s="445"/>
      <c r="AE10" s="54">
        <f t="shared" si="1"/>
        <v>5</v>
      </c>
      <c r="AF10" s="55"/>
      <c r="AG10" s="55"/>
      <c r="AH10" s="55"/>
      <c r="AI10" s="55"/>
      <c r="AJ10" s="55"/>
      <c r="AK10" s="55"/>
      <c r="AL10" s="55"/>
      <c r="AM10" s="55"/>
      <c r="AN10" s="55"/>
      <c r="AO10" s="55"/>
      <c r="AP10" s="55"/>
      <c r="AQ10" s="55"/>
      <c r="AR10" s="55"/>
      <c r="AS10" s="1">
        <v>2</v>
      </c>
      <c r="AT10" s="1">
        <v>1</v>
      </c>
      <c r="AU10" s="1">
        <v>2</v>
      </c>
    </row>
    <row r="11" spans="1:47" ht="18" customHeight="1">
      <c r="B11" s="530"/>
      <c r="C11" s="531"/>
      <c r="D11" s="528"/>
      <c r="E11" s="515"/>
      <c r="F11" s="516"/>
      <c r="G11" s="516"/>
      <c r="H11" s="516"/>
      <c r="I11" s="517"/>
      <c r="J11" s="462"/>
      <c r="K11" s="463"/>
      <c r="L11" s="463"/>
      <c r="M11" s="463"/>
      <c r="N11" s="464"/>
      <c r="O11" s="474"/>
      <c r="P11" s="475"/>
      <c r="Q11" s="475"/>
      <c r="R11" s="475"/>
      <c r="S11" s="476"/>
      <c r="T11" s="453"/>
      <c r="U11" s="454"/>
      <c r="V11" s="454"/>
      <c r="W11" s="454"/>
      <c r="X11" s="455"/>
      <c r="Y11" s="443"/>
      <c r="Z11" s="444"/>
      <c r="AA11" s="444"/>
      <c r="AB11" s="444"/>
      <c r="AC11" s="445"/>
      <c r="AS11" s="1">
        <v>3</v>
      </c>
      <c r="AT11" s="1">
        <v>1</v>
      </c>
      <c r="AU11" s="1">
        <v>3</v>
      </c>
    </row>
    <row r="12" spans="1:47" ht="18" customHeight="1">
      <c r="B12" s="530"/>
      <c r="C12" s="531"/>
      <c r="D12" s="528"/>
      <c r="E12" s="518"/>
      <c r="F12" s="519"/>
      <c r="G12" s="519"/>
      <c r="H12" s="519"/>
      <c r="I12" s="520"/>
      <c r="J12" s="465"/>
      <c r="K12" s="466"/>
      <c r="L12" s="466"/>
      <c r="M12" s="466"/>
      <c r="N12" s="467"/>
      <c r="O12" s="492"/>
      <c r="P12" s="493"/>
      <c r="Q12" s="493"/>
      <c r="R12" s="493"/>
      <c r="S12" s="494"/>
      <c r="T12" s="456"/>
      <c r="U12" s="457"/>
      <c r="V12" s="457"/>
      <c r="W12" s="457"/>
      <c r="X12" s="458"/>
      <c r="Y12" s="443"/>
      <c r="Z12" s="444"/>
      <c r="AA12" s="444"/>
      <c r="AB12" s="444"/>
      <c r="AC12" s="445"/>
      <c r="AS12" s="1">
        <v>4</v>
      </c>
      <c r="AT12" s="1">
        <v>1</v>
      </c>
      <c r="AU12" s="1">
        <v>4</v>
      </c>
    </row>
    <row r="13" spans="1:47" ht="18" customHeight="1">
      <c r="B13" s="530"/>
      <c r="C13" s="531" t="s">
        <v>254</v>
      </c>
      <c r="D13" s="528">
        <v>3</v>
      </c>
      <c r="E13" s="512" t="s">
        <v>255</v>
      </c>
      <c r="F13" s="513"/>
      <c r="G13" s="513"/>
      <c r="H13" s="513"/>
      <c r="I13" s="514"/>
      <c r="J13" s="459" t="s">
        <v>256</v>
      </c>
      <c r="K13" s="460"/>
      <c r="L13" s="460"/>
      <c r="M13" s="460"/>
      <c r="N13" s="461"/>
      <c r="O13" s="471" t="s">
        <v>257</v>
      </c>
      <c r="P13" s="472"/>
      <c r="Q13" s="472"/>
      <c r="R13" s="472"/>
      <c r="S13" s="473"/>
      <c r="T13" s="450" t="s">
        <v>258</v>
      </c>
      <c r="U13" s="451"/>
      <c r="V13" s="451"/>
      <c r="W13" s="451"/>
      <c r="X13" s="452"/>
      <c r="Y13" s="446" t="s">
        <v>259</v>
      </c>
      <c r="Z13" s="444"/>
      <c r="AA13" s="444"/>
      <c r="AB13" s="444"/>
      <c r="AC13" s="445"/>
      <c r="AS13" s="1">
        <v>5</v>
      </c>
      <c r="AT13" s="1">
        <v>1</v>
      </c>
      <c r="AU13" s="1">
        <v>7</v>
      </c>
    </row>
    <row r="14" spans="1:47" ht="18" customHeight="1">
      <c r="B14" s="530"/>
      <c r="C14" s="531"/>
      <c r="D14" s="528"/>
      <c r="E14" s="515"/>
      <c r="F14" s="516"/>
      <c r="G14" s="516"/>
      <c r="H14" s="516"/>
      <c r="I14" s="517"/>
      <c r="J14" s="462"/>
      <c r="K14" s="463"/>
      <c r="L14" s="463"/>
      <c r="M14" s="463"/>
      <c r="N14" s="464"/>
      <c r="O14" s="474"/>
      <c r="P14" s="475"/>
      <c r="Q14" s="475"/>
      <c r="R14" s="475"/>
      <c r="S14" s="476"/>
      <c r="T14" s="453"/>
      <c r="U14" s="454"/>
      <c r="V14" s="454"/>
      <c r="W14" s="454"/>
      <c r="X14" s="455"/>
      <c r="Y14" s="443"/>
      <c r="Z14" s="444"/>
      <c r="AA14" s="444"/>
      <c r="AB14" s="444"/>
      <c r="AC14" s="445"/>
      <c r="AS14" s="1">
        <v>1</v>
      </c>
      <c r="AT14" s="1">
        <f>+AT9+1</f>
        <v>2</v>
      </c>
      <c r="AU14" s="1">
        <v>5</v>
      </c>
    </row>
    <row r="15" spans="1:47" ht="18" customHeight="1">
      <c r="B15" s="530"/>
      <c r="C15" s="531"/>
      <c r="D15" s="528"/>
      <c r="E15" s="515"/>
      <c r="F15" s="516"/>
      <c r="G15" s="516"/>
      <c r="H15" s="516"/>
      <c r="I15" s="517"/>
      <c r="J15" s="462"/>
      <c r="K15" s="463"/>
      <c r="L15" s="463"/>
      <c r="M15" s="463"/>
      <c r="N15" s="464"/>
      <c r="O15" s="474"/>
      <c r="P15" s="475"/>
      <c r="Q15" s="475"/>
      <c r="R15" s="475"/>
      <c r="S15" s="476"/>
      <c r="T15" s="453"/>
      <c r="U15" s="454"/>
      <c r="V15" s="454"/>
      <c r="W15" s="454"/>
      <c r="X15" s="455"/>
      <c r="Y15" s="443"/>
      <c r="Z15" s="444"/>
      <c r="AA15" s="444"/>
      <c r="AB15" s="444"/>
      <c r="AC15" s="445"/>
      <c r="AS15" s="1">
        <v>2</v>
      </c>
      <c r="AT15" s="1">
        <f t="shared" ref="AT15:AT33" si="2">+AT10+1</f>
        <v>2</v>
      </c>
      <c r="AU15" s="1">
        <v>6</v>
      </c>
    </row>
    <row r="16" spans="1:47" ht="18" customHeight="1">
      <c r="B16" s="530"/>
      <c r="C16" s="531"/>
      <c r="D16" s="528"/>
      <c r="E16" s="515"/>
      <c r="F16" s="516"/>
      <c r="G16" s="516"/>
      <c r="H16" s="516"/>
      <c r="I16" s="517"/>
      <c r="J16" s="462"/>
      <c r="K16" s="463"/>
      <c r="L16" s="463"/>
      <c r="M16" s="463"/>
      <c r="N16" s="464"/>
      <c r="O16" s="474"/>
      <c r="P16" s="475"/>
      <c r="Q16" s="475"/>
      <c r="R16" s="475"/>
      <c r="S16" s="476"/>
      <c r="T16" s="453"/>
      <c r="U16" s="454"/>
      <c r="V16" s="454"/>
      <c r="W16" s="454"/>
      <c r="X16" s="455"/>
      <c r="Y16" s="443"/>
      <c r="Z16" s="444"/>
      <c r="AA16" s="444"/>
      <c r="AB16" s="444"/>
      <c r="AC16" s="445"/>
      <c r="AS16" s="1">
        <v>3</v>
      </c>
      <c r="AT16" s="1">
        <f t="shared" si="2"/>
        <v>2</v>
      </c>
      <c r="AU16" s="1">
        <v>8</v>
      </c>
    </row>
    <row r="17" spans="2:47" ht="18" customHeight="1">
      <c r="B17" s="530"/>
      <c r="C17" s="531"/>
      <c r="D17" s="528"/>
      <c r="E17" s="518"/>
      <c r="F17" s="519"/>
      <c r="G17" s="519"/>
      <c r="H17" s="519"/>
      <c r="I17" s="520"/>
      <c r="J17" s="465"/>
      <c r="K17" s="466"/>
      <c r="L17" s="466"/>
      <c r="M17" s="466"/>
      <c r="N17" s="467"/>
      <c r="O17" s="492"/>
      <c r="P17" s="493"/>
      <c r="Q17" s="493"/>
      <c r="R17" s="493"/>
      <c r="S17" s="494"/>
      <c r="T17" s="456"/>
      <c r="U17" s="457"/>
      <c r="V17" s="457"/>
      <c r="W17" s="457"/>
      <c r="X17" s="458"/>
      <c r="Y17" s="443"/>
      <c r="Z17" s="444"/>
      <c r="AA17" s="444"/>
      <c r="AB17" s="444"/>
      <c r="AC17" s="445"/>
      <c r="AS17" s="1">
        <v>4</v>
      </c>
      <c r="AT17" s="1">
        <f t="shared" si="2"/>
        <v>2</v>
      </c>
      <c r="AU17" s="1">
        <v>9</v>
      </c>
    </row>
    <row r="18" spans="2:47" ht="18" customHeight="1">
      <c r="B18" s="530"/>
      <c r="C18" s="531" t="s">
        <v>260</v>
      </c>
      <c r="D18" s="528">
        <v>2</v>
      </c>
      <c r="E18" s="512" t="s">
        <v>261</v>
      </c>
      <c r="F18" s="513"/>
      <c r="G18" s="513"/>
      <c r="H18" s="513"/>
      <c r="I18" s="514"/>
      <c r="J18" s="459" t="s">
        <v>262</v>
      </c>
      <c r="K18" s="460"/>
      <c r="L18" s="460"/>
      <c r="M18" s="460"/>
      <c r="N18" s="461"/>
      <c r="O18" s="459" t="s">
        <v>263</v>
      </c>
      <c r="P18" s="460"/>
      <c r="Q18" s="460"/>
      <c r="R18" s="460"/>
      <c r="S18" s="461"/>
      <c r="T18" s="450" t="s">
        <v>264</v>
      </c>
      <c r="U18" s="451"/>
      <c r="V18" s="451"/>
      <c r="W18" s="451"/>
      <c r="X18" s="452"/>
      <c r="Y18" s="446" t="s">
        <v>265</v>
      </c>
      <c r="Z18" s="444"/>
      <c r="AA18" s="444"/>
      <c r="AB18" s="444"/>
      <c r="AC18" s="445"/>
      <c r="AS18" s="1">
        <v>5</v>
      </c>
      <c r="AT18" s="1">
        <f t="shared" si="2"/>
        <v>2</v>
      </c>
      <c r="AU18" s="1">
        <v>12</v>
      </c>
    </row>
    <row r="19" spans="2:47" ht="18" customHeight="1">
      <c r="B19" s="530"/>
      <c r="C19" s="531"/>
      <c r="D19" s="528"/>
      <c r="E19" s="515"/>
      <c r="F19" s="516"/>
      <c r="G19" s="516"/>
      <c r="H19" s="516"/>
      <c r="I19" s="517"/>
      <c r="J19" s="462"/>
      <c r="K19" s="463"/>
      <c r="L19" s="463"/>
      <c r="M19" s="463"/>
      <c r="N19" s="464"/>
      <c r="O19" s="462"/>
      <c r="P19" s="463"/>
      <c r="Q19" s="463"/>
      <c r="R19" s="463"/>
      <c r="S19" s="464"/>
      <c r="T19" s="453"/>
      <c r="U19" s="454"/>
      <c r="V19" s="454"/>
      <c r="W19" s="454"/>
      <c r="X19" s="455"/>
      <c r="Y19" s="443"/>
      <c r="Z19" s="444"/>
      <c r="AA19" s="444"/>
      <c r="AB19" s="444"/>
      <c r="AC19" s="445"/>
      <c r="AS19" s="1">
        <v>1</v>
      </c>
      <c r="AT19" s="1">
        <f t="shared" si="2"/>
        <v>3</v>
      </c>
      <c r="AU19" s="1">
        <v>10</v>
      </c>
    </row>
    <row r="20" spans="2:47" ht="18" customHeight="1">
      <c r="B20" s="530"/>
      <c r="C20" s="531"/>
      <c r="D20" s="528"/>
      <c r="E20" s="515"/>
      <c r="F20" s="516"/>
      <c r="G20" s="516"/>
      <c r="H20" s="516"/>
      <c r="I20" s="517"/>
      <c r="J20" s="462"/>
      <c r="K20" s="463"/>
      <c r="L20" s="463"/>
      <c r="M20" s="463"/>
      <c r="N20" s="464"/>
      <c r="O20" s="462"/>
      <c r="P20" s="463"/>
      <c r="Q20" s="463"/>
      <c r="R20" s="463"/>
      <c r="S20" s="464"/>
      <c r="T20" s="453"/>
      <c r="U20" s="454"/>
      <c r="V20" s="454"/>
      <c r="W20" s="454"/>
      <c r="X20" s="455"/>
      <c r="Y20" s="443"/>
      <c r="Z20" s="444"/>
      <c r="AA20" s="444"/>
      <c r="AB20" s="444"/>
      <c r="AC20" s="445"/>
      <c r="AS20" s="1">
        <v>2</v>
      </c>
      <c r="AT20" s="1">
        <f t="shared" si="2"/>
        <v>3</v>
      </c>
      <c r="AU20" s="1">
        <v>11</v>
      </c>
    </row>
    <row r="21" spans="2:47" ht="18" customHeight="1">
      <c r="B21" s="530"/>
      <c r="C21" s="531"/>
      <c r="D21" s="528"/>
      <c r="E21" s="515"/>
      <c r="F21" s="516"/>
      <c r="G21" s="516"/>
      <c r="H21" s="516"/>
      <c r="I21" s="517"/>
      <c r="J21" s="462"/>
      <c r="K21" s="463"/>
      <c r="L21" s="463"/>
      <c r="M21" s="463"/>
      <c r="N21" s="464"/>
      <c r="O21" s="462"/>
      <c r="P21" s="463"/>
      <c r="Q21" s="463"/>
      <c r="R21" s="463"/>
      <c r="S21" s="464"/>
      <c r="T21" s="453"/>
      <c r="U21" s="454"/>
      <c r="V21" s="454"/>
      <c r="W21" s="454"/>
      <c r="X21" s="455"/>
      <c r="Y21" s="443"/>
      <c r="Z21" s="444"/>
      <c r="AA21" s="444"/>
      <c r="AB21" s="444"/>
      <c r="AC21" s="445"/>
      <c r="AS21" s="1">
        <v>3</v>
      </c>
      <c r="AT21" s="1">
        <f t="shared" si="2"/>
        <v>3</v>
      </c>
      <c r="AU21" s="1">
        <v>13</v>
      </c>
    </row>
    <row r="22" spans="2:47" ht="18" customHeight="1">
      <c r="B22" s="530"/>
      <c r="C22" s="531"/>
      <c r="D22" s="528"/>
      <c r="E22" s="518"/>
      <c r="F22" s="519"/>
      <c r="G22" s="519"/>
      <c r="H22" s="519"/>
      <c r="I22" s="520"/>
      <c r="J22" s="465"/>
      <c r="K22" s="466"/>
      <c r="L22" s="466"/>
      <c r="M22" s="466"/>
      <c r="N22" s="467"/>
      <c r="O22" s="465"/>
      <c r="P22" s="466"/>
      <c r="Q22" s="466"/>
      <c r="R22" s="466"/>
      <c r="S22" s="467"/>
      <c r="T22" s="456"/>
      <c r="U22" s="457"/>
      <c r="V22" s="457"/>
      <c r="W22" s="457"/>
      <c r="X22" s="458"/>
      <c r="Y22" s="443"/>
      <c r="Z22" s="444"/>
      <c r="AA22" s="444"/>
      <c r="AB22" s="444"/>
      <c r="AC22" s="445"/>
      <c r="AS22" s="1">
        <v>4</v>
      </c>
      <c r="AT22" s="1">
        <f t="shared" si="2"/>
        <v>3</v>
      </c>
      <c r="AU22" s="1">
        <v>14</v>
      </c>
    </row>
    <row r="23" spans="2:47" ht="18" customHeight="1">
      <c r="B23" s="530"/>
      <c r="C23" s="531" t="s">
        <v>266</v>
      </c>
      <c r="D23" s="528">
        <v>1</v>
      </c>
      <c r="E23" s="512" t="s">
        <v>267</v>
      </c>
      <c r="F23" s="513"/>
      <c r="G23" s="513"/>
      <c r="H23" s="513"/>
      <c r="I23" s="514"/>
      <c r="J23" s="524" t="s">
        <v>268</v>
      </c>
      <c r="K23" s="513"/>
      <c r="L23" s="513"/>
      <c r="M23" s="513"/>
      <c r="N23" s="514"/>
      <c r="O23" s="459" t="s">
        <v>269</v>
      </c>
      <c r="P23" s="460"/>
      <c r="Q23" s="460"/>
      <c r="R23" s="460"/>
      <c r="S23" s="461"/>
      <c r="T23" s="471" t="s">
        <v>270</v>
      </c>
      <c r="U23" s="472"/>
      <c r="V23" s="472"/>
      <c r="W23" s="472"/>
      <c r="X23" s="473"/>
      <c r="Y23" s="446" t="s">
        <v>271</v>
      </c>
      <c r="Z23" s="444"/>
      <c r="AA23" s="444"/>
      <c r="AB23" s="444"/>
      <c r="AC23" s="445"/>
      <c r="AS23" s="1">
        <v>5</v>
      </c>
      <c r="AT23" s="1">
        <f t="shared" si="2"/>
        <v>3</v>
      </c>
      <c r="AU23" s="1">
        <v>17</v>
      </c>
    </row>
    <row r="24" spans="2:47" ht="18" customHeight="1">
      <c r="B24" s="530"/>
      <c r="C24" s="531"/>
      <c r="D24" s="528"/>
      <c r="E24" s="515"/>
      <c r="F24" s="516"/>
      <c r="G24" s="516"/>
      <c r="H24" s="516"/>
      <c r="I24" s="517"/>
      <c r="J24" s="525"/>
      <c r="K24" s="516"/>
      <c r="L24" s="516"/>
      <c r="M24" s="516"/>
      <c r="N24" s="517"/>
      <c r="O24" s="462"/>
      <c r="P24" s="463"/>
      <c r="Q24" s="463"/>
      <c r="R24" s="463"/>
      <c r="S24" s="464"/>
      <c r="T24" s="474"/>
      <c r="U24" s="475"/>
      <c r="V24" s="475"/>
      <c r="W24" s="475"/>
      <c r="X24" s="476"/>
      <c r="Y24" s="443"/>
      <c r="Z24" s="444"/>
      <c r="AA24" s="444"/>
      <c r="AB24" s="444"/>
      <c r="AC24" s="445"/>
      <c r="AS24" s="1">
        <v>1</v>
      </c>
      <c r="AT24" s="1">
        <f t="shared" si="2"/>
        <v>4</v>
      </c>
      <c r="AU24" s="1">
        <v>15</v>
      </c>
    </row>
    <row r="25" spans="2:47" ht="18" customHeight="1">
      <c r="B25" s="530"/>
      <c r="C25" s="531"/>
      <c r="D25" s="528"/>
      <c r="E25" s="515"/>
      <c r="F25" s="516"/>
      <c r="G25" s="516"/>
      <c r="H25" s="516"/>
      <c r="I25" s="517"/>
      <c r="J25" s="525"/>
      <c r="K25" s="516"/>
      <c r="L25" s="516"/>
      <c r="M25" s="516"/>
      <c r="N25" s="517"/>
      <c r="O25" s="462"/>
      <c r="P25" s="463"/>
      <c r="Q25" s="463"/>
      <c r="R25" s="463"/>
      <c r="S25" s="464"/>
      <c r="T25" s="474"/>
      <c r="U25" s="475"/>
      <c r="V25" s="475"/>
      <c r="W25" s="475"/>
      <c r="X25" s="476"/>
      <c r="Y25" s="443"/>
      <c r="Z25" s="444"/>
      <c r="AA25" s="444"/>
      <c r="AB25" s="444"/>
      <c r="AC25" s="445"/>
      <c r="AS25" s="1">
        <v>2</v>
      </c>
      <c r="AT25" s="1">
        <f t="shared" si="2"/>
        <v>4</v>
      </c>
      <c r="AU25" s="1">
        <v>16</v>
      </c>
    </row>
    <row r="26" spans="2:47" ht="18" customHeight="1">
      <c r="B26" s="530"/>
      <c r="C26" s="531"/>
      <c r="D26" s="528"/>
      <c r="E26" s="515"/>
      <c r="F26" s="516"/>
      <c r="G26" s="516"/>
      <c r="H26" s="516"/>
      <c r="I26" s="517"/>
      <c r="J26" s="525"/>
      <c r="K26" s="516"/>
      <c r="L26" s="516"/>
      <c r="M26" s="516"/>
      <c r="N26" s="517"/>
      <c r="O26" s="462"/>
      <c r="P26" s="463"/>
      <c r="Q26" s="463"/>
      <c r="R26" s="463"/>
      <c r="S26" s="464"/>
      <c r="T26" s="474"/>
      <c r="U26" s="475"/>
      <c r="V26" s="475"/>
      <c r="W26" s="475"/>
      <c r="X26" s="476"/>
      <c r="Y26" s="443"/>
      <c r="Z26" s="444"/>
      <c r="AA26" s="444"/>
      <c r="AB26" s="444"/>
      <c r="AC26" s="445"/>
      <c r="AS26" s="1">
        <v>3</v>
      </c>
      <c r="AT26" s="1">
        <f t="shared" si="2"/>
        <v>4</v>
      </c>
      <c r="AU26" s="1">
        <v>18</v>
      </c>
    </row>
    <row r="27" spans="2:47" ht="18" customHeight="1" thickBot="1">
      <c r="B27" s="530"/>
      <c r="C27" s="531"/>
      <c r="D27" s="528"/>
      <c r="E27" s="521"/>
      <c r="F27" s="522"/>
      <c r="G27" s="522"/>
      <c r="H27" s="522"/>
      <c r="I27" s="523"/>
      <c r="J27" s="526"/>
      <c r="K27" s="522"/>
      <c r="L27" s="522"/>
      <c r="M27" s="522"/>
      <c r="N27" s="523"/>
      <c r="O27" s="468"/>
      <c r="P27" s="469"/>
      <c r="Q27" s="469"/>
      <c r="R27" s="469"/>
      <c r="S27" s="470"/>
      <c r="T27" s="477"/>
      <c r="U27" s="478"/>
      <c r="V27" s="478"/>
      <c r="W27" s="478"/>
      <c r="X27" s="479"/>
      <c r="Y27" s="447"/>
      <c r="Z27" s="448"/>
      <c r="AA27" s="448"/>
      <c r="AB27" s="448"/>
      <c r="AC27" s="449"/>
      <c r="AS27" s="1">
        <v>4</v>
      </c>
      <c r="AT27" s="1">
        <f t="shared" si="2"/>
        <v>4</v>
      </c>
      <c r="AU27" s="1">
        <v>19</v>
      </c>
    </row>
    <row r="28" spans="2:47" ht="18" customHeight="1">
      <c r="B28" s="56"/>
      <c r="C28" s="57"/>
      <c r="D28" s="56"/>
      <c r="E28" s="529">
        <v>1</v>
      </c>
      <c r="F28" s="529"/>
      <c r="G28" s="529"/>
      <c r="H28" s="529"/>
      <c r="I28" s="529"/>
      <c r="J28" s="529">
        <v>2</v>
      </c>
      <c r="K28" s="529"/>
      <c r="L28" s="529"/>
      <c r="M28" s="529"/>
      <c r="N28" s="529"/>
      <c r="O28" s="529">
        <v>3</v>
      </c>
      <c r="P28" s="529"/>
      <c r="Q28" s="529"/>
      <c r="R28" s="529"/>
      <c r="S28" s="529"/>
      <c r="T28" s="529">
        <v>4</v>
      </c>
      <c r="U28" s="529"/>
      <c r="V28" s="529"/>
      <c r="W28" s="529"/>
      <c r="X28" s="529"/>
      <c r="Y28" s="529">
        <v>5</v>
      </c>
      <c r="Z28" s="529"/>
      <c r="AA28" s="529"/>
      <c r="AB28" s="529"/>
      <c r="AC28" s="529"/>
      <c r="AS28" s="1">
        <v>5</v>
      </c>
      <c r="AT28" s="1">
        <f t="shared" si="2"/>
        <v>4</v>
      </c>
      <c r="AU28" s="1">
        <v>22</v>
      </c>
    </row>
    <row r="29" spans="2:47" s="19" customFormat="1" ht="18" customHeight="1">
      <c r="B29" s="57"/>
      <c r="C29" s="57"/>
      <c r="D29" s="57"/>
      <c r="E29" s="506" t="s">
        <v>272</v>
      </c>
      <c r="F29" s="506"/>
      <c r="G29" s="506"/>
      <c r="H29" s="506"/>
      <c r="I29" s="506"/>
      <c r="J29" s="506" t="s">
        <v>273</v>
      </c>
      <c r="K29" s="506"/>
      <c r="L29" s="506"/>
      <c r="M29" s="506"/>
      <c r="N29" s="506"/>
      <c r="O29" s="506" t="s">
        <v>274</v>
      </c>
      <c r="P29" s="506"/>
      <c r="Q29" s="506"/>
      <c r="R29" s="506"/>
      <c r="S29" s="506"/>
      <c r="T29" s="506" t="s">
        <v>275</v>
      </c>
      <c r="U29" s="506"/>
      <c r="V29" s="506"/>
      <c r="W29" s="506"/>
      <c r="X29" s="506"/>
      <c r="Y29" s="506" t="s">
        <v>276</v>
      </c>
      <c r="Z29" s="506"/>
      <c r="AA29" s="506"/>
      <c r="AB29" s="506"/>
      <c r="AC29" s="506"/>
      <c r="AS29" s="1">
        <v>1</v>
      </c>
      <c r="AT29" s="1">
        <f t="shared" si="2"/>
        <v>5</v>
      </c>
      <c r="AU29" s="1">
        <v>20</v>
      </c>
    </row>
    <row r="30" spans="2:47" ht="18" customHeight="1">
      <c r="B30" s="58"/>
      <c r="C30" s="59"/>
      <c r="D30" s="58"/>
      <c r="E30" s="527" t="s">
        <v>277</v>
      </c>
      <c r="F30" s="527"/>
      <c r="G30" s="527"/>
      <c r="H30" s="527"/>
      <c r="I30" s="527"/>
      <c r="J30" s="527"/>
      <c r="K30" s="527"/>
      <c r="L30" s="527"/>
      <c r="M30" s="527"/>
      <c r="N30" s="527"/>
      <c r="O30" s="527"/>
      <c r="P30" s="527"/>
      <c r="Q30" s="527"/>
      <c r="R30" s="527"/>
      <c r="S30" s="527"/>
      <c r="T30" s="527"/>
      <c r="U30" s="527"/>
      <c r="V30" s="527"/>
      <c r="W30" s="527"/>
      <c r="X30" s="527"/>
      <c r="Y30" s="527"/>
      <c r="Z30" s="527"/>
      <c r="AA30" s="527"/>
      <c r="AB30" s="527"/>
      <c r="AC30" s="527"/>
      <c r="AS30" s="1">
        <v>2</v>
      </c>
      <c r="AT30" s="1">
        <f t="shared" si="2"/>
        <v>5</v>
      </c>
      <c r="AU30" s="1">
        <v>21</v>
      </c>
    </row>
    <row r="31" spans="2:47">
      <c r="B31" s="56"/>
      <c r="C31" s="57"/>
      <c r="D31" s="56"/>
      <c r="E31" s="56"/>
      <c r="F31" s="56"/>
      <c r="G31" s="56"/>
      <c r="H31" s="56"/>
      <c r="I31" s="56"/>
      <c r="J31" s="56"/>
      <c r="K31" s="56"/>
      <c r="L31" s="56"/>
      <c r="M31" s="56"/>
      <c r="N31" s="56"/>
      <c r="O31" s="56"/>
      <c r="P31" s="56"/>
      <c r="Q31" s="56"/>
      <c r="R31" s="56"/>
      <c r="S31" s="56"/>
      <c r="T31" s="56"/>
      <c r="U31" s="56"/>
      <c r="V31" s="56"/>
      <c r="W31" s="56"/>
      <c r="X31" s="56"/>
      <c r="Y31" s="56"/>
      <c r="Z31" s="56"/>
      <c r="AA31" s="56"/>
      <c r="AB31" s="56"/>
      <c r="AC31" s="56"/>
      <c r="AS31" s="1">
        <v>3</v>
      </c>
      <c r="AT31" s="1">
        <f t="shared" si="2"/>
        <v>5</v>
      </c>
      <c r="AU31" s="1">
        <v>23</v>
      </c>
    </row>
    <row r="32" spans="2:47" ht="21">
      <c r="B32" s="60"/>
      <c r="C32" s="57"/>
      <c r="D32" s="56"/>
      <c r="E32" s="61"/>
      <c r="F32" s="56"/>
      <c r="G32" s="56"/>
      <c r="H32" s="56"/>
      <c r="I32" s="56"/>
      <c r="J32" s="56"/>
      <c r="K32" s="56"/>
      <c r="L32" s="56"/>
      <c r="M32" s="56"/>
      <c r="N32" s="56"/>
      <c r="O32" s="56"/>
      <c r="P32" s="56"/>
      <c r="Q32" s="56"/>
      <c r="R32" s="56"/>
      <c r="S32" s="56"/>
      <c r="T32" s="56"/>
      <c r="U32" s="56"/>
      <c r="V32" s="56"/>
      <c r="W32" s="56"/>
      <c r="X32" s="56"/>
      <c r="Y32" s="56"/>
      <c r="Z32" s="56"/>
      <c r="AA32" s="56"/>
      <c r="AB32" s="56"/>
      <c r="AC32" s="56"/>
      <c r="AS32" s="1">
        <v>4</v>
      </c>
      <c r="AT32" s="1">
        <f t="shared" si="2"/>
        <v>5</v>
      </c>
      <c r="AU32" s="1">
        <v>24</v>
      </c>
    </row>
    <row r="33" spans="2:47">
      <c r="B33" s="56"/>
      <c r="C33" s="57"/>
      <c r="D33" s="56"/>
      <c r="E33" s="56"/>
      <c r="F33" s="56"/>
      <c r="G33" s="56"/>
      <c r="H33" s="56"/>
      <c r="I33" s="56"/>
      <c r="J33" s="56"/>
      <c r="K33" s="56"/>
      <c r="L33" s="56"/>
      <c r="M33" s="56"/>
      <c r="N33" s="56"/>
      <c r="O33" s="56"/>
      <c r="AS33" s="1">
        <v>5</v>
      </c>
      <c r="AT33" s="1">
        <f t="shared" si="2"/>
        <v>5</v>
      </c>
      <c r="AU33" s="1">
        <v>25</v>
      </c>
    </row>
    <row r="34" spans="2:47" ht="18.75" customHeight="1"/>
    <row r="35" spans="2:47" ht="15.75" customHeight="1"/>
    <row r="45" spans="2:47">
      <c r="I45" s="1">
        <v>1</v>
      </c>
    </row>
  </sheetData>
  <protectedRanges>
    <protectedRange sqref="E3:AC27" name="Range1"/>
  </protectedRanges>
  <mergeCells count="55">
    <mergeCell ref="B3:B27"/>
    <mergeCell ref="C3:C7"/>
    <mergeCell ref="D3:D7"/>
    <mergeCell ref="C8:C12"/>
    <mergeCell ref="D8:D12"/>
    <mergeCell ref="C13:C17"/>
    <mergeCell ref="D13:D17"/>
    <mergeCell ref="C18:C22"/>
    <mergeCell ref="D18:D22"/>
    <mergeCell ref="C23:C27"/>
    <mergeCell ref="E30:AC30"/>
    <mergeCell ref="D23:D27"/>
    <mergeCell ref="E28:I28"/>
    <mergeCell ref="J28:N28"/>
    <mergeCell ref="O28:S28"/>
    <mergeCell ref="T28:X28"/>
    <mergeCell ref="Y28:AC28"/>
    <mergeCell ref="AF3:AF5"/>
    <mergeCell ref="AE3:AE5"/>
    <mergeCell ref="E29:I29"/>
    <mergeCell ref="J29:N29"/>
    <mergeCell ref="O29:S29"/>
    <mergeCell ref="T29:X29"/>
    <mergeCell ref="Y29:AC29"/>
    <mergeCell ref="E3:I7"/>
    <mergeCell ref="E8:I12"/>
    <mergeCell ref="E13:I17"/>
    <mergeCell ref="E18:I22"/>
    <mergeCell ref="E23:I27"/>
    <mergeCell ref="J23:N27"/>
    <mergeCell ref="J18:N22"/>
    <mergeCell ref="J13:N17"/>
    <mergeCell ref="J8:N12"/>
    <mergeCell ref="AG4:AI4"/>
    <mergeCell ref="AJ4:AL4"/>
    <mergeCell ref="AG3:AL3"/>
    <mergeCell ref="AM3:AR3"/>
    <mergeCell ref="AM4:AO4"/>
    <mergeCell ref="AP4:AR4"/>
    <mergeCell ref="J3:N7"/>
    <mergeCell ref="O3:S7"/>
    <mergeCell ref="O8:S12"/>
    <mergeCell ref="O13:S17"/>
    <mergeCell ref="T8:X12"/>
    <mergeCell ref="T13:X17"/>
    <mergeCell ref="T18:X22"/>
    <mergeCell ref="O18:S22"/>
    <mergeCell ref="O23:S27"/>
    <mergeCell ref="T23:X27"/>
    <mergeCell ref="T3:X7"/>
    <mergeCell ref="Y3:AC7"/>
    <mergeCell ref="Y8:AC12"/>
    <mergeCell ref="Y13:AC17"/>
    <mergeCell ref="Y18:AC22"/>
    <mergeCell ref="Y23:AC27"/>
  </mergeCells>
  <hyperlinks>
    <hyperlink ref="A1" location="'Daftar Isi'!A1" display="Kembali ke Daftar Isi"/>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1:R23"/>
  <sheetViews>
    <sheetView showGridLines="0" topLeftCell="A16" workbookViewId="0">
      <selection activeCell="L24" sqref="L24"/>
    </sheetView>
  </sheetViews>
  <sheetFormatPr defaultRowHeight="14.4"/>
  <cols>
    <col min="1" max="1" width="4.21875" customWidth="1"/>
    <col min="2" max="2" width="4.77734375" customWidth="1"/>
    <col min="4" max="4" width="8.77734375" style="391"/>
  </cols>
  <sheetData>
    <row r="1" spans="2:18" ht="15" thickBot="1"/>
    <row r="2" spans="2:18" ht="15" thickBot="1">
      <c r="B2" s="533" t="s">
        <v>75</v>
      </c>
      <c r="C2" s="536" t="s">
        <v>1515</v>
      </c>
      <c r="D2" s="539" t="s">
        <v>1516</v>
      </c>
      <c r="E2" s="540"/>
      <c r="F2" s="541"/>
      <c r="G2" s="542" t="s">
        <v>195</v>
      </c>
      <c r="H2" s="543"/>
      <c r="I2" s="543"/>
      <c r="J2" s="543"/>
      <c r="K2" s="543"/>
      <c r="L2" s="543"/>
      <c r="M2" s="543"/>
      <c r="N2" s="543"/>
      <c r="O2" s="543"/>
      <c r="P2" s="543"/>
      <c r="Q2" s="543"/>
      <c r="R2" s="544"/>
    </row>
    <row r="3" spans="2:18" ht="15" thickBot="1">
      <c r="B3" s="534"/>
      <c r="C3" s="537"/>
      <c r="D3" s="545" t="s">
        <v>1517</v>
      </c>
      <c r="E3" s="547" t="s">
        <v>281</v>
      </c>
      <c r="F3" s="547" t="s">
        <v>247</v>
      </c>
      <c r="G3" s="548" t="s">
        <v>1517</v>
      </c>
      <c r="H3" s="549"/>
      <c r="I3" s="549"/>
      <c r="J3" s="550"/>
      <c r="K3" s="548" t="s">
        <v>281</v>
      </c>
      <c r="L3" s="549"/>
      <c r="M3" s="549"/>
      <c r="N3" s="550"/>
      <c r="O3" s="551" t="s">
        <v>247</v>
      </c>
      <c r="P3" s="552"/>
      <c r="Q3" s="552"/>
      <c r="R3" s="553"/>
    </row>
    <row r="4" spans="2:18" ht="15" thickBot="1">
      <c r="B4" s="535"/>
      <c r="C4" s="538"/>
      <c r="D4" s="546"/>
      <c r="E4" s="538"/>
      <c r="F4" s="538"/>
      <c r="G4" s="374" t="s">
        <v>202</v>
      </c>
      <c r="H4" s="374" t="s">
        <v>203</v>
      </c>
      <c r="I4" s="374" t="s">
        <v>204</v>
      </c>
      <c r="J4" s="374" t="s">
        <v>205</v>
      </c>
      <c r="K4" s="374" t="s">
        <v>202</v>
      </c>
      <c r="L4" s="374" t="s">
        <v>203</v>
      </c>
      <c r="M4" s="374" t="s">
        <v>204</v>
      </c>
      <c r="N4" s="374" t="s">
        <v>205</v>
      </c>
      <c r="O4" s="375" t="s">
        <v>202</v>
      </c>
      <c r="P4" s="375" t="s">
        <v>203</v>
      </c>
      <c r="Q4" s="375" t="s">
        <v>204</v>
      </c>
      <c r="R4" s="376" t="s">
        <v>205</v>
      </c>
    </row>
    <row r="5" spans="2:18" ht="72" thickBot="1">
      <c r="B5" s="377">
        <v>1</v>
      </c>
      <c r="C5" s="378" t="s">
        <v>1206</v>
      </c>
      <c r="D5" s="390">
        <f>'Risiko Inheren Kuantitatif'!N9/10^9</f>
        <v>197.3</v>
      </c>
      <c r="E5" s="379">
        <f>'Risiko Inheren Kuantitatif'!O9</f>
        <v>13</v>
      </c>
      <c r="F5" s="380" t="str">
        <f>'Risiko Inheren Kuantitatif'!Q9</f>
        <v>Moderate</v>
      </c>
      <c r="G5" s="392">
        <f>'Risiko Residual Kuantitatif'!AE9/10^9</f>
        <v>197.3</v>
      </c>
      <c r="H5" s="392">
        <f>'Risiko Residual Kuantitatif'!AF9/10^9</f>
        <v>177.57</v>
      </c>
      <c r="I5" s="392">
        <f>'Risiko Residual Kuantitatif'!AG9/10^9</f>
        <v>157.84</v>
      </c>
      <c r="J5" s="392">
        <f>'Risiko Residual Kuantitatif'!AH9/10^9</f>
        <v>147.97499999999999</v>
      </c>
      <c r="K5" s="381">
        <f>'Risiko Residual Kuantitatif'!AI9</f>
        <v>13</v>
      </c>
      <c r="L5" s="381">
        <f>'Risiko Residual Kuantitatif'!AJ9</f>
        <v>13</v>
      </c>
      <c r="M5" s="381">
        <f>'Risiko Residual Kuantitatif'!AK9</f>
        <v>13</v>
      </c>
      <c r="N5" s="381">
        <f>'Risiko Residual Kuantitatif'!AL9</f>
        <v>8</v>
      </c>
      <c r="O5" s="382" t="str">
        <f>'Risiko Residual Kuantitatif'!AQ9</f>
        <v>Moderate</v>
      </c>
      <c r="P5" s="382" t="str">
        <f>'Risiko Residual Kuantitatif'!AR9</f>
        <v>Moderate</v>
      </c>
      <c r="Q5" s="382" t="str">
        <f>'Risiko Residual Kuantitatif'!AS9</f>
        <v>Moderate</v>
      </c>
      <c r="R5" s="383" t="str">
        <f>'Risiko Residual Kuantitatif'!AT9</f>
        <v>Low to Moderate</v>
      </c>
    </row>
    <row r="6" spans="2:18" ht="21" thickBot="1">
      <c r="B6" s="377">
        <v>2</v>
      </c>
      <c r="C6" s="378" t="s">
        <v>1207</v>
      </c>
      <c r="D6" s="390">
        <f>'Risiko Inheren Kuantitatif'!N10/10^9</f>
        <v>348.39875000000001</v>
      </c>
      <c r="E6" s="379">
        <f>'Risiko Inheren Kuantitatif'!O10</f>
        <v>13</v>
      </c>
      <c r="F6" s="380" t="str">
        <f>'Risiko Inheren Kuantitatif'!Q10</f>
        <v>Moderate</v>
      </c>
      <c r="G6" s="392">
        <f>'Risiko Residual Kuantitatif'!AE10/10^9</f>
        <v>330.9788125</v>
      </c>
      <c r="H6" s="392">
        <f>'Risiko Residual Kuantitatif'!AF10/10^9</f>
        <v>296.1389375</v>
      </c>
      <c r="I6" s="392">
        <f>'Risiko Residual Kuantitatif'!AG10/10^9</f>
        <v>278.71899999999999</v>
      </c>
      <c r="J6" s="392">
        <f>'Risiko Residual Kuantitatif'!AH10/10^9</f>
        <v>243.87912499999996</v>
      </c>
      <c r="K6" s="381">
        <f>'Risiko Residual Kuantitatif'!AI10</f>
        <v>13</v>
      </c>
      <c r="L6" s="381">
        <f>'Risiko Residual Kuantitatif'!AJ10</f>
        <v>13</v>
      </c>
      <c r="M6" s="381">
        <f>'Risiko Residual Kuantitatif'!AK10</f>
        <v>13</v>
      </c>
      <c r="N6" s="381">
        <f>'Risiko Residual Kuantitatif'!AL10</f>
        <v>8</v>
      </c>
      <c r="O6" s="385" t="str">
        <f>'Risiko Residual Kuantitatif'!AQ10</f>
        <v>Moderate to High</v>
      </c>
      <c r="P6" s="382" t="str">
        <f>'Risiko Residual Kuantitatif'!AR10</f>
        <v>Moderate</v>
      </c>
      <c r="Q6" s="382" t="str">
        <f>'Risiko Residual Kuantitatif'!AS10</f>
        <v>Moderate</v>
      </c>
      <c r="R6" s="383" t="str">
        <f>'Risiko Residual Kuantitatif'!AT10</f>
        <v>Low to Moderate</v>
      </c>
    </row>
    <row r="7" spans="2:18" ht="31.2" thickBot="1">
      <c r="B7" s="377">
        <v>3</v>
      </c>
      <c r="C7" s="378" t="s">
        <v>1518</v>
      </c>
      <c r="D7" s="390">
        <f>'Risiko Inheren Kuantitatif'!N11/10^9</f>
        <v>1149.0769499999999</v>
      </c>
      <c r="E7" s="379">
        <f>'Risiko Inheren Kuantitatif'!O11</f>
        <v>19</v>
      </c>
      <c r="F7" s="384" t="str">
        <f>'Risiko Inheren Kuantitatif'!Q11</f>
        <v>Moderate to High</v>
      </c>
      <c r="G7" s="392">
        <f>'Risiko Residual Kuantitatif'!AE11/10^9</f>
        <v>1091.6231025</v>
      </c>
      <c r="H7" s="392">
        <f>'Risiko Residual Kuantitatif'!AF11/10^9</f>
        <v>656.61540000000002</v>
      </c>
      <c r="I7" s="392">
        <f>'Risiko Residual Kuantitatif'!AG11/10^9</f>
        <v>615.57693749999999</v>
      </c>
      <c r="J7" s="392">
        <f>'Risiko Residual Kuantitatif'!AH11/10^9</f>
        <v>576.965959</v>
      </c>
      <c r="K7" s="381">
        <f>'Risiko Residual Kuantitatif'!AI11</f>
        <v>19</v>
      </c>
      <c r="L7" s="381">
        <f>'Risiko Residual Kuantitatif'!AJ11</f>
        <v>19</v>
      </c>
      <c r="M7" s="381">
        <f>'Risiko Residual Kuantitatif'!AK11</f>
        <v>13</v>
      </c>
      <c r="N7" s="381">
        <f>'Risiko Residual Kuantitatif'!AL11</f>
        <v>8</v>
      </c>
      <c r="O7" s="385" t="str">
        <f>'Risiko Residual Kuantitatif'!AQ11</f>
        <v>Moderate to High</v>
      </c>
      <c r="P7" s="385" t="str">
        <f>'Risiko Residual Kuantitatif'!AR11</f>
        <v>Moderate to High</v>
      </c>
      <c r="Q7" s="382" t="str">
        <f>'Risiko Residual Kuantitatif'!AS11</f>
        <v>Moderate</v>
      </c>
      <c r="R7" s="383" t="str">
        <f>'Risiko Residual Kuantitatif'!AT11</f>
        <v>Low to Moderate</v>
      </c>
    </row>
    <row r="8" spans="2:18" ht="41.4" thickBot="1">
      <c r="B8" s="377">
        <v>4</v>
      </c>
      <c r="C8" s="378" t="s">
        <v>1519</v>
      </c>
      <c r="D8" s="390">
        <f>'Risiko Inheren Kuantitatif'!N12/10^9</f>
        <v>356.14535000000001</v>
      </c>
      <c r="E8" s="379">
        <f>'Risiko Inheren Kuantitatif'!O12</f>
        <v>13</v>
      </c>
      <c r="F8" s="380" t="str">
        <f>'Risiko Inheren Kuantitatif'!Q12</f>
        <v>Moderate</v>
      </c>
      <c r="G8" s="392">
        <f>'Risiko Residual Kuantitatif'!AE12/10^9</f>
        <v>356.14535000000001</v>
      </c>
      <c r="H8" s="392">
        <f>'Risiko Residual Kuantitatif'!AF12/10^9</f>
        <v>302.7235475</v>
      </c>
      <c r="I8" s="392">
        <f>'Risiko Residual Kuantitatif'!AG12/10^9</f>
        <v>249.30174499999998</v>
      </c>
      <c r="J8" s="392">
        <f>'Risiko Residual Kuantitatif'!AH12/10^9</f>
        <v>128.21232599999999</v>
      </c>
      <c r="K8" s="381">
        <f>'Risiko Residual Kuantitatif'!AI12</f>
        <v>13</v>
      </c>
      <c r="L8" s="381">
        <f>'Risiko Residual Kuantitatif'!AJ12</f>
        <v>13</v>
      </c>
      <c r="M8" s="381">
        <f>'Risiko Residual Kuantitatif'!AK12</f>
        <v>8</v>
      </c>
      <c r="N8" s="381">
        <f>'Risiko Residual Kuantitatif'!AL12</f>
        <v>6</v>
      </c>
      <c r="O8" s="382" t="str">
        <f>'Risiko Residual Kuantitatif'!AQ12</f>
        <v>Moderate</v>
      </c>
      <c r="P8" s="382" t="str">
        <f>'Risiko Residual Kuantitatif'!AR12</f>
        <v>Moderate</v>
      </c>
      <c r="Q8" s="383" t="str">
        <f>'Risiko Residual Kuantitatif'!AS12</f>
        <v>Low to Moderate</v>
      </c>
      <c r="R8" s="383" t="str">
        <f>'Risiko Residual Kuantitatif'!AT12</f>
        <v>Low to Moderate</v>
      </c>
    </row>
    <row r="9" spans="2:18" ht="41.4" thickBot="1">
      <c r="B9" s="377">
        <v>5</v>
      </c>
      <c r="C9" s="378" t="s">
        <v>1520</v>
      </c>
      <c r="D9" s="390">
        <f>'Risiko Inheren Kuantitatif'!N13/10^9</f>
        <v>220.44855000000004</v>
      </c>
      <c r="E9" s="379">
        <f>'Risiko Inheren Kuantitatif'!O13</f>
        <v>14</v>
      </c>
      <c r="F9" s="380" t="str">
        <f>'Risiko Inheren Kuantitatif'!Q13</f>
        <v>Moderate</v>
      </c>
      <c r="G9" s="392">
        <f>'Risiko Residual Kuantitatif'!AE13/10^9</f>
        <v>209.42612250000002</v>
      </c>
      <c r="H9" s="392">
        <f>'Risiko Residual Kuantitatif'!AF13/10^9</f>
        <v>187.38126750000001</v>
      </c>
      <c r="I9" s="392">
        <f>'Risiko Residual Kuantitatif'!AG13/10^9</f>
        <v>78.731625000000008</v>
      </c>
      <c r="J9" s="392">
        <f>'Risiko Residual Kuantitatif'!AH13/10^9</f>
        <v>62.985300000000016</v>
      </c>
      <c r="K9" s="381">
        <f>'Risiko Residual Kuantitatif'!AI13</f>
        <v>14</v>
      </c>
      <c r="L9" s="381">
        <f>'Risiko Residual Kuantitatif'!AJ13</f>
        <v>14</v>
      </c>
      <c r="M9" s="381">
        <f>'Risiko Residual Kuantitatif'!AK13</f>
        <v>13</v>
      </c>
      <c r="N9" s="381">
        <f>'Risiko Residual Kuantitatif'!AL13</f>
        <v>8</v>
      </c>
      <c r="O9" s="382" t="str">
        <f>'Risiko Residual Kuantitatif'!AQ13</f>
        <v>Moderate</v>
      </c>
      <c r="P9" s="382" t="str">
        <f>'Risiko Residual Kuantitatif'!AR13</f>
        <v>Moderate</v>
      </c>
      <c r="Q9" s="382" t="str">
        <f>'Risiko Residual Kuantitatif'!AS13</f>
        <v>Moderate</v>
      </c>
      <c r="R9" s="383" t="str">
        <f>'Risiko Residual Kuantitatif'!AT13</f>
        <v>Low to Moderate</v>
      </c>
    </row>
    <row r="10" spans="2:18" ht="21" thickBot="1">
      <c r="B10" s="377">
        <v>6</v>
      </c>
      <c r="C10" s="378" t="s">
        <v>1211</v>
      </c>
      <c r="D10" s="390">
        <f>'Risiko Inheren Kuantitatif'!N14/10^9</f>
        <v>366.76182663449998</v>
      </c>
      <c r="E10" s="379">
        <f>'Risiko Inheren Kuantitatif'!O14</f>
        <v>18</v>
      </c>
      <c r="F10" s="384" t="str">
        <f>'Risiko Inheren Kuantitatif'!Q14</f>
        <v>Moderate to High</v>
      </c>
      <c r="G10" s="392">
        <f>'Risiko Residual Kuantitatif'!AE14/10^9</f>
        <v>348.42373530277496</v>
      </c>
      <c r="H10" s="392">
        <f>'Risiko Residual Kuantitatif'!AF14/10^9</f>
        <v>311.74755263932502</v>
      </c>
      <c r="I10" s="392">
        <f>'Risiko Residual Kuantitatif'!AG14/10^9</f>
        <v>110.02854799034999</v>
      </c>
      <c r="J10" s="392">
        <f>'Risiko Residual Kuantitatif'!AH14/10^9</f>
        <v>44.011419196140004</v>
      </c>
      <c r="K10" s="381">
        <f>'Risiko Residual Kuantitatif'!AI14</f>
        <v>18</v>
      </c>
      <c r="L10" s="381">
        <f>'Risiko Residual Kuantitatif'!AJ14</f>
        <v>18</v>
      </c>
      <c r="M10" s="381">
        <f>'Risiko Residual Kuantitatif'!AK14</f>
        <v>16</v>
      </c>
      <c r="N10" s="381">
        <f>'Risiko Residual Kuantitatif'!AL14</f>
        <v>11</v>
      </c>
      <c r="O10" s="385" t="str">
        <f>'Risiko Residual Kuantitatif'!AQ14</f>
        <v>Moderate to High</v>
      </c>
      <c r="P10" s="385" t="str">
        <f>'Risiko Residual Kuantitatif'!AR14</f>
        <v>Moderate to High</v>
      </c>
      <c r="Q10" s="385" t="str">
        <f>'Risiko Residual Kuantitatif'!AS14</f>
        <v>Moderate to High</v>
      </c>
      <c r="R10" s="383" t="str">
        <f>'Risiko Residual Kuantitatif'!AT14</f>
        <v>Low to Moderate</v>
      </c>
    </row>
    <row r="11" spans="2:18" ht="21" thickBot="1">
      <c r="B11" s="377">
        <v>7</v>
      </c>
      <c r="C11" s="378" t="s">
        <v>1212</v>
      </c>
      <c r="D11" s="390">
        <f>'Risiko Inheren Kuantitatif'!N15/10^9</f>
        <v>260</v>
      </c>
      <c r="E11" s="379">
        <f>'Risiko Inheren Kuantitatif'!O15</f>
        <v>13</v>
      </c>
      <c r="F11" s="380" t="str">
        <f>'Risiko Inheren Kuantitatif'!Q15</f>
        <v>Moderate</v>
      </c>
      <c r="G11" s="392">
        <f>'Risiko Residual Kuantitatif'!AE15/10^9</f>
        <v>260</v>
      </c>
      <c r="H11" s="392">
        <f>'Risiko Residual Kuantitatif'!AF15/10^9</f>
        <v>247</v>
      </c>
      <c r="I11" s="392">
        <f>'Risiko Residual Kuantitatif'!AG15/10^9</f>
        <v>130</v>
      </c>
      <c r="J11" s="392">
        <f>'Risiko Residual Kuantitatif'!AH15/10^9</f>
        <v>130</v>
      </c>
      <c r="K11" s="381">
        <f>'Risiko Residual Kuantitatif'!AI15</f>
        <v>13</v>
      </c>
      <c r="L11" s="381">
        <f>'Risiko Residual Kuantitatif'!AJ15</f>
        <v>13</v>
      </c>
      <c r="M11" s="381">
        <f>'Risiko Residual Kuantitatif'!AK15</f>
        <v>8</v>
      </c>
      <c r="N11" s="381">
        <f>'Risiko Residual Kuantitatif'!AL15</f>
        <v>8</v>
      </c>
      <c r="O11" s="382" t="str">
        <f>'Risiko Residual Kuantitatif'!AQ15</f>
        <v>Moderate</v>
      </c>
      <c r="P11" s="382" t="str">
        <f>'Risiko Residual Kuantitatif'!AR15</f>
        <v>Moderate</v>
      </c>
      <c r="Q11" s="383" t="str">
        <f>'Risiko Residual Kuantitatif'!AS15</f>
        <v>Low to Moderate</v>
      </c>
      <c r="R11" s="383" t="str">
        <f>'Risiko Residual Kuantitatif'!AT15</f>
        <v>Low to Moderate</v>
      </c>
    </row>
    <row r="12" spans="2:18" ht="72" thickBot="1">
      <c r="B12" s="377">
        <v>8</v>
      </c>
      <c r="C12" s="378" t="s">
        <v>1521</v>
      </c>
      <c r="D12" s="390">
        <f>'Risiko Inheren Kuantitatif'!N16/10^9</f>
        <v>112</v>
      </c>
      <c r="E12" s="379">
        <f>'Risiko Inheren Kuantitatif'!O16</f>
        <v>14</v>
      </c>
      <c r="F12" s="380" t="str">
        <f>'Risiko Inheren Kuantitatif'!Q16</f>
        <v>Moderate</v>
      </c>
      <c r="G12" s="392">
        <f>'Risiko Residual Kuantitatif'!AE16/10^9</f>
        <v>112</v>
      </c>
      <c r="H12" s="392">
        <f>'Risiko Residual Kuantitatif'!AF16/10^9</f>
        <v>80</v>
      </c>
      <c r="I12" s="392">
        <f>'Risiko Residual Kuantitatif'!AG16/10^9</f>
        <v>36</v>
      </c>
      <c r="J12" s="392">
        <f>'Risiko Residual Kuantitatif'!AH16/10^9</f>
        <v>19.2</v>
      </c>
      <c r="K12" s="381">
        <f>'Risiko Residual Kuantitatif'!AI16</f>
        <v>14</v>
      </c>
      <c r="L12" s="381">
        <f>'Risiko Residual Kuantitatif'!AJ16</f>
        <v>13</v>
      </c>
      <c r="M12" s="381">
        <f>'Risiko Residual Kuantitatif'!AK16</f>
        <v>8</v>
      </c>
      <c r="N12" s="381">
        <f>'Risiko Residual Kuantitatif'!AL16</f>
        <v>6</v>
      </c>
      <c r="O12" s="382" t="str">
        <f>'Risiko Residual Kuantitatif'!AQ16</f>
        <v>Moderate</v>
      </c>
      <c r="P12" s="382" t="str">
        <f>'Risiko Residual Kuantitatif'!AR16</f>
        <v>Moderate</v>
      </c>
      <c r="Q12" s="383" t="str">
        <f>'Risiko Residual Kuantitatif'!AS16</f>
        <v>Low to Moderate</v>
      </c>
      <c r="R12" s="383" t="str">
        <f>'Risiko Residual Kuantitatif'!AT16</f>
        <v>Low to Moderate</v>
      </c>
    </row>
    <row r="13" spans="2:18" ht="21" thickBot="1">
      <c r="B13" s="377">
        <v>9</v>
      </c>
      <c r="C13" s="378" t="s">
        <v>1522</v>
      </c>
      <c r="D13" s="390">
        <f>'Risiko Inheren Kuantitatif'!N17/10^9</f>
        <v>69</v>
      </c>
      <c r="E13" s="379">
        <f>'Risiko Inheren Kuantitatif'!O17</f>
        <v>13</v>
      </c>
      <c r="F13" s="380" t="str">
        <f>'Risiko Inheren Kuantitatif'!Q17</f>
        <v>Moderate</v>
      </c>
      <c r="G13" s="392">
        <f>'Risiko Residual Kuantitatif'!AE17/10^9</f>
        <v>69</v>
      </c>
      <c r="H13" s="392">
        <f>'Risiko Residual Kuantitatif'!AF17/10^9</f>
        <v>69</v>
      </c>
      <c r="I13" s="392">
        <f>'Risiko Residual Kuantitatif'!AG17/10^9</f>
        <v>44.85</v>
      </c>
      <c r="J13" s="392">
        <f>'Risiko Residual Kuantitatif'!AH17/10^9</f>
        <v>13.247999999999999</v>
      </c>
      <c r="K13" s="381">
        <f>'Risiko Residual Kuantitatif'!AI17</f>
        <v>13</v>
      </c>
      <c r="L13" s="381">
        <f>'Risiko Residual Kuantitatif'!AJ17</f>
        <v>13</v>
      </c>
      <c r="M13" s="381">
        <f>'Risiko Residual Kuantitatif'!AK17</f>
        <v>13</v>
      </c>
      <c r="N13" s="381">
        <f>'Risiko Residual Kuantitatif'!AL17</f>
        <v>6</v>
      </c>
      <c r="O13" s="382" t="str">
        <f>'Risiko Residual Kuantitatif'!AQ17</f>
        <v>Moderate</v>
      </c>
      <c r="P13" s="382" t="str">
        <f>'Risiko Residual Kuantitatif'!AR17</f>
        <v>Moderate</v>
      </c>
      <c r="Q13" s="382" t="str">
        <f>'Risiko Residual Kuantitatif'!AS17</f>
        <v>Moderate</v>
      </c>
      <c r="R13" s="383" t="str">
        <f>'Risiko Residual Kuantitatif'!AT17</f>
        <v>Low to Moderate</v>
      </c>
    </row>
    <row r="14" spans="2:18" ht="102.6" thickBot="1">
      <c r="B14" s="377">
        <v>10</v>
      </c>
      <c r="C14" s="378" t="s">
        <v>1220</v>
      </c>
      <c r="D14" s="390">
        <f>'Risiko Inheren Kualitatif'!N8/10^9</f>
        <v>33</v>
      </c>
      <c r="E14" s="379">
        <f>'Risiko Inheren Kualitatif'!O8</f>
        <v>13</v>
      </c>
      <c r="F14" s="380" t="str">
        <f>'Risiko Inheren Kualitatif'!Q8</f>
        <v>Moderate</v>
      </c>
      <c r="G14" s="392">
        <f>'Risiko Residual Kualitatif'!AE9/10^9</f>
        <v>33</v>
      </c>
      <c r="H14" s="392">
        <f>'Risiko Residual Kualitatif'!AF9/10^9</f>
        <v>33</v>
      </c>
      <c r="I14" s="392">
        <f>'Risiko Residual Kualitatif'!AG9/10^9</f>
        <v>13.2</v>
      </c>
      <c r="J14" s="392">
        <f>'Risiko Residual Kualitatif'!AH9/10^9</f>
        <v>13.2</v>
      </c>
      <c r="K14" s="381">
        <f>'Risiko Residual Kualitatif'!AI9</f>
        <v>13</v>
      </c>
      <c r="L14" s="381">
        <f>'Risiko Residual Kualitatif'!AJ9</f>
        <v>13</v>
      </c>
      <c r="M14" s="381">
        <f>'Risiko Residual Kualitatif'!AK9</f>
        <v>6</v>
      </c>
      <c r="N14" s="381">
        <f>'Risiko Residual Kualitatif'!AL9</f>
        <v>6</v>
      </c>
      <c r="O14" s="382" t="str">
        <f>'Risiko Residual Kualitatif'!AQ9</f>
        <v>Moderate</v>
      </c>
      <c r="P14" s="382" t="str">
        <f>'Risiko Residual Kualitatif'!AR9</f>
        <v>Moderate</v>
      </c>
      <c r="Q14" s="383" t="str">
        <f>'Risiko Residual Kualitatif'!AS9</f>
        <v>Low to Moderate</v>
      </c>
      <c r="R14" s="383" t="str">
        <f>'Risiko Residual Kualitatif'!AT9</f>
        <v>Low to Moderate</v>
      </c>
    </row>
    <row r="15" spans="2:18" ht="31.2" thickBot="1">
      <c r="B15" s="377">
        <v>11</v>
      </c>
      <c r="C15" s="386" t="s">
        <v>1214</v>
      </c>
      <c r="D15" s="390">
        <f>'Risiko Inheren Kualitatif'!N9/10^9</f>
        <v>33</v>
      </c>
      <c r="E15" s="379">
        <f>'Risiko Inheren Kualitatif'!O9</f>
        <v>13</v>
      </c>
      <c r="F15" s="380" t="str">
        <f>'Risiko Inheren Kualitatif'!Q9</f>
        <v>Moderate</v>
      </c>
      <c r="G15" s="392">
        <f>'Risiko Residual Kualitatif'!AE10/10^9</f>
        <v>33</v>
      </c>
      <c r="H15" s="392">
        <f>'Risiko Residual Kualitatif'!AF10/10^9</f>
        <v>22</v>
      </c>
      <c r="I15" s="392">
        <f>'Risiko Residual Kualitatif'!AG10/10^9</f>
        <v>13.2</v>
      </c>
      <c r="J15" s="392">
        <f>'Risiko Residual Kualitatif'!AH10/10^9</f>
        <v>13.2</v>
      </c>
      <c r="K15" s="381">
        <f>'Risiko Residual Kualitatif'!AI10</f>
        <v>13</v>
      </c>
      <c r="L15" s="381">
        <f>'Risiko Residual Kualitatif'!AJ10</f>
        <v>8</v>
      </c>
      <c r="M15" s="381">
        <f>'Risiko Residual Kualitatif'!AK10</f>
        <v>6</v>
      </c>
      <c r="N15" s="381">
        <f>'Risiko Residual Kualitatif'!AL10</f>
        <v>6</v>
      </c>
      <c r="O15" s="382" t="str">
        <f>'Risiko Residual Kualitatif'!AQ10</f>
        <v>Moderate</v>
      </c>
      <c r="P15" s="383" t="str">
        <f>'Risiko Residual Kualitatif'!AR10</f>
        <v>Low to Moderate</v>
      </c>
      <c r="Q15" s="383" t="str">
        <f>'Risiko Residual Kualitatif'!AS10</f>
        <v>Low to Moderate</v>
      </c>
      <c r="R15" s="383" t="str">
        <f>'Risiko Residual Kualitatif'!AT10</f>
        <v>Low to Moderate</v>
      </c>
    </row>
    <row r="16" spans="2:18" ht="41.4" thickBot="1">
      <c r="B16" s="377">
        <v>12</v>
      </c>
      <c r="C16" s="386" t="s">
        <v>1523</v>
      </c>
      <c r="D16" s="390">
        <f>'Risiko Inheren Kualitatif'!N10/10^9</f>
        <v>26.4</v>
      </c>
      <c r="E16" s="379">
        <f>'Risiko Inheren Kualitatif'!O10</f>
        <v>16</v>
      </c>
      <c r="F16" s="384" t="str">
        <f>'Risiko Inheren Kualitatif'!Q10</f>
        <v>Moderate to High</v>
      </c>
      <c r="G16" s="392">
        <f>'Risiko Residual Kualitatif'!AE11/10^9</f>
        <v>26.4</v>
      </c>
      <c r="H16" s="392">
        <f>'Risiko Residual Kualitatif'!AF11/10^9</f>
        <v>26.4</v>
      </c>
      <c r="I16" s="392">
        <f>'Risiko Residual Kualitatif'!AG11/10^9</f>
        <v>26.4</v>
      </c>
      <c r="J16" s="392">
        <f>'Risiko Residual Kualitatif'!AH11/10^9</f>
        <v>19.8</v>
      </c>
      <c r="K16" s="381">
        <f>'Risiko Residual Kualitatif'!AI11</f>
        <v>16</v>
      </c>
      <c r="L16" s="381">
        <f>'Risiko Residual Kualitatif'!AJ11</f>
        <v>16</v>
      </c>
      <c r="M16" s="381">
        <f>'Risiko Residual Kualitatif'!AK11</f>
        <v>16</v>
      </c>
      <c r="N16" s="381">
        <f>'Risiko Residual Kualitatif'!AL11</f>
        <v>11</v>
      </c>
      <c r="O16" s="385" t="str">
        <f>'Risiko Residual Kualitatif'!AQ11</f>
        <v>Moderate to High</v>
      </c>
      <c r="P16" s="385" t="str">
        <f>'Risiko Residual Kualitatif'!AR11</f>
        <v>Moderate to High</v>
      </c>
      <c r="Q16" s="385" t="str">
        <f>'Risiko Residual Kualitatif'!AS11</f>
        <v>Moderate to High</v>
      </c>
      <c r="R16" s="383" t="str">
        <f>'Risiko Residual Kualitatif'!AT11</f>
        <v>Low to Moderate</v>
      </c>
    </row>
    <row r="17" spans="2:18" ht="41.4" thickBot="1">
      <c r="B17" s="377">
        <v>13</v>
      </c>
      <c r="C17" s="378" t="s">
        <v>1216</v>
      </c>
      <c r="D17" s="390">
        <f>'Risiko Inheren Kualitatif'!N11/10^9</f>
        <v>44</v>
      </c>
      <c r="E17" s="379">
        <f>'Risiko Inheren Kualitatif'!O11</f>
        <v>18</v>
      </c>
      <c r="F17" s="384" t="str">
        <f>'Risiko Inheren Kualitatif'!Q11</f>
        <v>Moderate to High</v>
      </c>
      <c r="G17" s="392">
        <f>'Risiko Residual Kualitatif'!AE12/10^9</f>
        <v>44</v>
      </c>
      <c r="H17" s="392">
        <f>'Risiko Residual Kualitatif'!AF12/10^9</f>
        <v>44</v>
      </c>
      <c r="I17" s="392">
        <f>'Risiko Residual Kualitatif'!AG12/10^9</f>
        <v>26.4</v>
      </c>
      <c r="J17" s="392">
        <f>'Risiko Residual Kualitatif'!AH12/10^9</f>
        <v>8.8000000000000007</v>
      </c>
      <c r="K17" s="381">
        <f>'Risiko Residual Kualitatif'!AI12</f>
        <v>18</v>
      </c>
      <c r="L17" s="381">
        <f>'Risiko Residual Kualitatif'!AJ12</f>
        <v>18</v>
      </c>
      <c r="M17" s="381">
        <f>'Risiko Residual Kualitatif'!AK12</f>
        <v>16</v>
      </c>
      <c r="N17" s="381">
        <f>'Risiko Residual Kualitatif'!AL12</f>
        <v>15</v>
      </c>
      <c r="O17" s="385" t="str">
        <f>'Risiko Residual Kualitatif'!AQ12</f>
        <v>Moderate to High</v>
      </c>
      <c r="P17" s="385" t="str">
        <f>'Risiko Residual Kualitatif'!AR12</f>
        <v>Moderate to High</v>
      </c>
      <c r="Q17" s="385" t="str">
        <f>'Risiko Residual Kualitatif'!AS12</f>
        <v>Moderate to High</v>
      </c>
      <c r="R17" s="382" t="str">
        <f>'Risiko Residual Kualitatif'!AT12</f>
        <v>Moderate</v>
      </c>
    </row>
    <row r="18" spans="2:18" ht="41.4" thickBot="1">
      <c r="B18" s="377">
        <v>14</v>
      </c>
      <c r="C18" s="378" t="s">
        <v>1217</v>
      </c>
      <c r="D18" s="390">
        <f>'Risiko Inheren Kualitatif'!N12/10^9</f>
        <v>33</v>
      </c>
      <c r="E18" s="379">
        <f>'Risiko Inheren Kualitatif'!O12</f>
        <v>13</v>
      </c>
      <c r="F18" s="380" t="str">
        <f>'Risiko Inheren Kualitatif'!Q12</f>
        <v>Moderate</v>
      </c>
      <c r="G18" s="392">
        <f>'Risiko Residual Kualitatif'!AE13/10^9</f>
        <v>33</v>
      </c>
      <c r="H18" s="392">
        <f>'Risiko Residual Kualitatif'!AF13/10^9</f>
        <v>33</v>
      </c>
      <c r="I18" s="392">
        <f>'Risiko Residual Kualitatif'!AG13/10^9</f>
        <v>19.8</v>
      </c>
      <c r="J18" s="392">
        <f>'Risiko Residual Kualitatif'!AH13/10^9</f>
        <v>13.2</v>
      </c>
      <c r="K18" s="381">
        <f>'Risiko Residual Kualitatif'!AI13</f>
        <v>13</v>
      </c>
      <c r="L18" s="381">
        <f>'Risiko Residual Kualitatif'!AJ13</f>
        <v>13</v>
      </c>
      <c r="M18" s="381">
        <f>'Risiko Residual Kualitatif'!AK13</f>
        <v>11</v>
      </c>
      <c r="N18" s="381">
        <f>'Risiko Residual Kualitatif'!AL13</f>
        <v>6</v>
      </c>
      <c r="O18" s="382" t="str">
        <f>'Risiko Residual Kualitatif'!AQ13</f>
        <v>Moderate</v>
      </c>
      <c r="P18" s="382" t="str">
        <f>'Risiko Residual Kualitatif'!AR13</f>
        <v>Moderate</v>
      </c>
      <c r="Q18" s="383" t="str">
        <f>'Risiko Residual Kualitatif'!AS13</f>
        <v>Low to Moderate</v>
      </c>
      <c r="R18" s="383" t="str">
        <f>'Risiko Residual Kualitatif'!AT13</f>
        <v>Low to Moderate</v>
      </c>
    </row>
    <row r="19" spans="2:18" ht="51.6" thickBot="1">
      <c r="B19" s="377">
        <v>15</v>
      </c>
      <c r="C19" s="378" t="s">
        <v>1524</v>
      </c>
      <c r="D19" s="390">
        <f>'Risiko Inheren Kualitatif'!N13/10^9</f>
        <v>26.4</v>
      </c>
      <c r="E19" s="379">
        <f>'Risiko Inheren Kualitatif'!O13</f>
        <v>16</v>
      </c>
      <c r="F19" s="384" t="str">
        <f>'Risiko Inheren Kualitatif'!Q13</f>
        <v>Moderate to High</v>
      </c>
      <c r="G19" s="392">
        <f>'Risiko Residual Kualitatif'!AE14/10^9</f>
        <v>26.4</v>
      </c>
      <c r="H19" s="392">
        <f>'Risiko Residual Kualitatif'!AF14/10^9</f>
        <v>19.8</v>
      </c>
      <c r="I19" s="392">
        <f>'Risiko Residual Kualitatif'!AG14/10^9</f>
        <v>19.8</v>
      </c>
      <c r="J19" s="392">
        <f>'Risiko Residual Kualitatif'!AH14/10^9</f>
        <v>13.2</v>
      </c>
      <c r="K19" s="381">
        <f>'Risiko Residual Kualitatif'!AI14</f>
        <v>16</v>
      </c>
      <c r="L19" s="381">
        <f>'Risiko Residual Kualitatif'!AJ14</f>
        <v>11</v>
      </c>
      <c r="M19" s="381">
        <f>'Risiko Residual Kualitatif'!AK14</f>
        <v>11</v>
      </c>
      <c r="N19" s="381">
        <f>'Risiko Residual Kualitatif'!AL14</f>
        <v>6</v>
      </c>
      <c r="O19" s="385" t="str">
        <f>'Risiko Residual Kualitatif'!AQ14</f>
        <v>Moderate to High</v>
      </c>
      <c r="P19" s="383" t="str">
        <f>'Risiko Residual Kualitatif'!AR14</f>
        <v>Low to Moderate</v>
      </c>
      <c r="Q19" s="383" t="str">
        <f>'Risiko Residual Kualitatif'!AS14</f>
        <v>Low to Moderate</v>
      </c>
      <c r="R19" s="383" t="str">
        <f>'Risiko Residual Kualitatif'!AT14</f>
        <v>Low to Moderate</v>
      </c>
    </row>
    <row r="20" spans="2:18" ht="21" thickBot="1">
      <c r="B20" s="387">
        <v>16</v>
      </c>
      <c r="C20" s="388" t="s">
        <v>1525</v>
      </c>
      <c r="D20" s="390">
        <f>'Risiko Inheren Kualitatif'!N14/10^9</f>
        <v>33</v>
      </c>
      <c r="E20" s="379">
        <f>'Risiko Inheren Kualitatif'!O14</f>
        <v>13</v>
      </c>
      <c r="F20" s="380" t="str">
        <f>'Risiko Inheren Kualitatif'!Q14</f>
        <v>Moderate</v>
      </c>
      <c r="G20" s="392">
        <f>'Risiko Residual Kualitatif'!AE15/10^9</f>
        <v>33</v>
      </c>
      <c r="H20" s="392">
        <f>'Risiko Residual Kualitatif'!AF15/10^9</f>
        <v>22</v>
      </c>
      <c r="I20" s="392">
        <f>'Risiko Residual Kualitatif'!AG15/10^9</f>
        <v>13.2</v>
      </c>
      <c r="J20" s="392">
        <f>'Risiko Residual Kualitatif'!AH15/10^9</f>
        <v>13.2</v>
      </c>
      <c r="K20" s="381">
        <f>'Risiko Residual Kualitatif'!AI15</f>
        <v>13</v>
      </c>
      <c r="L20" s="381">
        <f>'Risiko Residual Kualitatif'!AJ15</f>
        <v>8</v>
      </c>
      <c r="M20" s="381">
        <f>'Risiko Residual Kualitatif'!AK15</f>
        <v>6</v>
      </c>
      <c r="N20" s="381">
        <f>'Risiko Residual Kualitatif'!AL15</f>
        <v>6</v>
      </c>
      <c r="O20" s="382" t="str">
        <f>'Risiko Residual Kualitatif'!AQ15</f>
        <v>Moderate</v>
      </c>
      <c r="P20" s="383" t="str">
        <f>'Risiko Residual Kualitatif'!AR15</f>
        <v>Low to Moderate</v>
      </c>
      <c r="Q20" s="383" t="str">
        <f>'Risiko Residual Kualitatif'!AS15</f>
        <v>Low to Moderate</v>
      </c>
      <c r="R20" s="383" t="str">
        <f>'Risiko Residual Kualitatif'!AT15</f>
        <v>Low to Moderate</v>
      </c>
    </row>
    <row r="21" spans="2:18" ht="41.4" thickBot="1">
      <c r="B21" s="377">
        <v>17</v>
      </c>
      <c r="C21" s="389" t="s">
        <v>1411</v>
      </c>
      <c r="D21" s="390">
        <f>'Risiko Inheren Kuantitatif'!N18/10^9</f>
        <v>380.5</v>
      </c>
      <c r="E21" s="379">
        <f>'Risiko Inheren Kuantitatif'!O18</f>
        <v>18</v>
      </c>
      <c r="F21" s="384" t="str">
        <f>'Risiko Inheren Kuantitatif'!Q18</f>
        <v>Moderate to High</v>
      </c>
      <c r="G21" s="392">
        <f>'Risiko Residual Kuantitatif'!AE18/10^9</f>
        <v>380.5</v>
      </c>
      <c r="H21" s="392">
        <f>'Risiko Residual Kuantitatif'!AF18/10^9</f>
        <v>342.45</v>
      </c>
      <c r="I21" s="392">
        <f>'Risiko Residual Kuantitatif'!AG18/10^9</f>
        <v>159.80999999999997</v>
      </c>
      <c r="J21" s="392">
        <f>'Risiko Residual Kuantitatif'!AH18/10^9</f>
        <v>60.88</v>
      </c>
      <c r="K21" s="381">
        <f>'Risiko Residual Kuantitatif'!AI18</f>
        <v>18</v>
      </c>
      <c r="L21" s="381">
        <f>'Risiko Residual Kuantitatif'!AJ18</f>
        <v>18</v>
      </c>
      <c r="M21" s="381">
        <f>'Risiko Residual Kuantitatif'!AK18</f>
        <v>16</v>
      </c>
      <c r="N21" s="381">
        <f>'Risiko Residual Kuantitatif'!AL18</f>
        <v>11</v>
      </c>
      <c r="O21" s="385" t="str">
        <f>'Risiko Residual Kuantitatif'!AQ18</f>
        <v>Moderate to High</v>
      </c>
      <c r="P21" s="385" t="str">
        <f>'Risiko Residual Kuantitatif'!AR18</f>
        <v>Moderate to High</v>
      </c>
      <c r="Q21" s="385" t="str">
        <f>'Risiko Residual Kuantitatif'!AS18</f>
        <v>Moderate to High</v>
      </c>
      <c r="R21" s="383" t="str">
        <f>'Risiko Residual Kuantitatif'!AT18</f>
        <v>Low to Moderate</v>
      </c>
    </row>
    <row r="23" spans="2:18">
      <c r="D23" s="391">
        <f>SUM(D5:D21)</f>
        <v>3688.4314266345</v>
      </c>
      <c r="J23" s="391">
        <f>SUM(J5:J21)</f>
        <v>1521.9571291961404</v>
      </c>
    </row>
  </sheetData>
  <mergeCells count="10">
    <mergeCell ref="B2:B4"/>
    <mergeCell ref="C2:C4"/>
    <mergeCell ref="D2:F2"/>
    <mergeCell ref="G2:R2"/>
    <mergeCell ref="D3:D4"/>
    <mergeCell ref="E3:E4"/>
    <mergeCell ref="F3:F4"/>
    <mergeCell ref="G3:J3"/>
    <mergeCell ref="K3:N3"/>
    <mergeCell ref="O3:R3"/>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L73"/>
  <sheetViews>
    <sheetView zoomScale="85" zoomScaleNormal="85" workbookViewId="0">
      <pane xSplit="2" ySplit="4" topLeftCell="C5" activePane="bottomRight" state="frozen"/>
      <selection activeCell="L24" sqref="L24"/>
      <selection pane="topRight" activeCell="L24" sqref="L24"/>
      <selection pane="bottomLeft" activeCell="L24" sqref="L24"/>
      <selection pane="bottomRight" activeCell="E79" sqref="E79"/>
    </sheetView>
  </sheetViews>
  <sheetFormatPr defaultRowHeight="14.4" outlineLevelRow="1"/>
  <cols>
    <col min="1" max="1" width="0" hidden="1" customWidth="1"/>
    <col min="2" max="2" width="36.77734375" customWidth="1"/>
    <col min="3" max="3" width="31" style="314" customWidth="1"/>
    <col min="4" max="4" width="33" style="314" customWidth="1"/>
    <col min="5" max="5" width="38.77734375" customWidth="1"/>
    <col min="6" max="6" width="27.77734375" customWidth="1"/>
    <col min="7" max="8" width="35.21875" customWidth="1"/>
    <col min="9" max="9" width="36.21875" customWidth="1"/>
    <col min="10" max="10" width="20.77734375" bestFit="1" customWidth="1"/>
    <col min="11" max="11" width="21.77734375" bestFit="1" customWidth="1"/>
    <col min="12" max="12" width="22.77734375" bestFit="1" customWidth="1"/>
    <col min="13" max="13" width="15" bestFit="1" customWidth="1"/>
    <col min="14" max="14" width="14.44140625" bestFit="1" customWidth="1"/>
    <col min="15" max="15" width="13.5546875" bestFit="1" customWidth="1"/>
    <col min="16" max="16" width="16.44140625" bestFit="1" customWidth="1"/>
    <col min="17" max="17" width="15.44140625" bestFit="1" customWidth="1"/>
  </cols>
  <sheetData>
    <row r="2" spans="2:12" ht="15" thickBot="1">
      <c r="D2" s="315"/>
    </row>
    <row r="3" spans="2:12" ht="22.8">
      <c r="B3" s="556" t="s">
        <v>1424</v>
      </c>
      <c r="C3" s="316" t="s">
        <v>1425</v>
      </c>
      <c r="D3" s="316" t="s">
        <v>1426</v>
      </c>
      <c r="E3" s="252" t="s">
        <v>1427</v>
      </c>
      <c r="F3" s="252" t="s">
        <v>1428</v>
      </c>
      <c r="G3" s="252" t="s">
        <v>1429</v>
      </c>
    </row>
    <row r="4" spans="2:12" ht="13.95" customHeight="1" thickBot="1">
      <c r="B4" s="557"/>
      <c r="C4" s="317" t="s">
        <v>1430</v>
      </c>
      <c r="D4" s="317" t="s">
        <v>1430</v>
      </c>
      <c r="E4" s="253" t="s">
        <v>1430</v>
      </c>
      <c r="F4" s="253" t="s">
        <v>1430</v>
      </c>
      <c r="G4" s="253" t="s">
        <v>1430</v>
      </c>
    </row>
    <row r="5" spans="2:12" ht="13.95" customHeight="1" thickTop="1" thickBot="1">
      <c r="B5" s="254" t="s">
        <v>1431</v>
      </c>
      <c r="C5" s="318">
        <f>'Risiko Inheren Kuantitatif'!N9</f>
        <v>197300000000</v>
      </c>
      <c r="D5" s="318">
        <v>1000000000</v>
      </c>
      <c r="E5" s="255">
        <f>'Risiko Residual Kuantitatif'!AH9</f>
        <v>147975000000</v>
      </c>
      <c r="F5" s="255">
        <f>'Risiko Residual Kuantitatif'!AH9</f>
        <v>147975000000</v>
      </c>
      <c r="G5" s="256"/>
    </row>
    <row r="6" spans="2:12" ht="13.95" customHeight="1" thickTop="1" thickBot="1">
      <c r="B6" s="257" t="s">
        <v>1432</v>
      </c>
      <c r="C6" s="318">
        <f>SUM('Risiko Inheren Kuantitatif'!N10,'Risiko Inheren Kuantitatif'!N11,'Risiko Inheren Kuantitatif'!N12,'Risiko Inheren Kuantitatif'!N13)</f>
        <v>2074069600000</v>
      </c>
      <c r="D6" s="318">
        <v>3300000000</v>
      </c>
      <c r="E6" s="258">
        <f>SUM('Risiko Residual Kuantitatif'!AH10,'Risiko Residual Kuantitatif'!AH11,'Risiko Residual Kuantitatif'!AH12,'Risiko Residual Kuantitatif'!AH13)</f>
        <v>1012042710000</v>
      </c>
      <c r="F6" s="255">
        <f>SUM('Risiko Residual Kuantitatif'!AH10,'Risiko Residual Kuantitatif'!AH11,'Risiko Residual Kuantitatif'!AH12,'Risiko Residual Kuantitatif'!AH13)</f>
        <v>1012042710000</v>
      </c>
      <c r="G6" s="255"/>
    </row>
    <row r="7" spans="2:12" ht="13.95" customHeight="1" thickBot="1">
      <c r="B7" s="254" t="s">
        <v>1433</v>
      </c>
      <c r="C7" s="318">
        <f>'Risiko Inheren Kuantitatif'!N14</f>
        <v>366761826634.5</v>
      </c>
      <c r="D7" s="318"/>
      <c r="E7" s="258">
        <f>'Risiko Residual Kuantitatif'!AH14</f>
        <v>44011419196.140007</v>
      </c>
      <c r="F7" s="255"/>
      <c r="G7" s="255">
        <f>SUM('Risiko Residual Kuantitatif'!AH14)</f>
        <v>44011419196.140007</v>
      </c>
    </row>
    <row r="8" spans="2:12" ht="13.95" customHeight="1" thickBot="1">
      <c r="B8" s="259" t="s">
        <v>1434</v>
      </c>
      <c r="C8" s="318">
        <f>'Risiko Inheren Kuantitatif'!N15</f>
        <v>260000000000</v>
      </c>
      <c r="D8" s="318"/>
      <c r="E8" s="258">
        <f>'Risiko Residual Kuantitatif'!AH15</f>
        <v>130000000000</v>
      </c>
      <c r="F8" s="255"/>
      <c r="G8" s="255">
        <f>'Risiko Residual Kuantitatif'!AH15</f>
        <v>130000000000</v>
      </c>
    </row>
    <row r="9" spans="2:12" ht="13.95" customHeight="1" thickBot="1">
      <c r="B9" s="254" t="s">
        <v>1435</v>
      </c>
      <c r="C9" s="318">
        <f>'Risiko Inheren Kuantitatif'!N17</f>
        <v>69000000000</v>
      </c>
      <c r="D9" s="318"/>
      <c r="E9" s="258">
        <f>'Risiko Residual Kuantitatif'!AH17</f>
        <v>13248000000</v>
      </c>
      <c r="F9" s="255"/>
      <c r="G9" s="255">
        <f>'Risiko Residual Kuantitatif'!AH17</f>
        <v>13248000000</v>
      </c>
      <c r="L9" s="260">
        <v>34221800000000</v>
      </c>
    </row>
    <row r="10" spans="2:12" ht="13.95" customHeight="1" thickBot="1">
      <c r="B10" s="259" t="s">
        <v>1436</v>
      </c>
      <c r="C10" s="318">
        <f>'Risiko Inheren Kuantitatif'!N16</f>
        <v>112000000000</v>
      </c>
      <c r="D10" s="318">
        <v>14300000000</v>
      </c>
      <c r="E10" s="255">
        <f>'Risiko Residual Kuantitatif'!AH16</f>
        <v>19200000000</v>
      </c>
      <c r="F10" s="255"/>
      <c r="G10" s="255">
        <f>'Risiko Residual Kuantitatif'!AH16</f>
        <v>19200000000</v>
      </c>
      <c r="L10" s="260">
        <v>28581900000000</v>
      </c>
    </row>
    <row r="11" spans="2:12" ht="13.95" customHeight="1" thickBot="1">
      <c r="B11" s="254" t="s">
        <v>1437</v>
      </c>
      <c r="C11" s="318">
        <f>SUM('Risiko Inheren Kuantitatif'!N18,'Risiko Inheren Kualitatif'!N8)</f>
        <v>413500000000</v>
      </c>
      <c r="D11" s="318">
        <v>4000000000</v>
      </c>
      <c r="E11" s="353">
        <f>SUM('Risiko Residual Kuantitatif'!AH18,'Risiko Residual Kualitatif'!AH9)</f>
        <v>74080000000</v>
      </c>
      <c r="F11" s="255"/>
      <c r="G11" s="255">
        <f>SUM('Risiko Residual Kuantitatif'!AH18,'Risiko Residual Kualitatif'!AH9)</f>
        <v>74080000000</v>
      </c>
      <c r="L11" s="260">
        <f>L9-L10</f>
        <v>5639900000000</v>
      </c>
    </row>
    <row r="12" spans="2:12" ht="13.95" customHeight="1" thickBot="1">
      <c r="B12" s="259" t="s">
        <v>1438</v>
      </c>
      <c r="C12" s="318">
        <f>'Risiko Inheren Kualitatif'!N9</f>
        <v>33000000000</v>
      </c>
      <c r="D12" s="318">
        <v>24000000000</v>
      </c>
      <c r="E12" s="353">
        <f>'Risiko Residual Kualitatif'!AH10</f>
        <v>13200000000</v>
      </c>
      <c r="F12" s="255"/>
      <c r="G12" s="255">
        <f>'Risiko Residual Kualitatif'!AH10</f>
        <v>13200000000</v>
      </c>
    </row>
    <row r="13" spans="2:12" ht="13.95" customHeight="1" thickBot="1">
      <c r="B13" s="254" t="s">
        <v>1439</v>
      </c>
      <c r="C13" s="318">
        <f>'Risiko Inheren Kualitatif'!N10</f>
        <v>26400000000</v>
      </c>
      <c r="D13" s="318">
        <v>32800000000</v>
      </c>
      <c r="E13" s="353">
        <f>'Risiko Residual Kualitatif'!AH11</f>
        <v>19800000000</v>
      </c>
      <c r="F13" s="255"/>
      <c r="G13" s="255">
        <f>'Risiko Residual Kualitatif'!AH11</f>
        <v>19800000000</v>
      </c>
      <c r="L13" s="261" t="s">
        <v>1440</v>
      </c>
    </row>
    <row r="14" spans="2:12" ht="13.95" customHeight="1" thickBot="1">
      <c r="B14" s="259" t="s">
        <v>1441</v>
      </c>
      <c r="C14" s="318">
        <f>'Risiko Inheren Kualitatif'!N11</f>
        <v>44000000000</v>
      </c>
      <c r="D14" s="318">
        <v>23300000000</v>
      </c>
      <c r="E14" s="353">
        <f>'Risiko Residual Kualitatif'!AH12</f>
        <v>8800000000</v>
      </c>
      <c r="F14" s="255"/>
      <c r="G14" s="255">
        <f>'Risiko Residual Kualitatif'!AH12</f>
        <v>8800000000</v>
      </c>
      <c r="L14" s="262">
        <v>28581900000000</v>
      </c>
    </row>
    <row r="15" spans="2:12" ht="13.95" customHeight="1" thickBot="1">
      <c r="B15" s="254" t="s">
        <v>1442</v>
      </c>
      <c r="C15" s="318">
        <f>'Risiko Inheren Kualitatif'!N12</f>
        <v>33000000000</v>
      </c>
      <c r="D15" s="318">
        <v>15600000000</v>
      </c>
      <c r="E15" s="353">
        <f>'Risiko Residual Kualitatif'!AH13</f>
        <v>13200000000</v>
      </c>
      <c r="F15" s="255"/>
      <c r="G15" s="255">
        <f>'Risiko Residual Kualitatif'!AH13</f>
        <v>13200000000</v>
      </c>
    </row>
    <row r="16" spans="2:12" ht="13.95" customHeight="1" thickBot="1">
      <c r="B16" s="259" t="s">
        <v>1443</v>
      </c>
      <c r="C16" s="318">
        <f>'Risiko Inheren Kualitatif'!N13</f>
        <v>26400000000</v>
      </c>
      <c r="D16" s="318">
        <v>2300000000</v>
      </c>
      <c r="E16" s="353">
        <f>'Risiko Residual Kualitatif'!AH14</f>
        <v>13200000000</v>
      </c>
      <c r="F16" s="255"/>
      <c r="G16" s="255">
        <f>'Risiko Residual Kualitatif'!AH14</f>
        <v>13200000000</v>
      </c>
      <c r="L16" s="251" t="e">
        <f>L13-L14</f>
        <v>#VALUE!</v>
      </c>
    </row>
    <row r="17" spans="2:11" ht="13.95" customHeight="1" thickBot="1">
      <c r="B17" s="254" t="s">
        <v>1444</v>
      </c>
      <c r="C17" s="318">
        <f>'Risiko Inheren Kualitatif'!N14</f>
        <v>33000000000</v>
      </c>
      <c r="D17" s="318">
        <v>80000000</v>
      </c>
      <c r="E17" s="353">
        <f>'Risiko Residual Kualitatif'!AH15</f>
        <v>13200000000</v>
      </c>
      <c r="F17" s="255">
        <f>'Risiko Residual Kualitatif'!AH15</f>
        <v>13200000000</v>
      </c>
      <c r="G17" s="255"/>
    </row>
    <row r="18" spans="2:11" ht="15" thickBot="1">
      <c r="B18" s="263" t="s">
        <v>840</v>
      </c>
      <c r="C18" s="319">
        <f>SUM(C4:C17)</f>
        <v>3688431426634.5</v>
      </c>
      <c r="D18" s="319">
        <f>SUM(D5:D17)</f>
        <v>120680000000</v>
      </c>
      <c r="E18" s="319">
        <f>SUM(E5:E17)</f>
        <v>1521957129196.1399</v>
      </c>
      <c r="F18" s="352">
        <f>SUM(F5:F16)</f>
        <v>1160017710000</v>
      </c>
      <c r="G18" s="352">
        <f>SUM(G5:G16)</f>
        <v>348739419196.14001</v>
      </c>
    </row>
    <row r="19" spans="2:11">
      <c r="C19"/>
      <c r="E19" s="319">
        <f>SUM(E5:E10)</f>
        <v>1366477129196.1399</v>
      </c>
      <c r="G19" s="319">
        <f>SUM(G5:G10)</f>
        <v>206459419196.14001</v>
      </c>
    </row>
    <row r="20" spans="2:11">
      <c r="C20"/>
    </row>
    <row r="21" spans="2:11">
      <c r="C21"/>
      <c r="E21" s="372">
        <v>1366477129196.1399</v>
      </c>
    </row>
    <row r="22" spans="2:11">
      <c r="C22"/>
    </row>
    <row r="23" spans="2:11" ht="15" hidden="1" outlineLevel="1" thickBot="1">
      <c r="B23" s="264" t="s">
        <v>513</v>
      </c>
      <c r="C23" s="320" t="s">
        <v>515</v>
      </c>
      <c r="D23" s="321" t="s">
        <v>1445</v>
      </c>
      <c r="E23" s="264" t="s">
        <v>1446</v>
      </c>
      <c r="F23" s="265" t="s">
        <v>522</v>
      </c>
      <c r="G23" s="265" t="s">
        <v>1447</v>
      </c>
      <c r="H23" s="265" t="s">
        <v>1448</v>
      </c>
      <c r="I23" s="265" t="s">
        <v>1449</v>
      </c>
      <c r="J23" s="265" t="s">
        <v>1450</v>
      </c>
      <c r="K23" s="265" t="s">
        <v>1451</v>
      </c>
    </row>
    <row r="24" spans="2:11" ht="15.6" hidden="1" outlineLevel="1" thickTop="1" thickBot="1">
      <c r="B24" s="266">
        <v>33622000000000</v>
      </c>
      <c r="C24" s="322">
        <v>355000000000</v>
      </c>
      <c r="D24" s="323">
        <v>244800000000</v>
      </c>
      <c r="E24" s="267">
        <f>B24+C24-D24</f>
        <v>33732200000000</v>
      </c>
      <c r="F24" s="266">
        <v>26573000000000</v>
      </c>
      <c r="G24" s="268">
        <v>1734000000000</v>
      </c>
      <c r="H24" s="269">
        <v>153900000000</v>
      </c>
      <c r="I24" s="266">
        <v>121000000000</v>
      </c>
      <c r="J24" s="270">
        <f>F24+G24+H24+I24</f>
        <v>28581900000000</v>
      </c>
      <c r="K24" s="270">
        <f>E24-J24</f>
        <v>5150300000000</v>
      </c>
    </row>
    <row r="25" spans="2:11" ht="15" hidden="1" outlineLevel="1" thickBot="1">
      <c r="D25" s="324" t="s">
        <v>1451</v>
      </c>
      <c r="E25" s="265" t="s">
        <v>1452</v>
      </c>
      <c r="F25" s="265" t="s">
        <v>1453</v>
      </c>
    </row>
    <row r="26" spans="2:11" ht="15.6" hidden="1" outlineLevel="1" thickTop="1" thickBot="1">
      <c r="D26" s="325">
        <f>E24-J24</f>
        <v>5150300000000</v>
      </c>
      <c r="E26" s="271">
        <v>1150000000000</v>
      </c>
      <c r="F26" s="270">
        <f>D26-E26</f>
        <v>4000300000000</v>
      </c>
    </row>
    <row r="27" spans="2:11" hidden="1" outlineLevel="1"/>
    <row r="28" spans="2:11" hidden="1" outlineLevel="1"/>
    <row r="29" spans="2:11" hidden="1" outlineLevel="1"/>
    <row r="30" spans="2:11" ht="15" hidden="1" outlineLevel="1" thickBot="1">
      <c r="B30" s="272" t="s">
        <v>1454</v>
      </c>
      <c r="C30" s="326">
        <v>45659</v>
      </c>
    </row>
    <row r="31" spans="2:11" ht="22.8" hidden="1" outlineLevel="1">
      <c r="B31" s="556" t="s">
        <v>1424</v>
      </c>
      <c r="C31" s="316" t="s">
        <v>1425</v>
      </c>
      <c r="D31" s="316" t="s">
        <v>1426</v>
      </c>
      <c r="E31" s="252" t="s">
        <v>1427</v>
      </c>
      <c r="F31" s="252" t="s">
        <v>1428</v>
      </c>
      <c r="G31" s="252" t="s">
        <v>1429</v>
      </c>
    </row>
    <row r="32" spans="2:11" ht="15" hidden="1" outlineLevel="1" thickBot="1">
      <c r="B32" s="557"/>
      <c r="C32" s="317" t="s">
        <v>1430</v>
      </c>
      <c r="D32" s="317" t="s">
        <v>1430</v>
      </c>
      <c r="E32" s="253" t="s">
        <v>1430</v>
      </c>
      <c r="F32" s="253" t="s">
        <v>1430</v>
      </c>
      <c r="G32" s="253" t="s">
        <v>1430</v>
      </c>
    </row>
    <row r="33" spans="2:7" ht="15.6" hidden="1" outlineLevel="1" thickTop="1" thickBot="1">
      <c r="B33" s="257" t="s">
        <v>1431</v>
      </c>
      <c r="C33" s="327">
        <v>75200000000</v>
      </c>
      <c r="D33" s="328">
        <v>1000000000</v>
      </c>
      <c r="E33" s="274">
        <v>45100000000</v>
      </c>
      <c r="F33" s="274">
        <v>45100000000</v>
      </c>
      <c r="G33" s="273" t="s">
        <v>874</v>
      </c>
    </row>
    <row r="34" spans="2:7" ht="15.6" hidden="1" outlineLevel="1" thickTop="1" thickBot="1">
      <c r="B34" s="254" t="s">
        <v>1432</v>
      </c>
      <c r="C34" s="329">
        <v>1092000000000</v>
      </c>
      <c r="D34" s="330">
        <v>3300000000</v>
      </c>
      <c r="E34" s="275">
        <v>197300000000</v>
      </c>
      <c r="F34" s="275">
        <v>197300000000</v>
      </c>
      <c r="G34" s="275" t="s">
        <v>874</v>
      </c>
    </row>
    <row r="35" spans="2:7" ht="15" hidden="1" outlineLevel="1" thickBot="1">
      <c r="B35" s="259" t="s">
        <v>1433</v>
      </c>
      <c r="C35" s="331">
        <v>366800000000</v>
      </c>
      <c r="D35" s="332"/>
      <c r="E35" s="277">
        <v>44000000000</v>
      </c>
      <c r="F35" s="276" t="s">
        <v>874</v>
      </c>
      <c r="G35" s="277">
        <v>44000000000</v>
      </c>
    </row>
    <row r="36" spans="2:7" ht="15" hidden="1" outlineLevel="1" thickBot="1">
      <c r="B36" s="254" t="s">
        <v>1434</v>
      </c>
      <c r="C36" s="329">
        <v>130000000000</v>
      </c>
      <c r="D36" s="333"/>
      <c r="E36" s="278">
        <v>39000000000</v>
      </c>
      <c r="F36" s="275" t="s">
        <v>874</v>
      </c>
      <c r="G36" s="278">
        <v>39000000000</v>
      </c>
    </row>
    <row r="37" spans="2:7" ht="15" hidden="1" outlineLevel="1" thickBot="1">
      <c r="B37" s="259" t="s">
        <v>1435</v>
      </c>
      <c r="C37" s="331">
        <v>192000000000</v>
      </c>
      <c r="D37" s="332"/>
      <c r="E37" s="277">
        <v>36900000000</v>
      </c>
      <c r="F37" s="276" t="s">
        <v>874</v>
      </c>
      <c r="G37" s="277">
        <v>36900000000</v>
      </c>
    </row>
    <row r="38" spans="2:7" ht="15" hidden="1" outlineLevel="1" thickBot="1">
      <c r="B38" s="254" t="s">
        <v>1436</v>
      </c>
      <c r="C38" s="329">
        <v>112000000000</v>
      </c>
      <c r="D38" s="334">
        <v>14300000000</v>
      </c>
      <c r="E38" s="278">
        <v>19200000000</v>
      </c>
      <c r="F38" s="275" t="s">
        <v>874</v>
      </c>
      <c r="G38" s="278">
        <v>19200000000</v>
      </c>
    </row>
    <row r="39" spans="2:7" ht="27" hidden="1" customHeight="1" outlineLevel="1" thickBot="1">
      <c r="B39" s="259" t="s">
        <v>1437</v>
      </c>
      <c r="C39" s="331">
        <v>6000000000</v>
      </c>
      <c r="D39" s="335">
        <v>4000000000</v>
      </c>
      <c r="E39" s="276" t="s">
        <v>1455</v>
      </c>
      <c r="F39" s="276" t="s">
        <v>874</v>
      </c>
      <c r="G39" s="276" t="s">
        <v>1455</v>
      </c>
    </row>
    <row r="40" spans="2:7" ht="27" hidden="1" customHeight="1" outlineLevel="1" thickBot="1">
      <c r="B40" s="254" t="s">
        <v>1438</v>
      </c>
      <c r="C40" s="329">
        <v>6000000000</v>
      </c>
      <c r="D40" s="334">
        <v>24000000000</v>
      </c>
      <c r="E40" s="278" t="s">
        <v>1455</v>
      </c>
      <c r="F40" s="275" t="s">
        <v>874</v>
      </c>
      <c r="G40" s="278" t="s">
        <v>1455</v>
      </c>
    </row>
    <row r="41" spans="2:7" ht="27" hidden="1" customHeight="1" outlineLevel="1" thickBot="1">
      <c r="B41" s="259" t="s">
        <v>1439</v>
      </c>
      <c r="C41" s="331">
        <v>4800000000</v>
      </c>
      <c r="D41" s="335">
        <v>32800000000</v>
      </c>
      <c r="E41" s="277" t="s">
        <v>1456</v>
      </c>
      <c r="F41" s="276" t="s">
        <v>874</v>
      </c>
      <c r="G41" s="277" t="s">
        <v>1456</v>
      </c>
    </row>
    <row r="42" spans="2:7" ht="27" hidden="1" customHeight="1" outlineLevel="1" thickBot="1">
      <c r="B42" s="254" t="s">
        <v>1441</v>
      </c>
      <c r="C42" s="329">
        <v>8000000000</v>
      </c>
      <c r="D42" s="334">
        <v>23300000000</v>
      </c>
      <c r="E42" s="278" t="s">
        <v>1457</v>
      </c>
      <c r="F42" s="275" t="s">
        <v>874</v>
      </c>
      <c r="G42" s="278" t="s">
        <v>1457</v>
      </c>
    </row>
    <row r="43" spans="2:7" ht="27" hidden="1" customHeight="1" outlineLevel="1" thickBot="1">
      <c r="B43" s="259" t="s">
        <v>1442</v>
      </c>
      <c r="C43" s="331">
        <v>6000000000</v>
      </c>
      <c r="D43" s="335">
        <v>15600000000</v>
      </c>
      <c r="E43" s="277" t="s">
        <v>1455</v>
      </c>
      <c r="F43" s="276" t="s">
        <v>874</v>
      </c>
      <c r="G43" s="277" t="s">
        <v>1455</v>
      </c>
    </row>
    <row r="44" spans="2:7" ht="24" hidden="1" customHeight="1" outlineLevel="1" thickBot="1">
      <c r="B44" s="254" t="s">
        <v>1443</v>
      </c>
      <c r="C44" s="329">
        <v>4800000000</v>
      </c>
      <c r="D44" s="334">
        <v>2300000000</v>
      </c>
      <c r="E44" s="278" t="s">
        <v>1455</v>
      </c>
      <c r="F44" s="275" t="s">
        <v>874</v>
      </c>
      <c r="G44" s="278" t="s">
        <v>1455</v>
      </c>
    </row>
    <row r="45" spans="2:7" ht="15" hidden="1" outlineLevel="1" thickBot="1">
      <c r="B45" s="259" t="s">
        <v>1444</v>
      </c>
      <c r="C45" s="331">
        <v>6000000000</v>
      </c>
      <c r="D45" s="335">
        <v>80000000</v>
      </c>
      <c r="E45" s="277" t="s">
        <v>1455</v>
      </c>
      <c r="F45" s="277" t="s">
        <v>1455</v>
      </c>
      <c r="G45" s="277" t="s">
        <v>1458</v>
      </c>
    </row>
    <row r="46" spans="2:7" hidden="1" outlineLevel="1">
      <c r="B46" s="558" t="s">
        <v>840</v>
      </c>
      <c r="C46" s="560">
        <f>SUM(C33:C45)</f>
        <v>2009600000000</v>
      </c>
      <c r="D46" s="562">
        <f>SUM(D33:D45)</f>
        <v>120680000000</v>
      </c>
      <c r="E46" s="279">
        <f>SUM(E33:E38)</f>
        <v>381500000000</v>
      </c>
      <c r="F46" s="554">
        <f>SUM(F33:F34)</f>
        <v>242400000000</v>
      </c>
      <c r="G46" s="280">
        <f>SUM(G35:G38)</f>
        <v>139100000000</v>
      </c>
    </row>
    <row r="47" spans="2:7" ht="15" hidden="1" outlineLevel="1" thickBot="1">
      <c r="B47" s="559"/>
      <c r="C47" s="561"/>
      <c r="D47" s="563"/>
      <c r="E47" s="281" t="s">
        <v>1459</v>
      </c>
      <c r="F47" s="555"/>
      <c r="G47" s="282" t="s">
        <v>1459</v>
      </c>
    </row>
    <row r="48" spans="2:7" hidden="1" outlineLevel="1">
      <c r="D48" s="314" t="s">
        <v>1460</v>
      </c>
    </row>
    <row r="49" spans="2:11" ht="15" hidden="1" outlineLevel="1" thickBot="1">
      <c r="B49" s="272" t="s">
        <v>1454</v>
      </c>
    </row>
    <row r="50" spans="2:11" ht="23.4" hidden="1" outlineLevel="1" thickBot="1">
      <c r="B50" s="283" t="s">
        <v>1425</v>
      </c>
      <c r="C50" s="336" t="s">
        <v>1461</v>
      </c>
      <c r="D50" s="336" t="s">
        <v>1462</v>
      </c>
      <c r="E50" s="283" t="s">
        <v>1426</v>
      </c>
      <c r="F50" s="283" t="s">
        <v>1463</v>
      </c>
    </row>
    <row r="51" spans="2:11" ht="15.6" hidden="1" outlineLevel="1" thickTop="1" thickBot="1">
      <c r="B51" s="284" t="s">
        <v>513</v>
      </c>
      <c r="C51" s="337" t="s">
        <v>515</v>
      </c>
      <c r="D51" s="337" t="s">
        <v>1464</v>
      </c>
      <c r="E51" s="284" t="s">
        <v>520</v>
      </c>
      <c r="F51" s="284" t="s">
        <v>1465</v>
      </c>
    </row>
    <row r="52" spans="2:11" ht="15" hidden="1" outlineLevel="1" thickBot="1">
      <c r="B52" s="285">
        <f>C46</f>
        <v>2009600000000</v>
      </c>
      <c r="C52" s="338">
        <f>E46</f>
        <v>381500000000</v>
      </c>
      <c r="D52" s="339">
        <f>B52-C52</f>
        <v>1628100000000</v>
      </c>
      <c r="E52" s="287">
        <f>D46</f>
        <v>120680000000</v>
      </c>
      <c r="F52" s="286">
        <f>D52-E52</f>
        <v>1507420000000</v>
      </c>
    </row>
    <row r="53" spans="2:11" hidden="1" outlineLevel="1">
      <c r="B53" s="288"/>
      <c r="C53" s="340"/>
      <c r="D53" s="341"/>
      <c r="E53" s="288"/>
      <c r="F53" s="289"/>
    </row>
    <row r="54" spans="2:11" ht="15" hidden="1" outlineLevel="1" thickBot="1">
      <c r="B54" s="272" t="s">
        <v>1454</v>
      </c>
    </row>
    <row r="55" spans="2:11" ht="34.799999999999997" hidden="1" outlineLevel="1" thickBot="1">
      <c r="B55" s="283" t="s">
        <v>1466</v>
      </c>
      <c r="C55" s="336" t="s">
        <v>1467</v>
      </c>
      <c r="D55" s="336" t="s">
        <v>1468</v>
      </c>
      <c r="E55" s="283" t="s">
        <v>1469</v>
      </c>
      <c r="F55" s="283" t="s">
        <v>1470</v>
      </c>
      <c r="G55" s="290" t="s">
        <v>1471</v>
      </c>
      <c r="H55" s="283" t="s">
        <v>1472</v>
      </c>
      <c r="I55" s="283" t="s">
        <v>1473</v>
      </c>
      <c r="J55" s="283" t="s">
        <v>1474</v>
      </c>
      <c r="K55" s="283" t="s">
        <v>1475</v>
      </c>
    </row>
    <row r="56" spans="2:11" ht="15.6" hidden="1" outlineLevel="1" thickTop="1" thickBot="1">
      <c r="B56" s="291" t="s">
        <v>513</v>
      </c>
      <c r="C56" s="342" t="s">
        <v>515</v>
      </c>
      <c r="D56" s="342" t="s">
        <v>1445</v>
      </c>
      <c r="E56" s="291" t="s">
        <v>1446</v>
      </c>
      <c r="F56" s="284" t="s">
        <v>522</v>
      </c>
      <c r="G56" s="284" t="s">
        <v>1447</v>
      </c>
      <c r="H56" s="284" t="s">
        <v>1448</v>
      </c>
      <c r="I56" s="284" t="s">
        <v>1449</v>
      </c>
      <c r="J56" s="284" t="s">
        <v>1450</v>
      </c>
      <c r="K56" s="284" t="s">
        <v>1451</v>
      </c>
    </row>
    <row r="57" spans="2:11" ht="15" hidden="1" outlineLevel="1" thickBot="1">
      <c r="B57" s="292">
        <v>33622000000000</v>
      </c>
      <c r="C57" s="343">
        <v>355000000000</v>
      </c>
      <c r="D57" s="343">
        <v>242400000000</v>
      </c>
      <c r="E57" s="293">
        <f>B57+C57-D57</f>
        <v>33734600000000</v>
      </c>
      <c r="F57" s="292">
        <v>26573000000000</v>
      </c>
      <c r="G57" s="294">
        <v>1733820000000</v>
      </c>
      <c r="H57" s="295">
        <v>139000000000</v>
      </c>
      <c r="I57" s="296">
        <f>D46</f>
        <v>120680000000</v>
      </c>
      <c r="J57" s="286">
        <f>F57+G57+H57+I57</f>
        <v>28566500000000</v>
      </c>
      <c r="K57" s="286">
        <f>E57-J57</f>
        <v>5168100000000</v>
      </c>
    </row>
    <row r="58" spans="2:11" hidden="1" outlineLevel="1">
      <c r="B58" s="297"/>
      <c r="C58" s="344"/>
      <c r="D58" s="345"/>
      <c r="E58" s="289"/>
      <c r="F58" s="297"/>
      <c r="G58" s="298"/>
      <c r="H58" s="299"/>
      <c r="I58" s="297"/>
      <c r="J58" s="289"/>
      <c r="K58" s="289"/>
    </row>
    <row r="59" spans="2:11" ht="15" hidden="1" outlineLevel="1" thickBot="1">
      <c r="B59" s="272" t="s">
        <v>1454</v>
      </c>
      <c r="G59" s="300" t="s">
        <v>1476</v>
      </c>
      <c r="J59" s="251"/>
      <c r="K59" s="300"/>
    </row>
    <row r="60" spans="2:11" ht="15" hidden="1" outlineLevel="1" thickBot="1">
      <c r="B60" s="283" t="s">
        <v>1477</v>
      </c>
      <c r="C60" s="336" t="s">
        <v>654</v>
      </c>
      <c r="D60" s="336" t="s">
        <v>1478</v>
      </c>
      <c r="G60" s="300"/>
    </row>
    <row r="61" spans="2:11" ht="15.6" hidden="1" outlineLevel="1" thickTop="1" thickBot="1">
      <c r="B61" s="284" t="s">
        <v>1451</v>
      </c>
      <c r="C61" s="337" t="s">
        <v>1452</v>
      </c>
      <c r="D61" s="337" t="s">
        <v>1453</v>
      </c>
    </row>
    <row r="62" spans="2:11" ht="15" hidden="1" outlineLevel="1" thickBot="1">
      <c r="B62" s="292">
        <v>5445700000000</v>
      </c>
      <c r="C62" s="339">
        <v>1150000000000</v>
      </c>
      <c r="D62" s="339">
        <f>B62-C62</f>
        <v>4295700000000</v>
      </c>
      <c r="I62" s="251"/>
    </row>
    <row r="63" spans="2:11" hidden="1" outlineLevel="1">
      <c r="B63" s="300">
        <f>E57-J57</f>
        <v>5168100000000</v>
      </c>
      <c r="D63" s="346">
        <f>B63-C62</f>
        <v>4018100000000</v>
      </c>
    </row>
    <row r="64" spans="2:11" hidden="1" outlineLevel="1">
      <c r="B64" s="300"/>
      <c r="D64" s="346"/>
    </row>
    <row r="65" spans="2:7" ht="15" hidden="1" outlineLevel="1" thickBot="1">
      <c r="B65" s="272" t="s">
        <v>1454</v>
      </c>
    </row>
    <row r="66" spans="2:7" ht="24.6" hidden="1" outlineLevel="1" thickBot="1">
      <c r="B66" s="301" t="s">
        <v>1479</v>
      </c>
      <c r="C66" s="347" t="s">
        <v>1480</v>
      </c>
      <c r="E66" s="301" t="s">
        <v>1481</v>
      </c>
      <c r="F66" s="301" t="s">
        <v>1480</v>
      </c>
      <c r="G66" s="301" t="s">
        <v>1482</v>
      </c>
    </row>
    <row r="67" spans="2:7" ht="24" hidden="1" outlineLevel="1" thickTop="1" thickBot="1">
      <c r="B67" s="302" t="s">
        <v>1483</v>
      </c>
      <c r="C67" s="330">
        <v>6865000000000</v>
      </c>
      <c r="D67" s="348">
        <v>6965000000000</v>
      </c>
      <c r="E67" s="302" t="s">
        <v>1484</v>
      </c>
      <c r="F67" s="303">
        <v>200000000000</v>
      </c>
      <c r="G67" s="304"/>
    </row>
    <row r="68" spans="2:7" ht="27.6" hidden="1" outlineLevel="1" thickBot="1">
      <c r="B68" s="305" t="s">
        <v>1485</v>
      </c>
      <c r="C68" s="335">
        <v>13335000000000</v>
      </c>
      <c r="D68" s="349">
        <v>13347600000000</v>
      </c>
      <c r="E68" s="305" t="s">
        <v>1486</v>
      </c>
      <c r="F68" s="306">
        <v>155000000000</v>
      </c>
      <c r="G68" s="307"/>
    </row>
    <row r="69" spans="2:7" ht="15" hidden="1" outlineLevel="1" thickBot="1">
      <c r="B69" s="308" t="s">
        <v>1487</v>
      </c>
      <c r="C69" s="334">
        <v>5204000000000</v>
      </c>
      <c r="D69" s="350">
        <v>5204000000000</v>
      </c>
      <c r="E69" s="309" t="s">
        <v>840</v>
      </c>
      <c r="F69" s="310">
        <v>355000000000</v>
      </c>
      <c r="G69" s="310" t="s">
        <v>1488</v>
      </c>
    </row>
    <row r="70" spans="2:7" ht="15" hidden="1" outlineLevel="1" thickBot="1">
      <c r="B70" s="305" t="s">
        <v>1489</v>
      </c>
      <c r="C70" s="335">
        <v>5056000000000</v>
      </c>
      <c r="D70" s="350">
        <v>5056000000000</v>
      </c>
      <c r="G70" s="311">
        <v>1733500000000</v>
      </c>
    </row>
    <row r="71" spans="2:7" ht="15" hidden="1" outlineLevel="1" thickBot="1">
      <c r="B71" s="308" t="s">
        <v>1490</v>
      </c>
      <c r="C71" s="334">
        <v>3162000000000</v>
      </c>
      <c r="D71" s="350">
        <v>3162000000000</v>
      </c>
    </row>
    <row r="72" spans="2:7" ht="15" hidden="1" outlineLevel="1" thickBot="1">
      <c r="B72" s="312" t="s">
        <v>840</v>
      </c>
      <c r="C72" s="339">
        <v>33622000000000</v>
      </c>
      <c r="D72" s="351">
        <f>SUM(D67:D71)</f>
        <v>33734600000000</v>
      </c>
    </row>
    <row r="73" spans="2:7" collapsed="1"/>
  </sheetData>
  <mergeCells count="6">
    <mergeCell ref="F46:F47"/>
    <mergeCell ref="B3:B4"/>
    <mergeCell ref="B31:B32"/>
    <mergeCell ref="B46:B47"/>
    <mergeCell ref="C46:C47"/>
    <mergeCell ref="D46:D4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G71"/>
  <sheetViews>
    <sheetView topLeftCell="A16" zoomScaleNormal="100" workbookViewId="0">
      <selection activeCell="F25" sqref="F25"/>
    </sheetView>
  </sheetViews>
  <sheetFormatPr defaultColWidth="9.21875" defaultRowHeight="13.8"/>
  <cols>
    <col min="1" max="1" width="3.44140625" style="1" customWidth="1"/>
    <col min="2" max="2" width="12.44140625" style="1" customWidth="1"/>
    <col min="3" max="3" width="15" style="1" customWidth="1"/>
    <col min="4" max="4" width="19.77734375" style="1" customWidth="1"/>
    <col min="5" max="5" width="26.77734375" style="1" customWidth="1"/>
    <col min="6" max="6" width="17.77734375" style="1" customWidth="1"/>
    <col min="7" max="7" width="17.44140625" style="1" customWidth="1"/>
    <col min="8" max="16384" width="9.21875" style="1"/>
  </cols>
  <sheetData>
    <row r="1" spans="1:7" ht="14.4">
      <c r="A1" s="102" t="s">
        <v>29</v>
      </c>
    </row>
    <row r="2" spans="1:7" ht="14.4" thickBot="1">
      <c r="A2" s="577" t="s">
        <v>278</v>
      </c>
      <c r="B2" s="577"/>
      <c r="C2" s="577"/>
      <c r="D2" s="577"/>
      <c r="E2" s="577"/>
      <c r="F2" s="577"/>
      <c r="G2" s="577"/>
    </row>
    <row r="3" spans="1:7" ht="14.4" thickTop="1"/>
    <row r="4" spans="1:7">
      <c r="A4" s="79" t="s">
        <v>279</v>
      </c>
      <c r="B4" s="79" t="s">
        <v>280</v>
      </c>
    </row>
    <row r="5" spans="1:7" ht="26.4">
      <c r="B5" s="80" t="s">
        <v>281</v>
      </c>
      <c r="C5" s="80" t="s">
        <v>282</v>
      </c>
      <c r="D5" s="81" t="s">
        <v>283</v>
      </c>
      <c r="E5" s="80" t="s">
        <v>284</v>
      </c>
    </row>
    <row r="6" spans="1:7">
      <c r="B6" s="570">
        <v>1</v>
      </c>
      <c r="C6" s="571" t="s">
        <v>272</v>
      </c>
      <c r="D6" s="572" t="s">
        <v>285</v>
      </c>
      <c r="E6" s="574" t="s">
        <v>286</v>
      </c>
    </row>
    <row r="7" spans="1:7" ht="60" customHeight="1">
      <c r="B7" s="570"/>
      <c r="C7" s="571"/>
      <c r="D7" s="573"/>
      <c r="E7" s="574"/>
    </row>
    <row r="8" spans="1:7">
      <c r="B8" s="570">
        <v>2</v>
      </c>
      <c r="C8" s="571" t="s">
        <v>273</v>
      </c>
      <c r="D8" s="572" t="s">
        <v>287</v>
      </c>
      <c r="E8" s="574" t="s">
        <v>288</v>
      </c>
    </row>
    <row r="9" spans="1:7" ht="53.25" customHeight="1">
      <c r="B9" s="570"/>
      <c r="C9" s="571"/>
      <c r="D9" s="573"/>
      <c r="E9" s="574"/>
    </row>
    <row r="10" spans="1:7">
      <c r="B10" s="570">
        <v>3</v>
      </c>
      <c r="C10" s="571" t="s">
        <v>274</v>
      </c>
      <c r="D10" s="572" t="s">
        <v>289</v>
      </c>
      <c r="E10" s="574" t="s">
        <v>290</v>
      </c>
    </row>
    <row r="11" spans="1:7" ht="53.25" customHeight="1">
      <c r="B11" s="570"/>
      <c r="C11" s="571"/>
      <c r="D11" s="573"/>
      <c r="E11" s="574"/>
    </row>
    <row r="12" spans="1:7">
      <c r="B12" s="570">
        <v>4</v>
      </c>
      <c r="C12" s="571" t="s">
        <v>275</v>
      </c>
      <c r="D12" s="572" t="s">
        <v>291</v>
      </c>
      <c r="E12" s="574" t="s">
        <v>292</v>
      </c>
    </row>
    <row r="13" spans="1:7" ht="46.5" customHeight="1">
      <c r="B13" s="570"/>
      <c r="C13" s="571"/>
      <c r="D13" s="573"/>
      <c r="E13" s="574"/>
    </row>
    <row r="14" spans="1:7">
      <c r="B14" s="570">
        <v>5</v>
      </c>
      <c r="C14" s="571" t="s">
        <v>276</v>
      </c>
      <c r="D14" s="572" t="s">
        <v>293</v>
      </c>
      <c r="E14" s="574" t="s">
        <v>294</v>
      </c>
    </row>
    <row r="15" spans="1:7" ht="36.75" customHeight="1">
      <c r="B15" s="570"/>
      <c r="C15" s="571"/>
      <c r="D15" s="573"/>
      <c r="E15" s="574"/>
    </row>
    <row r="16" spans="1:7">
      <c r="B16" s="1" t="s">
        <v>295</v>
      </c>
    </row>
    <row r="17" spans="1:7">
      <c r="B17" s="575" t="s">
        <v>296</v>
      </c>
      <c r="C17" s="575"/>
      <c r="D17" s="575"/>
      <c r="E17" s="575"/>
    </row>
    <row r="18" spans="1:7">
      <c r="B18" s="575"/>
      <c r="C18" s="575"/>
      <c r="D18" s="575"/>
      <c r="E18" s="575"/>
    </row>
    <row r="20" spans="1:7">
      <c r="A20" s="79" t="s">
        <v>297</v>
      </c>
      <c r="B20" s="79" t="s">
        <v>298</v>
      </c>
    </row>
    <row r="21" spans="1:7">
      <c r="B21" s="565" t="s">
        <v>299</v>
      </c>
      <c r="C21" s="567" t="s">
        <v>281</v>
      </c>
      <c r="D21" s="567"/>
      <c r="E21" s="567"/>
      <c r="F21" s="567"/>
      <c r="G21" s="567"/>
    </row>
    <row r="22" spans="1:7">
      <c r="B22" s="566"/>
      <c r="C22" s="82">
        <v>1</v>
      </c>
      <c r="D22" s="82">
        <v>2</v>
      </c>
      <c r="E22" s="82">
        <v>3</v>
      </c>
      <c r="F22" s="82">
        <v>4</v>
      </c>
      <c r="G22" s="82">
        <v>5</v>
      </c>
    </row>
    <row r="23" spans="1:7">
      <c r="B23" s="566"/>
      <c r="C23" s="83" t="s">
        <v>272</v>
      </c>
      <c r="D23" s="83" t="s">
        <v>273</v>
      </c>
      <c r="E23" s="83" t="s">
        <v>274</v>
      </c>
      <c r="F23" s="83" t="s">
        <v>275</v>
      </c>
      <c r="G23" s="83" t="s">
        <v>276</v>
      </c>
    </row>
    <row r="24" spans="1:7">
      <c r="B24" s="564" t="s">
        <v>300</v>
      </c>
      <c r="C24" s="576"/>
      <c r="D24" s="576"/>
      <c r="E24" s="576"/>
      <c r="F24" s="576"/>
      <c r="G24" s="576"/>
    </row>
    <row r="25" spans="1:7" ht="92.4">
      <c r="B25" s="84" t="s">
        <v>301</v>
      </c>
      <c r="C25" s="84" t="s">
        <v>302</v>
      </c>
      <c r="D25" s="84" t="s">
        <v>303</v>
      </c>
      <c r="E25" s="84" t="s">
        <v>304</v>
      </c>
      <c r="F25" s="84" t="s">
        <v>305</v>
      </c>
      <c r="G25" s="84" t="s">
        <v>306</v>
      </c>
    </row>
    <row r="26" spans="1:7">
      <c r="B26" s="564" t="s">
        <v>307</v>
      </c>
      <c r="C26" s="564"/>
      <c r="D26" s="564"/>
      <c r="E26" s="564"/>
      <c r="F26" s="564"/>
      <c r="G26" s="564"/>
    </row>
    <row r="27" spans="1:7" ht="52.8">
      <c r="B27" s="84" t="s">
        <v>308</v>
      </c>
      <c r="C27" s="84" t="s">
        <v>309</v>
      </c>
      <c r="D27" s="84" t="s">
        <v>310</v>
      </c>
      <c r="E27" s="84" t="s">
        <v>311</v>
      </c>
      <c r="F27" s="84" t="s">
        <v>312</v>
      </c>
      <c r="G27" s="84" t="s">
        <v>313</v>
      </c>
    </row>
    <row r="28" spans="1:7">
      <c r="B28" s="564" t="s">
        <v>314</v>
      </c>
      <c r="C28" s="564"/>
      <c r="D28" s="564"/>
      <c r="E28" s="564"/>
      <c r="F28" s="564"/>
      <c r="G28" s="564"/>
    </row>
    <row r="29" spans="1:7" ht="132">
      <c r="B29" s="84" t="s">
        <v>315</v>
      </c>
      <c r="C29" s="84" t="s">
        <v>316</v>
      </c>
      <c r="D29" s="85" t="s">
        <v>317</v>
      </c>
      <c r="E29" s="85" t="s">
        <v>318</v>
      </c>
      <c r="F29" s="85" t="s">
        <v>319</v>
      </c>
      <c r="G29" s="85" t="s">
        <v>320</v>
      </c>
    </row>
    <row r="30" spans="1:7">
      <c r="B30" s="564" t="s">
        <v>321</v>
      </c>
      <c r="C30" s="564"/>
      <c r="D30" s="564"/>
      <c r="E30" s="564"/>
      <c r="F30" s="564"/>
      <c r="G30" s="564"/>
    </row>
    <row r="31" spans="1:7" ht="171.6">
      <c r="B31" s="85" t="s">
        <v>322</v>
      </c>
      <c r="C31" s="85" t="s">
        <v>323</v>
      </c>
      <c r="D31" s="85" t="s">
        <v>324</v>
      </c>
      <c r="E31" s="85" t="s">
        <v>325</v>
      </c>
      <c r="F31" s="85" t="s">
        <v>326</v>
      </c>
      <c r="G31" s="85" t="s">
        <v>327</v>
      </c>
    </row>
    <row r="32" spans="1:7" ht="118.8">
      <c r="B32" s="85" t="s">
        <v>328</v>
      </c>
      <c r="C32" s="85" t="s">
        <v>329</v>
      </c>
      <c r="D32" s="85" t="s">
        <v>330</v>
      </c>
      <c r="E32" s="85" t="s">
        <v>331</v>
      </c>
      <c r="F32" s="85" t="s">
        <v>332</v>
      </c>
      <c r="G32" s="85" t="s">
        <v>333</v>
      </c>
    </row>
    <row r="33" spans="2:7" ht="52.8">
      <c r="B33" s="85" t="s">
        <v>334</v>
      </c>
      <c r="C33" s="85" t="s">
        <v>335</v>
      </c>
      <c r="D33" s="85" t="s">
        <v>336</v>
      </c>
      <c r="E33" s="85" t="s">
        <v>337</v>
      </c>
      <c r="F33" s="85" t="s">
        <v>338</v>
      </c>
      <c r="G33" s="85" t="s">
        <v>339</v>
      </c>
    </row>
    <row r="34" spans="2:7">
      <c r="B34" s="564" t="s">
        <v>340</v>
      </c>
      <c r="C34" s="564"/>
      <c r="D34" s="564"/>
      <c r="E34" s="564"/>
      <c r="F34" s="564"/>
      <c r="G34" s="564"/>
    </row>
    <row r="35" spans="2:7" ht="105.6">
      <c r="B35" s="85" t="s">
        <v>341</v>
      </c>
      <c r="C35" s="85" t="s">
        <v>342</v>
      </c>
      <c r="D35" s="85" t="s">
        <v>343</v>
      </c>
      <c r="E35" s="85" t="s">
        <v>344</v>
      </c>
      <c r="F35" s="85" t="s">
        <v>345</v>
      </c>
      <c r="G35" s="85" t="s">
        <v>346</v>
      </c>
    </row>
    <row r="36" spans="2:7" ht="39.6">
      <c r="B36" s="86" t="s">
        <v>347</v>
      </c>
      <c r="C36" s="569" t="s">
        <v>348</v>
      </c>
      <c r="D36" s="569" t="s">
        <v>349</v>
      </c>
      <c r="E36" s="569" t="s">
        <v>350</v>
      </c>
      <c r="F36" s="569" t="s">
        <v>351</v>
      </c>
      <c r="G36" s="569" t="s">
        <v>352</v>
      </c>
    </row>
    <row r="37" spans="2:7" ht="26.4">
      <c r="B37" s="87" t="s">
        <v>353</v>
      </c>
      <c r="C37" s="569"/>
      <c r="D37" s="569"/>
      <c r="E37" s="569"/>
      <c r="F37" s="569"/>
      <c r="G37" s="569"/>
    </row>
    <row r="38" spans="2:7">
      <c r="B38" s="564" t="s">
        <v>354</v>
      </c>
      <c r="C38" s="564"/>
      <c r="D38" s="564"/>
      <c r="E38" s="564"/>
      <c r="F38" s="564"/>
      <c r="G38" s="564"/>
    </row>
    <row r="39" spans="2:7" ht="105.6">
      <c r="B39" s="85" t="s">
        <v>355</v>
      </c>
      <c r="C39" s="85" t="s">
        <v>356</v>
      </c>
      <c r="D39" s="85" t="s">
        <v>357</v>
      </c>
      <c r="E39" s="85" t="s">
        <v>358</v>
      </c>
      <c r="F39" s="85" t="s">
        <v>359</v>
      </c>
      <c r="G39" s="85" t="s">
        <v>360</v>
      </c>
    </row>
    <row r="40" spans="2:7" ht="52.8">
      <c r="B40" s="85" t="s">
        <v>361</v>
      </c>
      <c r="C40" s="85" t="s">
        <v>362</v>
      </c>
      <c r="D40" s="85" t="s">
        <v>363</v>
      </c>
      <c r="E40" s="85" t="s">
        <v>364</v>
      </c>
      <c r="F40" s="85" t="s">
        <v>365</v>
      </c>
      <c r="G40" s="85" t="s">
        <v>366</v>
      </c>
    </row>
    <row r="41" spans="2:7" ht="52.8">
      <c r="B41" s="85" t="s">
        <v>367</v>
      </c>
      <c r="C41" s="85" t="s">
        <v>368</v>
      </c>
      <c r="D41" s="85" t="s">
        <v>369</v>
      </c>
      <c r="E41" s="85" t="s">
        <v>370</v>
      </c>
      <c r="F41" s="85" t="s">
        <v>371</v>
      </c>
      <c r="G41" s="85" t="s">
        <v>372</v>
      </c>
    </row>
    <row r="42" spans="2:7">
      <c r="B42" s="564" t="s">
        <v>373</v>
      </c>
      <c r="C42" s="564"/>
      <c r="D42" s="564"/>
      <c r="E42" s="564"/>
      <c r="F42" s="564"/>
      <c r="G42" s="564"/>
    </row>
    <row r="43" spans="2:7" ht="145.19999999999999">
      <c r="B43" s="85" t="s">
        <v>374</v>
      </c>
      <c r="C43" s="85" t="s">
        <v>375</v>
      </c>
      <c r="D43" s="85" t="s">
        <v>376</v>
      </c>
      <c r="E43" s="85" t="s">
        <v>377</v>
      </c>
      <c r="F43" s="85" t="s">
        <v>378</v>
      </c>
      <c r="G43" s="85" t="s">
        <v>379</v>
      </c>
    </row>
    <row r="44" spans="2:7">
      <c r="B44" s="564" t="s">
        <v>380</v>
      </c>
      <c r="C44" s="564"/>
      <c r="D44" s="564"/>
      <c r="E44" s="564"/>
      <c r="F44" s="564"/>
      <c r="G44" s="564"/>
    </row>
    <row r="45" spans="2:7" ht="52.8">
      <c r="B45" s="569" t="s">
        <v>381</v>
      </c>
      <c r="C45" s="84" t="s">
        <v>382</v>
      </c>
      <c r="D45" s="84" t="s">
        <v>383</v>
      </c>
      <c r="E45" s="84" t="s">
        <v>384</v>
      </c>
      <c r="F45" s="84" t="s">
        <v>385</v>
      </c>
      <c r="G45" s="84" t="s">
        <v>386</v>
      </c>
    </row>
    <row r="46" spans="2:7" ht="52.8">
      <c r="B46" s="569"/>
      <c r="C46" s="85" t="s">
        <v>387</v>
      </c>
      <c r="D46" s="85" t="s">
        <v>388</v>
      </c>
      <c r="E46" s="85" t="s">
        <v>389</v>
      </c>
      <c r="F46" s="85" t="s">
        <v>390</v>
      </c>
      <c r="G46" s="84" t="s">
        <v>391</v>
      </c>
    </row>
    <row r="47" spans="2:7" ht="79.2">
      <c r="B47" s="569"/>
      <c r="C47" s="88"/>
      <c r="D47" s="88"/>
      <c r="E47" s="88"/>
      <c r="F47" s="88"/>
      <c r="G47" s="85" t="s">
        <v>392</v>
      </c>
    </row>
    <row r="48" spans="2:7">
      <c r="B48" s="568" t="s">
        <v>393</v>
      </c>
      <c r="C48" s="568" t="s">
        <v>394</v>
      </c>
      <c r="D48" s="568" t="s">
        <v>395</v>
      </c>
      <c r="E48" s="568" t="s">
        <v>396</v>
      </c>
      <c r="F48" s="568" t="s">
        <v>397</v>
      </c>
      <c r="G48" s="84" t="s">
        <v>398</v>
      </c>
    </row>
    <row r="49" spans="2:7" ht="66">
      <c r="B49" s="568"/>
      <c r="C49" s="568"/>
      <c r="D49" s="568"/>
      <c r="E49" s="568"/>
      <c r="F49" s="568"/>
      <c r="G49" s="85" t="s">
        <v>399</v>
      </c>
    </row>
    <row r="50" spans="2:7" ht="39.6">
      <c r="B50" s="568" t="s">
        <v>400</v>
      </c>
      <c r="C50" s="85" t="s">
        <v>401</v>
      </c>
      <c r="D50" s="85" t="s">
        <v>402</v>
      </c>
      <c r="E50" s="568" t="s">
        <v>403</v>
      </c>
      <c r="F50" s="85" t="s">
        <v>404</v>
      </c>
      <c r="G50" s="84" t="s">
        <v>405</v>
      </c>
    </row>
    <row r="51" spans="2:7">
      <c r="B51" s="568"/>
      <c r="C51" s="85" t="s">
        <v>406</v>
      </c>
      <c r="D51" s="85" t="s">
        <v>407</v>
      </c>
      <c r="E51" s="568"/>
      <c r="F51" s="85" t="s">
        <v>408</v>
      </c>
      <c r="G51" s="84" t="s">
        <v>409</v>
      </c>
    </row>
    <row r="52" spans="2:7">
      <c r="B52" s="564" t="s">
        <v>410</v>
      </c>
      <c r="C52" s="564"/>
      <c r="D52" s="564"/>
      <c r="E52" s="564"/>
      <c r="F52" s="564"/>
      <c r="G52" s="564"/>
    </row>
    <row r="53" spans="2:7" ht="39.6">
      <c r="B53" s="85" t="s">
        <v>411</v>
      </c>
      <c r="C53" s="85" t="s">
        <v>412</v>
      </c>
      <c r="D53" s="85" t="s">
        <v>413</v>
      </c>
      <c r="E53" s="85" t="s">
        <v>414</v>
      </c>
      <c r="F53" s="85" t="s">
        <v>415</v>
      </c>
      <c r="G53" s="84" t="s">
        <v>416</v>
      </c>
    </row>
    <row r="54" spans="2:7">
      <c r="B54" s="564" t="s">
        <v>417</v>
      </c>
      <c r="C54" s="564"/>
      <c r="D54" s="564"/>
      <c r="E54" s="564"/>
      <c r="F54" s="564"/>
      <c r="G54" s="564"/>
    </row>
    <row r="55" spans="2:7" ht="39.6">
      <c r="B55" s="85" t="s">
        <v>418</v>
      </c>
      <c r="C55" s="85" t="s">
        <v>419</v>
      </c>
      <c r="D55" s="85" t="s">
        <v>420</v>
      </c>
      <c r="E55" s="85" t="s">
        <v>421</v>
      </c>
      <c r="F55" s="85" t="s">
        <v>422</v>
      </c>
      <c r="G55" s="84" t="s">
        <v>423</v>
      </c>
    </row>
    <row r="56" spans="2:7">
      <c r="B56" s="564" t="s">
        <v>424</v>
      </c>
      <c r="C56" s="564"/>
      <c r="D56" s="564"/>
      <c r="E56" s="564"/>
      <c r="F56" s="564"/>
      <c r="G56" s="564"/>
    </row>
    <row r="57" spans="2:7" ht="39.6">
      <c r="B57" s="568" t="s">
        <v>425</v>
      </c>
      <c r="C57" s="85" t="s">
        <v>426</v>
      </c>
      <c r="D57" s="85" t="s">
        <v>427</v>
      </c>
      <c r="E57" s="85" t="s">
        <v>428</v>
      </c>
      <c r="F57" s="85" t="s">
        <v>429</v>
      </c>
      <c r="G57" s="85" t="s">
        <v>430</v>
      </c>
    </row>
    <row r="58" spans="2:7" ht="52.8">
      <c r="B58" s="568"/>
      <c r="C58" s="85" t="s">
        <v>431</v>
      </c>
      <c r="D58" s="85" t="s">
        <v>432</v>
      </c>
      <c r="E58" s="85" t="s">
        <v>433</v>
      </c>
      <c r="F58" s="85" t="s">
        <v>434</v>
      </c>
      <c r="G58" s="84" t="s">
        <v>435</v>
      </c>
    </row>
    <row r="59" spans="2:7">
      <c r="B59" s="564" t="s">
        <v>436</v>
      </c>
      <c r="C59" s="564"/>
      <c r="D59" s="564"/>
      <c r="E59" s="564"/>
      <c r="F59" s="564"/>
      <c r="G59" s="564"/>
    </row>
    <row r="60" spans="2:7" ht="26.4">
      <c r="B60" s="85" t="s">
        <v>437</v>
      </c>
      <c r="C60" s="85" t="s">
        <v>438</v>
      </c>
      <c r="D60" s="85" t="s">
        <v>439</v>
      </c>
      <c r="E60" s="85" t="s">
        <v>440</v>
      </c>
      <c r="F60" s="85" t="s">
        <v>441</v>
      </c>
      <c r="G60" s="84" t="s">
        <v>442</v>
      </c>
    </row>
    <row r="61" spans="2:7">
      <c r="B61" s="1" t="s">
        <v>443</v>
      </c>
    </row>
    <row r="62" spans="2:7">
      <c r="B62" s="1" t="s">
        <v>444</v>
      </c>
    </row>
    <row r="63" spans="2:7">
      <c r="B63" s="1" t="s">
        <v>445</v>
      </c>
    </row>
    <row r="65" spans="1:7">
      <c r="A65" s="79" t="s">
        <v>446</v>
      </c>
      <c r="B65" s="79" t="s">
        <v>447</v>
      </c>
    </row>
    <row r="66" spans="1:7">
      <c r="B66" s="565" t="s">
        <v>54</v>
      </c>
      <c r="C66" s="567" t="s">
        <v>281</v>
      </c>
      <c r="D66" s="567"/>
      <c r="E66" s="567"/>
      <c r="F66" s="567"/>
      <c r="G66" s="567"/>
    </row>
    <row r="67" spans="1:7">
      <c r="B67" s="566"/>
      <c r="C67" s="82">
        <v>1</v>
      </c>
      <c r="D67" s="82">
        <v>2</v>
      </c>
      <c r="E67" s="82">
        <v>3</v>
      </c>
      <c r="F67" s="82">
        <v>4</v>
      </c>
      <c r="G67" s="82">
        <v>5</v>
      </c>
    </row>
    <row r="68" spans="1:7" ht="26.4">
      <c r="B68" s="566"/>
      <c r="C68" s="83" t="s">
        <v>448</v>
      </c>
      <c r="D68" s="83" t="s">
        <v>260</v>
      </c>
      <c r="E68" s="83" t="s">
        <v>254</v>
      </c>
      <c r="F68" s="83" t="s">
        <v>248</v>
      </c>
      <c r="G68" s="83" t="s">
        <v>236</v>
      </c>
    </row>
    <row r="69" spans="1:7" ht="66">
      <c r="B69" s="85" t="s">
        <v>449</v>
      </c>
      <c r="C69" s="89" t="s">
        <v>450</v>
      </c>
      <c r="D69" s="89" t="s">
        <v>451</v>
      </c>
      <c r="E69" s="89" t="s">
        <v>452</v>
      </c>
      <c r="F69" s="89" t="s">
        <v>453</v>
      </c>
      <c r="G69" s="89" t="s">
        <v>454</v>
      </c>
    </row>
    <row r="70" spans="1:7" ht="52.8">
      <c r="B70" s="85" t="s">
        <v>455</v>
      </c>
      <c r="C70" s="85" t="s">
        <v>456</v>
      </c>
      <c r="D70" s="85" t="s">
        <v>457</v>
      </c>
      <c r="E70" s="85" t="s">
        <v>458</v>
      </c>
      <c r="F70" s="85" t="s">
        <v>459</v>
      </c>
      <c r="G70" s="84" t="s">
        <v>460</v>
      </c>
    </row>
    <row r="71" spans="1:7" ht="52.8">
      <c r="B71" s="85" t="s">
        <v>461</v>
      </c>
      <c r="C71" s="85" t="s">
        <v>462</v>
      </c>
      <c r="D71" s="85" t="s">
        <v>463</v>
      </c>
      <c r="E71" s="85" t="s">
        <v>464</v>
      </c>
      <c r="F71" s="85" t="s">
        <v>465</v>
      </c>
      <c r="G71" s="85" t="s">
        <v>466</v>
      </c>
    </row>
  </sheetData>
  <mergeCells count="52">
    <mergeCell ref="A2:G2"/>
    <mergeCell ref="B6:B7"/>
    <mergeCell ref="C6:C7"/>
    <mergeCell ref="D6:D7"/>
    <mergeCell ref="E6:E7"/>
    <mergeCell ref="B8:B9"/>
    <mergeCell ref="C8:C9"/>
    <mergeCell ref="D8:D9"/>
    <mergeCell ref="E8:E9"/>
    <mergeCell ref="B10:B11"/>
    <mergeCell ref="C10:C11"/>
    <mergeCell ref="D10:D11"/>
    <mergeCell ref="E10:E11"/>
    <mergeCell ref="B28:G28"/>
    <mergeCell ref="B12:B13"/>
    <mergeCell ref="C12:C13"/>
    <mergeCell ref="D12:D13"/>
    <mergeCell ref="E12:E13"/>
    <mergeCell ref="B14:B15"/>
    <mergeCell ref="C14:C15"/>
    <mergeCell ref="D14:D15"/>
    <mergeCell ref="E14:E15"/>
    <mergeCell ref="B17:E18"/>
    <mergeCell ref="B21:B23"/>
    <mergeCell ref="C21:G21"/>
    <mergeCell ref="B24:G24"/>
    <mergeCell ref="B26:G26"/>
    <mergeCell ref="B30:G30"/>
    <mergeCell ref="B34:G34"/>
    <mergeCell ref="C36:C37"/>
    <mergeCell ref="D36:D37"/>
    <mergeCell ref="E36:E37"/>
    <mergeCell ref="F36:F37"/>
    <mergeCell ref="G36:G37"/>
    <mergeCell ref="B38:G38"/>
    <mergeCell ref="B42:G42"/>
    <mergeCell ref="B44:G44"/>
    <mergeCell ref="B45:B47"/>
    <mergeCell ref="B48:B49"/>
    <mergeCell ref="C48:C49"/>
    <mergeCell ref="D48:D49"/>
    <mergeCell ref="E48:E49"/>
    <mergeCell ref="F48:F49"/>
    <mergeCell ref="B59:G59"/>
    <mergeCell ref="B66:B68"/>
    <mergeCell ref="C66:G66"/>
    <mergeCell ref="B50:B51"/>
    <mergeCell ref="E50:E51"/>
    <mergeCell ref="B52:G52"/>
    <mergeCell ref="B54:G54"/>
    <mergeCell ref="B56:G56"/>
    <mergeCell ref="B57:B58"/>
  </mergeCells>
  <hyperlinks>
    <hyperlink ref="A1" location="'Daftar Isi'!A1" display="Kembali ke Daftar Isi"/>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1896A4"/>
  </sheetPr>
  <dimension ref="A1:Z25"/>
  <sheetViews>
    <sheetView showGridLines="0" topLeftCell="I1" zoomScaleNormal="100" workbookViewId="0">
      <pane ySplit="4" topLeftCell="A22" activePane="bottomLeft" state="frozen"/>
      <selection pane="bottomLeft" activeCell="L25" sqref="L25"/>
    </sheetView>
  </sheetViews>
  <sheetFormatPr defaultColWidth="11.44140625" defaultRowHeight="13.8"/>
  <cols>
    <col min="1" max="1" width="8.44140625" style="1" customWidth="1"/>
    <col min="2" max="2" width="7.44140625" style="1" customWidth="1"/>
    <col min="3" max="3" width="11" style="1" customWidth="1"/>
    <col min="4" max="5" width="8.77734375" style="27" customWidth="1"/>
    <col min="6" max="6" width="11.44140625" style="1"/>
    <col min="7" max="7" width="24.77734375" style="29" customWidth="1"/>
    <col min="8" max="8" width="18.44140625" style="27" bestFit="1" customWidth="1"/>
    <col min="9" max="9" width="19.5546875" style="27" customWidth="1"/>
    <col min="10" max="10" width="23.77734375" style="42" customWidth="1"/>
    <col min="11" max="11" width="38.44140625" style="42" customWidth="1"/>
    <col min="12" max="13" width="17.77734375" style="42" customWidth="1"/>
    <col min="14" max="14" width="13.77734375" style="42" customWidth="1"/>
    <col min="15" max="23" width="3.21875" style="42" customWidth="1"/>
    <col min="24" max="26" width="3.21875" style="42" bestFit="1" customWidth="1"/>
    <col min="27" max="16384" width="11.44140625" style="1"/>
  </cols>
  <sheetData>
    <row r="1" spans="1:26" ht="14.4">
      <c r="A1" s="102" t="s">
        <v>29</v>
      </c>
      <c r="B1" s="30"/>
      <c r="C1" s="30"/>
      <c r="D1" s="30"/>
      <c r="E1" s="30"/>
      <c r="F1" s="30"/>
      <c r="G1" s="30"/>
      <c r="H1" s="30"/>
      <c r="I1" s="30"/>
      <c r="J1" s="30"/>
      <c r="K1" s="30"/>
      <c r="L1" s="30"/>
      <c r="M1" s="30"/>
      <c r="N1" s="30"/>
      <c r="O1" s="30"/>
      <c r="P1" s="30"/>
      <c r="Q1" s="30"/>
      <c r="R1" s="30"/>
      <c r="S1" s="30"/>
      <c r="T1" s="30"/>
      <c r="U1" s="30"/>
      <c r="V1" s="30"/>
      <c r="W1" s="30"/>
      <c r="X1" s="30"/>
      <c r="Y1" s="30"/>
      <c r="Z1" s="30"/>
    </row>
    <row r="2" spans="1:26">
      <c r="A2" s="403" t="s">
        <v>31</v>
      </c>
      <c r="B2" s="403" t="s">
        <v>47</v>
      </c>
      <c r="C2" s="403" t="s">
        <v>151</v>
      </c>
      <c r="D2" s="402" t="s">
        <v>49</v>
      </c>
      <c r="E2" s="403" t="s">
        <v>102</v>
      </c>
      <c r="F2" s="403" t="s">
        <v>105</v>
      </c>
      <c r="G2" s="402" t="s">
        <v>107</v>
      </c>
      <c r="H2" s="402" t="s">
        <v>213</v>
      </c>
      <c r="I2" s="403" t="s">
        <v>214</v>
      </c>
      <c r="J2" s="403" t="s">
        <v>215</v>
      </c>
      <c r="K2" s="403" t="s">
        <v>216</v>
      </c>
      <c r="L2" s="403" t="s">
        <v>217</v>
      </c>
      <c r="M2" s="403" t="s">
        <v>218</v>
      </c>
      <c r="N2" s="403" t="s">
        <v>219</v>
      </c>
      <c r="O2" s="403" t="s">
        <v>220</v>
      </c>
      <c r="P2" s="403"/>
      <c r="Q2" s="403"/>
      <c r="R2" s="403"/>
      <c r="S2" s="403"/>
      <c r="T2" s="403"/>
      <c r="U2" s="403"/>
      <c r="V2" s="403"/>
      <c r="W2" s="403"/>
      <c r="X2" s="403"/>
      <c r="Y2" s="403"/>
      <c r="Z2" s="403"/>
    </row>
    <row r="3" spans="1:26">
      <c r="A3" s="403"/>
      <c r="B3" s="403"/>
      <c r="C3" s="403"/>
      <c r="D3" s="402"/>
      <c r="E3" s="403"/>
      <c r="F3" s="403"/>
      <c r="G3" s="402"/>
      <c r="H3" s="402"/>
      <c r="I3" s="403"/>
      <c r="J3" s="403"/>
      <c r="K3" s="403"/>
      <c r="L3" s="403"/>
      <c r="M3" s="403"/>
      <c r="N3" s="403"/>
      <c r="O3" s="48">
        <v>1</v>
      </c>
      <c r="P3" s="31">
        <f t="shared" ref="P3:Z3" si="0">O3+1</f>
        <v>2</v>
      </c>
      <c r="Q3" s="31">
        <f t="shared" si="0"/>
        <v>3</v>
      </c>
      <c r="R3" s="31">
        <f t="shared" si="0"/>
        <v>4</v>
      </c>
      <c r="S3" s="31">
        <f t="shared" si="0"/>
        <v>5</v>
      </c>
      <c r="T3" s="31">
        <f t="shared" si="0"/>
        <v>6</v>
      </c>
      <c r="U3" s="31">
        <f t="shared" si="0"/>
        <v>7</v>
      </c>
      <c r="V3" s="31">
        <f t="shared" si="0"/>
        <v>8</v>
      </c>
      <c r="W3" s="31">
        <f t="shared" si="0"/>
        <v>9</v>
      </c>
      <c r="X3" s="31">
        <f t="shared" si="0"/>
        <v>10</v>
      </c>
      <c r="Y3" s="31">
        <f t="shared" si="0"/>
        <v>11</v>
      </c>
      <c r="Z3" s="31">
        <f t="shared" si="0"/>
        <v>12</v>
      </c>
    </row>
    <row r="4" spans="1:26" ht="30.6" hidden="1">
      <c r="A4" s="32" t="s">
        <v>36</v>
      </c>
      <c r="B4" s="3" t="s">
        <v>57</v>
      </c>
      <c r="C4" s="3" t="s">
        <v>58</v>
      </c>
      <c r="D4" s="3" t="s">
        <v>59</v>
      </c>
      <c r="E4" s="3" t="s">
        <v>57</v>
      </c>
      <c r="F4" s="3" t="s">
        <v>120</v>
      </c>
      <c r="G4" s="3" t="s">
        <v>59</v>
      </c>
      <c r="H4" s="3" t="s">
        <v>58</v>
      </c>
      <c r="I4" s="3" t="s">
        <v>221</v>
      </c>
      <c r="J4" s="4" t="s">
        <v>60</v>
      </c>
      <c r="K4" s="4" t="s">
        <v>60</v>
      </c>
      <c r="L4" s="4" t="s">
        <v>163</v>
      </c>
      <c r="M4" s="4" t="s">
        <v>60</v>
      </c>
      <c r="N4" s="4" t="s">
        <v>60</v>
      </c>
      <c r="O4" s="417" t="s">
        <v>222</v>
      </c>
      <c r="P4" s="417"/>
      <c r="Q4" s="417"/>
      <c r="R4" s="417"/>
      <c r="S4" s="417"/>
      <c r="T4" s="417"/>
      <c r="U4" s="417"/>
      <c r="V4" s="417"/>
      <c r="W4" s="417"/>
      <c r="X4" s="417"/>
      <c r="Y4" s="417"/>
      <c r="Z4" s="417"/>
    </row>
    <row r="5" spans="1:26" ht="204" hidden="1">
      <c r="A5" s="32" t="s">
        <v>38</v>
      </c>
      <c r="B5" s="7"/>
      <c r="C5" s="7"/>
      <c r="D5" s="15"/>
      <c r="E5" s="12" t="s">
        <v>64</v>
      </c>
      <c r="F5" s="7" t="s">
        <v>128</v>
      </c>
      <c r="G5" s="7" t="s">
        <v>223</v>
      </c>
      <c r="H5" s="23" t="s">
        <v>224</v>
      </c>
      <c r="I5" s="7" t="s">
        <v>225</v>
      </c>
      <c r="J5" s="49" t="s">
        <v>226</v>
      </c>
      <c r="K5" s="8" t="s">
        <v>227</v>
      </c>
      <c r="L5" s="8" t="s">
        <v>228</v>
      </c>
      <c r="M5" s="8" t="s">
        <v>229</v>
      </c>
      <c r="N5" s="8" t="s">
        <v>230</v>
      </c>
      <c r="O5" s="578" t="s">
        <v>231</v>
      </c>
      <c r="P5" s="578"/>
      <c r="Q5" s="578"/>
      <c r="R5" s="578"/>
      <c r="S5" s="578"/>
      <c r="T5" s="578"/>
      <c r="U5" s="578"/>
      <c r="V5" s="578"/>
      <c r="W5" s="578"/>
      <c r="X5" s="578"/>
      <c r="Y5" s="578"/>
      <c r="Z5" s="578"/>
    </row>
    <row r="6" spans="1:26" ht="132.6" hidden="1">
      <c r="A6" s="35" t="s">
        <v>43</v>
      </c>
      <c r="B6" s="15"/>
      <c r="C6" s="16"/>
      <c r="D6" s="16"/>
      <c r="E6" s="11"/>
      <c r="F6" s="7"/>
      <c r="G6" s="7" t="s">
        <v>232</v>
      </c>
      <c r="H6" s="17"/>
      <c r="I6" s="17" t="s">
        <v>233</v>
      </c>
      <c r="J6" s="12" t="s">
        <v>234</v>
      </c>
      <c r="K6" s="50"/>
      <c r="L6" s="50"/>
      <c r="M6" s="50"/>
      <c r="N6" s="50"/>
      <c r="O6" s="400"/>
      <c r="P6" s="400"/>
      <c r="Q6" s="400"/>
      <c r="R6" s="400"/>
      <c r="S6" s="400"/>
      <c r="T6" s="400"/>
      <c r="U6" s="400"/>
      <c r="V6" s="400"/>
      <c r="W6" s="400"/>
      <c r="X6" s="400"/>
      <c r="Y6" s="400"/>
      <c r="Z6" s="400"/>
    </row>
    <row r="7" spans="1:26" ht="81.599999999999994">
      <c r="A7" s="144" t="s">
        <v>150</v>
      </c>
      <c r="B7" s="18">
        <v>1</v>
      </c>
      <c r="C7" s="15" t="s">
        <v>1115</v>
      </c>
      <c r="D7" s="15" t="str">
        <f>IFERROR(VLOOKUP(C7,Master!$D$2:$E$50,2,0),"")</f>
        <v>PELINDO</v>
      </c>
      <c r="E7" s="18">
        <v>1</v>
      </c>
      <c r="F7" s="18" t="str">
        <f>'Profil Risiko'!M7</f>
        <v>Pelindo - 1</v>
      </c>
      <c r="G7" s="7" t="str">
        <f>IFERROR(VLOOKUP(F7,'Profil Risiko'!$M:$N,2,0),"")</f>
        <v xml:space="preserve">Rendahnya progres implementasi inisiatif strategi </v>
      </c>
      <c r="H7" s="23" t="s">
        <v>994</v>
      </c>
      <c r="I7" s="7" t="s">
        <v>1040</v>
      </c>
      <c r="J7" s="49" t="s">
        <v>1359</v>
      </c>
      <c r="K7" s="51" t="s">
        <v>1320</v>
      </c>
      <c r="L7" s="217">
        <f>1000000000+50000000</f>
        <v>1050000000</v>
      </c>
      <c r="M7" s="52" t="s">
        <v>1057</v>
      </c>
      <c r="N7" s="18" t="s">
        <v>1338</v>
      </c>
      <c r="O7" s="74">
        <v>1</v>
      </c>
      <c r="P7" s="74">
        <v>1</v>
      </c>
      <c r="Q7" s="74">
        <v>1</v>
      </c>
      <c r="R7" s="74">
        <v>1</v>
      </c>
      <c r="S7" s="74">
        <v>1</v>
      </c>
      <c r="T7" s="74">
        <v>1</v>
      </c>
      <c r="U7" s="74">
        <v>1</v>
      </c>
      <c r="V7" s="74">
        <v>1</v>
      </c>
      <c r="W7" s="74">
        <v>1</v>
      </c>
      <c r="X7" s="74">
        <v>1</v>
      </c>
      <c r="Y7" s="74">
        <v>1</v>
      </c>
      <c r="Z7" s="74">
        <v>1</v>
      </c>
    </row>
    <row r="8" spans="1:26" ht="142.80000000000001">
      <c r="A8" s="18"/>
      <c r="B8" s="18">
        <v>2</v>
      </c>
      <c r="C8" s="15" t="s">
        <v>1115</v>
      </c>
      <c r="D8" s="15" t="str">
        <f>IFERROR(VLOOKUP(C8,Master!$D$2:$E$50,2,0),"")</f>
        <v>PELINDO</v>
      </c>
      <c r="E8" s="18">
        <v>2</v>
      </c>
      <c r="F8" s="18" t="str">
        <f>'Profil Risiko'!M8</f>
        <v>Pelindo - 2</v>
      </c>
      <c r="G8" s="7" t="str">
        <f>IFERROR(VLOOKUP(F8,'Profil Risiko'!$M:$N,2,0),"")</f>
        <v>Adanya kebijakan pemerintah terkait pembatasan ekspor batu bara yang berdampak pada penurunan trafik pada cabang yang melayani TUKS dg kargo batu bara.
--
Tidak mendapatkan rekomendasi pelimpahan pemanduan dari Regulator.</v>
      </c>
      <c r="H8" s="23" t="s">
        <v>994</v>
      </c>
      <c r="I8" s="7" t="s">
        <v>1016</v>
      </c>
      <c r="J8" s="8" t="s">
        <v>1379</v>
      </c>
      <c r="K8" s="51" t="s">
        <v>1321</v>
      </c>
      <c r="L8" s="217">
        <f>394350000+150000000+500000000</f>
        <v>1044350000</v>
      </c>
      <c r="M8" s="52" t="s">
        <v>984</v>
      </c>
      <c r="N8" s="18" t="s">
        <v>1346</v>
      </c>
      <c r="O8" s="74">
        <v>1</v>
      </c>
      <c r="P8" s="74">
        <v>1</v>
      </c>
      <c r="Q8" s="74">
        <v>1</v>
      </c>
      <c r="R8" s="74">
        <v>1</v>
      </c>
      <c r="S8" s="74">
        <v>1</v>
      </c>
      <c r="T8" s="74">
        <v>1</v>
      </c>
      <c r="U8" s="74">
        <v>1</v>
      </c>
      <c r="V8" s="74">
        <v>1</v>
      </c>
      <c r="W8" s="74">
        <v>1</v>
      </c>
      <c r="X8" s="74">
        <v>1</v>
      </c>
      <c r="Y8" s="74">
        <v>1</v>
      </c>
      <c r="Z8" s="74">
        <v>1</v>
      </c>
    </row>
    <row r="9" spans="1:26" ht="71.400000000000006">
      <c r="A9" s="18"/>
      <c r="B9" s="18">
        <v>3</v>
      </c>
      <c r="C9" s="15" t="s">
        <v>1115</v>
      </c>
      <c r="D9" s="15" t="str">
        <f>IFERROR(VLOOKUP(C9,Master!$D$2:$E$50,2,0),"")</f>
        <v>PELINDO</v>
      </c>
      <c r="E9" s="18">
        <f>'Profil Risiko'!L9</f>
        <v>3</v>
      </c>
      <c r="F9" s="18" t="str">
        <f>'Profil Risiko'!M9</f>
        <v>Pelindo - 3</v>
      </c>
      <c r="G9" s="7" t="str">
        <f>IFERROR(VLOOKUP(F9,'Profil Risiko'!$M:$N,2,0),"")</f>
        <v>Kalah bersaing dengan kompetitor PBM petikemas
--
Penurunan kegiatan transhipment di beberapa cabang pelabuhan.</v>
      </c>
      <c r="H9" s="23" t="s">
        <v>994</v>
      </c>
      <c r="I9" s="7" t="s">
        <v>1016</v>
      </c>
      <c r="J9" s="8" t="s">
        <v>1358</v>
      </c>
      <c r="K9" s="51" t="s">
        <v>1322</v>
      </c>
      <c r="L9" s="217">
        <f>600000000+300000000</f>
        <v>900000000</v>
      </c>
      <c r="M9" s="52" t="s">
        <v>984</v>
      </c>
      <c r="N9" s="18" t="s">
        <v>1347</v>
      </c>
      <c r="O9" s="74">
        <v>1</v>
      </c>
      <c r="P9" s="74">
        <v>1</v>
      </c>
      <c r="Q9" s="74">
        <v>1</v>
      </c>
      <c r="R9" s="74">
        <v>1</v>
      </c>
      <c r="S9" s="74">
        <v>1</v>
      </c>
      <c r="T9" s="74">
        <v>1</v>
      </c>
      <c r="U9" s="74">
        <v>1</v>
      </c>
      <c r="V9" s="74">
        <v>1</v>
      </c>
      <c r="W9" s="74">
        <v>1</v>
      </c>
      <c r="X9" s="74">
        <v>1</v>
      </c>
      <c r="Y9" s="74">
        <v>1</v>
      </c>
      <c r="Z9" s="74">
        <v>1</v>
      </c>
    </row>
    <row r="10" spans="1:26" ht="81.599999999999994">
      <c r="A10" s="18"/>
      <c r="B10" s="18">
        <v>4</v>
      </c>
      <c r="C10" s="15" t="s">
        <v>1115</v>
      </c>
      <c r="D10" s="15" t="str">
        <f>IFERROR(VLOOKUP(C10,Master!$D$2:$E$50,2,0),"")</f>
        <v>PELINDO</v>
      </c>
      <c r="E10" s="18">
        <f>'Profil Risiko'!L10</f>
        <v>4</v>
      </c>
      <c r="F10" s="18" t="str">
        <f>'Profil Risiko'!M10</f>
        <v>Pelindo - 4</v>
      </c>
      <c r="G10" s="7" t="str">
        <f>IFERROR(VLOOKUP(F10,'Profil Risiko'!$M:$N,2,0),"")</f>
        <v xml:space="preserve">
Kalah bersaing dengan kompetitor PBM non petikemas
--
Penurunan kegiatan ekspor/impor akibat penurunan kegiatan industri atau adanya kebijakan larangan ekspor/impor komoditas tertentu</v>
      </c>
      <c r="H10" s="23" t="s">
        <v>994</v>
      </c>
      <c r="I10" s="7" t="s">
        <v>1016</v>
      </c>
      <c r="J10" s="8" t="s">
        <v>1357</v>
      </c>
      <c r="K10" s="51" t="s">
        <v>1323</v>
      </c>
      <c r="L10" s="217">
        <f>500000000+500000000</f>
        <v>1000000000</v>
      </c>
      <c r="M10" s="52" t="s">
        <v>984</v>
      </c>
      <c r="N10" s="18" t="s">
        <v>1348</v>
      </c>
      <c r="O10" s="74">
        <v>1</v>
      </c>
      <c r="P10" s="74">
        <v>1</v>
      </c>
      <c r="Q10" s="74">
        <v>1</v>
      </c>
      <c r="R10" s="74">
        <v>1</v>
      </c>
      <c r="S10" s="74">
        <v>1</v>
      </c>
      <c r="T10" s="74">
        <v>1</v>
      </c>
      <c r="U10" s="74">
        <v>1</v>
      </c>
      <c r="V10" s="74">
        <v>1</v>
      </c>
      <c r="W10" s="74">
        <v>1</v>
      </c>
      <c r="X10" s="74">
        <v>1</v>
      </c>
      <c r="Y10" s="74">
        <v>1</v>
      </c>
      <c r="Z10" s="74">
        <v>1</v>
      </c>
    </row>
    <row r="11" spans="1:26" ht="81.599999999999994">
      <c r="A11" s="18"/>
      <c r="B11" s="18">
        <v>5</v>
      </c>
      <c r="C11" s="15" t="s">
        <v>1115</v>
      </c>
      <c r="D11" s="15" t="str">
        <f>IFERROR(VLOOKUP(C11,Master!$D$2:$E$50,2,0),"")</f>
        <v>PELINDO</v>
      </c>
      <c r="E11" s="18">
        <f>'Profil Risiko'!L11</f>
        <v>5</v>
      </c>
      <c r="F11" s="18" t="str">
        <f>'Profil Risiko'!M11</f>
        <v xml:space="preserve">Pelindo - 5 </v>
      </c>
      <c r="G11" s="7" t="str">
        <f>IFERROR(VLOOKUP(F11,'Profil Risiko'!$M:$N,2,0),"")</f>
        <v>Utlisasi alat Bongkar Muat yang rendah &amp;  ketersediaan lahan idle/belum siap pakai</v>
      </c>
      <c r="H11" s="23" t="s">
        <v>994</v>
      </c>
      <c r="I11" s="7" t="s">
        <v>1016</v>
      </c>
      <c r="J11" s="8" t="s">
        <v>1380</v>
      </c>
      <c r="K11" s="51" t="s">
        <v>1324</v>
      </c>
      <c r="L11" s="217">
        <f>400000000</f>
        <v>400000000</v>
      </c>
      <c r="M11" s="52" t="s">
        <v>984</v>
      </c>
      <c r="N11" s="18" t="s">
        <v>1349</v>
      </c>
      <c r="O11" s="74">
        <v>1</v>
      </c>
      <c r="P11" s="74">
        <v>1</v>
      </c>
      <c r="Q11" s="74">
        <v>1</v>
      </c>
      <c r="R11" s="74">
        <v>1</v>
      </c>
      <c r="S11" s="74">
        <v>1</v>
      </c>
      <c r="T11" s="74">
        <v>1</v>
      </c>
      <c r="U11" s="74">
        <v>1</v>
      </c>
      <c r="V11" s="74">
        <v>1</v>
      </c>
      <c r="W11" s="74">
        <v>1</v>
      </c>
      <c r="X11" s="74">
        <v>1</v>
      </c>
      <c r="Y11" s="74">
        <v>1</v>
      </c>
      <c r="Z11" s="74">
        <v>1</v>
      </c>
    </row>
    <row r="12" spans="1:26" ht="51">
      <c r="A12" s="18"/>
      <c r="B12" s="18">
        <v>6</v>
      </c>
      <c r="C12" s="15" t="s">
        <v>1115</v>
      </c>
      <c r="D12" s="15" t="str">
        <f>IFERROR(VLOOKUP(C12,Master!$D$2:$E$50,2,0),"")</f>
        <v>PELINDO</v>
      </c>
      <c r="E12" s="18">
        <f>'Profil Risiko'!L12</f>
        <v>6</v>
      </c>
      <c r="F12" s="18" t="str">
        <f>'Profil Risiko'!M12</f>
        <v>Pelindo - 6</v>
      </c>
      <c r="G12" s="7" t="str">
        <f>IFERROR(VLOOKUP(F12,'Profil Risiko'!$M:$N,2,0),"")</f>
        <v>Fluktuasi nilai tukar Rp terhadap USD</v>
      </c>
      <c r="H12" s="23" t="s">
        <v>994</v>
      </c>
      <c r="I12" s="7" t="s">
        <v>995</v>
      </c>
      <c r="J12" s="8" t="s">
        <v>1325</v>
      </c>
      <c r="K12" s="51" t="s">
        <v>1326</v>
      </c>
      <c r="L12" s="217">
        <v>0</v>
      </c>
      <c r="M12" s="52" t="s">
        <v>1026</v>
      </c>
      <c r="N12" s="18" t="s">
        <v>1339</v>
      </c>
      <c r="O12" s="74">
        <v>1</v>
      </c>
      <c r="P12" s="74">
        <v>1</v>
      </c>
      <c r="Q12" s="74">
        <v>1</v>
      </c>
      <c r="R12" s="74">
        <v>1</v>
      </c>
      <c r="S12" s="74">
        <v>1</v>
      </c>
      <c r="T12" s="74">
        <v>1</v>
      </c>
      <c r="U12" s="74">
        <v>1</v>
      </c>
      <c r="V12" s="74">
        <v>1</v>
      </c>
      <c r="W12" s="74">
        <v>1</v>
      </c>
      <c r="X12" s="74">
        <v>1</v>
      </c>
      <c r="Y12" s="74">
        <v>1</v>
      </c>
      <c r="Z12" s="74">
        <v>1</v>
      </c>
    </row>
    <row r="13" spans="1:26" ht="30.6">
      <c r="A13" s="18"/>
      <c r="B13" s="18">
        <v>7</v>
      </c>
      <c r="C13" s="15" t="s">
        <v>1115</v>
      </c>
      <c r="D13" s="15" t="str">
        <f>IFERROR(VLOOKUP(C13,Master!$D$2:$E$50,2,0),"")</f>
        <v>PELINDO</v>
      </c>
      <c r="E13" s="18">
        <f>'Profil Risiko'!L13</f>
        <v>7</v>
      </c>
      <c r="F13" s="18" t="str">
        <f>'Profil Risiko'!M13</f>
        <v>Pelindo - 7</v>
      </c>
      <c r="G13" s="7" t="str">
        <f>IFERROR(VLOOKUP(F13,'Profil Risiko'!$M:$N,2,0),"")</f>
        <v>Pemborosan sumber daya atau proses yang tidak efektif</v>
      </c>
      <c r="H13" s="23" t="s">
        <v>994</v>
      </c>
      <c r="I13" s="7" t="s">
        <v>995</v>
      </c>
      <c r="J13" s="8" t="s">
        <v>1356</v>
      </c>
      <c r="K13" s="8" t="s">
        <v>1327</v>
      </c>
      <c r="L13" s="217">
        <v>0</v>
      </c>
      <c r="M13" s="52" t="s">
        <v>1026</v>
      </c>
      <c r="N13" s="18" t="s">
        <v>1340</v>
      </c>
      <c r="O13" s="74">
        <v>1</v>
      </c>
      <c r="P13" s="74">
        <v>1</v>
      </c>
      <c r="Q13" s="74">
        <v>1</v>
      </c>
      <c r="R13" s="74">
        <v>1</v>
      </c>
      <c r="S13" s="74">
        <v>1</v>
      </c>
      <c r="T13" s="74">
        <v>1</v>
      </c>
      <c r="U13" s="74">
        <v>1</v>
      </c>
      <c r="V13" s="74">
        <v>1</v>
      </c>
      <c r="W13" s="74">
        <v>1</v>
      </c>
      <c r="X13" s="74">
        <v>1</v>
      </c>
      <c r="Y13" s="74">
        <v>1</v>
      </c>
      <c r="Z13" s="74">
        <v>1</v>
      </c>
    </row>
    <row r="14" spans="1:26" ht="204">
      <c r="A14" s="18"/>
      <c r="B14" s="18">
        <v>8</v>
      </c>
      <c r="C14" s="15" t="s">
        <v>1115</v>
      </c>
      <c r="D14" s="15" t="str">
        <f>IFERROR(VLOOKUP(C14,Master!$D$2:$E$50,2,0),"")</f>
        <v>PELINDO</v>
      </c>
      <c r="E14" s="18">
        <f>'Profil Risiko'!L14</f>
        <v>8</v>
      </c>
      <c r="F14" s="18" t="str">
        <f>'Profil Risiko'!M14</f>
        <v>Pelindo - 8</v>
      </c>
      <c r="G14" s="7" t="str">
        <f>IFERROR(VLOOKUP(F14,'Profil Risiko'!$M:$N,2,0),"")</f>
        <v>Ketidaksesuaian pelaksanaan proyek antara rencana dan realisasi di lapangan</v>
      </c>
      <c r="H14" s="23" t="s">
        <v>994</v>
      </c>
      <c r="I14" s="7" t="s">
        <v>1016</v>
      </c>
      <c r="J14" s="187" t="s">
        <v>1328</v>
      </c>
      <c r="K14" s="187" t="s">
        <v>1329</v>
      </c>
      <c r="L14" s="218">
        <f>5000000000+5000000000+200000000+4000000000+100000000</f>
        <v>14300000000</v>
      </c>
      <c r="M14" s="52" t="s">
        <v>1057</v>
      </c>
      <c r="N14" s="18" t="s">
        <v>1341</v>
      </c>
      <c r="O14" s="74">
        <v>1</v>
      </c>
      <c r="P14" s="74">
        <v>1</v>
      </c>
      <c r="Q14" s="74">
        <v>1</v>
      </c>
      <c r="R14" s="74">
        <v>1</v>
      </c>
      <c r="S14" s="74">
        <v>1</v>
      </c>
      <c r="T14" s="74">
        <v>1</v>
      </c>
      <c r="U14" s="74">
        <v>1</v>
      </c>
      <c r="V14" s="74">
        <v>1</v>
      </c>
      <c r="W14" s="74">
        <v>1</v>
      </c>
      <c r="X14" s="74">
        <v>1</v>
      </c>
      <c r="Y14" s="74">
        <v>1</v>
      </c>
      <c r="Z14" s="74">
        <v>1</v>
      </c>
    </row>
    <row r="15" spans="1:26" ht="132.6">
      <c r="A15" s="18"/>
      <c r="B15" s="18">
        <v>9</v>
      </c>
      <c r="C15" s="15" t="s">
        <v>1115</v>
      </c>
      <c r="D15" s="15" t="str">
        <f>IFERROR(VLOOKUP(C15,Master!$D$2:$E$50,2,0),"")</f>
        <v>PELINDO</v>
      </c>
      <c r="E15" s="18">
        <f>'Profil Risiko'!L15</f>
        <v>9</v>
      </c>
      <c r="F15" s="18" t="str">
        <f>'Profil Risiko'!M15</f>
        <v>Pelindo - 9</v>
      </c>
      <c r="G15" s="7" t="str">
        <f>IFERROR(VLOOKUP(F15,'Profil Risiko'!$M:$N,2,0),"")</f>
        <v>Ketersediaan SDM untuk collect data pelaporan Pajak dan keterbatasan data pelaporan</v>
      </c>
      <c r="H15" s="23" t="s">
        <v>994</v>
      </c>
      <c r="I15" s="7" t="s">
        <v>1016</v>
      </c>
      <c r="J15" s="187" t="s">
        <v>1372</v>
      </c>
      <c r="K15" s="187" t="s">
        <v>1373</v>
      </c>
      <c r="L15" s="218">
        <v>0</v>
      </c>
      <c r="M15" s="52" t="s">
        <v>1026</v>
      </c>
      <c r="N15" s="18" t="s">
        <v>1340</v>
      </c>
      <c r="O15" s="74">
        <v>1</v>
      </c>
      <c r="P15" s="74">
        <v>1</v>
      </c>
      <c r="Q15" s="74">
        <v>1</v>
      </c>
      <c r="R15" s="74">
        <v>1</v>
      </c>
      <c r="S15" s="74">
        <v>1</v>
      </c>
      <c r="T15" s="74">
        <v>1</v>
      </c>
      <c r="U15" s="74">
        <v>1</v>
      </c>
      <c r="V15" s="74">
        <v>1</v>
      </c>
      <c r="W15" s="74">
        <v>1</v>
      </c>
      <c r="X15" s="74">
        <v>1</v>
      </c>
      <c r="Y15" s="74">
        <v>1</v>
      </c>
      <c r="Z15" s="74">
        <v>1</v>
      </c>
    </row>
    <row r="16" spans="1:26" ht="81.599999999999994">
      <c r="A16" s="18"/>
      <c r="B16" s="18">
        <v>10</v>
      </c>
      <c r="C16" s="15" t="s">
        <v>1115</v>
      </c>
      <c r="D16" s="15" t="str">
        <f>IFERROR(VLOOKUP(C16,Master!$D$2:$E$50,2,0),"")</f>
        <v>PELINDO</v>
      </c>
      <c r="E16" s="18">
        <f>'Profil Risiko'!L16</f>
        <v>10</v>
      </c>
      <c r="F16" s="18" t="str">
        <f>'Profil Risiko'!M16</f>
        <v>Pelindo - 10</v>
      </c>
      <c r="G16" s="7" t="str">
        <f>IFERROR(VLOOKUP(F16,'Profil Risiko'!$M:$N,2,0),"")</f>
        <v>Banyaknya stakeholder yang terlibat dalam proses permurnian bisnis serta memerlukan pembahasan yang alot.</v>
      </c>
      <c r="H16" s="23" t="s">
        <v>994</v>
      </c>
      <c r="I16" s="7" t="s">
        <v>1016</v>
      </c>
      <c r="J16" s="8" t="s">
        <v>1381</v>
      </c>
      <c r="K16" s="51" t="s">
        <v>1330</v>
      </c>
      <c r="L16" s="217">
        <f>800000000+500000000+1000000000+900000000+10000000+300000000+300000000</f>
        <v>3810000000</v>
      </c>
      <c r="M16" s="52" t="s">
        <v>1026</v>
      </c>
      <c r="N16" s="18" t="s">
        <v>1342</v>
      </c>
      <c r="O16" s="74">
        <v>1</v>
      </c>
      <c r="P16" s="74">
        <v>1</v>
      </c>
      <c r="Q16" s="74">
        <v>1</v>
      </c>
      <c r="R16" s="74">
        <v>1</v>
      </c>
      <c r="S16" s="74">
        <v>1</v>
      </c>
      <c r="T16" s="74">
        <v>1</v>
      </c>
      <c r="U16" s="74">
        <v>1</v>
      </c>
      <c r="V16" s="74">
        <v>1</v>
      </c>
      <c r="W16" s="74">
        <v>1</v>
      </c>
      <c r="X16" s="74">
        <v>1</v>
      </c>
      <c r="Y16" s="74">
        <v>1</v>
      </c>
      <c r="Z16" s="74">
        <v>1</v>
      </c>
    </row>
    <row r="17" spans="1:26" ht="295.8">
      <c r="A17" s="18"/>
      <c r="B17" s="18">
        <v>11</v>
      </c>
      <c r="C17" s="15" t="s">
        <v>1115</v>
      </c>
      <c r="D17" s="15" t="str">
        <f>IFERROR(VLOOKUP(C17,Master!$D$2:$E$50,2,0),"")</f>
        <v>PELINDO</v>
      </c>
      <c r="E17" s="18">
        <f>'Profil Risiko'!L17</f>
        <v>11</v>
      </c>
      <c r="F17" s="18" t="str">
        <f>'Profil Risiko'!M17</f>
        <v>Pelindo - 11</v>
      </c>
      <c r="G17" s="7" t="str">
        <f>IFERROR(VLOOKUP(F17,'Profil Risiko'!$M:$N,2,0),"")</f>
        <v>Adanya emisi karbon yang dihasilkan dari aktivitas di pelabuhan
--
Masyarakat merasa adanya dampak yang dipandang buruk terhadap aset/fasilitas/aktivitas-nya yang telah ada di sekitar lokasi pelabuhan.
Adanya harapan dari masyarakat atas peningkatan taraf hidup atau ekonomi sebagai bagian dari komunitas yang ada di sekitar pelabuhan.  
--
Proses bongkar muat curah yang tidak sesuai standar,Minimnya pengawasan dan monitoring pengelolaan lingkungan, Minimnya fasilitas penyimpanan limbah B3.</v>
      </c>
      <c r="H17" s="23" t="s">
        <v>994</v>
      </c>
      <c r="I17" s="7" t="s">
        <v>1016</v>
      </c>
      <c r="J17" s="51" t="s">
        <v>1355</v>
      </c>
      <c r="K17" s="51" t="s">
        <v>1331</v>
      </c>
      <c r="L17" s="219">
        <f>24000000000</f>
        <v>24000000000</v>
      </c>
      <c r="M17" s="52" t="s">
        <v>1052</v>
      </c>
      <c r="N17" s="18" t="s">
        <v>1350</v>
      </c>
      <c r="O17" s="74">
        <v>1</v>
      </c>
      <c r="P17" s="74">
        <v>1</v>
      </c>
      <c r="Q17" s="74">
        <v>1</v>
      </c>
      <c r="R17" s="74">
        <v>1</v>
      </c>
      <c r="S17" s="74">
        <v>1</v>
      </c>
      <c r="T17" s="74">
        <v>1</v>
      </c>
      <c r="U17" s="74">
        <v>1</v>
      </c>
      <c r="V17" s="74">
        <v>1</v>
      </c>
      <c r="W17" s="74">
        <v>1</v>
      </c>
      <c r="X17" s="74">
        <v>1</v>
      </c>
      <c r="Y17" s="74">
        <v>1</v>
      </c>
      <c r="Z17" s="74">
        <v>1</v>
      </c>
    </row>
    <row r="18" spans="1:26" ht="102">
      <c r="A18" s="18"/>
      <c r="B18" s="18">
        <v>12</v>
      </c>
      <c r="C18" s="15" t="s">
        <v>1115</v>
      </c>
      <c r="D18" s="15" t="str">
        <f>IFERROR(VLOOKUP(C18,Master!$D$2:$E$50,2,0),"")</f>
        <v>PELINDO</v>
      </c>
      <c r="E18" s="18">
        <f>'Profil Risiko'!L18</f>
        <v>12</v>
      </c>
      <c r="F18" s="18" t="str">
        <f>'Profil Risiko'!M18</f>
        <v>Pelindo - 12</v>
      </c>
      <c r="G18" s="7" t="str">
        <f>IFERROR(VLOOKUP(F18,'Profil Risiko'!$M:$N,2,0),"")</f>
        <v>Adanya ancaman tindakan berbahaya seperti Virus, malware, dll.</v>
      </c>
      <c r="H18" s="23" t="s">
        <v>994</v>
      </c>
      <c r="I18" s="7" t="s">
        <v>995</v>
      </c>
      <c r="J18" s="8" t="s">
        <v>1332</v>
      </c>
      <c r="K18" s="51" t="s">
        <v>1333</v>
      </c>
      <c r="L18" s="217">
        <f>800000000+32050000000</f>
        <v>32850000000</v>
      </c>
      <c r="M18" s="52" t="s">
        <v>1017</v>
      </c>
      <c r="N18" s="18" t="s">
        <v>1341</v>
      </c>
      <c r="O18" s="74">
        <v>1</v>
      </c>
      <c r="P18" s="74">
        <v>1</v>
      </c>
      <c r="Q18" s="74">
        <v>1</v>
      </c>
      <c r="R18" s="74">
        <v>1</v>
      </c>
      <c r="S18" s="74">
        <v>1</v>
      </c>
      <c r="T18" s="74">
        <v>1</v>
      </c>
      <c r="U18" s="74">
        <v>1</v>
      </c>
      <c r="V18" s="74">
        <v>1</v>
      </c>
      <c r="W18" s="74">
        <v>1</v>
      </c>
      <c r="X18" s="74">
        <v>1</v>
      </c>
      <c r="Y18" s="74">
        <v>1</v>
      </c>
      <c r="Z18" s="74">
        <v>1</v>
      </c>
    </row>
    <row r="19" spans="1:26" ht="132.6">
      <c r="A19" s="18"/>
      <c r="B19" s="18">
        <v>13</v>
      </c>
      <c r="C19" s="15" t="s">
        <v>1115</v>
      </c>
      <c r="D19" s="15" t="str">
        <f>IFERROR(VLOOKUP(C19,Master!$D$2:$E$50,2,0),"")</f>
        <v>PELINDO</v>
      </c>
      <c r="E19" s="18">
        <f>'Profil Risiko'!L19</f>
        <v>13</v>
      </c>
      <c r="F19" s="18" t="str">
        <f>'Profil Risiko'!M19</f>
        <v>Pelindo - 13</v>
      </c>
      <c r="G19" s="7" t="str">
        <f>IFERROR(VLOOKUP(F19,'Profil Risiko'!$M:$N,2,0),"")</f>
        <v>Kurangnya kepedulian dan kesadaran terhadap implementasi Budaya K3</v>
      </c>
      <c r="H19" s="23" t="s">
        <v>994</v>
      </c>
      <c r="I19" s="7" t="s">
        <v>995</v>
      </c>
      <c r="J19" s="8" t="s">
        <v>1354</v>
      </c>
      <c r="K19" s="51" t="s">
        <v>1334</v>
      </c>
      <c r="L19" s="217">
        <f>16900000000+6400000000</f>
        <v>23300000000</v>
      </c>
      <c r="M19" s="52" t="s">
        <v>1017</v>
      </c>
      <c r="N19" s="18" t="s">
        <v>1343</v>
      </c>
      <c r="O19" s="74">
        <v>1</v>
      </c>
      <c r="P19" s="74">
        <v>1</v>
      </c>
      <c r="Q19" s="74">
        <v>1</v>
      </c>
      <c r="R19" s="74">
        <v>1</v>
      </c>
      <c r="S19" s="74">
        <v>1</v>
      </c>
      <c r="T19" s="74">
        <v>1</v>
      </c>
      <c r="U19" s="74">
        <v>1</v>
      </c>
      <c r="V19" s="74">
        <v>1</v>
      </c>
      <c r="W19" s="74">
        <v>1</v>
      </c>
      <c r="X19" s="74">
        <v>1</v>
      </c>
      <c r="Y19" s="74">
        <v>1</v>
      </c>
      <c r="Z19" s="74">
        <v>1</v>
      </c>
    </row>
    <row r="20" spans="1:26" ht="61.2">
      <c r="A20" s="18"/>
      <c r="B20" s="18">
        <v>14</v>
      </c>
      <c r="C20" s="15" t="s">
        <v>1115</v>
      </c>
      <c r="D20" s="15" t="str">
        <f>IFERROR(VLOOKUP(C20,Master!$D$2:$E$50,2,0),"")</f>
        <v>PELINDO</v>
      </c>
      <c r="E20" s="18">
        <f>'Profil Risiko'!L20</f>
        <v>14</v>
      </c>
      <c r="F20" s="18" t="str">
        <f>'Profil Risiko'!M20</f>
        <v>Pelindo - 14</v>
      </c>
      <c r="G20" s="7" t="str">
        <f>IFERROR(VLOOKUP(F20,'Profil Risiko'!$M:$N,2,0),"")</f>
        <v>Level kompetensi pekerja pada jabatan yang sama tidak seragam</v>
      </c>
      <c r="H20" s="23" t="s">
        <v>994</v>
      </c>
      <c r="I20" s="7" t="s">
        <v>1016</v>
      </c>
      <c r="J20" s="8" t="s">
        <v>1353</v>
      </c>
      <c r="K20" s="51" t="s">
        <v>1351</v>
      </c>
      <c r="L20" s="217">
        <v>15608834025</v>
      </c>
      <c r="M20" s="52" t="s">
        <v>1041</v>
      </c>
      <c r="N20" s="18" t="s">
        <v>1344</v>
      </c>
      <c r="O20" s="74">
        <v>1</v>
      </c>
      <c r="P20" s="74">
        <v>1</v>
      </c>
      <c r="Q20" s="74">
        <v>1</v>
      </c>
      <c r="R20" s="74">
        <v>1</v>
      </c>
      <c r="S20" s="74">
        <v>1</v>
      </c>
      <c r="T20" s="74">
        <v>1</v>
      </c>
      <c r="U20" s="74">
        <v>1</v>
      </c>
      <c r="V20" s="74">
        <v>1</v>
      </c>
      <c r="W20" s="74">
        <v>1</v>
      </c>
      <c r="X20" s="74">
        <v>1</v>
      </c>
      <c r="Y20" s="74">
        <v>1</v>
      </c>
      <c r="Z20" s="74">
        <v>1</v>
      </c>
    </row>
    <row r="21" spans="1:26" ht="275.39999999999998">
      <c r="A21" s="18"/>
      <c r="B21" s="18">
        <v>15</v>
      </c>
      <c r="C21" s="15" t="s">
        <v>1115</v>
      </c>
      <c r="D21" s="15" t="str">
        <f>IFERROR(VLOOKUP(C21,Master!$D$2:$E$50,2,0),"")</f>
        <v>PELINDO</v>
      </c>
      <c r="E21" s="18">
        <f>'Profil Risiko'!L21</f>
        <v>15</v>
      </c>
      <c r="F21" s="18" t="str">
        <f>'Profil Risiko'!M21</f>
        <v>Pelindo - 15</v>
      </c>
      <c r="G21" s="7" t="str">
        <f>IFERROR(VLOOKUP(F21,'Profil Risiko'!$M:$N,2,0),"")</f>
        <v xml:space="preserve"> ketidaktahuan peraturan, atau pengawasan yang lemah</v>
      </c>
      <c r="H21" s="23" t="s">
        <v>994</v>
      </c>
      <c r="I21" s="7" t="s">
        <v>995</v>
      </c>
      <c r="J21" s="185" t="s">
        <v>1335</v>
      </c>
      <c r="K21" s="169" t="s">
        <v>1336</v>
      </c>
      <c r="L21" s="217">
        <v>2300000000</v>
      </c>
      <c r="M21" s="52" t="s">
        <v>1033</v>
      </c>
      <c r="N21" s="18" t="s">
        <v>1342</v>
      </c>
      <c r="O21" s="74">
        <v>1</v>
      </c>
      <c r="P21" s="74">
        <v>1</v>
      </c>
      <c r="Q21" s="74">
        <v>1</v>
      </c>
      <c r="R21" s="74">
        <v>1</v>
      </c>
      <c r="S21" s="74">
        <v>1</v>
      </c>
      <c r="T21" s="74">
        <v>1</v>
      </c>
      <c r="U21" s="74">
        <v>1</v>
      </c>
      <c r="V21" s="74">
        <v>1</v>
      </c>
      <c r="W21" s="74">
        <v>1</v>
      </c>
      <c r="X21" s="74">
        <v>1</v>
      </c>
      <c r="Y21" s="74">
        <v>1</v>
      </c>
      <c r="Z21" s="74">
        <v>1</v>
      </c>
    </row>
    <row r="22" spans="1:26" ht="112.2">
      <c r="A22" s="18"/>
      <c r="B22" s="18">
        <v>16</v>
      </c>
      <c r="C22" s="15" t="s">
        <v>1115</v>
      </c>
      <c r="D22" s="15" t="str">
        <f>IFERROR(VLOOKUP(C22,Master!$D$2:$E$50,2,0),"")</f>
        <v>PELINDO</v>
      </c>
      <c r="E22" s="18">
        <f>'Profil Risiko'!L22</f>
        <v>16</v>
      </c>
      <c r="F22" s="18" t="str">
        <f>'Profil Risiko'!M22</f>
        <v>Pelindo - 16</v>
      </c>
      <c r="G22" s="7" t="str">
        <f>IFERROR(VLOOKUP(F22,'Profil Risiko'!$M:$N,2,0),"")</f>
        <v xml:space="preserve">Belum terstandarnya pola operasional sehingga berdampak pada kinerja yang rendah
--
Ketidaksiapan fasilitas ketika akan digunakan oleh pelanggan (misal terbatasnya jumlah kapal tunda, kekurangan alat, kekurangan lapangan penumpukan)
</v>
      </c>
      <c r="H22" s="23" t="s">
        <v>994</v>
      </c>
      <c r="I22" s="7" t="s">
        <v>1016</v>
      </c>
      <c r="J22" s="190" t="s">
        <v>1352</v>
      </c>
      <c r="K22" s="201" t="s">
        <v>1337</v>
      </c>
      <c r="L22" s="218">
        <v>80000000</v>
      </c>
      <c r="M22" s="52" t="s">
        <v>1017</v>
      </c>
      <c r="N22" s="18" t="s">
        <v>1345</v>
      </c>
      <c r="O22" s="74">
        <v>1</v>
      </c>
      <c r="P22" s="74">
        <v>1</v>
      </c>
      <c r="Q22" s="74">
        <v>1</v>
      </c>
      <c r="R22" s="74">
        <v>1</v>
      </c>
      <c r="S22" s="74">
        <v>1</v>
      </c>
      <c r="T22" s="74">
        <v>1</v>
      </c>
      <c r="U22" s="74">
        <v>1</v>
      </c>
      <c r="V22" s="74">
        <v>1</v>
      </c>
      <c r="W22" s="74">
        <v>1</v>
      </c>
      <c r="X22" s="74">
        <v>1</v>
      </c>
      <c r="Y22" s="74">
        <v>1</v>
      </c>
      <c r="Z22" s="74">
        <v>1</v>
      </c>
    </row>
    <row r="23" spans="1:26" ht="71.400000000000006">
      <c r="A23" s="18"/>
      <c r="B23" s="18">
        <v>17</v>
      </c>
      <c r="C23" s="15" t="s">
        <v>1115</v>
      </c>
      <c r="D23" s="15" t="str">
        <f>IFERROR(VLOOKUP(C23,Master!$D$2:$E$50,2,0),"")</f>
        <v>PELINDO</v>
      </c>
      <c r="E23" s="18">
        <f>'Profil Risiko'!I23</f>
        <v>17</v>
      </c>
      <c r="F23" s="18" t="str">
        <f>'Profil Risiko'!M23</f>
        <v>Pelindo - 17</v>
      </c>
      <c r="G23" s="7" t="str">
        <f>IFERROR(VLOOKUP(F23,'Profil Risiko'!$M:$N,2,0),"")</f>
        <v>Belum terintegrasinya JTCC dengan Jalan Tol Umum lainnya
Adanya ketidakpastian rencana pengembangan wilayah koridor JTCC dari pemerintah Daerah setempat
Keluhan pelaku usaha logistik terhadap tarif terlalu mahal</v>
      </c>
      <c r="H23" s="23" t="s">
        <v>994</v>
      </c>
      <c r="I23" s="7" t="s">
        <v>1025</v>
      </c>
      <c r="J23" s="190" t="s">
        <v>1418</v>
      </c>
      <c r="K23" s="201" t="s">
        <v>1416</v>
      </c>
      <c r="L23" s="218">
        <v>50000000</v>
      </c>
      <c r="M23" s="52" t="s">
        <v>984</v>
      </c>
      <c r="N23" s="18" t="s">
        <v>1419</v>
      </c>
      <c r="O23" s="74">
        <v>1</v>
      </c>
      <c r="P23" s="74">
        <v>1</v>
      </c>
      <c r="Q23" s="74">
        <v>1</v>
      </c>
      <c r="R23" s="74">
        <v>1</v>
      </c>
      <c r="S23" s="74">
        <v>1</v>
      </c>
      <c r="T23" s="74">
        <v>1</v>
      </c>
      <c r="U23" s="74">
        <v>1</v>
      </c>
      <c r="V23" s="74">
        <v>1</v>
      </c>
      <c r="W23" s="74">
        <v>1</v>
      </c>
      <c r="X23" s="74">
        <v>1</v>
      </c>
      <c r="Y23" s="74">
        <v>1</v>
      </c>
      <c r="Z23" s="74">
        <v>1</v>
      </c>
    </row>
    <row r="25" spans="1:26">
      <c r="L25" s="218">
        <f>SUM(L7:L23)</f>
        <v>120693184025</v>
      </c>
    </row>
  </sheetData>
  <mergeCells count="18">
    <mergeCell ref="I2:I3"/>
    <mergeCell ref="A2:A3"/>
    <mergeCell ref="B2:B3"/>
    <mergeCell ref="G2:G3"/>
    <mergeCell ref="F2:F3"/>
    <mergeCell ref="H2:H3"/>
    <mergeCell ref="C2:C3"/>
    <mergeCell ref="D2:D3"/>
    <mergeCell ref="E2:E3"/>
    <mergeCell ref="O5:Z5"/>
    <mergeCell ref="J2:J3"/>
    <mergeCell ref="K2:K3"/>
    <mergeCell ref="O6:Z6"/>
    <mergeCell ref="L2:L3"/>
    <mergeCell ref="N2:N3"/>
    <mergeCell ref="O2:Z2"/>
    <mergeCell ref="O4:Z4"/>
    <mergeCell ref="M2:M3"/>
  </mergeCells>
  <conditionalFormatting sqref="O5">
    <cfRule type="cellIs" dxfId="2" priority="6" operator="equal">
      <formula>1</formula>
    </cfRule>
  </conditionalFormatting>
  <conditionalFormatting sqref="O4:Z4">
    <cfRule type="cellIs" dxfId="1" priority="7" operator="equal">
      <formula>1</formula>
    </cfRule>
  </conditionalFormatting>
  <conditionalFormatting sqref="O7:Z23">
    <cfRule type="cellIs" dxfId="0" priority="1" operator="equal">
      <formula>1</formula>
    </cfRule>
  </conditionalFormatting>
  <hyperlinks>
    <hyperlink ref="A1" location="'Daftar Isi'!A1" display="Kembali ke Daftar Isi"/>
  </hyperlink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Master!$P$2:$P$12</xm:f>
          </x14:formula1>
          <xm:sqref>M7:M23</xm:sqref>
        </x14:dataValidation>
        <x14:dataValidation type="list" allowBlank="1" showInputMessage="1" showErrorMessage="1">
          <x14:formula1>
            <xm:f>Master!$Q$2:$Q$3</xm:f>
          </x14:formula1>
          <xm:sqref>O7:Z23</xm:sqref>
        </x14:dataValidation>
        <x14:dataValidation type="list" allowBlank="1" showInputMessage="1" showErrorMessage="1">
          <x14:formula1>
            <xm:f>Master!$O$2:$O$9</xm:f>
          </x14:formula1>
          <xm:sqref>I7:I23</xm:sqref>
        </x14:dataValidation>
        <x14:dataValidation type="list" allowBlank="1" showInputMessage="1" showErrorMessage="1">
          <x14:formula1>
            <xm:f>Master!$N$2:$N$5</xm:f>
          </x14:formula1>
          <xm:sqref>H7:H23</xm:sqref>
        </x14:dataValidation>
        <x14:dataValidation type="list" allowBlank="1" showInputMessage="1" showErrorMessage="1">
          <x14:formula1>
            <xm:f>Master!$D$2:$D$50</xm:f>
          </x14:formula1>
          <xm:sqref>C7:C23</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C42"/>
  <sheetViews>
    <sheetView showGridLines="0" topLeftCell="A27" workbookViewId="0">
      <selection activeCell="C33" sqref="C33"/>
    </sheetView>
  </sheetViews>
  <sheetFormatPr defaultColWidth="9.21875" defaultRowHeight="13.8"/>
  <cols>
    <col min="1" max="1" width="3.21875" style="1" customWidth="1"/>
    <col min="2" max="2" width="3.5546875" style="9" customWidth="1"/>
    <col min="3" max="3" width="123.44140625" style="1" customWidth="1"/>
    <col min="4" max="16384" width="9.21875" style="1"/>
  </cols>
  <sheetData>
    <row r="1" spans="1:3" ht="14.4">
      <c r="A1" s="102" t="s">
        <v>29</v>
      </c>
      <c r="B1" s="1"/>
    </row>
    <row r="2" spans="1:3" ht="14.4" thickBot="1">
      <c r="A2" s="577" t="s">
        <v>467</v>
      </c>
      <c r="B2" s="577"/>
      <c r="C2" s="577"/>
    </row>
    <row r="3" spans="1:3" ht="14.4" thickTop="1"/>
    <row r="4" spans="1:3">
      <c r="A4" s="79" t="s">
        <v>468</v>
      </c>
      <c r="B4" s="103" t="s">
        <v>469</v>
      </c>
    </row>
    <row r="5" spans="1:3" ht="41.4">
      <c r="B5" s="90">
        <v>1</v>
      </c>
      <c r="C5" s="91" t="s">
        <v>470</v>
      </c>
    </row>
    <row r="6" spans="1:3" ht="41.4">
      <c r="B6" s="90">
        <v>2</v>
      </c>
      <c r="C6" s="156" t="s">
        <v>471</v>
      </c>
    </row>
    <row r="7" spans="1:3" ht="41.4">
      <c r="B7" s="90">
        <v>3</v>
      </c>
      <c r="C7" s="156" t="s">
        <v>472</v>
      </c>
    </row>
    <row r="8" spans="1:3">
      <c r="B8" s="90">
        <v>4</v>
      </c>
      <c r="C8" s="156" t="s">
        <v>473</v>
      </c>
    </row>
    <row r="10" spans="1:3" ht="31.5" customHeight="1">
      <c r="A10" s="157" t="s">
        <v>297</v>
      </c>
      <c r="B10" s="579" t="s">
        <v>474</v>
      </c>
      <c r="C10" s="579"/>
    </row>
    <row r="11" spans="1:3" ht="27.6">
      <c r="B11" s="90">
        <v>1</v>
      </c>
      <c r="C11" s="156" t="s">
        <v>475</v>
      </c>
    </row>
    <row r="12" spans="1:3" ht="27.6">
      <c r="B12" s="90">
        <v>2</v>
      </c>
      <c r="C12" s="156" t="s">
        <v>476</v>
      </c>
    </row>
    <row r="13" spans="1:3">
      <c r="B13" s="90">
        <v>3</v>
      </c>
      <c r="C13" s="156" t="s">
        <v>477</v>
      </c>
    </row>
    <row r="14" spans="1:3" ht="42" thickBot="1">
      <c r="B14" s="90">
        <v>4</v>
      </c>
      <c r="C14" s="156" t="s">
        <v>478</v>
      </c>
    </row>
    <row r="15" spans="1:3" ht="41.4">
      <c r="B15" s="90">
        <v>5</v>
      </c>
      <c r="C15" s="156" t="s">
        <v>479</v>
      </c>
    </row>
    <row r="16" spans="1:3" ht="27.6">
      <c r="B16" s="90">
        <v>6</v>
      </c>
      <c r="C16" s="156" t="s">
        <v>480</v>
      </c>
    </row>
    <row r="17" spans="1:3" ht="32.25" customHeight="1">
      <c r="B17" s="90">
        <v>7</v>
      </c>
      <c r="C17" s="167" t="s">
        <v>481</v>
      </c>
    </row>
    <row r="18" spans="1:3" ht="27.6">
      <c r="B18" s="90">
        <v>8</v>
      </c>
      <c r="C18" s="156" t="s">
        <v>482</v>
      </c>
    </row>
    <row r="19" spans="1:3">
      <c r="B19" s="90">
        <v>9</v>
      </c>
      <c r="C19" s="156" t="s">
        <v>483</v>
      </c>
    </row>
    <row r="21" spans="1:3">
      <c r="A21" s="92" t="s">
        <v>446</v>
      </c>
      <c r="B21" s="580" t="s">
        <v>484</v>
      </c>
      <c r="C21" s="580"/>
    </row>
    <row r="22" spans="1:3" ht="27.6">
      <c r="B22" s="90">
        <v>1</v>
      </c>
      <c r="C22" s="91" t="s">
        <v>485</v>
      </c>
    </row>
    <row r="23" spans="1:3" ht="27.6">
      <c r="B23" s="90">
        <v>2</v>
      </c>
      <c r="C23" s="91" t="s">
        <v>486</v>
      </c>
    </row>
    <row r="24" spans="1:3" ht="42">
      <c r="B24" s="90">
        <v>3</v>
      </c>
      <c r="C24" s="159" t="s">
        <v>487</v>
      </c>
    </row>
    <row r="25" spans="1:3" ht="41.4">
      <c r="B25" s="90">
        <v>4</v>
      </c>
      <c r="C25" s="166" t="s">
        <v>488</v>
      </c>
    </row>
    <row r="26" spans="1:3" ht="41.4">
      <c r="B26" s="90">
        <v>5</v>
      </c>
      <c r="C26" s="91" t="s">
        <v>489</v>
      </c>
    </row>
    <row r="27" spans="1:3" ht="27.6">
      <c r="B27" s="90">
        <v>6</v>
      </c>
      <c r="C27" s="91" t="s">
        <v>490</v>
      </c>
    </row>
    <row r="28" spans="1:3" ht="27.6">
      <c r="B28" s="90">
        <v>7</v>
      </c>
      <c r="C28" s="91" t="s">
        <v>491</v>
      </c>
    </row>
    <row r="29" spans="1:3" ht="55.2">
      <c r="B29" s="90">
        <v>8</v>
      </c>
      <c r="C29" s="159" t="s">
        <v>492</v>
      </c>
    </row>
    <row r="30" spans="1:3" ht="41.4">
      <c r="B30" s="90">
        <v>9</v>
      </c>
      <c r="C30" s="159" t="s">
        <v>493</v>
      </c>
    </row>
    <row r="31" spans="1:3" ht="41.4">
      <c r="B31" s="90">
        <v>10</v>
      </c>
      <c r="C31" s="159" t="s">
        <v>494</v>
      </c>
    </row>
    <row r="32" spans="1:3" ht="27.6">
      <c r="B32" s="90">
        <v>11</v>
      </c>
      <c r="C32" s="159" t="s">
        <v>495</v>
      </c>
    </row>
    <row r="33" spans="2:3" ht="41.4">
      <c r="B33" s="90">
        <v>12</v>
      </c>
      <c r="C33" s="159" t="s">
        <v>496</v>
      </c>
    </row>
    <row r="34" spans="2:3" ht="55.2">
      <c r="B34" s="90">
        <v>13</v>
      </c>
      <c r="C34" s="91" t="s">
        <v>497</v>
      </c>
    </row>
    <row r="35" spans="2:3" ht="42">
      <c r="B35" s="90">
        <v>14</v>
      </c>
      <c r="C35" s="159" t="s">
        <v>498</v>
      </c>
    </row>
    <row r="36" spans="2:3" ht="42">
      <c r="B36" s="90">
        <v>15</v>
      </c>
      <c r="C36" s="91" t="s">
        <v>499</v>
      </c>
    </row>
    <row r="37" spans="2:3" ht="41.4">
      <c r="B37" s="90">
        <v>16</v>
      </c>
      <c r="C37" s="159" t="s">
        <v>500</v>
      </c>
    </row>
    <row r="38" spans="2:3" ht="27.6">
      <c r="B38" s="90">
        <v>17</v>
      </c>
      <c r="C38" s="91" t="s">
        <v>501</v>
      </c>
    </row>
    <row r="39" spans="2:3" ht="41.4">
      <c r="B39" s="90">
        <v>18</v>
      </c>
      <c r="C39" s="91" t="s">
        <v>502</v>
      </c>
    </row>
    <row r="40" spans="2:3" ht="42.6">
      <c r="B40" s="90">
        <v>19</v>
      </c>
      <c r="C40" s="159" t="s">
        <v>503</v>
      </c>
    </row>
    <row r="41" spans="2:3" ht="69">
      <c r="B41" s="90">
        <v>20</v>
      </c>
      <c r="C41" s="159" t="s">
        <v>504</v>
      </c>
    </row>
    <row r="42" spans="2:3">
      <c r="B42" s="90">
        <v>21</v>
      </c>
      <c r="C42" s="91" t="s">
        <v>505</v>
      </c>
    </row>
  </sheetData>
  <mergeCells count="3">
    <mergeCell ref="A2:C2"/>
    <mergeCell ref="B10:C10"/>
    <mergeCell ref="B21:C21"/>
  </mergeCells>
  <hyperlinks>
    <hyperlink ref="A1" location="'Daftar Isi'!A1" display="Home Daftar Isi"/>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O377"/>
  <sheetViews>
    <sheetView showGridLines="0" topLeftCell="A171" workbookViewId="0">
      <selection activeCell="R34" sqref="R34"/>
    </sheetView>
  </sheetViews>
  <sheetFormatPr defaultColWidth="9.21875" defaultRowHeight="13.8"/>
  <cols>
    <col min="1" max="1" width="4.21875" style="1" customWidth="1"/>
    <col min="2" max="2" width="4.44140625" style="9" customWidth="1"/>
    <col min="3" max="16384" width="9.21875" style="1"/>
  </cols>
  <sheetData>
    <row r="1" spans="1:12" ht="14.4">
      <c r="A1" s="102" t="s">
        <v>29</v>
      </c>
      <c r="B1" s="1"/>
    </row>
    <row r="2" spans="1:12" ht="30" customHeight="1" thickBot="1">
      <c r="A2" s="582" t="s">
        <v>506</v>
      </c>
      <c r="B2" s="582"/>
      <c r="C2" s="582"/>
      <c r="D2" s="582"/>
      <c r="E2" s="582"/>
      <c r="F2" s="582"/>
      <c r="G2" s="582"/>
      <c r="H2" s="582"/>
      <c r="I2" s="582"/>
      <c r="J2" s="582"/>
      <c r="K2" s="582"/>
      <c r="L2" s="582"/>
    </row>
    <row r="3" spans="1:12" ht="14.4" thickTop="1"/>
    <row r="4" spans="1:12">
      <c r="A4" s="79" t="s">
        <v>468</v>
      </c>
      <c r="B4" s="103" t="s">
        <v>507</v>
      </c>
    </row>
    <row r="5" spans="1:12">
      <c r="B5" s="9">
        <v>1</v>
      </c>
      <c r="C5" s="1" t="s">
        <v>508</v>
      </c>
    </row>
    <row r="6" spans="1:12">
      <c r="B6" s="9">
        <v>2</v>
      </c>
      <c r="C6" s="1" t="s">
        <v>509</v>
      </c>
    </row>
    <row r="21" spans="2:3">
      <c r="B21" s="9">
        <v>3</v>
      </c>
      <c r="C21" s="1" t="s">
        <v>510</v>
      </c>
    </row>
    <row r="36" spans="2:3">
      <c r="B36" s="9">
        <v>4</v>
      </c>
      <c r="C36" s="1" t="s">
        <v>511</v>
      </c>
    </row>
    <row r="50" spans="2:4">
      <c r="B50" s="9">
        <v>5</v>
      </c>
      <c r="C50" s="1" t="s">
        <v>512</v>
      </c>
    </row>
    <row r="63" spans="2:4">
      <c r="C63" s="19"/>
    </row>
    <row r="64" spans="2:4">
      <c r="C64" s="19" t="s">
        <v>513</v>
      </c>
      <c r="D64" s="1" t="s">
        <v>514</v>
      </c>
    </row>
    <row r="65" spans="2:11">
      <c r="C65" s="19" t="s">
        <v>515</v>
      </c>
      <c r="D65" s="1" t="s">
        <v>516</v>
      </c>
    </row>
    <row r="66" spans="2:11" ht="80.25" customHeight="1">
      <c r="C66" s="19"/>
      <c r="D66" s="583" t="s">
        <v>517</v>
      </c>
      <c r="E66" s="583"/>
      <c r="F66" s="583"/>
      <c r="G66" s="583"/>
      <c r="H66" s="583"/>
    </row>
    <row r="67" spans="2:11">
      <c r="C67" s="19" t="s">
        <v>518</v>
      </c>
      <c r="D67" s="1" t="s">
        <v>519</v>
      </c>
    </row>
    <row r="68" spans="2:11">
      <c r="C68" s="19" t="s">
        <v>520</v>
      </c>
      <c r="D68" s="1" t="s">
        <v>521</v>
      </c>
    </row>
    <row r="69" spans="2:11">
      <c r="C69" s="19" t="s">
        <v>522</v>
      </c>
      <c r="D69" s="1" t="s">
        <v>523</v>
      </c>
    </row>
    <row r="70" spans="2:11">
      <c r="I70" s="91"/>
    </row>
    <row r="71" spans="2:11">
      <c r="B71" s="9">
        <v>6</v>
      </c>
      <c r="C71" s="1" t="s">
        <v>524</v>
      </c>
      <c r="E71" s="91"/>
      <c r="I71" s="91"/>
    </row>
    <row r="72" spans="2:11">
      <c r="E72" s="91"/>
      <c r="I72" s="91"/>
    </row>
    <row r="79" spans="2:11">
      <c r="C79" s="19" t="s">
        <v>513</v>
      </c>
      <c r="D79" s="1" t="s">
        <v>516</v>
      </c>
    </row>
    <row r="80" spans="2:11" ht="69.75" customHeight="1">
      <c r="C80" s="19"/>
      <c r="D80" s="581" t="s">
        <v>517</v>
      </c>
      <c r="E80" s="581"/>
      <c r="F80" s="581"/>
      <c r="G80" s="581"/>
      <c r="H80" s="581"/>
      <c r="I80" s="581"/>
      <c r="J80" s="581"/>
      <c r="K80" s="581"/>
    </row>
    <row r="81" spans="2:9" ht="12.75" customHeight="1">
      <c r="C81" s="19" t="s">
        <v>515</v>
      </c>
      <c r="D81" s="1" t="s">
        <v>519</v>
      </c>
    </row>
    <row r="82" spans="2:9">
      <c r="C82" s="19" t="s">
        <v>518</v>
      </c>
      <c r="D82" s="1" t="s">
        <v>521</v>
      </c>
      <c r="I82" s="91"/>
    </row>
    <row r="83" spans="2:9">
      <c r="C83" s="19" t="s">
        <v>520</v>
      </c>
      <c r="D83" s="1" t="s">
        <v>525</v>
      </c>
    </row>
    <row r="85" spans="2:9">
      <c r="B85" s="9">
        <v>7</v>
      </c>
      <c r="C85" s="1" t="s">
        <v>526</v>
      </c>
      <c r="I85" s="91"/>
    </row>
    <row r="98" spans="2:10">
      <c r="C98" s="19" t="s">
        <v>513</v>
      </c>
      <c r="D98" s="1" t="s">
        <v>516</v>
      </c>
    </row>
    <row r="99" spans="2:10" ht="66" customHeight="1">
      <c r="C99" s="19"/>
      <c r="D99" s="581" t="s">
        <v>527</v>
      </c>
      <c r="E99" s="581"/>
      <c r="F99" s="581"/>
      <c r="G99" s="581"/>
      <c r="H99" s="581"/>
      <c r="I99" s="581"/>
      <c r="J99" s="581"/>
    </row>
    <row r="100" spans="2:10">
      <c r="C100" s="19" t="s">
        <v>515</v>
      </c>
      <c r="D100" s="1" t="s">
        <v>519</v>
      </c>
    </row>
    <row r="101" spans="2:10">
      <c r="C101" s="19" t="s">
        <v>518</v>
      </c>
      <c r="D101" s="1" t="s">
        <v>521</v>
      </c>
    </row>
    <row r="102" spans="2:10">
      <c r="C102" s="19" t="s">
        <v>520</v>
      </c>
      <c r="D102" s="1" t="s">
        <v>528</v>
      </c>
    </row>
    <row r="104" spans="2:10">
      <c r="B104" s="9">
        <v>8</v>
      </c>
      <c r="C104" s="1" t="s">
        <v>529</v>
      </c>
    </row>
    <row r="116" spans="2:11">
      <c r="C116" s="1" t="s">
        <v>530</v>
      </c>
    </row>
    <row r="117" spans="2:11" ht="62.25" customHeight="1">
      <c r="D117" s="581" t="s">
        <v>517</v>
      </c>
      <c r="E117" s="581"/>
      <c r="F117" s="581"/>
      <c r="G117" s="581"/>
      <c r="H117" s="581"/>
      <c r="I117" s="581"/>
      <c r="J117" s="581"/>
      <c r="K117" s="581"/>
    </row>
    <row r="118" spans="2:11">
      <c r="C118" s="1" t="s">
        <v>531</v>
      </c>
    </row>
    <row r="119" spans="2:11">
      <c r="C119" s="1" t="s">
        <v>532</v>
      </c>
    </row>
    <row r="120" spans="2:11">
      <c r="C120" s="1" t="s">
        <v>533</v>
      </c>
    </row>
    <row r="122" spans="2:11">
      <c r="B122" s="9">
        <v>9</v>
      </c>
      <c r="C122" s="1" t="s">
        <v>534</v>
      </c>
    </row>
    <row r="132" spans="2:11">
      <c r="C132" s="1" t="s">
        <v>530</v>
      </c>
    </row>
    <row r="133" spans="2:11" ht="68.25" customHeight="1">
      <c r="D133" s="581" t="s">
        <v>517</v>
      </c>
      <c r="E133" s="581"/>
      <c r="F133" s="581"/>
      <c r="G133" s="581"/>
      <c r="H133" s="581"/>
      <c r="I133" s="581"/>
      <c r="J133" s="581"/>
      <c r="K133" s="581"/>
    </row>
    <row r="134" spans="2:11">
      <c r="C134" s="1" t="s">
        <v>531</v>
      </c>
    </row>
    <row r="135" spans="2:11">
      <c r="C135" s="1" t="s">
        <v>532</v>
      </c>
    </row>
    <row r="136" spans="2:11">
      <c r="C136" s="1" t="s">
        <v>535</v>
      </c>
    </row>
    <row r="138" spans="2:11">
      <c r="B138" s="9" t="s">
        <v>536</v>
      </c>
      <c r="C138" s="1" t="s">
        <v>537</v>
      </c>
    </row>
    <row r="149" spans="2:10">
      <c r="C149" s="1" t="s">
        <v>530</v>
      </c>
    </row>
    <row r="150" spans="2:10" ht="65.25" customHeight="1">
      <c r="D150" s="581" t="s">
        <v>517</v>
      </c>
      <c r="E150" s="581"/>
      <c r="F150" s="581"/>
      <c r="G150" s="581"/>
      <c r="H150" s="581"/>
      <c r="I150" s="581"/>
      <c r="J150" s="581"/>
    </row>
    <row r="151" spans="2:10">
      <c r="C151" s="1" t="s">
        <v>531</v>
      </c>
    </row>
    <row r="152" spans="2:10">
      <c r="C152" s="1" t="s">
        <v>532</v>
      </c>
    </row>
    <row r="153" spans="2:10">
      <c r="C153" s="1" t="s">
        <v>538</v>
      </c>
    </row>
    <row r="155" spans="2:10">
      <c r="B155" s="9">
        <v>11</v>
      </c>
      <c r="C155" s="1" t="s">
        <v>539</v>
      </c>
    </row>
    <row r="166" spans="2:11">
      <c r="C166" s="1" t="s">
        <v>530</v>
      </c>
    </row>
    <row r="167" spans="2:11" ht="65.25" customHeight="1">
      <c r="D167" s="581" t="s">
        <v>517</v>
      </c>
      <c r="E167" s="581"/>
      <c r="F167" s="581"/>
      <c r="G167" s="581"/>
      <c r="H167" s="581"/>
      <c r="I167" s="581"/>
      <c r="J167" s="581"/>
      <c r="K167" s="581"/>
    </row>
    <row r="168" spans="2:11">
      <c r="C168" s="1" t="s">
        <v>531</v>
      </c>
    </row>
    <row r="169" spans="2:11">
      <c r="C169" s="1" t="s">
        <v>532</v>
      </c>
    </row>
    <row r="170" spans="2:11">
      <c r="C170" s="1" t="s">
        <v>540</v>
      </c>
    </row>
    <row r="172" spans="2:11">
      <c r="B172" s="9">
        <v>12</v>
      </c>
      <c r="C172" s="1" t="s">
        <v>541</v>
      </c>
    </row>
    <row r="181" spans="2:10">
      <c r="C181" s="1" t="s">
        <v>530</v>
      </c>
    </row>
    <row r="182" spans="2:10" ht="67.5" customHeight="1">
      <c r="D182" s="581" t="s">
        <v>517</v>
      </c>
      <c r="E182" s="581"/>
      <c r="F182" s="581"/>
      <c r="G182" s="581"/>
      <c r="H182" s="581"/>
      <c r="I182" s="581"/>
      <c r="J182" s="581"/>
    </row>
    <row r="183" spans="2:10">
      <c r="C183" s="1" t="s">
        <v>531</v>
      </c>
    </row>
    <row r="184" spans="2:10">
      <c r="C184" s="1" t="s">
        <v>532</v>
      </c>
    </row>
    <row r="185" spans="2:10">
      <c r="C185" s="1" t="s">
        <v>542</v>
      </c>
    </row>
    <row r="187" spans="2:10">
      <c r="B187" s="9">
        <v>13</v>
      </c>
      <c r="C187" s="1" t="s">
        <v>543</v>
      </c>
    </row>
    <row r="196" spans="2:12">
      <c r="C196" s="1" t="s">
        <v>530</v>
      </c>
    </row>
    <row r="197" spans="2:12" ht="66" customHeight="1">
      <c r="D197" s="581" t="s">
        <v>517</v>
      </c>
      <c r="E197" s="581"/>
      <c r="F197" s="581"/>
      <c r="G197" s="581"/>
      <c r="H197" s="581"/>
      <c r="I197" s="581"/>
      <c r="J197" s="581"/>
      <c r="K197" s="581"/>
      <c r="L197" s="581"/>
    </row>
    <row r="198" spans="2:12">
      <c r="C198" s="1" t="s">
        <v>531</v>
      </c>
    </row>
    <row r="199" spans="2:12">
      <c r="C199" s="1" t="s">
        <v>532</v>
      </c>
    </row>
    <row r="200" spans="2:12">
      <c r="C200" s="1" t="s">
        <v>544</v>
      </c>
    </row>
    <row r="202" spans="2:12">
      <c r="B202" s="9">
        <v>14</v>
      </c>
      <c r="C202" s="1" t="s">
        <v>545</v>
      </c>
    </row>
    <row r="211" spans="2:11">
      <c r="C211" s="1" t="s">
        <v>530</v>
      </c>
    </row>
    <row r="212" spans="2:11" ht="66" customHeight="1">
      <c r="D212" s="581" t="s">
        <v>517</v>
      </c>
      <c r="E212" s="581"/>
      <c r="F212" s="581"/>
      <c r="G212" s="581"/>
      <c r="H212" s="581"/>
      <c r="I212" s="581"/>
      <c r="J212" s="581"/>
      <c r="K212" s="581"/>
    </row>
    <row r="213" spans="2:11">
      <c r="C213" s="1" t="s">
        <v>531</v>
      </c>
    </row>
    <row r="214" spans="2:11">
      <c r="C214" s="1" t="s">
        <v>532</v>
      </c>
    </row>
    <row r="215" spans="2:11">
      <c r="C215" s="1" t="s">
        <v>546</v>
      </c>
    </row>
    <row r="217" spans="2:11">
      <c r="B217" s="9">
        <v>15</v>
      </c>
      <c r="C217" s="1" t="s">
        <v>547</v>
      </c>
    </row>
    <row r="226" spans="2:12">
      <c r="C226" s="1" t="s">
        <v>530</v>
      </c>
    </row>
    <row r="227" spans="2:12" ht="63" customHeight="1">
      <c r="D227" s="581" t="s">
        <v>517</v>
      </c>
      <c r="E227" s="581"/>
      <c r="F227" s="581"/>
      <c r="G227" s="581"/>
      <c r="H227" s="581"/>
      <c r="I227" s="581"/>
      <c r="J227" s="581"/>
      <c r="K227" s="581"/>
    </row>
    <row r="228" spans="2:12">
      <c r="C228" s="1" t="s">
        <v>531</v>
      </c>
    </row>
    <row r="229" spans="2:12">
      <c r="C229" s="1" t="s">
        <v>532</v>
      </c>
    </row>
    <row r="230" spans="2:12">
      <c r="C230" s="1" t="s">
        <v>548</v>
      </c>
    </row>
    <row r="232" spans="2:12">
      <c r="B232" s="9">
        <v>16</v>
      </c>
      <c r="C232" s="1" t="s">
        <v>549</v>
      </c>
    </row>
    <row r="237" spans="2:12">
      <c r="C237" s="1" t="s">
        <v>530</v>
      </c>
    </row>
    <row r="238" spans="2:12" ht="63.75" customHeight="1">
      <c r="D238" s="581" t="s">
        <v>517</v>
      </c>
      <c r="E238" s="581"/>
      <c r="F238" s="581"/>
      <c r="G238" s="581"/>
      <c r="H238" s="581"/>
      <c r="I238" s="581"/>
      <c r="J238" s="581"/>
      <c r="K238" s="581"/>
      <c r="L238" s="581"/>
    </row>
    <row r="239" spans="2:12">
      <c r="C239" s="1" t="s">
        <v>550</v>
      </c>
    </row>
    <row r="241" spans="1:11">
      <c r="B241" s="9">
        <v>17</v>
      </c>
      <c r="C241" s="1" t="s">
        <v>551</v>
      </c>
    </row>
    <row r="251" spans="1:11">
      <c r="C251" s="1" t="s">
        <v>530</v>
      </c>
    </row>
    <row r="252" spans="1:11" ht="63" customHeight="1">
      <c r="D252" s="581" t="s">
        <v>517</v>
      </c>
      <c r="E252" s="581"/>
      <c r="F252" s="581"/>
      <c r="G252" s="581"/>
      <c r="H252" s="581"/>
      <c r="I252" s="581"/>
      <c r="J252" s="581"/>
      <c r="K252" s="581"/>
    </row>
    <row r="253" spans="1:11">
      <c r="C253" s="1" t="s">
        <v>531</v>
      </c>
    </row>
    <row r="254" spans="1:11">
      <c r="C254" s="1" t="s">
        <v>552</v>
      </c>
    </row>
    <row r="256" spans="1:11">
      <c r="A256" s="79" t="s">
        <v>553</v>
      </c>
      <c r="B256" s="103" t="s">
        <v>554</v>
      </c>
    </row>
    <row r="264" spans="2:2">
      <c r="B264" s="1" t="s">
        <v>555</v>
      </c>
    </row>
    <row r="265" spans="2:2">
      <c r="B265" s="1" t="s">
        <v>556</v>
      </c>
    </row>
    <row r="266" spans="2:2">
      <c r="B266" s="1" t="s">
        <v>557</v>
      </c>
    </row>
    <row r="267" spans="2:2">
      <c r="B267" s="1" t="s">
        <v>558</v>
      </c>
    </row>
    <row r="268" spans="2:2">
      <c r="B268" s="1" t="s">
        <v>559</v>
      </c>
    </row>
    <row r="269" spans="2:2">
      <c r="B269" s="1" t="s">
        <v>560</v>
      </c>
    </row>
    <row r="270" spans="2:2">
      <c r="B270" s="1" t="s">
        <v>561</v>
      </c>
    </row>
    <row r="271" spans="2:2">
      <c r="B271" s="1" t="s">
        <v>562</v>
      </c>
    </row>
    <row r="273" spans="1:3">
      <c r="A273" s="79" t="s">
        <v>446</v>
      </c>
      <c r="B273" s="103" t="s">
        <v>563</v>
      </c>
    </row>
    <row r="274" spans="1:3">
      <c r="B274" s="1" t="s">
        <v>564</v>
      </c>
    </row>
    <row r="286" spans="1:3">
      <c r="C286" s="1" t="s">
        <v>565</v>
      </c>
    </row>
    <row r="287" spans="1:3">
      <c r="C287" s="1" t="s">
        <v>566</v>
      </c>
    </row>
    <row r="288" spans="1:3">
      <c r="B288" s="9" t="s">
        <v>567</v>
      </c>
    </row>
    <row r="303" spans="3:4">
      <c r="C303" s="1" t="s">
        <v>568</v>
      </c>
    </row>
    <row r="304" spans="3:4">
      <c r="D304" s="1" t="s">
        <v>569</v>
      </c>
    </row>
    <row r="305" spans="4:8">
      <c r="D305" s="1" t="s">
        <v>570</v>
      </c>
    </row>
    <row r="306" spans="4:8">
      <c r="D306" s="1" t="s">
        <v>571</v>
      </c>
    </row>
    <row r="307" spans="4:8">
      <c r="D307" s="1" t="s">
        <v>572</v>
      </c>
    </row>
    <row r="314" spans="4:8">
      <c r="D314" s="1" t="s">
        <v>573</v>
      </c>
    </row>
    <row r="315" spans="4:8">
      <c r="D315" s="1" t="s">
        <v>574</v>
      </c>
    </row>
    <row r="316" spans="4:8">
      <c r="D316" s="1" t="s">
        <v>575</v>
      </c>
    </row>
    <row r="317" spans="4:8">
      <c r="D317" s="1" t="s">
        <v>576</v>
      </c>
    </row>
    <row r="318" spans="4:8">
      <c r="D318" s="1" t="s">
        <v>577</v>
      </c>
    </row>
    <row r="319" spans="4:8">
      <c r="D319" s="1" t="s">
        <v>578</v>
      </c>
    </row>
    <row r="320" spans="4:8">
      <c r="E320" s="1" t="s">
        <v>579</v>
      </c>
      <c r="H320" s="1" t="s">
        <v>580</v>
      </c>
    </row>
    <row r="321" spans="4:9">
      <c r="E321" s="1" t="s">
        <v>581</v>
      </c>
      <c r="H321" s="1" t="s">
        <v>582</v>
      </c>
    </row>
    <row r="322" spans="4:9">
      <c r="E322" s="1" t="s">
        <v>583</v>
      </c>
      <c r="H322" s="1" t="s">
        <v>584</v>
      </c>
    </row>
    <row r="323" spans="4:9">
      <c r="D323" s="1" t="s">
        <v>585</v>
      </c>
    </row>
    <row r="324" spans="4:9">
      <c r="E324" s="1" t="s">
        <v>586</v>
      </c>
      <c r="I324" s="1" t="s">
        <v>587</v>
      </c>
    </row>
    <row r="325" spans="4:9">
      <c r="E325" s="1" t="s">
        <v>588</v>
      </c>
      <c r="I325" s="1" t="s">
        <v>589</v>
      </c>
    </row>
    <row r="326" spans="4:9">
      <c r="E326" s="1" t="s">
        <v>590</v>
      </c>
      <c r="I326" s="1" t="s">
        <v>591</v>
      </c>
    </row>
    <row r="327" spans="4:9">
      <c r="E327" s="1" t="s">
        <v>592</v>
      </c>
      <c r="I327" s="1" t="s">
        <v>593</v>
      </c>
    </row>
    <row r="328" spans="4:9">
      <c r="E328" s="1" t="s">
        <v>594</v>
      </c>
      <c r="I328" s="1" t="s">
        <v>595</v>
      </c>
    </row>
    <row r="329" spans="4:9">
      <c r="E329" s="1" t="s">
        <v>596</v>
      </c>
      <c r="I329" s="1" t="s">
        <v>597</v>
      </c>
    </row>
    <row r="330" spans="4:9">
      <c r="E330" s="1" t="s">
        <v>598</v>
      </c>
      <c r="I330" s="1" t="s">
        <v>599</v>
      </c>
    </row>
    <row r="331" spans="4:9">
      <c r="E331" s="1" t="s">
        <v>600</v>
      </c>
      <c r="I331" s="1" t="s">
        <v>601</v>
      </c>
    </row>
    <row r="332" spans="4:9">
      <c r="E332" s="1" t="s">
        <v>602</v>
      </c>
      <c r="I332" s="1" t="s">
        <v>603</v>
      </c>
    </row>
    <row r="333" spans="4:9">
      <c r="E333" s="1" t="s">
        <v>604</v>
      </c>
      <c r="I333" s="1" t="s">
        <v>605</v>
      </c>
    </row>
    <row r="334" spans="4:9">
      <c r="D334" s="1" t="s">
        <v>606</v>
      </c>
    </row>
    <row r="335" spans="4:9">
      <c r="D335" s="1" t="s">
        <v>607</v>
      </c>
    </row>
    <row r="336" spans="4:9">
      <c r="D336" s="1" t="s">
        <v>608</v>
      </c>
    </row>
    <row r="337" spans="2:15">
      <c r="E337" s="1" t="s">
        <v>609</v>
      </c>
      <c r="I337" s="1" t="s">
        <v>610</v>
      </c>
    </row>
    <row r="338" spans="2:15">
      <c r="E338" s="1" t="s">
        <v>611</v>
      </c>
      <c r="I338" s="1" t="s">
        <v>612</v>
      </c>
    </row>
    <row r="339" spans="2:15">
      <c r="D339" s="1" t="s">
        <v>613</v>
      </c>
    </row>
    <row r="340" spans="2:15">
      <c r="E340" s="1" t="s">
        <v>614</v>
      </c>
      <c r="I340" s="1" t="s">
        <v>615</v>
      </c>
    </row>
    <row r="341" spans="2:15">
      <c r="E341" s="1" t="s">
        <v>616</v>
      </c>
      <c r="I341" s="1" t="s">
        <v>617</v>
      </c>
    </row>
    <row r="342" spans="2:15">
      <c r="D342" s="1" t="s">
        <v>618</v>
      </c>
    </row>
    <row r="343" spans="2:15">
      <c r="D343" s="79" t="s">
        <v>619</v>
      </c>
      <c r="E343" s="79"/>
      <c r="F343" s="79"/>
      <c r="G343" s="79"/>
      <c r="H343" s="79"/>
      <c r="I343" s="79"/>
      <c r="J343" s="79"/>
      <c r="K343" s="79"/>
      <c r="L343" s="79"/>
      <c r="M343" s="79"/>
      <c r="N343" s="79"/>
      <c r="O343" s="79"/>
    </row>
    <row r="344" spans="2:15">
      <c r="C344" s="1" t="s">
        <v>620</v>
      </c>
    </row>
    <row r="345" spans="2:15">
      <c r="D345" s="1" t="s">
        <v>621</v>
      </c>
    </row>
    <row r="346" spans="2:15">
      <c r="D346" s="1" t="s">
        <v>622</v>
      </c>
    </row>
    <row r="347" spans="2:15">
      <c r="D347" s="1" t="s">
        <v>623</v>
      </c>
    </row>
    <row r="349" spans="2:15">
      <c r="B349" s="9" t="s">
        <v>624</v>
      </c>
    </row>
    <row r="357" spans="2:4">
      <c r="C357" s="1" t="s">
        <v>625</v>
      </c>
    </row>
    <row r="358" spans="2:4">
      <c r="C358" s="1" t="s">
        <v>626</v>
      </c>
    </row>
    <row r="359" spans="2:4">
      <c r="D359" s="1" t="s">
        <v>627</v>
      </c>
    </row>
    <row r="360" spans="2:4">
      <c r="D360" s="1" t="s">
        <v>628</v>
      </c>
    </row>
    <row r="362" spans="2:4">
      <c r="B362" s="9">
        <v>4</v>
      </c>
      <c r="C362" s="1" t="s">
        <v>629</v>
      </c>
    </row>
    <row r="371" spans="2:4">
      <c r="C371" s="1" t="s">
        <v>630</v>
      </c>
    </row>
    <row r="372" spans="2:4">
      <c r="D372" s="1" t="s">
        <v>631</v>
      </c>
    </row>
    <row r="373" spans="2:4">
      <c r="D373" s="1" t="s">
        <v>632</v>
      </c>
    </row>
    <row r="374" spans="2:4">
      <c r="D374" s="1" t="s">
        <v>633</v>
      </c>
    </row>
    <row r="375" spans="2:4">
      <c r="C375" s="1" t="s">
        <v>634</v>
      </c>
    </row>
    <row r="377" spans="2:4">
      <c r="B377" s="9" t="s">
        <v>635</v>
      </c>
    </row>
  </sheetData>
  <mergeCells count="14">
    <mergeCell ref="A2:L2"/>
    <mergeCell ref="D66:H66"/>
    <mergeCell ref="D80:K80"/>
    <mergeCell ref="D99:J99"/>
    <mergeCell ref="D117:K117"/>
    <mergeCell ref="D227:K227"/>
    <mergeCell ref="D238:L238"/>
    <mergeCell ref="D252:K252"/>
    <mergeCell ref="D133:K133"/>
    <mergeCell ref="D150:J150"/>
    <mergeCell ref="D167:K167"/>
    <mergeCell ref="D182:J182"/>
    <mergeCell ref="D197:L197"/>
    <mergeCell ref="D212:K212"/>
  </mergeCells>
  <hyperlinks>
    <hyperlink ref="A1" location="'Daftar Isi'!A1" display="Kembali ke Daftar Isi"/>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M334"/>
  <sheetViews>
    <sheetView showGridLines="0" topLeftCell="A22" zoomScale="145" zoomScaleNormal="145" workbookViewId="0">
      <selection activeCell="M333" sqref="M333"/>
    </sheetView>
  </sheetViews>
  <sheetFormatPr defaultColWidth="9.21875" defaultRowHeight="13.8"/>
  <cols>
    <col min="1" max="1" width="3.77734375" style="1" customWidth="1"/>
    <col min="2" max="2" width="7.77734375" style="1" customWidth="1"/>
    <col min="3" max="3" width="10.21875" style="1" customWidth="1"/>
    <col min="4" max="5" width="9.77734375" style="1" customWidth="1"/>
    <col min="6" max="11" width="9.21875" style="1"/>
    <col min="12" max="12" width="10.21875" style="1" customWidth="1"/>
    <col min="13" max="16384" width="9.21875" style="1"/>
  </cols>
  <sheetData>
    <row r="1" spans="1:12" ht="14.4">
      <c r="A1" s="102" t="s">
        <v>29</v>
      </c>
    </row>
    <row r="2" spans="1:12" ht="14.4" thickBot="1">
      <c r="A2" s="582" t="s">
        <v>636</v>
      </c>
      <c r="B2" s="582"/>
      <c r="C2" s="582"/>
      <c r="D2" s="582"/>
      <c r="E2" s="582"/>
      <c r="F2" s="582"/>
      <c r="G2" s="582"/>
      <c r="H2" s="582"/>
      <c r="I2" s="582"/>
      <c r="J2" s="582"/>
      <c r="K2" s="582"/>
      <c r="L2" s="582"/>
    </row>
    <row r="3" spans="1:12" ht="14.4" thickTop="1"/>
    <row r="4" spans="1:12" ht="28.5" customHeight="1">
      <c r="A4" s="581" t="s">
        <v>637</v>
      </c>
      <c r="B4" s="581"/>
      <c r="C4" s="581"/>
      <c r="D4" s="581"/>
      <c r="E4" s="581"/>
      <c r="F4" s="581"/>
      <c r="G4" s="581"/>
      <c r="H4" s="581"/>
      <c r="I4" s="581"/>
      <c r="J4" s="581"/>
      <c r="K4" s="581"/>
      <c r="L4" s="581"/>
    </row>
    <row r="5" spans="1:12">
      <c r="A5" s="79" t="s">
        <v>468</v>
      </c>
      <c r="B5" s="79" t="s">
        <v>638</v>
      </c>
    </row>
    <row r="6" spans="1:12">
      <c r="B6" s="581" t="s">
        <v>639</v>
      </c>
      <c r="C6" s="581"/>
      <c r="D6" s="581"/>
      <c r="E6" s="581"/>
      <c r="F6" s="581"/>
      <c r="G6" s="581"/>
      <c r="H6" s="581"/>
      <c r="I6" s="581"/>
      <c r="J6" s="581"/>
      <c r="K6" s="581"/>
      <c r="L6" s="581"/>
    </row>
    <row r="7" spans="1:12">
      <c r="B7" s="104" t="s">
        <v>640</v>
      </c>
    </row>
    <row r="8" spans="1:12" ht="38.25" customHeight="1">
      <c r="B8" s="85" t="s">
        <v>641</v>
      </c>
      <c r="C8" s="105">
        <v>30000</v>
      </c>
      <c r="D8" s="590" t="s">
        <v>642</v>
      </c>
      <c r="E8" s="590"/>
      <c r="F8" s="105">
        <v>25000</v>
      </c>
    </row>
    <row r="9" spans="1:12" ht="38.25" customHeight="1">
      <c r="B9" s="85" t="s">
        <v>643</v>
      </c>
      <c r="C9" s="105">
        <v>40000</v>
      </c>
      <c r="D9" s="590" t="s">
        <v>644</v>
      </c>
      <c r="E9" s="590"/>
      <c r="F9" s="105">
        <v>30000</v>
      </c>
    </row>
    <row r="10" spans="1:12">
      <c r="B10" s="85"/>
      <c r="C10" s="106"/>
      <c r="D10" s="590" t="s">
        <v>645</v>
      </c>
      <c r="E10" s="590"/>
      <c r="F10" s="105">
        <v>15000</v>
      </c>
    </row>
    <row r="11" spans="1:12" ht="38.25" customHeight="1">
      <c r="B11" s="85" t="s">
        <v>646</v>
      </c>
      <c r="C11" s="105">
        <v>70000</v>
      </c>
      <c r="D11" s="590" t="s">
        <v>647</v>
      </c>
      <c r="E11" s="590"/>
      <c r="F11" s="105">
        <v>70000</v>
      </c>
    </row>
    <row r="12" spans="1:12">
      <c r="B12" s="107"/>
      <c r="D12" s="107"/>
    </row>
    <row r="13" spans="1:12">
      <c r="B13" s="108" t="s">
        <v>648</v>
      </c>
    </row>
    <row r="14" spans="1:12">
      <c r="B14" s="590" t="s">
        <v>649</v>
      </c>
      <c r="C14" s="590"/>
      <c r="D14" s="109">
        <v>75000</v>
      </c>
    </row>
    <row r="15" spans="1:12">
      <c r="B15" s="590" t="s">
        <v>650</v>
      </c>
      <c r="C15" s="590"/>
      <c r="D15" s="109">
        <v>-67500</v>
      </c>
    </row>
    <row r="16" spans="1:12">
      <c r="B16" s="590" t="s">
        <v>651</v>
      </c>
      <c r="C16" s="590"/>
      <c r="D16" s="109">
        <v>7500</v>
      </c>
    </row>
    <row r="17" spans="2:12" ht="24" customHeight="1">
      <c r="B17" s="590" t="s">
        <v>652</v>
      </c>
      <c r="C17" s="590"/>
      <c r="D17" s="109">
        <v>-3750</v>
      </c>
    </row>
    <row r="18" spans="2:12" ht="28.5" customHeight="1">
      <c r="B18" s="590" t="s">
        <v>653</v>
      </c>
      <c r="C18" s="590"/>
      <c r="D18" s="109">
        <v>3750</v>
      </c>
    </row>
    <row r="19" spans="2:12">
      <c r="B19" s="590" t="s">
        <v>654</v>
      </c>
      <c r="C19" s="590"/>
      <c r="D19" s="97">
        <v>-938</v>
      </c>
    </row>
    <row r="20" spans="2:12" ht="26.25" customHeight="1">
      <c r="B20" s="590" t="s">
        <v>655</v>
      </c>
      <c r="C20" s="590"/>
      <c r="D20" s="109">
        <v>2813</v>
      </c>
    </row>
    <row r="21" spans="2:12">
      <c r="B21" s="107"/>
    </row>
    <row r="22" spans="2:12">
      <c r="B22" s="1" t="s">
        <v>656</v>
      </c>
    </row>
    <row r="23" spans="2:12">
      <c r="B23" s="19" t="s">
        <v>657</v>
      </c>
      <c r="C23" s="1" t="s">
        <v>658</v>
      </c>
    </row>
    <row r="24" spans="2:12" ht="45.75" customHeight="1">
      <c r="B24" s="19"/>
      <c r="C24" s="581" t="s">
        <v>659</v>
      </c>
      <c r="D24" s="581"/>
      <c r="E24" s="581"/>
      <c r="F24" s="581"/>
      <c r="G24" s="581"/>
      <c r="H24" s="581"/>
      <c r="I24" s="581"/>
      <c r="J24" s="581"/>
      <c r="K24" s="581"/>
      <c r="L24" s="581"/>
    </row>
    <row r="25" spans="2:12">
      <c r="B25" s="19"/>
      <c r="C25" s="1" t="s">
        <v>660</v>
      </c>
      <c r="G25" s="1" t="s">
        <v>661</v>
      </c>
    </row>
    <row r="26" spans="2:12">
      <c r="B26" s="19"/>
      <c r="C26" s="1" t="s">
        <v>662</v>
      </c>
      <c r="G26" s="1" t="s">
        <v>663</v>
      </c>
    </row>
    <row r="27" spans="2:12">
      <c r="B27" s="19"/>
      <c r="C27" s="1" t="s">
        <v>664</v>
      </c>
      <c r="G27" s="1" t="s">
        <v>665</v>
      </c>
    </row>
    <row r="28" spans="2:12">
      <c r="B28" s="19" t="s">
        <v>666</v>
      </c>
      <c r="C28" s="1" t="s">
        <v>667</v>
      </c>
    </row>
    <row r="29" spans="2:12" ht="27" customHeight="1">
      <c r="C29" s="581" t="s">
        <v>668</v>
      </c>
      <c r="D29" s="581"/>
      <c r="E29" s="581"/>
      <c r="F29" s="581"/>
      <c r="G29" s="581"/>
      <c r="H29" s="581"/>
      <c r="I29" s="581"/>
      <c r="J29" s="581"/>
      <c r="K29" s="581"/>
      <c r="L29" s="581"/>
    </row>
    <row r="30" spans="2:12">
      <c r="C30" s="19" t="s">
        <v>669</v>
      </c>
      <c r="D30" s="1" t="s">
        <v>670</v>
      </c>
    </row>
    <row r="31" spans="2:12">
      <c r="C31" s="19" t="s">
        <v>671</v>
      </c>
      <c r="D31" s="1" t="s">
        <v>672</v>
      </c>
    </row>
    <row r="32" spans="2:12" ht="26.25" customHeight="1">
      <c r="C32" s="110" t="s">
        <v>673</v>
      </c>
      <c r="D32" s="581" t="s">
        <v>674</v>
      </c>
      <c r="E32" s="581"/>
      <c r="F32" s="581"/>
      <c r="G32" s="581"/>
      <c r="H32" s="581"/>
      <c r="I32" s="581"/>
      <c r="J32" s="581"/>
      <c r="K32" s="581"/>
      <c r="L32" s="581"/>
    </row>
    <row r="33" spans="3:12" ht="42.75" customHeight="1">
      <c r="C33" s="581" t="s">
        <v>675</v>
      </c>
      <c r="D33" s="581"/>
      <c r="E33" s="581"/>
      <c r="F33" s="581"/>
      <c r="G33" s="581"/>
      <c r="H33" s="581"/>
      <c r="I33" s="581"/>
      <c r="J33" s="581"/>
      <c r="K33" s="581"/>
      <c r="L33" s="581"/>
    </row>
    <row r="34" spans="3:12">
      <c r="C34" s="108" t="s">
        <v>676</v>
      </c>
    </row>
    <row r="35" spans="3:12" ht="63.75" customHeight="1">
      <c r="C35" s="605" t="s">
        <v>677</v>
      </c>
      <c r="D35" s="589" t="s">
        <v>678</v>
      </c>
      <c r="E35" s="589"/>
      <c r="F35" s="111" t="s">
        <v>679</v>
      </c>
      <c r="G35" s="589" t="s">
        <v>680</v>
      </c>
      <c r="H35" s="589"/>
    </row>
    <row r="36" spans="3:12" ht="24" customHeight="1">
      <c r="C36" s="606"/>
      <c r="D36" s="589" t="s">
        <v>681</v>
      </c>
      <c r="E36" s="589"/>
      <c r="F36" s="111" t="s">
        <v>682</v>
      </c>
      <c r="G36" s="589" t="s">
        <v>683</v>
      </c>
      <c r="H36" s="589"/>
    </row>
    <row r="37" spans="3:12">
      <c r="C37" s="112">
        <v>2022</v>
      </c>
      <c r="D37" s="602">
        <v>700</v>
      </c>
      <c r="E37" s="602"/>
      <c r="F37" s="113">
        <v>5000</v>
      </c>
      <c r="G37" s="603">
        <v>0.14000000000000001</v>
      </c>
      <c r="H37" s="603"/>
    </row>
    <row r="38" spans="3:12">
      <c r="C38" s="112">
        <v>2021</v>
      </c>
      <c r="D38" s="602">
        <v>500</v>
      </c>
      <c r="E38" s="602"/>
      <c r="F38" s="113">
        <v>4000</v>
      </c>
      <c r="G38" s="603">
        <v>0.13</v>
      </c>
      <c r="H38" s="603"/>
    </row>
    <row r="39" spans="3:12">
      <c r="C39" s="112">
        <v>2020</v>
      </c>
      <c r="D39" s="602">
        <v>660</v>
      </c>
      <c r="E39" s="602"/>
      <c r="F39" s="113">
        <v>3300</v>
      </c>
      <c r="G39" s="603">
        <v>0.2</v>
      </c>
      <c r="H39" s="603"/>
    </row>
    <row r="40" spans="3:12">
      <c r="C40" s="112">
        <v>2019</v>
      </c>
      <c r="D40" s="602">
        <v>500</v>
      </c>
      <c r="E40" s="602"/>
      <c r="F40" s="113">
        <v>3000</v>
      </c>
      <c r="G40" s="603">
        <v>0.2</v>
      </c>
      <c r="H40" s="603"/>
    </row>
    <row r="41" spans="3:12">
      <c r="C41" s="112">
        <v>2018</v>
      </c>
      <c r="D41" s="602">
        <v>350</v>
      </c>
      <c r="E41" s="602"/>
      <c r="F41" s="113">
        <v>2500</v>
      </c>
      <c r="G41" s="603">
        <v>0.14000000000000001</v>
      </c>
      <c r="H41" s="603"/>
    </row>
    <row r="42" spans="3:12">
      <c r="C42" s="588" t="s">
        <v>684</v>
      </c>
      <c r="D42" s="588"/>
      <c r="E42" s="588"/>
      <c r="F42" s="588"/>
      <c r="G42" s="604">
        <v>0.15</v>
      </c>
      <c r="H42" s="604"/>
    </row>
    <row r="43" spans="3:12" ht="45.75" customHeight="1">
      <c r="C43" s="581" t="s">
        <v>685</v>
      </c>
      <c r="D43" s="581"/>
      <c r="E43" s="581"/>
      <c r="F43" s="581"/>
      <c r="G43" s="581"/>
      <c r="H43" s="581"/>
      <c r="I43" s="581"/>
      <c r="J43" s="581"/>
      <c r="K43" s="581"/>
      <c r="L43" s="581"/>
    </row>
    <row r="44" spans="3:12">
      <c r="C44" s="115" t="s">
        <v>686</v>
      </c>
    </row>
    <row r="45" spans="3:12" ht="38.25" customHeight="1">
      <c r="C45" s="601" t="s">
        <v>687</v>
      </c>
      <c r="D45" s="601"/>
      <c r="E45" s="565" t="s">
        <v>688</v>
      </c>
      <c r="F45" s="565"/>
    </row>
    <row r="46" spans="3:12" ht="33.75" customHeight="1">
      <c r="C46" s="570" t="s">
        <v>689</v>
      </c>
      <c r="D46" s="570"/>
      <c r="E46" s="600" t="s">
        <v>690</v>
      </c>
      <c r="F46" s="600"/>
    </row>
    <row r="47" spans="3:12" ht="36" customHeight="1">
      <c r="C47" s="570" t="s">
        <v>691</v>
      </c>
      <c r="D47" s="570"/>
      <c r="E47" s="570" t="s">
        <v>274</v>
      </c>
      <c r="F47" s="600"/>
    </row>
    <row r="48" spans="3:12" ht="32.25" customHeight="1">
      <c r="C48" s="570" t="s">
        <v>692</v>
      </c>
      <c r="D48" s="570"/>
      <c r="E48" s="570" t="s">
        <v>693</v>
      </c>
      <c r="F48" s="600"/>
    </row>
    <row r="49" spans="2:12" ht="53.25" customHeight="1">
      <c r="C49" s="575" t="s">
        <v>694</v>
      </c>
      <c r="D49" s="575"/>
      <c r="E49" s="575"/>
      <c r="F49" s="575"/>
      <c r="G49" s="575"/>
      <c r="H49" s="575"/>
      <c r="I49" s="575"/>
      <c r="J49" s="575"/>
      <c r="K49" s="575"/>
      <c r="L49" s="575"/>
    </row>
    <row r="50" spans="2:12">
      <c r="B50" s="19" t="s">
        <v>695</v>
      </c>
      <c r="C50" s="1" t="s">
        <v>696</v>
      </c>
    </row>
    <row r="51" spans="2:12" ht="43.5" customHeight="1">
      <c r="C51" s="581" t="s">
        <v>697</v>
      </c>
      <c r="D51" s="581"/>
      <c r="E51" s="581"/>
      <c r="F51" s="581"/>
      <c r="G51" s="581"/>
      <c r="H51" s="581"/>
      <c r="I51" s="581"/>
      <c r="J51" s="581"/>
      <c r="K51" s="581"/>
      <c r="L51" s="581"/>
    </row>
    <row r="52" spans="2:12">
      <c r="C52" s="115" t="s">
        <v>698</v>
      </c>
    </row>
    <row r="53" spans="2:12" ht="51" customHeight="1">
      <c r="C53" s="116" t="s">
        <v>699</v>
      </c>
      <c r="D53" s="570" t="s">
        <v>700</v>
      </c>
      <c r="E53" s="570"/>
      <c r="F53" s="570" t="s">
        <v>701</v>
      </c>
      <c r="G53" s="570"/>
    </row>
    <row r="54" spans="2:12" ht="38.25" customHeight="1">
      <c r="C54" s="116" t="s">
        <v>702</v>
      </c>
      <c r="D54" s="570" t="s">
        <v>703</v>
      </c>
      <c r="E54" s="570"/>
      <c r="F54" s="570" t="s">
        <v>704</v>
      </c>
      <c r="G54" s="570"/>
      <c r="L54" s="117"/>
    </row>
    <row r="55" spans="2:12" ht="26.4">
      <c r="C55" s="118" t="s">
        <v>705</v>
      </c>
      <c r="D55" s="599" t="s">
        <v>706</v>
      </c>
      <c r="E55" s="599"/>
      <c r="F55" s="599" t="s">
        <v>707</v>
      </c>
      <c r="G55" s="599"/>
    </row>
    <row r="56" spans="2:12">
      <c r="B56" s="1" t="s">
        <v>708</v>
      </c>
      <c r="C56" s="1" t="s">
        <v>709</v>
      </c>
    </row>
    <row r="57" spans="2:12" ht="87" customHeight="1">
      <c r="C57" s="581" t="s">
        <v>710</v>
      </c>
      <c r="D57" s="581"/>
      <c r="E57" s="581"/>
      <c r="F57" s="581"/>
      <c r="G57" s="581"/>
      <c r="H57" s="581"/>
      <c r="I57" s="581"/>
      <c r="J57" s="581"/>
      <c r="K57" s="581"/>
      <c r="L57" s="581"/>
    </row>
    <row r="58" spans="2:12">
      <c r="C58" s="19" t="s">
        <v>711</v>
      </c>
      <c r="D58" s="1" t="s">
        <v>712</v>
      </c>
    </row>
    <row r="59" spans="2:12" ht="72.75" customHeight="1">
      <c r="D59" s="120" t="s">
        <v>713</v>
      </c>
      <c r="E59" s="583" t="s">
        <v>714</v>
      </c>
      <c r="F59" s="583"/>
      <c r="G59" s="583"/>
      <c r="H59" s="583"/>
      <c r="I59" s="583"/>
      <c r="J59" s="583"/>
      <c r="K59" s="583"/>
      <c r="L59" s="583"/>
    </row>
    <row r="87" spans="4:12">
      <c r="E87" s="121"/>
      <c r="H87" s="122" t="s">
        <v>715</v>
      </c>
    </row>
    <row r="88" spans="4:12" ht="32.25" customHeight="1">
      <c r="D88" s="120" t="s">
        <v>716</v>
      </c>
      <c r="E88" s="583" t="s">
        <v>717</v>
      </c>
      <c r="F88" s="583"/>
      <c r="G88" s="583"/>
      <c r="H88" s="583"/>
      <c r="I88" s="583"/>
      <c r="J88" s="583"/>
      <c r="K88" s="583"/>
      <c r="L88" s="583"/>
    </row>
    <row r="102" spans="3:12">
      <c r="H102" s="122" t="s">
        <v>718</v>
      </c>
    </row>
    <row r="103" spans="3:12" ht="32.25" customHeight="1">
      <c r="C103" s="120" t="s">
        <v>719</v>
      </c>
      <c r="D103" s="583" t="s">
        <v>720</v>
      </c>
      <c r="E103" s="583"/>
      <c r="F103" s="583"/>
      <c r="G103" s="583"/>
      <c r="H103" s="583"/>
      <c r="I103" s="583"/>
      <c r="J103" s="583"/>
      <c r="K103" s="583"/>
      <c r="L103" s="583"/>
    </row>
    <row r="129" spans="1:13">
      <c r="F129" s="122" t="s">
        <v>721</v>
      </c>
    </row>
    <row r="131" spans="1:13" ht="27.75" customHeight="1">
      <c r="D131" s="123" t="s">
        <v>713</v>
      </c>
      <c r="E131" s="581" t="s">
        <v>722</v>
      </c>
      <c r="F131" s="581"/>
      <c r="G131" s="581"/>
      <c r="H131" s="581"/>
      <c r="I131" s="581"/>
      <c r="J131" s="581"/>
      <c r="K131" s="581"/>
      <c r="L131" s="581"/>
    </row>
    <row r="132" spans="1:13" ht="31.5" customHeight="1">
      <c r="D132" s="123" t="s">
        <v>716</v>
      </c>
      <c r="E132" s="581" t="s">
        <v>723</v>
      </c>
      <c r="F132" s="581"/>
      <c r="G132" s="581"/>
      <c r="H132" s="581"/>
      <c r="I132" s="581"/>
      <c r="J132" s="581"/>
      <c r="K132" s="581"/>
      <c r="L132" s="581"/>
    </row>
    <row r="133" spans="1:13" ht="59.25" customHeight="1">
      <c r="E133" s="120" t="s">
        <v>724</v>
      </c>
      <c r="F133" s="581" t="s">
        <v>725</v>
      </c>
      <c r="G133" s="581"/>
      <c r="H133" s="581"/>
      <c r="I133" s="581"/>
      <c r="J133" s="581"/>
      <c r="K133" s="581"/>
      <c r="L133" s="581"/>
    </row>
    <row r="134" spans="1:13" ht="46.5" customHeight="1">
      <c r="E134" s="120" t="s">
        <v>726</v>
      </c>
      <c r="F134" s="581" t="s">
        <v>727</v>
      </c>
      <c r="G134" s="581"/>
      <c r="H134" s="581"/>
      <c r="I134" s="581"/>
      <c r="J134" s="581"/>
      <c r="K134" s="581"/>
      <c r="L134" s="581"/>
    </row>
    <row r="135" spans="1:13" ht="57.75" customHeight="1">
      <c r="D135" s="19" t="s">
        <v>728</v>
      </c>
      <c r="E135" s="581" t="s">
        <v>729</v>
      </c>
      <c r="F135" s="581"/>
      <c r="G135" s="581"/>
      <c r="H135" s="581"/>
      <c r="I135" s="581"/>
      <c r="J135" s="581"/>
      <c r="K135" s="581"/>
      <c r="L135" s="581"/>
    </row>
    <row r="136" spans="1:13" ht="43.5" customHeight="1">
      <c r="D136" s="19" t="s">
        <v>730</v>
      </c>
      <c r="E136" s="581" t="s">
        <v>731</v>
      </c>
      <c r="F136" s="581"/>
      <c r="G136" s="581"/>
      <c r="H136" s="581"/>
      <c r="I136" s="581"/>
      <c r="J136" s="581"/>
      <c r="K136" s="581"/>
      <c r="L136" s="581"/>
    </row>
    <row r="137" spans="1:13">
      <c r="D137" s="19" t="s">
        <v>732</v>
      </c>
      <c r="E137" s="1" t="s">
        <v>733</v>
      </c>
    </row>
    <row r="138" spans="1:13" ht="60" customHeight="1">
      <c r="C138" s="120" t="s">
        <v>734</v>
      </c>
      <c r="D138" s="583" t="s">
        <v>735</v>
      </c>
      <c r="E138" s="583"/>
      <c r="F138" s="583"/>
      <c r="G138" s="583"/>
      <c r="H138" s="583"/>
      <c r="I138" s="583"/>
      <c r="J138" s="583"/>
      <c r="K138" s="583"/>
      <c r="L138" s="583"/>
      <c r="M138" s="124"/>
    </row>
    <row r="139" spans="1:13" ht="72.75" customHeight="1">
      <c r="C139" s="120" t="s">
        <v>736</v>
      </c>
      <c r="D139" s="583" t="s">
        <v>737</v>
      </c>
      <c r="E139" s="583"/>
      <c r="F139" s="583"/>
      <c r="G139" s="583"/>
      <c r="H139" s="583"/>
      <c r="I139" s="583"/>
      <c r="J139" s="583"/>
      <c r="K139" s="583"/>
      <c r="L139" s="583"/>
      <c r="M139" s="583"/>
    </row>
    <row r="141" spans="1:13">
      <c r="A141" s="79" t="s">
        <v>738</v>
      </c>
      <c r="B141" s="79" t="s">
        <v>739</v>
      </c>
    </row>
    <row r="142" spans="1:13" ht="90" customHeight="1">
      <c r="B142" s="120">
        <v>1</v>
      </c>
      <c r="C142" s="583" t="s">
        <v>740</v>
      </c>
      <c r="D142" s="583"/>
      <c r="E142" s="583"/>
      <c r="F142" s="583"/>
      <c r="G142" s="583"/>
      <c r="H142" s="583"/>
      <c r="I142" s="583"/>
      <c r="J142" s="583"/>
      <c r="K142" s="583"/>
      <c r="L142" s="583"/>
    </row>
    <row r="143" spans="1:13" ht="56.25" customHeight="1">
      <c r="B143" s="120">
        <v>2</v>
      </c>
      <c r="C143" s="583" t="s">
        <v>741</v>
      </c>
      <c r="D143" s="583"/>
      <c r="E143" s="583"/>
      <c r="F143" s="583"/>
      <c r="G143" s="583"/>
      <c r="H143" s="583"/>
      <c r="I143" s="583"/>
      <c r="J143" s="583"/>
      <c r="K143" s="583"/>
      <c r="L143" s="583"/>
    </row>
    <row r="145" spans="2:12" ht="26.25" customHeight="1">
      <c r="C145" s="598" t="s">
        <v>742</v>
      </c>
      <c r="D145" s="598"/>
      <c r="E145" s="598"/>
      <c r="F145" s="598"/>
      <c r="G145" s="598"/>
      <c r="H145" s="598"/>
      <c r="I145" s="598"/>
      <c r="J145" s="598"/>
      <c r="K145" s="598"/>
      <c r="L145" s="598"/>
    </row>
    <row r="146" spans="2:12" ht="20.399999999999999">
      <c r="C146" s="125" t="s">
        <v>281</v>
      </c>
      <c r="D146" s="125" t="s">
        <v>282</v>
      </c>
      <c r="E146" s="126" t="s">
        <v>743</v>
      </c>
      <c r="F146" s="126" t="s">
        <v>744</v>
      </c>
    </row>
    <row r="147" spans="2:12" ht="30.6">
      <c r="C147" s="18">
        <v>1</v>
      </c>
      <c r="D147" s="18" t="s">
        <v>272</v>
      </c>
      <c r="E147" s="18" t="s">
        <v>745</v>
      </c>
      <c r="F147" s="18" t="s">
        <v>746</v>
      </c>
    </row>
    <row r="148" spans="2:12" ht="40.799999999999997">
      <c r="C148" s="18">
        <v>2</v>
      </c>
      <c r="D148" s="18" t="s">
        <v>273</v>
      </c>
      <c r="E148" s="18" t="s">
        <v>747</v>
      </c>
      <c r="F148" s="18" t="s">
        <v>748</v>
      </c>
    </row>
    <row r="149" spans="2:12" ht="40.799999999999997">
      <c r="C149" s="18">
        <v>3</v>
      </c>
      <c r="D149" s="18" t="s">
        <v>274</v>
      </c>
      <c r="E149" s="18" t="s">
        <v>749</v>
      </c>
      <c r="F149" s="18" t="s">
        <v>750</v>
      </c>
    </row>
    <row r="150" spans="2:12" ht="40.799999999999997">
      <c r="C150" s="18">
        <v>4</v>
      </c>
      <c r="D150" s="18" t="s">
        <v>275</v>
      </c>
      <c r="E150" s="18" t="s">
        <v>751</v>
      </c>
      <c r="F150" s="18" t="s">
        <v>752</v>
      </c>
    </row>
    <row r="151" spans="2:12" ht="40.799999999999997">
      <c r="C151" s="18">
        <v>5</v>
      </c>
      <c r="D151" s="18" t="s">
        <v>276</v>
      </c>
      <c r="E151" s="18" t="s">
        <v>753</v>
      </c>
      <c r="F151" s="18" t="s">
        <v>754</v>
      </c>
    </row>
    <row r="152" spans="2:12">
      <c r="C152" s="121" t="s">
        <v>755</v>
      </c>
    </row>
    <row r="153" spans="2:12" ht="28.5" customHeight="1">
      <c r="C153" s="127" t="s">
        <v>756</v>
      </c>
      <c r="D153" s="586" t="s">
        <v>757</v>
      </c>
      <c r="E153" s="586"/>
      <c r="F153" s="586"/>
      <c r="G153" s="586"/>
      <c r="H153" s="586"/>
      <c r="I153" s="586"/>
      <c r="J153" s="586"/>
      <c r="K153" s="586"/>
      <c r="L153" s="586"/>
    </row>
    <row r="154" spans="2:12">
      <c r="C154" s="127" t="s">
        <v>758</v>
      </c>
      <c r="D154" s="121" t="s">
        <v>759</v>
      </c>
      <c r="E154" s="121"/>
      <c r="F154" s="121"/>
      <c r="G154" s="121"/>
      <c r="H154" s="121"/>
      <c r="I154" s="121"/>
      <c r="J154" s="121"/>
      <c r="K154" s="121"/>
      <c r="L154" s="121"/>
    </row>
    <row r="155" spans="2:12">
      <c r="C155" s="127" t="s">
        <v>758</v>
      </c>
      <c r="D155" s="121" t="s">
        <v>760</v>
      </c>
      <c r="E155" s="121"/>
      <c r="F155" s="121"/>
      <c r="G155" s="121"/>
      <c r="H155" s="121"/>
      <c r="I155" s="121"/>
      <c r="J155" s="121"/>
      <c r="K155" s="121"/>
      <c r="L155" s="121"/>
    </row>
    <row r="157" spans="2:12" ht="35.25" customHeight="1">
      <c r="B157" s="124" t="s">
        <v>695</v>
      </c>
      <c r="C157" s="583" t="s">
        <v>761</v>
      </c>
      <c r="D157" s="583"/>
      <c r="E157" s="583"/>
      <c r="F157" s="583"/>
      <c r="G157" s="583"/>
      <c r="H157" s="583"/>
      <c r="I157" s="583"/>
      <c r="J157" s="583"/>
      <c r="K157" s="583"/>
      <c r="L157" s="583"/>
    </row>
    <row r="158" spans="2:12">
      <c r="C158" s="115" t="s">
        <v>762</v>
      </c>
    </row>
    <row r="159" spans="2:12" ht="20.399999999999999">
      <c r="C159" s="125" t="s">
        <v>281</v>
      </c>
      <c r="D159" s="125" t="s">
        <v>282</v>
      </c>
      <c r="E159" s="126" t="s">
        <v>763</v>
      </c>
      <c r="F159" s="126" t="s">
        <v>764</v>
      </c>
    </row>
    <row r="160" spans="2:12" ht="40.799999999999997">
      <c r="C160" s="18">
        <v>1</v>
      </c>
      <c r="D160" s="18" t="s">
        <v>272</v>
      </c>
      <c r="E160" s="128" t="s">
        <v>745</v>
      </c>
      <c r="F160" s="18" t="s">
        <v>765</v>
      </c>
    </row>
    <row r="161" spans="1:12">
      <c r="C161" s="578">
        <v>2</v>
      </c>
      <c r="D161" s="596" t="s">
        <v>273</v>
      </c>
      <c r="E161" s="128" t="s">
        <v>766</v>
      </c>
      <c r="F161" s="597" t="s">
        <v>767</v>
      </c>
    </row>
    <row r="162" spans="1:12" ht="20.399999999999999">
      <c r="C162" s="578"/>
      <c r="D162" s="596"/>
      <c r="E162" s="131" t="s">
        <v>768</v>
      </c>
      <c r="F162" s="597"/>
    </row>
    <row r="163" spans="1:12">
      <c r="C163" s="578"/>
      <c r="D163" s="596"/>
      <c r="E163" s="132" t="s">
        <v>769</v>
      </c>
      <c r="F163" s="597"/>
    </row>
    <row r="164" spans="1:12">
      <c r="C164" s="578">
        <v>3</v>
      </c>
      <c r="D164" s="596" t="s">
        <v>274</v>
      </c>
      <c r="E164" s="128" t="s">
        <v>769</v>
      </c>
      <c r="F164" s="597" t="s">
        <v>770</v>
      </c>
    </row>
    <row r="165" spans="1:12" ht="20.399999999999999">
      <c r="C165" s="578"/>
      <c r="D165" s="596"/>
      <c r="E165" s="131" t="s">
        <v>768</v>
      </c>
      <c r="F165" s="597"/>
    </row>
    <row r="166" spans="1:12">
      <c r="C166" s="578"/>
      <c r="D166" s="596"/>
      <c r="E166" s="132" t="s">
        <v>771</v>
      </c>
      <c r="F166" s="597"/>
    </row>
    <row r="167" spans="1:12">
      <c r="C167" s="578">
        <v>4</v>
      </c>
      <c r="D167" s="596" t="s">
        <v>275</v>
      </c>
      <c r="E167" s="128" t="s">
        <v>771</v>
      </c>
      <c r="F167" s="597" t="s">
        <v>772</v>
      </c>
    </row>
    <row r="168" spans="1:12" ht="20.399999999999999">
      <c r="C168" s="578"/>
      <c r="D168" s="596"/>
      <c r="E168" s="131" t="s">
        <v>768</v>
      </c>
      <c r="F168" s="597"/>
    </row>
    <row r="169" spans="1:12">
      <c r="C169" s="578"/>
      <c r="D169" s="596"/>
      <c r="E169" s="132" t="s">
        <v>773</v>
      </c>
      <c r="F169" s="597"/>
    </row>
    <row r="170" spans="1:12" ht="40.799999999999997">
      <c r="C170" s="18">
        <v>5</v>
      </c>
      <c r="D170" s="129" t="s">
        <v>276</v>
      </c>
      <c r="E170" s="18" t="s">
        <v>753</v>
      </c>
      <c r="F170" s="130" t="s">
        <v>774</v>
      </c>
    </row>
    <row r="172" spans="1:12">
      <c r="A172" s="79" t="s">
        <v>775</v>
      </c>
      <c r="B172" s="79" t="s">
        <v>776</v>
      </c>
    </row>
    <row r="173" spans="1:12" ht="59.25" customHeight="1">
      <c r="B173" s="581" t="s">
        <v>777</v>
      </c>
      <c r="C173" s="581"/>
      <c r="D173" s="581"/>
      <c r="E173" s="581"/>
      <c r="F173" s="581"/>
      <c r="G173" s="581"/>
      <c r="H173" s="581"/>
      <c r="I173" s="581"/>
      <c r="J173" s="581"/>
      <c r="K173" s="581"/>
      <c r="L173" s="581"/>
    </row>
    <row r="174" spans="1:12" ht="30" customHeight="1">
      <c r="B174" s="581" t="s">
        <v>778</v>
      </c>
      <c r="C174" s="581"/>
      <c r="D174" s="581"/>
      <c r="E174" s="581"/>
      <c r="F174" s="581"/>
      <c r="G174" s="581"/>
      <c r="H174" s="581"/>
      <c r="I174" s="581"/>
      <c r="J174" s="581"/>
      <c r="K174" s="581"/>
      <c r="L174" s="581"/>
    </row>
    <row r="190" spans="2:6">
      <c r="F190" s="122" t="s">
        <v>779</v>
      </c>
    </row>
    <row r="192" spans="2:6">
      <c r="B192" s="1" t="s">
        <v>780</v>
      </c>
    </row>
    <row r="193" spans="1:13">
      <c r="D193" s="115" t="s">
        <v>781</v>
      </c>
    </row>
    <row r="194" spans="1:13" ht="30.6">
      <c r="B194" s="125" t="s">
        <v>75</v>
      </c>
      <c r="C194" s="125" t="s">
        <v>100</v>
      </c>
      <c r="D194" s="125" t="s">
        <v>782</v>
      </c>
      <c r="E194" s="125" t="s">
        <v>783</v>
      </c>
      <c r="F194" s="125" t="s">
        <v>784</v>
      </c>
      <c r="G194" s="593" t="s">
        <v>785</v>
      </c>
      <c r="H194" s="593"/>
      <c r="I194" s="125" t="s">
        <v>782</v>
      </c>
      <c r="J194" s="594" t="s">
        <v>786</v>
      </c>
      <c r="K194" s="595"/>
      <c r="L194" s="125" t="s">
        <v>787</v>
      </c>
      <c r="M194" s="125" t="s">
        <v>788</v>
      </c>
    </row>
    <row r="195" spans="1:13" ht="102">
      <c r="B195" s="51">
        <v>1</v>
      </c>
      <c r="C195" s="51" t="s">
        <v>789</v>
      </c>
      <c r="D195" s="51" t="s">
        <v>790</v>
      </c>
      <c r="E195" s="51" t="s">
        <v>791</v>
      </c>
      <c r="F195" s="51" t="s">
        <v>792</v>
      </c>
      <c r="G195" s="426" t="s">
        <v>793</v>
      </c>
      <c r="H195" s="426"/>
      <c r="I195" s="51" t="s">
        <v>790</v>
      </c>
      <c r="J195" s="591" t="s">
        <v>794</v>
      </c>
      <c r="K195" s="591"/>
      <c r="L195" s="94" t="s">
        <v>795</v>
      </c>
      <c r="M195" s="51" t="s">
        <v>796</v>
      </c>
    </row>
    <row r="196" spans="1:13" ht="81.599999999999994">
      <c r="B196" s="51">
        <v>2</v>
      </c>
      <c r="C196" s="51" t="s">
        <v>797</v>
      </c>
      <c r="D196" s="51" t="s">
        <v>798</v>
      </c>
      <c r="E196" s="51" t="s">
        <v>799</v>
      </c>
      <c r="F196" s="51" t="s">
        <v>800</v>
      </c>
      <c r="G196" s="426" t="s">
        <v>801</v>
      </c>
      <c r="H196" s="426"/>
      <c r="I196" s="51" t="s">
        <v>798</v>
      </c>
      <c r="J196" s="591" t="s">
        <v>802</v>
      </c>
      <c r="K196" s="591"/>
      <c r="L196" s="94" t="s">
        <v>803</v>
      </c>
      <c r="M196" s="51" t="s">
        <v>804</v>
      </c>
    </row>
    <row r="197" spans="1:13">
      <c r="B197" s="133"/>
      <c r="C197" s="133"/>
      <c r="D197" s="133"/>
      <c r="E197" s="133"/>
      <c r="F197" s="133"/>
      <c r="G197" s="134"/>
      <c r="H197" s="133"/>
      <c r="I197" s="592"/>
      <c r="J197" s="592"/>
      <c r="K197" s="133"/>
    </row>
    <row r="198" spans="1:13">
      <c r="A198" s="79" t="s">
        <v>805</v>
      </c>
      <c r="B198" s="135" t="s">
        <v>806</v>
      </c>
      <c r="C198" s="133"/>
      <c r="D198" s="133"/>
      <c r="E198" s="133"/>
      <c r="F198" s="133"/>
      <c r="G198" s="134"/>
      <c r="H198" s="133"/>
      <c r="I198" s="592"/>
      <c r="J198" s="592"/>
      <c r="K198" s="133"/>
    </row>
    <row r="199" spans="1:13">
      <c r="B199" s="1" t="s">
        <v>807</v>
      </c>
    </row>
    <row r="200" spans="1:13">
      <c r="B200" s="19" t="s">
        <v>657</v>
      </c>
      <c r="C200" s="1" t="s">
        <v>808</v>
      </c>
    </row>
    <row r="201" spans="1:13" ht="59.25" customHeight="1">
      <c r="B201" s="19"/>
      <c r="C201" s="581" t="s">
        <v>809</v>
      </c>
      <c r="D201" s="581"/>
      <c r="E201" s="581"/>
      <c r="F201" s="581"/>
      <c r="G201" s="581"/>
      <c r="H201" s="581"/>
      <c r="I201" s="581"/>
      <c r="J201" s="581"/>
      <c r="K201" s="581"/>
      <c r="L201" s="581"/>
    </row>
    <row r="202" spans="1:13">
      <c r="B202" s="19" t="s">
        <v>810</v>
      </c>
      <c r="C202" s="1" t="s">
        <v>811</v>
      </c>
    </row>
    <row r="203" spans="1:13" s="124" customFormat="1" ht="90" customHeight="1">
      <c r="C203" s="583" t="s">
        <v>812</v>
      </c>
      <c r="D203" s="583"/>
      <c r="E203" s="583"/>
      <c r="F203" s="583"/>
      <c r="G203" s="583"/>
      <c r="H203" s="583"/>
      <c r="I203" s="583"/>
      <c r="J203" s="583"/>
      <c r="K203" s="583"/>
      <c r="L203" s="583"/>
    </row>
    <row r="204" spans="1:13">
      <c r="C204" s="108" t="s">
        <v>813</v>
      </c>
    </row>
    <row r="205" spans="1:13" ht="26.25" customHeight="1">
      <c r="C205" s="565" t="s">
        <v>814</v>
      </c>
      <c r="D205" s="565"/>
      <c r="E205" s="565"/>
      <c r="F205" s="80" t="s">
        <v>815</v>
      </c>
    </row>
    <row r="206" spans="1:13" ht="64.5" customHeight="1">
      <c r="C206" s="590" t="s">
        <v>816</v>
      </c>
      <c r="D206" s="590"/>
      <c r="E206" s="590"/>
      <c r="F206" s="97" t="s">
        <v>817</v>
      </c>
    </row>
    <row r="207" spans="1:13" ht="64.5" customHeight="1">
      <c r="C207" s="590" t="s">
        <v>818</v>
      </c>
      <c r="D207" s="590"/>
      <c r="E207" s="590"/>
      <c r="F207" s="136">
        <v>0.11</v>
      </c>
    </row>
    <row r="208" spans="1:13" ht="51.75" customHeight="1">
      <c r="C208" s="590" t="s">
        <v>819</v>
      </c>
      <c r="D208" s="590"/>
      <c r="E208" s="590"/>
      <c r="F208" s="119" t="s">
        <v>820</v>
      </c>
    </row>
    <row r="209" spans="2:12">
      <c r="B209" s="1" t="s">
        <v>695</v>
      </c>
      <c r="C209" s="1" t="s">
        <v>821</v>
      </c>
    </row>
    <row r="210" spans="2:12" ht="43.5" customHeight="1">
      <c r="C210" s="124" t="s">
        <v>711</v>
      </c>
      <c r="D210" s="583" t="s">
        <v>822</v>
      </c>
      <c r="E210" s="583"/>
      <c r="F210" s="583"/>
      <c r="G210" s="583"/>
      <c r="H210" s="583"/>
      <c r="I210" s="583"/>
      <c r="J210" s="583"/>
      <c r="K210" s="583"/>
      <c r="L210" s="583"/>
    </row>
    <row r="211" spans="2:12" ht="88.5" customHeight="1">
      <c r="C211" s="124" t="s">
        <v>719</v>
      </c>
      <c r="D211" s="583" t="s">
        <v>823</v>
      </c>
      <c r="E211" s="583"/>
      <c r="F211" s="583"/>
      <c r="G211" s="583"/>
      <c r="H211" s="583"/>
      <c r="I211" s="583"/>
      <c r="J211" s="583"/>
      <c r="K211" s="583"/>
      <c r="L211" s="583"/>
    </row>
    <row r="212" spans="2:12">
      <c r="B212" s="1" t="s">
        <v>708</v>
      </c>
      <c r="C212" s="1" t="s">
        <v>824</v>
      </c>
    </row>
    <row r="213" spans="2:12" ht="28.5" customHeight="1">
      <c r="C213" s="581" t="s">
        <v>825</v>
      </c>
      <c r="D213" s="581"/>
      <c r="E213" s="581"/>
      <c r="F213" s="581"/>
      <c r="G213" s="581"/>
      <c r="H213" s="581"/>
      <c r="I213" s="581"/>
      <c r="J213" s="581"/>
      <c r="K213" s="581"/>
      <c r="L213" s="581"/>
    </row>
    <row r="214" spans="2:12">
      <c r="C214" s="19" t="s">
        <v>711</v>
      </c>
      <c r="D214" s="1" t="s">
        <v>826</v>
      </c>
    </row>
    <row r="215" spans="2:12" ht="59.25" customHeight="1">
      <c r="D215" s="581" t="s">
        <v>827</v>
      </c>
      <c r="E215" s="581"/>
      <c r="F215" s="581"/>
      <c r="G215" s="581"/>
      <c r="H215" s="581"/>
      <c r="I215" s="581"/>
      <c r="J215" s="581"/>
      <c r="K215" s="581"/>
      <c r="L215" s="581"/>
    </row>
    <row r="216" spans="2:12">
      <c r="D216" s="108" t="s">
        <v>828</v>
      </c>
    </row>
    <row r="217" spans="2:12" ht="79.8">
      <c r="D217" s="111" t="s">
        <v>677</v>
      </c>
      <c r="E217" s="111" t="s">
        <v>829</v>
      </c>
      <c r="F217" s="111" t="s">
        <v>830</v>
      </c>
      <c r="G217" s="111" t="s">
        <v>831</v>
      </c>
      <c r="H217" s="111" t="s">
        <v>832</v>
      </c>
      <c r="I217" s="111" t="s">
        <v>833</v>
      </c>
    </row>
    <row r="218" spans="2:12" ht="22.8">
      <c r="D218" s="112">
        <v>2022</v>
      </c>
      <c r="E218" s="137">
        <v>14350</v>
      </c>
      <c r="F218" s="138" t="s">
        <v>834</v>
      </c>
      <c r="G218" s="138" t="s">
        <v>835</v>
      </c>
      <c r="H218" s="587"/>
      <c r="I218" s="587"/>
    </row>
    <row r="219" spans="2:12" ht="22.8">
      <c r="D219" s="112">
        <v>2021</v>
      </c>
      <c r="E219" s="137">
        <v>14600</v>
      </c>
      <c r="F219" s="138" t="s">
        <v>836</v>
      </c>
      <c r="G219" s="138" t="s">
        <v>837</v>
      </c>
      <c r="H219" s="587"/>
      <c r="I219" s="587"/>
    </row>
    <row r="220" spans="2:12" ht="22.8">
      <c r="D220" s="112">
        <v>2020</v>
      </c>
      <c r="E220" s="137">
        <v>14400</v>
      </c>
      <c r="F220" s="138" t="s">
        <v>838</v>
      </c>
      <c r="G220" s="138" t="s">
        <v>839</v>
      </c>
      <c r="H220" s="587"/>
      <c r="I220" s="587"/>
    </row>
    <row r="221" spans="2:12" ht="36">
      <c r="D221" s="588" t="s">
        <v>840</v>
      </c>
      <c r="E221" s="588"/>
      <c r="F221" s="114" t="s">
        <v>841</v>
      </c>
      <c r="G221" s="114" t="s">
        <v>842</v>
      </c>
      <c r="H221" s="114" t="s">
        <v>843</v>
      </c>
      <c r="I221" s="139" t="s">
        <v>844</v>
      </c>
    </row>
    <row r="222" spans="2:12">
      <c r="D222" s="140" t="s">
        <v>443</v>
      </c>
    </row>
    <row r="223" spans="2:12">
      <c r="D223" s="121" t="s">
        <v>845</v>
      </c>
    </row>
    <row r="225" spans="2:12" ht="45" customHeight="1">
      <c r="D225" s="581" t="s">
        <v>846</v>
      </c>
      <c r="E225" s="581"/>
      <c r="F225" s="581"/>
      <c r="G225" s="581"/>
      <c r="H225" s="581"/>
      <c r="I225" s="581"/>
      <c r="J225" s="581"/>
      <c r="K225" s="581"/>
      <c r="L225" s="581"/>
    </row>
    <row r="226" spans="2:12">
      <c r="C226" s="1" t="s">
        <v>515</v>
      </c>
      <c r="D226" s="1" t="s">
        <v>847</v>
      </c>
    </row>
    <row r="227" spans="2:12">
      <c r="D227" s="1" t="s">
        <v>848</v>
      </c>
    </row>
    <row r="228" spans="2:12">
      <c r="D228" s="108" t="s">
        <v>849</v>
      </c>
    </row>
    <row r="229" spans="2:12" ht="69" customHeight="1">
      <c r="D229" s="589" t="s">
        <v>850</v>
      </c>
      <c r="E229" s="589" t="s">
        <v>851</v>
      </c>
      <c r="F229" s="589"/>
      <c r="G229" s="589"/>
      <c r="H229" s="589" t="s">
        <v>852</v>
      </c>
    </row>
    <row r="230" spans="2:12">
      <c r="D230" s="589"/>
      <c r="E230" s="111" t="s">
        <v>853</v>
      </c>
      <c r="F230" s="111" t="s">
        <v>854</v>
      </c>
      <c r="G230" s="111" t="s">
        <v>855</v>
      </c>
      <c r="H230" s="589"/>
    </row>
    <row r="231" spans="2:12">
      <c r="D231" s="112">
        <v>2022</v>
      </c>
      <c r="E231" s="112">
        <v>10</v>
      </c>
      <c r="F231" s="112">
        <v>20</v>
      </c>
      <c r="G231" s="112">
        <v>15</v>
      </c>
      <c r="H231" s="141">
        <v>0.22220000000000001</v>
      </c>
    </row>
    <row r="232" spans="2:12">
      <c r="D232" s="112">
        <v>2021</v>
      </c>
      <c r="E232" s="112">
        <v>15</v>
      </c>
      <c r="F232" s="112">
        <v>24</v>
      </c>
      <c r="G232" s="112">
        <v>17</v>
      </c>
      <c r="H232" s="141">
        <v>0.26779999999999998</v>
      </c>
    </row>
    <row r="233" spans="2:12">
      <c r="D233" s="112">
        <v>2020</v>
      </c>
      <c r="E233" s="112">
        <v>9</v>
      </c>
      <c r="F233" s="112">
        <v>30</v>
      </c>
      <c r="G233" s="112">
        <v>20</v>
      </c>
      <c r="H233" s="141">
        <v>0.1525</v>
      </c>
    </row>
    <row r="234" spans="2:12">
      <c r="D234" s="112"/>
      <c r="E234" s="112"/>
      <c r="F234" s="112"/>
      <c r="G234" s="114" t="s">
        <v>856</v>
      </c>
      <c r="H234" s="142">
        <v>0.2142</v>
      </c>
    </row>
    <row r="235" spans="2:12" ht="47.25" customHeight="1">
      <c r="D235" s="583" t="s">
        <v>857</v>
      </c>
      <c r="E235" s="583"/>
      <c r="F235" s="583"/>
      <c r="G235" s="583"/>
      <c r="H235" s="583"/>
      <c r="I235" s="583"/>
      <c r="J235" s="583"/>
      <c r="K235" s="583"/>
      <c r="L235" s="583"/>
    </row>
    <row r="236" spans="2:12">
      <c r="B236" s="9">
        <v>5</v>
      </c>
      <c r="C236" s="1" t="s">
        <v>858</v>
      </c>
    </row>
    <row r="237" spans="2:12" ht="58.5" customHeight="1">
      <c r="C237" s="581" t="s">
        <v>859</v>
      </c>
      <c r="D237" s="581"/>
      <c r="E237" s="581"/>
      <c r="F237" s="581"/>
      <c r="G237" s="581"/>
      <c r="H237" s="581"/>
      <c r="I237" s="581"/>
      <c r="J237" s="581"/>
      <c r="K237" s="581"/>
      <c r="L237" s="581"/>
    </row>
    <row r="238" spans="2:12">
      <c r="C238" s="1" t="s">
        <v>860</v>
      </c>
    </row>
    <row r="239" spans="2:12">
      <c r="C239" s="1" t="s">
        <v>861</v>
      </c>
    </row>
    <row r="240" spans="2:12">
      <c r="C240" s="1" t="s">
        <v>862</v>
      </c>
    </row>
    <row r="241" spans="3:12">
      <c r="C241" s="1" t="s">
        <v>863</v>
      </c>
    </row>
    <row r="242" spans="3:12">
      <c r="C242" s="121" t="s">
        <v>755</v>
      </c>
      <c r="D242" s="121"/>
      <c r="E242" s="121"/>
      <c r="F242" s="121"/>
      <c r="G242" s="121"/>
      <c r="H242" s="121"/>
      <c r="I242" s="121"/>
      <c r="J242" s="121"/>
      <c r="K242" s="121"/>
      <c r="L242" s="121"/>
    </row>
    <row r="243" spans="3:12" ht="27" customHeight="1">
      <c r="C243" s="586" t="s">
        <v>864</v>
      </c>
      <c r="D243" s="586"/>
      <c r="E243" s="586"/>
      <c r="F243" s="586"/>
      <c r="G243" s="586"/>
      <c r="H243" s="586"/>
      <c r="I243" s="586"/>
      <c r="J243" s="586"/>
      <c r="K243" s="586"/>
      <c r="L243" s="586"/>
    </row>
    <row r="245" spans="3:12">
      <c r="C245" s="1" t="s">
        <v>865</v>
      </c>
    </row>
    <row r="246" spans="3:12">
      <c r="C246" s="115" t="s">
        <v>866</v>
      </c>
    </row>
    <row r="247" spans="3:12" ht="30.6">
      <c r="C247" s="125" t="s">
        <v>75</v>
      </c>
      <c r="D247" s="125" t="s">
        <v>103</v>
      </c>
      <c r="E247" s="125" t="s">
        <v>867</v>
      </c>
      <c r="F247" s="125" t="s">
        <v>868</v>
      </c>
      <c r="G247" s="125" t="s">
        <v>869</v>
      </c>
      <c r="H247" s="125" t="s">
        <v>870</v>
      </c>
      <c r="I247" s="125" t="s">
        <v>871</v>
      </c>
      <c r="J247" s="125" t="s">
        <v>872</v>
      </c>
    </row>
    <row r="248" spans="3:12" ht="40.799999999999997">
      <c r="C248" s="18">
        <v>1</v>
      </c>
      <c r="D248" s="143" t="s">
        <v>790</v>
      </c>
      <c r="E248" s="18">
        <v>4</v>
      </c>
      <c r="F248" s="18">
        <v>4</v>
      </c>
      <c r="G248" s="144">
        <v>19</v>
      </c>
      <c r="H248" s="143" t="s">
        <v>820</v>
      </c>
      <c r="I248" s="145">
        <v>0.8</v>
      </c>
      <c r="J248" s="143" t="s">
        <v>873</v>
      </c>
    </row>
    <row r="249" spans="3:12" ht="40.799999999999997">
      <c r="C249" s="18">
        <v>2</v>
      </c>
      <c r="D249" s="143" t="s">
        <v>798</v>
      </c>
      <c r="E249" s="18">
        <v>3</v>
      </c>
      <c r="F249" s="18">
        <v>2</v>
      </c>
      <c r="G249" s="144">
        <v>11</v>
      </c>
      <c r="H249" s="578" t="s">
        <v>874</v>
      </c>
      <c r="I249" s="578"/>
      <c r="J249" s="578"/>
    </row>
    <row r="250" spans="3:12">
      <c r="C250" s="1" t="s">
        <v>875</v>
      </c>
    </row>
    <row r="269" spans="1:12">
      <c r="E269" s="115" t="s">
        <v>876</v>
      </c>
    </row>
    <row r="270" spans="1:12">
      <c r="A270" s="79" t="s">
        <v>877</v>
      </c>
      <c r="B270" s="79" t="s">
        <v>878</v>
      </c>
    </row>
    <row r="271" spans="1:12" ht="28.5" customHeight="1">
      <c r="B271" s="581" t="s">
        <v>879</v>
      </c>
      <c r="C271" s="581"/>
      <c r="D271" s="581"/>
      <c r="E271" s="581"/>
      <c r="F271" s="581"/>
      <c r="G271" s="581"/>
      <c r="H271" s="581"/>
      <c r="I271" s="581"/>
      <c r="J271" s="581"/>
      <c r="K271" s="581"/>
      <c r="L271" s="581"/>
    </row>
    <row r="272" spans="1:12" ht="14.4">
      <c r="B272" s="146" t="s">
        <v>880</v>
      </c>
    </row>
    <row r="273" spans="1:12" ht="51" customHeight="1">
      <c r="B273" s="80" t="s">
        <v>186</v>
      </c>
      <c r="C273" s="80" t="s">
        <v>881</v>
      </c>
      <c r="D273" s="565" t="s">
        <v>882</v>
      </c>
      <c r="E273" s="565"/>
    </row>
    <row r="274" spans="1:12" ht="25.5" customHeight="1">
      <c r="B274" s="147" t="s">
        <v>883</v>
      </c>
      <c r="C274" s="148" t="s">
        <v>884</v>
      </c>
      <c r="D274" s="585" t="s">
        <v>885</v>
      </c>
      <c r="E274" s="585"/>
    </row>
    <row r="275" spans="1:12" ht="63.75" customHeight="1">
      <c r="B275" s="147" t="s">
        <v>886</v>
      </c>
      <c r="C275" s="149" t="s">
        <v>887</v>
      </c>
      <c r="D275" s="570" t="s">
        <v>888</v>
      </c>
      <c r="E275" s="570"/>
    </row>
    <row r="276" spans="1:12" ht="63.75" customHeight="1">
      <c r="B276" s="147" t="s">
        <v>889</v>
      </c>
      <c r="C276" s="150" t="s">
        <v>890</v>
      </c>
      <c r="D276" s="585" t="s">
        <v>891</v>
      </c>
      <c r="E276" s="585"/>
    </row>
    <row r="277" spans="1:12" ht="63.75" customHeight="1">
      <c r="B277" s="97" t="s">
        <v>892</v>
      </c>
      <c r="C277" s="151" t="s">
        <v>893</v>
      </c>
      <c r="D277" s="570" t="s">
        <v>894</v>
      </c>
      <c r="E277" s="570"/>
    </row>
    <row r="278" spans="1:12" ht="63.75" customHeight="1">
      <c r="B278" s="97" t="s">
        <v>895</v>
      </c>
      <c r="C278" s="152" t="s">
        <v>896</v>
      </c>
      <c r="D278" s="570" t="s">
        <v>897</v>
      </c>
      <c r="E278" s="570"/>
    </row>
    <row r="279" spans="1:12" ht="46.5" customHeight="1">
      <c r="B279" s="581" t="s">
        <v>898</v>
      </c>
      <c r="C279" s="581"/>
      <c r="D279" s="581"/>
      <c r="E279" s="581"/>
      <c r="F279" s="581"/>
      <c r="G279" s="581"/>
      <c r="H279" s="581"/>
      <c r="I279" s="581"/>
      <c r="J279" s="581"/>
      <c r="K279" s="581"/>
      <c r="L279" s="581"/>
    </row>
    <row r="281" spans="1:12">
      <c r="A281" s="79" t="s">
        <v>899</v>
      </c>
      <c r="B281" s="79" t="s">
        <v>900</v>
      </c>
    </row>
    <row r="282" spans="1:12">
      <c r="B282" s="1" t="s">
        <v>901</v>
      </c>
    </row>
    <row r="283" spans="1:12">
      <c r="B283" s="19">
        <v>1</v>
      </c>
      <c r="C283" s="1" t="s">
        <v>902</v>
      </c>
    </row>
    <row r="284" spans="1:12" ht="57" customHeight="1">
      <c r="C284" s="581" t="s">
        <v>903</v>
      </c>
      <c r="D284" s="581"/>
      <c r="E284" s="581"/>
      <c r="F284" s="581"/>
      <c r="G284" s="581"/>
      <c r="H284" s="581"/>
      <c r="I284" s="581"/>
      <c r="J284" s="581"/>
      <c r="K284" s="581"/>
      <c r="L284" s="581"/>
    </row>
    <row r="285" spans="1:12">
      <c r="C285" s="1" t="s">
        <v>904</v>
      </c>
    </row>
    <row r="286" spans="1:12">
      <c r="C286" s="19" t="s">
        <v>905</v>
      </c>
      <c r="D286" s="1" t="s">
        <v>906</v>
      </c>
    </row>
    <row r="287" spans="1:12" ht="44.25" customHeight="1">
      <c r="D287" s="581" t="s">
        <v>907</v>
      </c>
      <c r="E287" s="581"/>
      <c r="F287" s="581"/>
      <c r="G287" s="581"/>
      <c r="H287" s="581"/>
      <c r="I287" s="581"/>
      <c r="J287" s="581"/>
      <c r="K287" s="581"/>
      <c r="L287" s="581"/>
    </row>
    <row r="288" spans="1:12">
      <c r="D288" s="1" t="s">
        <v>908</v>
      </c>
    </row>
    <row r="289" spans="4:12">
      <c r="D289" s="115" t="s">
        <v>909</v>
      </c>
    </row>
    <row r="290" spans="4:12" ht="22.8">
      <c r="D290" s="111" t="s">
        <v>906</v>
      </c>
      <c r="E290" s="111" t="s">
        <v>910</v>
      </c>
      <c r="F290" s="111" t="s">
        <v>911</v>
      </c>
      <c r="G290" s="111" t="s">
        <v>906</v>
      </c>
      <c r="H290" s="111" t="s">
        <v>910</v>
      </c>
      <c r="I290" s="111" t="s">
        <v>911</v>
      </c>
    </row>
    <row r="291" spans="4:12" ht="22.8">
      <c r="D291" s="153" t="s">
        <v>912</v>
      </c>
      <c r="E291" s="154" t="s">
        <v>913</v>
      </c>
      <c r="F291" s="138">
        <v>37</v>
      </c>
      <c r="G291" s="154" t="s">
        <v>914</v>
      </c>
      <c r="H291" s="154" t="s">
        <v>915</v>
      </c>
      <c r="I291" s="138">
        <v>77</v>
      </c>
    </row>
    <row r="292" spans="4:12" ht="22.8">
      <c r="D292" s="153" t="s">
        <v>916</v>
      </c>
      <c r="E292" s="154" t="s">
        <v>917</v>
      </c>
      <c r="F292" s="138">
        <v>22</v>
      </c>
      <c r="G292" s="154" t="s">
        <v>918</v>
      </c>
      <c r="H292" s="154" t="s">
        <v>915</v>
      </c>
      <c r="I292" s="138">
        <v>75</v>
      </c>
    </row>
    <row r="293" spans="4:12" ht="22.8">
      <c r="D293" s="153" t="s">
        <v>919</v>
      </c>
      <c r="E293" s="154" t="s">
        <v>917</v>
      </c>
      <c r="F293" s="138">
        <v>15</v>
      </c>
      <c r="G293" s="154" t="s">
        <v>920</v>
      </c>
      <c r="H293" s="154" t="s">
        <v>915</v>
      </c>
      <c r="I293" s="138">
        <v>50</v>
      </c>
    </row>
    <row r="294" spans="4:12" ht="22.8">
      <c r="D294" s="153" t="s">
        <v>921</v>
      </c>
      <c r="E294" s="154" t="s">
        <v>922</v>
      </c>
      <c r="F294" s="138">
        <v>69</v>
      </c>
      <c r="G294" s="154" t="s">
        <v>923</v>
      </c>
      <c r="H294" s="154" t="s">
        <v>915</v>
      </c>
      <c r="I294" s="138">
        <v>22</v>
      </c>
    </row>
    <row r="295" spans="4:12" ht="22.8">
      <c r="D295" s="153" t="s">
        <v>924</v>
      </c>
      <c r="E295" s="154" t="s">
        <v>922</v>
      </c>
      <c r="F295" s="138">
        <v>51</v>
      </c>
      <c r="G295" s="154" t="s">
        <v>925</v>
      </c>
      <c r="H295" s="154" t="s">
        <v>926</v>
      </c>
      <c r="I295" s="138">
        <v>264</v>
      </c>
    </row>
    <row r="296" spans="4:12" ht="22.8">
      <c r="D296" s="153" t="s">
        <v>927</v>
      </c>
      <c r="E296" s="154" t="s">
        <v>922</v>
      </c>
      <c r="F296" s="138">
        <v>43</v>
      </c>
      <c r="G296" s="154" t="s">
        <v>928</v>
      </c>
      <c r="H296" s="154" t="s">
        <v>926</v>
      </c>
      <c r="I296" s="138">
        <v>142</v>
      </c>
    </row>
    <row r="297" spans="4:12" ht="22.8">
      <c r="D297" s="153" t="s">
        <v>929</v>
      </c>
      <c r="E297" s="154" t="s">
        <v>930</v>
      </c>
      <c r="F297" s="138">
        <v>91</v>
      </c>
      <c r="G297" s="154" t="s">
        <v>931</v>
      </c>
      <c r="H297" s="154" t="s">
        <v>926</v>
      </c>
      <c r="I297" s="138">
        <v>122</v>
      </c>
    </row>
    <row r="298" spans="4:12" ht="22.8">
      <c r="D298" s="153" t="s">
        <v>932</v>
      </c>
      <c r="E298" s="154" t="s">
        <v>930</v>
      </c>
      <c r="F298" s="138">
        <v>84</v>
      </c>
      <c r="G298" s="154" t="s">
        <v>933</v>
      </c>
      <c r="H298" s="154" t="s">
        <v>926</v>
      </c>
      <c r="I298" s="138">
        <v>101</v>
      </c>
    </row>
    <row r="299" spans="4:12" ht="22.8">
      <c r="D299" s="153" t="s">
        <v>934</v>
      </c>
      <c r="E299" s="154" t="s">
        <v>930</v>
      </c>
      <c r="F299" s="138">
        <v>72</v>
      </c>
      <c r="G299" s="154" t="s">
        <v>935</v>
      </c>
      <c r="H299" s="154" t="s">
        <v>926</v>
      </c>
      <c r="I299" s="138">
        <v>75</v>
      </c>
    </row>
    <row r="300" spans="4:12" ht="22.8">
      <c r="D300" s="153" t="s">
        <v>936</v>
      </c>
      <c r="E300" s="154" t="s">
        <v>937</v>
      </c>
      <c r="F300" s="138">
        <v>97</v>
      </c>
      <c r="G300" s="154" t="s">
        <v>938</v>
      </c>
      <c r="H300" s="154" t="s">
        <v>939</v>
      </c>
      <c r="I300" s="138">
        <v>42</v>
      </c>
    </row>
    <row r="301" spans="4:12" ht="22.8">
      <c r="D301" s="153" t="s">
        <v>940</v>
      </c>
      <c r="E301" s="154" t="s">
        <v>937</v>
      </c>
      <c r="F301" s="138">
        <v>96</v>
      </c>
      <c r="G301" s="154" t="s">
        <v>941</v>
      </c>
      <c r="H301" s="154" t="s">
        <v>939</v>
      </c>
      <c r="I301" s="138">
        <v>32</v>
      </c>
    </row>
    <row r="302" spans="4:12" ht="22.8">
      <c r="D302" s="153" t="s">
        <v>942</v>
      </c>
      <c r="E302" s="154" t="s">
        <v>937</v>
      </c>
      <c r="F302" s="138">
        <v>69</v>
      </c>
      <c r="G302" s="154" t="s">
        <v>943</v>
      </c>
      <c r="H302" s="154" t="s">
        <v>939</v>
      </c>
      <c r="I302" s="138">
        <v>27</v>
      </c>
    </row>
    <row r="303" spans="4:12" ht="22.8">
      <c r="D303" s="153" t="s">
        <v>944</v>
      </c>
      <c r="E303" s="154" t="s">
        <v>937</v>
      </c>
      <c r="F303" s="138">
        <v>37</v>
      </c>
      <c r="G303" s="154" t="s">
        <v>945</v>
      </c>
      <c r="H303" s="154" t="s">
        <v>939</v>
      </c>
      <c r="I303" s="138">
        <v>21</v>
      </c>
    </row>
    <row r="304" spans="4:12" ht="30.75" customHeight="1">
      <c r="D304" s="581" t="s">
        <v>946</v>
      </c>
      <c r="E304" s="581"/>
      <c r="F304" s="581"/>
      <c r="G304" s="581"/>
      <c r="H304" s="581"/>
      <c r="I304" s="581"/>
      <c r="J304" s="581"/>
      <c r="K304" s="581"/>
      <c r="L304" s="581"/>
    </row>
    <row r="321" spans="2:12">
      <c r="D321" s="115" t="s">
        <v>947</v>
      </c>
    </row>
    <row r="322" spans="2:12">
      <c r="D322" s="121" t="s">
        <v>755</v>
      </c>
    </row>
    <row r="323" spans="2:12">
      <c r="D323" s="127" t="s">
        <v>948</v>
      </c>
      <c r="E323" s="155" t="s">
        <v>949</v>
      </c>
      <c r="F323" s="155"/>
      <c r="G323" s="155"/>
      <c r="H323" s="155"/>
      <c r="I323" s="155"/>
      <c r="J323" s="155"/>
      <c r="K323" s="155"/>
      <c r="L323" s="155"/>
    </row>
    <row r="324" spans="2:12" ht="29.25" customHeight="1">
      <c r="D324" s="127" t="s">
        <v>950</v>
      </c>
      <c r="E324" s="584" t="s">
        <v>951</v>
      </c>
      <c r="F324" s="584"/>
      <c r="G324" s="584"/>
      <c r="H324" s="584"/>
      <c r="I324" s="584"/>
      <c r="J324" s="584"/>
      <c r="K324" s="584"/>
      <c r="L324" s="584"/>
    </row>
    <row r="325" spans="2:12">
      <c r="D325" s="1" t="s">
        <v>952</v>
      </c>
    </row>
    <row r="326" spans="2:12">
      <c r="C326" s="19" t="s">
        <v>515</v>
      </c>
      <c r="D326" s="1" t="s">
        <v>953</v>
      </c>
    </row>
    <row r="327" spans="2:12">
      <c r="D327" s="1" t="s">
        <v>954</v>
      </c>
    </row>
    <row r="328" spans="2:12">
      <c r="D328" s="1" t="s">
        <v>955</v>
      </c>
    </row>
    <row r="329" spans="2:12">
      <c r="D329" s="1" t="s">
        <v>956</v>
      </c>
    </row>
    <row r="331" spans="2:12">
      <c r="B331" s="19">
        <v>2</v>
      </c>
      <c r="C331" s="1" t="s">
        <v>957</v>
      </c>
    </row>
    <row r="332" spans="2:12">
      <c r="C332" s="1" t="s">
        <v>958</v>
      </c>
    </row>
    <row r="333" spans="2:12" ht="44.25" customHeight="1">
      <c r="C333" s="120" t="s">
        <v>711</v>
      </c>
      <c r="D333" s="583" t="s">
        <v>959</v>
      </c>
      <c r="E333" s="583"/>
      <c r="F333" s="583"/>
      <c r="G333" s="583"/>
      <c r="H333" s="583"/>
      <c r="I333" s="583"/>
      <c r="J333" s="583"/>
      <c r="K333" s="583"/>
      <c r="L333" s="583"/>
    </row>
    <row r="334" spans="2:12" ht="32.25" customHeight="1">
      <c r="C334" s="120" t="s">
        <v>719</v>
      </c>
      <c r="D334" s="583" t="s">
        <v>960</v>
      </c>
      <c r="E334" s="583"/>
      <c r="F334" s="583"/>
      <c r="G334" s="583"/>
      <c r="H334" s="583"/>
      <c r="I334" s="583"/>
      <c r="J334" s="583"/>
      <c r="K334" s="583"/>
      <c r="L334" s="583"/>
    </row>
  </sheetData>
  <mergeCells count="122">
    <mergeCell ref="D10:E10"/>
    <mergeCell ref="D11:E11"/>
    <mergeCell ref="B14:C14"/>
    <mergeCell ref="B15:C15"/>
    <mergeCell ref="B16:C16"/>
    <mergeCell ref="B17:C17"/>
    <mergeCell ref="A2:L2"/>
    <mergeCell ref="A4:L4"/>
    <mergeCell ref="B6:L6"/>
    <mergeCell ref="D8:E8"/>
    <mergeCell ref="D9:E9"/>
    <mergeCell ref="C33:L33"/>
    <mergeCell ref="C35:C36"/>
    <mergeCell ref="D35:E35"/>
    <mergeCell ref="G35:H35"/>
    <mergeCell ref="D36:E36"/>
    <mergeCell ref="G36:H36"/>
    <mergeCell ref="B18:C18"/>
    <mergeCell ref="B19:C19"/>
    <mergeCell ref="B20:C20"/>
    <mergeCell ref="C24:L24"/>
    <mergeCell ref="C29:L29"/>
    <mergeCell ref="D32:L32"/>
    <mergeCell ref="D40:E40"/>
    <mergeCell ref="G40:H40"/>
    <mergeCell ref="D41:E41"/>
    <mergeCell ref="G41:H41"/>
    <mergeCell ref="C42:F42"/>
    <mergeCell ref="G42:H42"/>
    <mergeCell ref="D37:E37"/>
    <mergeCell ref="G37:H37"/>
    <mergeCell ref="D38:E38"/>
    <mergeCell ref="G38:H38"/>
    <mergeCell ref="D39:E39"/>
    <mergeCell ref="G39:H39"/>
    <mergeCell ref="C48:D48"/>
    <mergeCell ref="E48:F48"/>
    <mergeCell ref="C49:L49"/>
    <mergeCell ref="C51:L51"/>
    <mergeCell ref="D53:E53"/>
    <mergeCell ref="F53:G53"/>
    <mergeCell ref="C43:L43"/>
    <mergeCell ref="C45:D45"/>
    <mergeCell ref="E45:F45"/>
    <mergeCell ref="C46:D46"/>
    <mergeCell ref="E46:F46"/>
    <mergeCell ref="C47:D47"/>
    <mergeCell ref="E47:F47"/>
    <mergeCell ref="E88:L88"/>
    <mergeCell ref="D103:L103"/>
    <mergeCell ref="E131:L131"/>
    <mergeCell ref="E132:L132"/>
    <mergeCell ref="F133:L133"/>
    <mergeCell ref="F134:L134"/>
    <mergeCell ref="D54:E54"/>
    <mergeCell ref="F54:G54"/>
    <mergeCell ref="D55:E55"/>
    <mergeCell ref="F55:G55"/>
    <mergeCell ref="C57:L57"/>
    <mergeCell ref="E59:L59"/>
    <mergeCell ref="C145:L145"/>
    <mergeCell ref="D153:L153"/>
    <mergeCell ref="C157:L157"/>
    <mergeCell ref="C161:C163"/>
    <mergeCell ref="D161:D163"/>
    <mergeCell ref="F161:F163"/>
    <mergeCell ref="E135:L135"/>
    <mergeCell ref="E136:L136"/>
    <mergeCell ref="D138:L138"/>
    <mergeCell ref="D139:M139"/>
    <mergeCell ref="C142:L142"/>
    <mergeCell ref="C143:L143"/>
    <mergeCell ref="B173:L173"/>
    <mergeCell ref="B174:L174"/>
    <mergeCell ref="G194:H194"/>
    <mergeCell ref="J194:K194"/>
    <mergeCell ref="G195:H195"/>
    <mergeCell ref="J195:K195"/>
    <mergeCell ref="C164:C166"/>
    <mergeCell ref="D164:D166"/>
    <mergeCell ref="F164:F166"/>
    <mergeCell ref="C167:C169"/>
    <mergeCell ref="D167:D169"/>
    <mergeCell ref="F167:F169"/>
    <mergeCell ref="C205:E205"/>
    <mergeCell ref="C206:E206"/>
    <mergeCell ref="C207:E207"/>
    <mergeCell ref="C208:E208"/>
    <mergeCell ref="D210:L210"/>
    <mergeCell ref="D211:L211"/>
    <mergeCell ref="G196:H196"/>
    <mergeCell ref="J196:K196"/>
    <mergeCell ref="I197:I198"/>
    <mergeCell ref="J197:J198"/>
    <mergeCell ref="C201:L201"/>
    <mergeCell ref="C203:L203"/>
    <mergeCell ref="D235:L235"/>
    <mergeCell ref="C237:L237"/>
    <mergeCell ref="C243:L243"/>
    <mergeCell ref="H249:J249"/>
    <mergeCell ref="B271:L271"/>
    <mergeCell ref="D273:E273"/>
    <mergeCell ref="C213:L213"/>
    <mergeCell ref="D215:L215"/>
    <mergeCell ref="H218:I220"/>
    <mergeCell ref="D221:E221"/>
    <mergeCell ref="D225:L225"/>
    <mergeCell ref="D229:D230"/>
    <mergeCell ref="E229:G229"/>
    <mergeCell ref="H229:H230"/>
    <mergeCell ref="C284:L284"/>
    <mergeCell ref="D287:L287"/>
    <mergeCell ref="D304:L304"/>
    <mergeCell ref="E324:L324"/>
    <mergeCell ref="D333:L333"/>
    <mergeCell ref="D334:L334"/>
    <mergeCell ref="D274:E274"/>
    <mergeCell ref="D275:E275"/>
    <mergeCell ref="D276:E276"/>
    <mergeCell ref="D277:E277"/>
    <mergeCell ref="D278:E278"/>
    <mergeCell ref="B279:L279"/>
  </mergeCells>
  <hyperlinks>
    <hyperlink ref="A1" location="'Daftar Isi'!A1" display="Kembali ke Daftar Isi"/>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A50"/>
  <sheetViews>
    <sheetView topLeftCell="B31" workbookViewId="0">
      <selection activeCell="D47" sqref="D47"/>
    </sheetView>
  </sheetViews>
  <sheetFormatPr defaultColWidth="8.77734375" defaultRowHeight="14.4"/>
  <cols>
    <col min="1" max="1" width="26" bestFit="1" customWidth="1"/>
    <col min="2" max="2" width="10" bestFit="1" customWidth="1"/>
    <col min="3" max="3" width="31.21875" bestFit="1" customWidth="1"/>
    <col min="4" max="4" width="54.44140625" customWidth="1"/>
    <col min="5" max="5" width="11.44140625" bestFit="1" customWidth="1"/>
    <col min="6" max="6" width="140" bestFit="1" customWidth="1"/>
    <col min="7" max="7" width="18.21875" bestFit="1" customWidth="1"/>
    <col min="8" max="8" width="18.44140625" bestFit="1" customWidth="1"/>
    <col min="9" max="9" width="11.21875" bestFit="1" customWidth="1"/>
    <col min="10" max="10" width="20.21875" bestFit="1" customWidth="1"/>
    <col min="13" max="13" width="20.77734375" bestFit="1" customWidth="1"/>
    <col min="14" max="14" width="19.77734375" bestFit="1" customWidth="1"/>
    <col min="15" max="15" width="41.21875" bestFit="1" customWidth="1"/>
    <col min="16" max="16" width="28.44140625" bestFit="1" customWidth="1"/>
    <col min="18" max="18" width="19.77734375" bestFit="1" customWidth="1"/>
  </cols>
  <sheetData>
    <row r="1" spans="1:27">
      <c r="A1" t="s">
        <v>101</v>
      </c>
      <c r="B1" t="s">
        <v>961</v>
      </c>
      <c r="C1" t="s">
        <v>962</v>
      </c>
      <c r="D1" t="s">
        <v>151</v>
      </c>
      <c r="E1" t="s">
        <v>49</v>
      </c>
      <c r="F1" t="s">
        <v>963</v>
      </c>
      <c r="G1" t="s">
        <v>114</v>
      </c>
      <c r="H1" t="s">
        <v>964</v>
      </c>
      <c r="I1" t="s">
        <v>186</v>
      </c>
      <c r="J1" t="s">
        <v>965</v>
      </c>
      <c r="K1" t="s">
        <v>966</v>
      </c>
      <c r="M1" t="s">
        <v>81</v>
      </c>
      <c r="N1" t="s">
        <v>967</v>
      </c>
      <c r="O1" t="s">
        <v>214</v>
      </c>
      <c r="P1" t="s">
        <v>968</v>
      </c>
      <c r="Q1" t="s">
        <v>969</v>
      </c>
      <c r="R1" t="s">
        <v>970</v>
      </c>
      <c r="T1" t="s">
        <v>245</v>
      </c>
      <c r="U1" t="s">
        <v>246</v>
      </c>
      <c r="V1" t="s">
        <v>971</v>
      </c>
      <c r="X1" t="s">
        <v>971</v>
      </c>
      <c r="Y1" t="s">
        <v>972</v>
      </c>
      <c r="AA1" t="s">
        <v>247</v>
      </c>
    </row>
    <row r="2" spans="1:27">
      <c r="A2" t="s">
        <v>973</v>
      </c>
      <c r="B2" t="s">
        <v>974</v>
      </c>
      <c r="C2" t="s">
        <v>975</v>
      </c>
      <c r="D2" t="s">
        <v>976</v>
      </c>
      <c r="E2" t="s">
        <v>977</v>
      </c>
      <c r="F2" t="s">
        <v>978</v>
      </c>
      <c r="G2" t="s">
        <v>979</v>
      </c>
      <c r="H2">
        <v>1</v>
      </c>
      <c r="I2">
        <v>1</v>
      </c>
      <c r="J2" t="s">
        <v>980</v>
      </c>
      <c r="K2" t="s">
        <v>981</v>
      </c>
      <c r="M2" t="s">
        <v>96</v>
      </c>
      <c r="N2" t="s">
        <v>982</v>
      </c>
      <c r="O2" t="s">
        <v>983</v>
      </c>
      <c r="P2" t="s">
        <v>984</v>
      </c>
      <c r="Q2">
        <v>0</v>
      </c>
      <c r="R2" t="s">
        <v>985</v>
      </c>
      <c r="T2">
        <v>1</v>
      </c>
      <c r="U2">
        <v>1</v>
      </c>
      <c r="V2">
        <v>1</v>
      </c>
      <c r="W2" t="str">
        <f t="shared" ref="W2:W26" si="0">T2&amp;U2</f>
        <v>11</v>
      </c>
      <c r="X2">
        <v>1</v>
      </c>
      <c r="Y2" t="s">
        <v>884</v>
      </c>
      <c r="AA2" t="s">
        <v>884</v>
      </c>
    </row>
    <row r="3" spans="1:27">
      <c r="A3" t="s">
        <v>986</v>
      </c>
      <c r="B3" t="s">
        <v>974</v>
      </c>
      <c r="C3" t="s">
        <v>987</v>
      </c>
      <c r="D3" t="s">
        <v>988</v>
      </c>
      <c r="E3" t="s">
        <v>989</v>
      </c>
      <c r="F3" t="s">
        <v>990</v>
      </c>
      <c r="G3" t="s">
        <v>991</v>
      </c>
      <c r="H3">
        <v>2</v>
      </c>
      <c r="I3">
        <v>2</v>
      </c>
      <c r="J3" t="s">
        <v>992</v>
      </c>
      <c r="K3" t="s">
        <v>993</v>
      </c>
      <c r="M3" t="s">
        <v>98</v>
      </c>
      <c r="N3" t="s">
        <v>994</v>
      </c>
      <c r="O3" t="s">
        <v>995</v>
      </c>
      <c r="P3" t="s">
        <v>996</v>
      </c>
      <c r="Q3">
        <v>1</v>
      </c>
      <c r="R3" t="s">
        <v>997</v>
      </c>
      <c r="T3">
        <v>1</v>
      </c>
      <c r="U3">
        <v>2</v>
      </c>
      <c r="V3">
        <v>2</v>
      </c>
      <c r="W3" t="str">
        <f t="shared" si="0"/>
        <v>12</v>
      </c>
      <c r="X3">
        <v>2</v>
      </c>
      <c r="Y3" t="s">
        <v>884</v>
      </c>
      <c r="AA3" t="s">
        <v>887</v>
      </c>
    </row>
    <row r="4" spans="1:27">
      <c r="A4" t="s">
        <v>998</v>
      </c>
      <c r="B4" t="s">
        <v>974</v>
      </c>
      <c r="C4" t="s">
        <v>999</v>
      </c>
      <c r="D4" t="s">
        <v>1000</v>
      </c>
      <c r="E4" t="s">
        <v>1001</v>
      </c>
      <c r="F4" t="s">
        <v>1002</v>
      </c>
      <c r="H4">
        <v>3</v>
      </c>
      <c r="I4">
        <v>3</v>
      </c>
      <c r="J4" t="s">
        <v>1003</v>
      </c>
      <c r="K4" t="s">
        <v>1004</v>
      </c>
      <c r="N4" t="s">
        <v>1005</v>
      </c>
      <c r="O4" t="s">
        <v>1006</v>
      </c>
      <c r="P4" t="s">
        <v>1007</v>
      </c>
      <c r="R4" t="s">
        <v>1008</v>
      </c>
      <c r="T4">
        <v>1</v>
      </c>
      <c r="U4">
        <v>3</v>
      </c>
      <c r="V4">
        <v>3</v>
      </c>
      <c r="W4" t="str">
        <f t="shared" si="0"/>
        <v>13</v>
      </c>
      <c r="X4">
        <v>3</v>
      </c>
      <c r="Y4" t="s">
        <v>884</v>
      </c>
      <c r="AA4" t="s">
        <v>890</v>
      </c>
    </row>
    <row r="5" spans="1:27" ht="28.8">
      <c r="A5" t="s">
        <v>1009</v>
      </c>
      <c r="B5" t="s">
        <v>974</v>
      </c>
      <c r="C5" t="s">
        <v>1010</v>
      </c>
      <c r="D5" t="s">
        <v>1011</v>
      </c>
      <c r="E5" t="s">
        <v>1012</v>
      </c>
      <c r="F5" t="s">
        <v>1013</v>
      </c>
      <c r="H5">
        <v>4</v>
      </c>
      <c r="I5">
        <v>4</v>
      </c>
      <c r="J5" t="s">
        <v>693</v>
      </c>
      <c r="K5" t="s">
        <v>1014</v>
      </c>
      <c r="N5" s="95" t="s">
        <v>1015</v>
      </c>
      <c r="O5" s="77" t="s">
        <v>1016</v>
      </c>
      <c r="P5" t="s">
        <v>1017</v>
      </c>
      <c r="R5" t="s">
        <v>1018</v>
      </c>
      <c r="T5">
        <v>1</v>
      </c>
      <c r="U5">
        <v>4</v>
      </c>
      <c r="V5">
        <v>4</v>
      </c>
      <c r="W5" t="str">
        <f t="shared" si="0"/>
        <v>14</v>
      </c>
      <c r="X5">
        <v>4</v>
      </c>
      <c r="Y5" t="s">
        <v>884</v>
      </c>
      <c r="AA5" t="s">
        <v>893</v>
      </c>
    </row>
    <row r="6" spans="1:27" ht="28.8">
      <c r="A6" t="s">
        <v>1019</v>
      </c>
      <c r="B6" t="s">
        <v>974</v>
      </c>
      <c r="C6" t="s">
        <v>1020</v>
      </c>
      <c r="D6" t="s">
        <v>1021</v>
      </c>
      <c r="E6" t="s">
        <v>1022</v>
      </c>
      <c r="F6" t="s">
        <v>1023</v>
      </c>
      <c r="H6">
        <v>5</v>
      </c>
      <c r="I6">
        <v>5</v>
      </c>
      <c r="K6" t="s">
        <v>1024</v>
      </c>
      <c r="O6" s="77" t="s">
        <v>1025</v>
      </c>
      <c r="P6" t="s">
        <v>1026</v>
      </c>
      <c r="R6" t="s">
        <v>1027</v>
      </c>
      <c r="T6">
        <v>1</v>
      </c>
      <c r="U6">
        <v>5</v>
      </c>
      <c r="V6">
        <v>7</v>
      </c>
      <c r="W6" t="str">
        <f t="shared" si="0"/>
        <v>15</v>
      </c>
      <c r="X6">
        <v>7</v>
      </c>
      <c r="Y6" t="s">
        <v>887</v>
      </c>
      <c r="AA6" t="s">
        <v>896</v>
      </c>
    </row>
    <row r="7" spans="1:27" ht="28.8">
      <c r="B7" t="s">
        <v>974</v>
      </c>
      <c r="C7" t="s">
        <v>1028</v>
      </c>
      <c r="D7" t="s">
        <v>1029</v>
      </c>
      <c r="E7" t="s">
        <v>1030</v>
      </c>
      <c r="F7" t="s">
        <v>1031</v>
      </c>
      <c r="I7">
        <v>6</v>
      </c>
      <c r="O7" s="77" t="s">
        <v>1032</v>
      </c>
      <c r="P7" t="s">
        <v>1033</v>
      </c>
      <c r="R7" t="s">
        <v>1034</v>
      </c>
      <c r="T7">
        <v>2</v>
      </c>
      <c r="U7">
        <v>1</v>
      </c>
      <c r="V7">
        <v>5</v>
      </c>
      <c r="W7" t="str">
        <f t="shared" si="0"/>
        <v>21</v>
      </c>
      <c r="X7">
        <v>5</v>
      </c>
      <c r="Y7" t="s">
        <v>884</v>
      </c>
    </row>
    <row r="8" spans="1:27" ht="43.2">
      <c r="B8" t="s">
        <v>1035</v>
      </c>
      <c r="C8" t="s">
        <v>1036</v>
      </c>
      <c r="D8" t="s">
        <v>1037</v>
      </c>
      <c r="E8" t="s">
        <v>1038</v>
      </c>
      <c r="F8" t="s">
        <v>1039</v>
      </c>
      <c r="I8">
        <v>7</v>
      </c>
      <c r="O8" s="77" t="s">
        <v>1040</v>
      </c>
      <c r="P8" t="s">
        <v>1041</v>
      </c>
      <c r="T8">
        <v>2</v>
      </c>
      <c r="U8">
        <v>2</v>
      </c>
      <c r="V8">
        <v>6</v>
      </c>
      <c r="W8" t="str">
        <f t="shared" si="0"/>
        <v>22</v>
      </c>
      <c r="X8">
        <v>6</v>
      </c>
      <c r="Y8" t="s">
        <v>887</v>
      </c>
    </row>
    <row r="9" spans="1:27">
      <c r="B9" t="s">
        <v>1035</v>
      </c>
      <c r="C9" t="s">
        <v>1042</v>
      </c>
      <c r="D9" t="s">
        <v>1043</v>
      </c>
      <c r="E9" t="s">
        <v>1044</v>
      </c>
      <c r="F9" t="s">
        <v>1045</v>
      </c>
      <c r="I9">
        <v>8</v>
      </c>
      <c r="O9" s="77" t="s">
        <v>1046</v>
      </c>
      <c r="P9" t="s">
        <v>1047</v>
      </c>
      <c r="T9">
        <v>2</v>
      </c>
      <c r="U9">
        <v>3</v>
      </c>
      <c r="V9">
        <v>8</v>
      </c>
      <c r="W9" t="str">
        <f t="shared" si="0"/>
        <v>23</v>
      </c>
      <c r="X9">
        <v>8</v>
      </c>
      <c r="Y9" t="s">
        <v>887</v>
      </c>
    </row>
    <row r="10" spans="1:27">
      <c r="B10" t="s">
        <v>1035</v>
      </c>
      <c r="C10" t="s">
        <v>1048</v>
      </c>
      <c r="D10" t="s">
        <v>1049</v>
      </c>
      <c r="E10" t="s">
        <v>1050</v>
      </c>
      <c r="F10" t="s">
        <v>1051</v>
      </c>
      <c r="I10">
        <v>9</v>
      </c>
      <c r="P10" t="s">
        <v>1052</v>
      </c>
      <c r="T10">
        <v>2</v>
      </c>
      <c r="U10">
        <v>4</v>
      </c>
      <c r="V10">
        <v>9</v>
      </c>
      <c r="W10" t="str">
        <f t="shared" si="0"/>
        <v>24</v>
      </c>
      <c r="X10">
        <v>9</v>
      </c>
      <c r="Y10" t="s">
        <v>887</v>
      </c>
    </row>
    <row r="11" spans="1:27">
      <c r="B11" t="s">
        <v>1035</v>
      </c>
      <c r="C11" t="s">
        <v>1053</v>
      </c>
      <c r="D11" t="s">
        <v>1054</v>
      </c>
      <c r="E11" t="s">
        <v>1055</v>
      </c>
      <c r="F11" t="s">
        <v>1056</v>
      </c>
      <c r="I11">
        <v>10</v>
      </c>
      <c r="P11" t="s">
        <v>1057</v>
      </c>
      <c r="T11">
        <v>2</v>
      </c>
      <c r="U11">
        <v>5</v>
      </c>
      <c r="V11">
        <v>12</v>
      </c>
      <c r="W11" t="str">
        <f t="shared" si="0"/>
        <v>25</v>
      </c>
      <c r="X11">
        <v>12</v>
      </c>
      <c r="Y11" t="s">
        <v>890</v>
      </c>
    </row>
    <row r="12" spans="1:27">
      <c r="B12" t="s">
        <v>1035</v>
      </c>
      <c r="C12" t="s">
        <v>1058</v>
      </c>
      <c r="D12" t="s">
        <v>1059</v>
      </c>
      <c r="E12" t="s">
        <v>1060</v>
      </c>
      <c r="F12" t="s">
        <v>1061</v>
      </c>
      <c r="I12">
        <v>11</v>
      </c>
      <c r="P12" t="s">
        <v>1046</v>
      </c>
      <c r="T12">
        <v>3</v>
      </c>
      <c r="U12">
        <v>1</v>
      </c>
      <c r="V12">
        <v>10</v>
      </c>
      <c r="W12" t="str">
        <f t="shared" si="0"/>
        <v>31</v>
      </c>
      <c r="X12">
        <v>10</v>
      </c>
      <c r="Y12" t="s">
        <v>887</v>
      </c>
    </row>
    <row r="13" spans="1:27">
      <c r="B13" t="s">
        <v>1035</v>
      </c>
      <c r="C13" t="s">
        <v>1062</v>
      </c>
      <c r="D13" t="s">
        <v>1063</v>
      </c>
      <c r="E13" t="s">
        <v>1064</v>
      </c>
      <c r="F13" t="s">
        <v>1065</v>
      </c>
      <c r="I13">
        <v>12</v>
      </c>
      <c r="T13">
        <v>3</v>
      </c>
      <c r="U13">
        <v>2</v>
      </c>
      <c r="V13">
        <v>11</v>
      </c>
      <c r="W13" t="str">
        <f t="shared" si="0"/>
        <v>32</v>
      </c>
      <c r="X13">
        <v>11</v>
      </c>
      <c r="Y13" t="s">
        <v>887</v>
      </c>
    </row>
    <row r="14" spans="1:27">
      <c r="D14" t="s">
        <v>1066</v>
      </c>
      <c r="E14" t="s">
        <v>1067</v>
      </c>
      <c r="F14" t="s">
        <v>1068</v>
      </c>
      <c r="I14">
        <v>13</v>
      </c>
      <c r="T14">
        <v>3</v>
      </c>
      <c r="U14">
        <v>3</v>
      </c>
      <c r="V14">
        <v>13</v>
      </c>
      <c r="W14" t="str">
        <f t="shared" si="0"/>
        <v>33</v>
      </c>
      <c r="X14">
        <v>13</v>
      </c>
      <c r="Y14" t="s">
        <v>890</v>
      </c>
    </row>
    <row r="15" spans="1:27">
      <c r="D15" t="s">
        <v>1069</v>
      </c>
      <c r="E15" t="s">
        <v>1070</v>
      </c>
      <c r="F15" t="s">
        <v>1071</v>
      </c>
      <c r="I15">
        <v>14</v>
      </c>
      <c r="T15">
        <v>3</v>
      </c>
      <c r="U15">
        <v>4</v>
      </c>
      <c r="V15">
        <v>14</v>
      </c>
      <c r="W15" t="str">
        <f t="shared" si="0"/>
        <v>34</v>
      </c>
      <c r="X15">
        <v>14</v>
      </c>
      <c r="Y15" t="s">
        <v>890</v>
      </c>
    </row>
    <row r="16" spans="1:27">
      <c r="D16" t="s">
        <v>1072</v>
      </c>
      <c r="E16" t="s">
        <v>1073</v>
      </c>
      <c r="F16" t="s">
        <v>1074</v>
      </c>
      <c r="I16">
        <v>15</v>
      </c>
      <c r="T16">
        <v>3</v>
      </c>
      <c r="U16">
        <v>5</v>
      </c>
      <c r="V16">
        <v>17</v>
      </c>
      <c r="W16" t="str">
        <f t="shared" si="0"/>
        <v>35</v>
      </c>
      <c r="X16">
        <v>17</v>
      </c>
      <c r="Y16" t="s">
        <v>893</v>
      </c>
    </row>
    <row r="17" spans="4:25">
      <c r="D17" t="s">
        <v>1075</v>
      </c>
      <c r="E17" t="s">
        <v>1076</v>
      </c>
      <c r="F17" t="s">
        <v>1077</v>
      </c>
      <c r="I17">
        <v>16</v>
      </c>
      <c r="T17">
        <v>4</v>
      </c>
      <c r="U17">
        <v>1</v>
      </c>
      <c r="V17">
        <v>15</v>
      </c>
      <c r="W17" t="str">
        <f t="shared" si="0"/>
        <v>41</v>
      </c>
      <c r="X17">
        <v>15</v>
      </c>
      <c r="Y17" t="s">
        <v>890</v>
      </c>
    </row>
    <row r="18" spans="4:25">
      <c r="D18" t="s">
        <v>1078</v>
      </c>
      <c r="E18" t="s">
        <v>1079</v>
      </c>
      <c r="F18" t="s">
        <v>1080</v>
      </c>
      <c r="I18">
        <v>17</v>
      </c>
      <c r="T18">
        <v>4</v>
      </c>
      <c r="U18">
        <v>2</v>
      </c>
      <c r="V18">
        <v>16</v>
      </c>
      <c r="W18" t="str">
        <f t="shared" si="0"/>
        <v>42</v>
      </c>
      <c r="X18">
        <v>16</v>
      </c>
      <c r="Y18" t="s">
        <v>893</v>
      </c>
    </row>
    <row r="19" spans="4:25">
      <c r="D19" t="s">
        <v>1081</v>
      </c>
      <c r="E19" t="s">
        <v>1082</v>
      </c>
      <c r="F19" t="s">
        <v>1083</v>
      </c>
      <c r="I19">
        <v>18</v>
      </c>
      <c r="T19">
        <v>4</v>
      </c>
      <c r="U19">
        <v>3</v>
      </c>
      <c r="V19">
        <v>18</v>
      </c>
      <c r="W19" t="str">
        <f t="shared" si="0"/>
        <v>43</v>
      </c>
      <c r="X19">
        <v>18</v>
      </c>
      <c r="Y19" t="s">
        <v>893</v>
      </c>
    </row>
    <row r="20" spans="4:25">
      <c r="D20" t="s">
        <v>1084</v>
      </c>
      <c r="E20" t="s">
        <v>1085</v>
      </c>
      <c r="F20" t="s">
        <v>1086</v>
      </c>
      <c r="I20">
        <v>19</v>
      </c>
      <c r="T20">
        <v>4</v>
      </c>
      <c r="U20">
        <v>4</v>
      </c>
      <c r="V20">
        <v>19</v>
      </c>
      <c r="W20" t="str">
        <f t="shared" si="0"/>
        <v>44</v>
      </c>
      <c r="X20">
        <v>19</v>
      </c>
      <c r="Y20" t="s">
        <v>893</v>
      </c>
    </row>
    <row r="21" spans="4:25">
      <c r="D21" t="s">
        <v>1087</v>
      </c>
      <c r="E21" t="s">
        <v>1088</v>
      </c>
      <c r="F21" t="s">
        <v>1089</v>
      </c>
      <c r="I21">
        <v>20</v>
      </c>
      <c r="T21">
        <v>4</v>
      </c>
      <c r="U21">
        <v>5</v>
      </c>
      <c r="V21">
        <v>22</v>
      </c>
      <c r="W21" t="str">
        <f t="shared" si="0"/>
        <v>45</v>
      </c>
      <c r="X21">
        <v>22</v>
      </c>
      <c r="Y21" t="s">
        <v>896</v>
      </c>
    </row>
    <row r="22" spans="4:25">
      <c r="D22" t="s">
        <v>1090</v>
      </c>
      <c r="E22" t="s">
        <v>1091</v>
      </c>
      <c r="F22" t="s">
        <v>1092</v>
      </c>
      <c r="I22">
        <v>21</v>
      </c>
      <c r="T22">
        <v>5</v>
      </c>
      <c r="U22">
        <v>1</v>
      </c>
      <c r="V22">
        <v>20</v>
      </c>
      <c r="W22" t="str">
        <f t="shared" si="0"/>
        <v>51</v>
      </c>
      <c r="X22">
        <v>20</v>
      </c>
      <c r="Y22" t="s">
        <v>896</v>
      </c>
    </row>
    <row r="23" spans="4:25">
      <c r="D23" t="s">
        <v>1093</v>
      </c>
      <c r="E23" t="s">
        <v>1094</v>
      </c>
      <c r="I23">
        <v>22</v>
      </c>
      <c r="T23">
        <v>5</v>
      </c>
      <c r="U23">
        <v>2</v>
      </c>
      <c r="V23">
        <v>21</v>
      </c>
      <c r="W23" t="str">
        <f t="shared" si="0"/>
        <v>52</v>
      </c>
      <c r="X23">
        <v>21</v>
      </c>
      <c r="Y23" t="s">
        <v>896</v>
      </c>
    </row>
    <row r="24" spans="4:25">
      <c r="D24" t="s">
        <v>1095</v>
      </c>
      <c r="E24" t="s">
        <v>1096</v>
      </c>
      <c r="I24">
        <v>23</v>
      </c>
      <c r="T24">
        <v>5</v>
      </c>
      <c r="U24">
        <v>3</v>
      </c>
      <c r="V24">
        <v>23</v>
      </c>
      <c r="W24" t="str">
        <f t="shared" si="0"/>
        <v>53</v>
      </c>
      <c r="X24">
        <v>23</v>
      </c>
      <c r="Y24" t="s">
        <v>896</v>
      </c>
    </row>
    <row r="25" spans="4:25">
      <c r="D25" t="s">
        <v>1097</v>
      </c>
      <c r="E25" t="s">
        <v>1098</v>
      </c>
      <c r="I25">
        <v>24</v>
      </c>
      <c r="T25">
        <v>5</v>
      </c>
      <c r="U25">
        <v>4</v>
      </c>
      <c r="V25">
        <v>24</v>
      </c>
      <c r="W25" t="str">
        <f t="shared" si="0"/>
        <v>54</v>
      </c>
      <c r="X25">
        <v>24</v>
      </c>
      <c r="Y25" t="s">
        <v>896</v>
      </c>
    </row>
    <row r="26" spans="4:25">
      <c r="D26" t="s">
        <v>1099</v>
      </c>
      <c r="E26" t="s">
        <v>1100</v>
      </c>
      <c r="I26">
        <v>25</v>
      </c>
      <c r="T26">
        <v>5</v>
      </c>
      <c r="U26">
        <v>5</v>
      </c>
      <c r="V26">
        <v>25</v>
      </c>
      <c r="W26" t="str">
        <f t="shared" si="0"/>
        <v>55</v>
      </c>
      <c r="X26">
        <v>25</v>
      </c>
      <c r="Y26" t="s">
        <v>896</v>
      </c>
    </row>
    <row r="27" spans="4:25">
      <c r="D27" t="s">
        <v>1101</v>
      </c>
      <c r="E27" t="s">
        <v>1102</v>
      </c>
    </row>
    <row r="28" spans="4:25">
      <c r="D28" t="s">
        <v>1103</v>
      </c>
      <c r="E28" t="s">
        <v>1104</v>
      </c>
    </row>
    <row r="29" spans="4:25">
      <c r="D29" t="s">
        <v>1105</v>
      </c>
      <c r="E29" t="s">
        <v>1106</v>
      </c>
    </row>
    <row r="30" spans="4:25">
      <c r="D30" t="s">
        <v>1107</v>
      </c>
      <c r="E30" t="s">
        <v>1108</v>
      </c>
    </row>
    <row r="31" spans="4:25">
      <c r="D31" t="s">
        <v>1109</v>
      </c>
      <c r="E31" t="s">
        <v>1110</v>
      </c>
    </row>
    <row r="32" spans="4:25">
      <c r="D32" t="s">
        <v>1111</v>
      </c>
      <c r="E32" t="s">
        <v>1112</v>
      </c>
    </row>
    <row r="33" spans="4:5">
      <c r="D33" t="s">
        <v>1113</v>
      </c>
      <c r="E33" t="s">
        <v>1114</v>
      </c>
    </row>
    <row r="34" spans="4:5">
      <c r="D34" t="s">
        <v>1115</v>
      </c>
      <c r="E34" t="s">
        <v>1116</v>
      </c>
    </row>
    <row r="35" spans="4:5">
      <c r="D35" t="s">
        <v>1117</v>
      </c>
      <c r="E35" t="s">
        <v>1118</v>
      </c>
    </row>
    <row r="36" spans="4:5">
      <c r="D36" t="s">
        <v>1119</v>
      </c>
      <c r="E36" t="s">
        <v>1120</v>
      </c>
    </row>
    <row r="37" spans="4:5">
      <c r="D37" t="s">
        <v>1121</v>
      </c>
      <c r="E37" t="s">
        <v>1122</v>
      </c>
    </row>
    <row r="38" spans="4:5">
      <c r="D38" t="s">
        <v>1123</v>
      </c>
      <c r="E38" t="s">
        <v>1124</v>
      </c>
    </row>
    <row r="39" spans="4:5">
      <c r="D39" t="s">
        <v>1125</v>
      </c>
      <c r="E39" t="s">
        <v>1126</v>
      </c>
    </row>
    <row r="40" spans="4:5">
      <c r="D40" t="s">
        <v>1127</v>
      </c>
      <c r="E40" t="s">
        <v>1128</v>
      </c>
    </row>
    <row r="41" spans="4:5">
      <c r="D41" t="s">
        <v>1129</v>
      </c>
      <c r="E41" t="s">
        <v>1130</v>
      </c>
    </row>
    <row r="42" spans="4:5">
      <c r="D42" t="s">
        <v>1131</v>
      </c>
      <c r="E42" t="s">
        <v>1132</v>
      </c>
    </row>
    <row r="43" spans="4:5">
      <c r="D43" t="s">
        <v>1133</v>
      </c>
      <c r="E43" t="s">
        <v>1134</v>
      </c>
    </row>
    <row r="44" spans="4:5">
      <c r="D44" t="s">
        <v>1135</v>
      </c>
      <c r="E44" t="s">
        <v>1136</v>
      </c>
    </row>
    <row r="45" spans="4:5">
      <c r="D45" t="s">
        <v>1137</v>
      </c>
      <c r="E45" t="s">
        <v>1138</v>
      </c>
    </row>
    <row r="46" spans="4:5">
      <c r="D46" t="s">
        <v>1139</v>
      </c>
      <c r="E46" t="s">
        <v>1140</v>
      </c>
    </row>
    <row r="47" spans="4:5">
      <c r="D47" t="s">
        <v>1141</v>
      </c>
      <c r="E47" t="s">
        <v>1142</v>
      </c>
    </row>
    <row r="48" spans="4:5">
      <c r="D48" t="s">
        <v>1143</v>
      </c>
      <c r="E48" t="s">
        <v>1144</v>
      </c>
    </row>
    <row r="49" spans="4:5">
      <c r="D49" t="s">
        <v>1145</v>
      </c>
      <c r="E49" t="s">
        <v>1146</v>
      </c>
    </row>
    <row r="50" spans="4:5">
      <c r="D50" t="s">
        <v>1147</v>
      </c>
      <c r="E50" t="s">
        <v>1148</v>
      </c>
    </row>
  </sheetData>
  <sheetProtection algorithmName="SHA-512" hashValue="CLz1Wii0jjVuVUP3/zUj6QDGY+OnRsnbZ4X/y0tY8uywgq4Qw3Wb3B7s1Z5Nzb2L7Mm68q0UxFg288SzMtkOZw==" saltValue="g0r4qWQjzu8UoyFGtIBaQ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C000"/>
  </sheetPr>
  <dimension ref="A2:L18"/>
  <sheetViews>
    <sheetView showGridLines="0" zoomScale="85" zoomScaleNormal="85" workbookViewId="0">
      <selection activeCell="C12" sqref="C12"/>
    </sheetView>
  </sheetViews>
  <sheetFormatPr defaultColWidth="10.77734375" defaultRowHeight="13.2"/>
  <cols>
    <col min="1" max="1" width="4.44140625" style="70" customWidth="1"/>
    <col min="2" max="2" width="6.21875" style="70" customWidth="1"/>
    <col min="3" max="3" width="32.21875" style="67" customWidth="1"/>
    <col min="4" max="4" width="15.77734375" style="67" customWidth="1"/>
    <col min="5" max="16384" width="10.77734375" style="67"/>
  </cols>
  <sheetData>
    <row r="2" spans="1:12" ht="18" customHeight="1" thickBot="1">
      <c r="A2" s="396" t="s">
        <v>13</v>
      </c>
      <c r="B2" s="396"/>
      <c r="C2" s="396"/>
      <c r="D2" s="396"/>
      <c r="E2" s="396"/>
      <c r="F2" s="396"/>
      <c r="G2" s="396"/>
    </row>
    <row r="3" spans="1:12" ht="13.8" thickTop="1">
      <c r="C3" s="69"/>
      <c r="D3" s="69"/>
    </row>
    <row r="4" spans="1:12" ht="15" customHeight="1">
      <c r="B4" s="70">
        <v>1</v>
      </c>
      <c r="C4" s="158" t="s">
        <v>14</v>
      </c>
      <c r="L4" s="68" t="s">
        <v>15</v>
      </c>
    </row>
    <row r="5" spans="1:12" ht="15" customHeight="1">
      <c r="B5" s="70">
        <v>2</v>
      </c>
      <c r="C5" s="158" t="s">
        <v>16</v>
      </c>
      <c r="L5" s="68" t="s">
        <v>17</v>
      </c>
    </row>
    <row r="6" spans="1:12" ht="15" customHeight="1">
      <c r="B6" s="70">
        <v>3</v>
      </c>
      <c r="C6" s="158" t="s">
        <v>18</v>
      </c>
    </row>
    <row r="7" spans="1:12" ht="15" customHeight="1">
      <c r="B7" s="70">
        <v>4</v>
      </c>
      <c r="C7" s="158" t="s">
        <v>19</v>
      </c>
    </row>
    <row r="8" spans="1:12" ht="15" customHeight="1">
      <c r="B8" s="70">
        <v>5</v>
      </c>
      <c r="C8" s="158" t="s">
        <v>20</v>
      </c>
    </row>
    <row r="9" spans="1:12" ht="15" customHeight="1">
      <c r="B9" s="70">
        <v>6</v>
      </c>
      <c r="C9" s="158" t="s">
        <v>21</v>
      </c>
    </row>
    <row r="10" spans="1:12" ht="15" customHeight="1">
      <c r="B10" s="70">
        <v>7</v>
      </c>
      <c r="C10" s="158" t="s">
        <v>22</v>
      </c>
    </row>
    <row r="11" spans="1:12" ht="15" customHeight="1">
      <c r="B11" s="70">
        <v>8</v>
      </c>
      <c r="C11" s="158" t="s">
        <v>23</v>
      </c>
    </row>
    <row r="12" spans="1:12" ht="15" customHeight="1">
      <c r="B12" s="70">
        <v>9</v>
      </c>
      <c r="C12" s="158" t="s">
        <v>24</v>
      </c>
    </row>
    <row r="13" spans="1:12" ht="15" customHeight="1">
      <c r="B13" s="70">
        <v>10</v>
      </c>
      <c r="C13" s="158" t="s">
        <v>25</v>
      </c>
    </row>
    <row r="14" spans="1:12" ht="15" customHeight="1">
      <c r="B14" s="70">
        <v>11</v>
      </c>
      <c r="C14" s="158" t="s">
        <v>26</v>
      </c>
    </row>
    <row r="15" spans="1:12" ht="15" customHeight="1">
      <c r="B15" s="70">
        <v>12</v>
      </c>
      <c r="C15" s="101" t="s">
        <v>27</v>
      </c>
    </row>
    <row r="16" spans="1:12" ht="15" customHeight="1">
      <c r="B16" s="70">
        <v>13</v>
      </c>
      <c r="C16" s="101" t="s">
        <v>28</v>
      </c>
    </row>
    <row r="17" ht="15" customHeight="1"/>
    <row r="18" ht="15" customHeight="1"/>
  </sheetData>
  <mergeCells count="1">
    <mergeCell ref="A2:G2"/>
  </mergeCells>
  <hyperlinks>
    <hyperlink ref="C4" location="'Metrik Strategi Risiko'!A1" display="Format Metrik Strategi Risiko"/>
    <hyperlink ref="C5" location="'Pilihan Sasaran&amp;Strategi Bisnis'!A1" display="Format Pilihan Sasaran&amp;Strategi Bisnis"/>
    <hyperlink ref="C6" location="'Profil Risiko'!A1" display="Format Profil Risiko"/>
    <hyperlink ref="C7" location="'Risiko Inheren Kuantitatif'!A1" display="Format Risiko Inheren Kuantitatif"/>
    <hyperlink ref="C8" location="'Risiko Inheren Kualitatif'!A1" display="Format Risiko Inheren Kualitatif"/>
    <hyperlink ref="C9" location="'Risiko Residual Kuantitatif'!A1" display="Format Risiko Residual Kuantitatif"/>
    <hyperlink ref="C10" location="'Risiko Residual Kualitatif'!A1" display="Format Risiko Residual Kualitatif"/>
    <hyperlink ref="C11" location="'Rencana Perlakuan Risiko'!A1" display="Format Rencana Perlakuan Risiko"/>
    <hyperlink ref="C12" location="Heatmap!A1" display="Format Heatmap"/>
    <hyperlink ref="C13" location="'Kriteria Dampak &amp; Prob.'!A1" display="Kriteria Dampak dan Probabilitas"/>
    <hyperlink ref="C14" location="'Definisi Taksonomi Risiko'!A1" display="Definisi Taksonomi Risiko"/>
    <hyperlink ref="C15" location="'Data Perencanaan Keuangan'!A1" display="Petunjuk Pengisian Data Perencanaan Keuangan pada SIM KBUMN Melalui Platform Anaplan"/>
    <hyperlink ref="C16" location="Ilustrasi!A1" display="Ilustrasi Contoh Perhitungan Ambang Batas Risiko dan Pola Integrasi Risiko"/>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1896A4"/>
  </sheetPr>
  <dimension ref="A1:K30"/>
  <sheetViews>
    <sheetView showGridLines="0" zoomScaleNormal="100" workbookViewId="0">
      <selection activeCell="G15" sqref="G15"/>
    </sheetView>
  </sheetViews>
  <sheetFormatPr defaultColWidth="21.77734375" defaultRowHeight="10.199999999999999"/>
  <cols>
    <col min="1" max="16384" width="21.77734375" style="43"/>
  </cols>
  <sheetData>
    <row r="1" spans="1:11">
      <c r="A1" s="360" t="s">
        <v>29</v>
      </c>
    </row>
    <row r="2" spans="1:11">
      <c r="A2" s="44" t="s">
        <v>30</v>
      </c>
      <c r="B2" s="361"/>
      <c r="C2" s="361"/>
      <c r="D2" s="361"/>
      <c r="E2" s="361"/>
      <c r="F2" s="361"/>
      <c r="G2" s="361"/>
      <c r="H2" s="361"/>
      <c r="I2" s="361"/>
      <c r="J2" s="361"/>
      <c r="K2" s="361"/>
    </row>
    <row r="3" spans="1:11" ht="40.200000000000003" customHeight="1">
      <c r="A3" s="71" t="s">
        <v>31</v>
      </c>
      <c r="B3" s="72" t="s">
        <v>32</v>
      </c>
      <c r="C3" s="72" t="s">
        <v>33</v>
      </c>
      <c r="D3" s="72" t="s">
        <v>34</v>
      </c>
      <c r="E3" s="72" t="s">
        <v>35</v>
      </c>
      <c r="F3" s="361"/>
      <c r="G3" s="361"/>
      <c r="H3" s="361"/>
      <c r="I3" s="361"/>
      <c r="J3" s="361"/>
      <c r="K3" s="361"/>
    </row>
    <row r="4" spans="1:11" ht="42" customHeight="1">
      <c r="A4" s="5" t="s">
        <v>36</v>
      </c>
      <c r="B4" s="3" t="s">
        <v>37</v>
      </c>
      <c r="C4" s="3" t="s">
        <v>37</v>
      </c>
      <c r="D4" s="3" t="s">
        <v>37</v>
      </c>
      <c r="E4" s="3" t="s">
        <v>37</v>
      </c>
      <c r="F4" s="361"/>
      <c r="G4" s="361"/>
      <c r="H4" s="361"/>
      <c r="I4" s="361"/>
      <c r="J4" s="361"/>
      <c r="K4" s="361"/>
    </row>
    <row r="5" spans="1:11" ht="76.5" customHeight="1">
      <c r="A5" s="5" t="s">
        <v>38</v>
      </c>
      <c r="B5" s="51" t="s">
        <v>39</v>
      </c>
      <c r="C5" s="51" t="s">
        <v>40</v>
      </c>
      <c r="D5" s="51" t="s">
        <v>41</v>
      </c>
      <c r="E5" s="51" t="s">
        <v>42</v>
      </c>
      <c r="F5" s="361"/>
      <c r="G5" s="361"/>
      <c r="H5" s="361"/>
      <c r="I5" s="361"/>
      <c r="J5" s="361"/>
      <c r="K5" s="361"/>
    </row>
    <row r="6" spans="1:11" ht="20.399999999999999">
      <c r="A6" s="10" t="s">
        <v>43</v>
      </c>
      <c r="B6" s="8" t="s">
        <v>44</v>
      </c>
      <c r="C6" s="8" t="s">
        <v>44</v>
      </c>
      <c r="D6" s="8" t="s">
        <v>44</v>
      </c>
      <c r="E6" s="8" t="s">
        <v>44</v>
      </c>
      <c r="F6" s="361"/>
      <c r="G6" s="361"/>
      <c r="H6" s="361"/>
      <c r="I6" s="361"/>
      <c r="J6" s="361"/>
      <c r="K6" s="361"/>
    </row>
    <row r="7" spans="1:11" ht="21" customHeight="1">
      <c r="A7" s="5" t="s">
        <v>45</v>
      </c>
      <c r="B7" s="203">
        <f>11108135*10^6</f>
        <v>11108135000000</v>
      </c>
      <c r="C7" s="204">
        <f>3900000*10^6</f>
        <v>3900000000000</v>
      </c>
      <c r="D7" s="205">
        <f>5000000*10^6</f>
        <v>5000000000000</v>
      </c>
      <c r="E7" s="206">
        <f>2200000*10^6</f>
        <v>2200000000000</v>
      </c>
      <c r="F7" s="361"/>
      <c r="G7" s="361"/>
      <c r="H7" s="361"/>
      <c r="I7" s="361"/>
      <c r="J7" s="361"/>
      <c r="K7" s="361"/>
    </row>
    <row r="8" spans="1:11">
      <c r="A8" s="44"/>
      <c r="B8" s="361"/>
      <c r="C8" s="361"/>
      <c r="D8" s="361"/>
      <c r="E8" s="361"/>
      <c r="F8" s="361"/>
      <c r="G8" s="361"/>
      <c r="H8" s="361"/>
      <c r="I8" s="361"/>
      <c r="J8" s="361"/>
      <c r="K8" s="361"/>
    </row>
    <row r="9" spans="1:11">
      <c r="A9" s="44" t="s">
        <v>46</v>
      </c>
      <c r="B9" s="361"/>
      <c r="C9" s="361"/>
      <c r="D9" s="361"/>
      <c r="E9" s="361"/>
      <c r="F9" s="361"/>
      <c r="G9" s="361"/>
      <c r="H9" s="361"/>
      <c r="I9" s="361"/>
      <c r="J9" s="361"/>
      <c r="K9" s="361"/>
    </row>
    <row r="10" spans="1:11" ht="33" customHeight="1">
      <c r="A10" s="71" t="s">
        <v>31</v>
      </c>
      <c r="B10" s="73" t="s">
        <v>47</v>
      </c>
      <c r="C10" s="73" t="s">
        <v>48</v>
      </c>
      <c r="D10" s="73" t="s">
        <v>49</v>
      </c>
      <c r="E10" s="73" t="s">
        <v>50</v>
      </c>
      <c r="F10" s="73" t="s">
        <v>51</v>
      </c>
      <c r="G10" s="73" t="s">
        <v>52</v>
      </c>
      <c r="H10" s="73" t="s">
        <v>53</v>
      </c>
      <c r="I10" s="73" t="s">
        <v>54</v>
      </c>
      <c r="J10" s="73" t="s">
        <v>55</v>
      </c>
      <c r="K10" s="93" t="s">
        <v>56</v>
      </c>
    </row>
    <row r="11" spans="1:11">
      <c r="A11" s="2" t="s">
        <v>36</v>
      </c>
      <c r="B11" s="3" t="s">
        <v>57</v>
      </c>
      <c r="C11" s="3" t="s">
        <v>58</v>
      </c>
      <c r="D11" s="3" t="s">
        <v>59</v>
      </c>
      <c r="E11" s="3" t="s">
        <v>60</v>
      </c>
      <c r="F11" s="3" t="s">
        <v>58</v>
      </c>
      <c r="G11" s="3" t="s">
        <v>60</v>
      </c>
      <c r="H11" s="3" t="s">
        <v>61</v>
      </c>
      <c r="I11" s="3" t="s">
        <v>62</v>
      </c>
      <c r="J11" s="4" t="s">
        <v>63</v>
      </c>
      <c r="K11" s="160" t="s">
        <v>57</v>
      </c>
    </row>
    <row r="12" spans="1:11" s="362" customFormat="1" ht="281.25" hidden="1" customHeight="1">
      <c r="A12" s="5" t="s">
        <v>38</v>
      </c>
      <c r="B12" s="6"/>
      <c r="C12" s="7"/>
      <c r="D12" s="12" t="s">
        <v>64</v>
      </c>
      <c r="E12" s="7" t="s">
        <v>65</v>
      </c>
      <c r="F12" s="7" t="s">
        <v>66</v>
      </c>
      <c r="G12" s="8" t="s">
        <v>67</v>
      </c>
      <c r="H12" s="8" t="s">
        <v>68</v>
      </c>
      <c r="I12" s="8" t="s">
        <v>69</v>
      </c>
      <c r="J12" s="8" t="s">
        <v>70</v>
      </c>
      <c r="K12" s="36" t="s">
        <v>71</v>
      </c>
    </row>
    <row r="13" spans="1:11" s="361" customFormat="1" ht="124.2" hidden="1" customHeight="1">
      <c r="A13" s="10" t="s">
        <v>43</v>
      </c>
      <c r="B13" s="20"/>
      <c r="C13" s="7"/>
      <c r="D13" s="11"/>
      <c r="E13" s="12"/>
      <c r="F13" s="13" t="s">
        <v>72</v>
      </c>
      <c r="G13" s="20"/>
      <c r="H13" s="20"/>
      <c r="I13" s="8" t="s">
        <v>73</v>
      </c>
      <c r="J13" s="8" t="s">
        <v>74</v>
      </c>
      <c r="K13" s="8"/>
    </row>
    <row r="14" spans="1:11" ht="70.95" customHeight="1">
      <c r="A14" s="249" t="s">
        <v>45</v>
      </c>
      <c r="B14" s="14">
        <v>1</v>
      </c>
      <c r="C14" s="15" t="s">
        <v>1115</v>
      </c>
      <c r="D14" s="15" t="str">
        <f>IFERROR(VLOOKUP(C14,Master!$D$2:$E$50,2,0),"")</f>
        <v>PELINDO</v>
      </c>
      <c r="E14" s="186" t="s">
        <v>1150</v>
      </c>
      <c r="F14" s="7" t="s">
        <v>1051</v>
      </c>
      <c r="G14" s="186" t="s">
        <v>1151</v>
      </c>
      <c r="H14" s="14" t="s">
        <v>693</v>
      </c>
      <c r="I14" s="207" t="s">
        <v>1497</v>
      </c>
      <c r="J14" s="14" t="s">
        <v>164</v>
      </c>
      <c r="K14" s="191">
        <v>10</v>
      </c>
    </row>
    <row r="15" spans="1:11" ht="70.95" customHeight="1">
      <c r="A15" s="229"/>
      <c r="B15" s="230">
        <v>2</v>
      </c>
      <c r="C15" s="231" t="s">
        <v>1115</v>
      </c>
      <c r="D15" s="231" t="str">
        <f>IFERROR(VLOOKUP(C15,Master!$D$2:$E$50,2,0),"")</f>
        <v>PELINDO</v>
      </c>
      <c r="E15" s="232" t="s">
        <v>1153</v>
      </c>
      <c r="F15" s="233" t="s">
        <v>1077</v>
      </c>
      <c r="G15" s="234" t="s">
        <v>1152</v>
      </c>
      <c r="H15" s="230" t="s">
        <v>1003</v>
      </c>
      <c r="I15" s="235" t="s">
        <v>1403</v>
      </c>
      <c r="J15" s="230" t="s">
        <v>164</v>
      </c>
      <c r="K15" s="236">
        <v>5</v>
      </c>
    </row>
    <row r="16" spans="1:11" ht="30.6">
      <c r="A16" s="229"/>
      <c r="B16" s="230">
        <v>3</v>
      </c>
      <c r="C16" s="231" t="s">
        <v>1115</v>
      </c>
      <c r="D16" s="231" t="str">
        <f>IFERROR(VLOOKUP(C16,Master!$D$2:$E$50,2,0),"")</f>
        <v>PELINDO</v>
      </c>
      <c r="E16" s="232" t="s">
        <v>1153</v>
      </c>
      <c r="F16" s="233" t="s">
        <v>1077</v>
      </c>
      <c r="G16" s="234" t="s">
        <v>1152</v>
      </c>
      <c r="H16" s="230" t="s">
        <v>1003</v>
      </c>
      <c r="I16" s="235" t="s">
        <v>1404</v>
      </c>
      <c r="J16" s="230" t="s">
        <v>164</v>
      </c>
      <c r="K16" s="236">
        <v>5</v>
      </c>
    </row>
    <row r="17" spans="1:11" ht="30.6">
      <c r="A17" s="229"/>
      <c r="B17" s="230">
        <v>4</v>
      </c>
      <c r="C17" s="231" t="s">
        <v>1115</v>
      </c>
      <c r="D17" s="231" t="str">
        <f>IFERROR(VLOOKUP(C17,Master!$D$2:$E$50,2,0),"")</f>
        <v>PELINDO</v>
      </c>
      <c r="E17" s="232" t="s">
        <v>1153</v>
      </c>
      <c r="F17" s="233" t="s">
        <v>1077</v>
      </c>
      <c r="G17" s="234" t="s">
        <v>1152</v>
      </c>
      <c r="H17" s="230" t="s">
        <v>1003</v>
      </c>
      <c r="I17" s="235" t="s">
        <v>1405</v>
      </c>
      <c r="J17" s="230" t="s">
        <v>164</v>
      </c>
      <c r="K17" s="236">
        <v>5</v>
      </c>
    </row>
    <row r="18" spans="1:11" ht="51">
      <c r="A18" s="229"/>
      <c r="B18" s="230">
        <v>5</v>
      </c>
      <c r="C18" s="231" t="s">
        <v>1115</v>
      </c>
      <c r="D18" s="231" t="str">
        <f>IFERROR(VLOOKUP(C18,Master!$D$2:$E$50,2,0),"")</f>
        <v>PELINDO</v>
      </c>
      <c r="E18" s="232" t="s">
        <v>1153</v>
      </c>
      <c r="F18" s="233" t="s">
        <v>1077</v>
      </c>
      <c r="G18" s="237" t="s">
        <v>1154</v>
      </c>
      <c r="H18" s="230" t="s">
        <v>693</v>
      </c>
      <c r="I18" s="235" t="s">
        <v>1498</v>
      </c>
      <c r="J18" s="230" t="s">
        <v>164</v>
      </c>
      <c r="K18" s="238">
        <v>30</v>
      </c>
    </row>
    <row r="19" spans="1:11" ht="40.799999999999997">
      <c r="A19" s="20"/>
      <c r="B19" s="14">
        <v>6</v>
      </c>
      <c r="C19" s="15" t="s">
        <v>1115</v>
      </c>
      <c r="D19" s="15" t="str">
        <f>IFERROR(VLOOKUP(C19,Master!$D$2:$E$50,2,0),"")</f>
        <v>PELINDO</v>
      </c>
      <c r="E19" s="186" t="s">
        <v>1178</v>
      </c>
      <c r="F19" s="7" t="s">
        <v>1056</v>
      </c>
      <c r="G19" s="194" t="s">
        <v>1155</v>
      </c>
      <c r="H19" s="14" t="s">
        <v>1003</v>
      </c>
      <c r="I19" s="207" t="s">
        <v>1499</v>
      </c>
      <c r="J19" s="191" t="s">
        <v>1500</v>
      </c>
      <c r="K19" s="191">
        <v>200</v>
      </c>
    </row>
    <row r="20" spans="1:11" ht="40.799999999999997">
      <c r="A20" s="20"/>
      <c r="B20" s="14">
        <v>7</v>
      </c>
      <c r="C20" s="15" t="s">
        <v>1115</v>
      </c>
      <c r="D20" s="15" t="str">
        <f>IFERROR(VLOOKUP(C20,Master!$D$2:$E$50,2,0),"")</f>
        <v>PELINDO</v>
      </c>
      <c r="E20" s="186" t="s">
        <v>1158</v>
      </c>
      <c r="F20" s="7" t="s">
        <v>1061</v>
      </c>
      <c r="G20" s="193" t="s">
        <v>1159</v>
      </c>
      <c r="H20" s="14" t="s">
        <v>992</v>
      </c>
      <c r="I20" s="207" t="s">
        <v>1501</v>
      </c>
      <c r="J20" s="14" t="s">
        <v>164</v>
      </c>
      <c r="K20" s="186">
        <v>1</v>
      </c>
    </row>
    <row r="21" spans="1:11" ht="51">
      <c r="A21" s="20"/>
      <c r="B21" s="14">
        <v>8</v>
      </c>
      <c r="C21" s="15" t="s">
        <v>1115</v>
      </c>
      <c r="D21" s="15" t="str">
        <f>IFERROR(VLOOKUP(C21,Master!$D$2:$E$50,2,0),"")</f>
        <v>PELINDO</v>
      </c>
      <c r="E21" s="186" t="s">
        <v>1173</v>
      </c>
      <c r="F21" s="7" t="s">
        <v>1068</v>
      </c>
      <c r="G21" s="193" t="s">
        <v>1172</v>
      </c>
      <c r="H21" s="14" t="s">
        <v>693</v>
      </c>
      <c r="I21" s="207" t="s">
        <v>1502</v>
      </c>
      <c r="J21" s="14" t="s">
        <v>164</v>
      </c>
      <c r="K21" s="191">
        <v>30</v>
      </c>
    </row>
    <row r="22" spans="1:11" ht="51">
      <c r="A22" s="20"/>
      <c r="B22" s="14">
        <v>9</v>
      </c>
      <c r="C22" s="15" t="s">
        <v>1115</v>
      </c>
      <c r="D22" s="15" t="str">
        <f>IFERROR(VLOOKUP(C22,Master!$D$2:$E$50,2,0),"")</f>
        <v>PELINDO</v>
      </c>
      <c r="E22" s="186" t="s">
        <v>654</v>
      </c>
      <c r="F22" s="7" t="s">
        <v>1061</v>
      </c>
      <c r="G22" s="193" t="s">
        <v>1363</v>
      </c>
      <c r="H22" s="14" t="s">
        <v>992</v>
      </c>
      <c r="I22" s="207" t="s">
        <v>1364</v>
      </c>
      <c r="J22" s="14" t="s">
        <v>164</v>
      </c>
      <c r="K22" s="191">
        <v>90</v>
      </c>
    </row>
    <row r="23" spans="1:11" ht="40.799999999999997">
      <c r="A23" s="20"/>
      <c r="B23" s="14">
        <v>10</v>
      </c>
      <c r="C23" s="15" t="s">
        <v>1115</v>
      </c>
      <c r="D23" s="15" t="str">
        <f>IFERROR(VLOOKUP(C23,Master!$D$2:$E$50,2,0),"")</f>
        <v>PELINDO</v>
      </c>
      <c r="E23" s="186" t="s">
        <v>1156</v>
      </c>
      <c r="F23" s="7" t="s">
        <v>1039</v>
      </c>
      <c r="G23" s="193" t="s">
        <v>1157</v>
      </c>
      <c r="H23" s="14" t="s">
        <v>693</v>
      </c>
      <c r="I23" s="207" t="s">
        <v>1497</v>
      </c>
      <c r="J23" s="14" t="s">
        <v>164</v>
      </c>
      <c r="K23" s="191">
        <v>10</v>
      </c>
    </row>
    <row r="24" spans="1:11" ht="61.2">
      <c r="A24" s="20"/>
      <c r="B24" s="14">
        <v>11</v>
      </c>
      <c r="C24" s="15" t="s">
        <v>1115</v>
      </c>
      <c r="D24" s="15" t="str">
        <f>IFERROR(VLOOKUP(C24,Master!$D$2:$E$50,2,0),"")</f>
        <v>PELINDO</v>
      </c>
      <c r="E24" s="186" t="s">
        <v>1160</v>
      </c>
      <c r="F24" s="7" t="s">
        <v>1074</v>
      </c>
      <c r="G24" s="192" t="s">
        <v>1161</v>
      </c>
      <c r="H24" s="14" t="s">
        <v>980</v>
      </c>
      <c r="I24" s="207" t="s">
        <v>1177</v>
      </c>
      <c r="J24" s="14" t="s">
        <v>164</v>
      </c>
      <c r="K24" s="220">
        <v>90</v>
      </c>
    </row>
    <row r="25" spans="1:11" ht="51">
      <c r="A25" s="20"/>
      <c r="B25" s="14">
        <v>12</v>
      </c>
      <c r="C25" s="15" t="s">
        <v>1115</v>
      </c>
      <c r="D25" s="15" t="str">
        <f>IFERROR(VLOOKUP(C25,Master!$D$2:$E$50,2,0),"")</f>
        <v>PELINDO</v>
      </c>
      <c r="E25" s="186" t="s">
        <v>1162</v>
      </c>
      <c r="F25" s="7" t="s">
        <v>1071</v>
      </c>
      <c r="G25" s="50" t="s">
        <v>1163</v>
      </c>
      <c r="H25" s="14" t="s">
        <v>980</v>
      </c>
      <c r="I25" s="207" t="s">
        <v>1503</v>
      </c>
      <c r="J25" s="14" t="s">
        <v>164</v>
      </c>
      <c r="K25" s="193">
        <v>100</v>
      </c>
    </row>
    <row r="26" spans="1:11" ht="40.799999999999997">
      <c r="A26" s="20"/>
      <c r="B26" s="14">
        <v>13</v>
      </c>
      <c r="C26" s="15" t="s">
        <v>1115</v>
      </c>
      <c r="D26" s="15" t="str">
        <f>IFERROR(VLOOKUP(C26,Master!$D$2:$E$50,2,0),"")</f>
        <v>PELINDO</v>
      </c>
      <c r="E26" s="186" t="s">
        <v>1164</v>
      </c>
      <c r="F26" s="7" t="s">
        <v>1077</v>
      </c>
      <c r="G26" s="193" t="s">
        <v>1165</v>
      </c>
      <c r="H26" s="14" t="s">
        <v>980</v>
      </c>
      <c r="I26" s="207" t="s">
        <v>1166</v>
      </c>
      <c r="J26" s="14" t="s">
        <v>164</v>
      </c>
      <c r="K26" s="191">
        <v>90</v>
      </c>
    </row>
    <row r="27" spans="1:11" ht="51">
      <c r="A27" s="20"/>
      <c r="B27" s="14">
        <v>14</v>
      </c>
      <c r="C27" s="15" t="s">
        <v>1115</v>
      </c>
      <c r="D27" s="15" t="str">
        <f>IFERROR(VLOOKUP(C27,Master!$D$2:$E$50,2,0),"")</f>
        <v>PELINDO</v>
      </c>
      <c r="E27" s="186" t="s">
        <v>1167</v>
      </c>
      <c r="F27" s="7" t="s">
        <v>1013</v>
      </c>
      <c r="G27" s="195" t="s">
        <v>1168</v>
      </c>
      <c r="H27" s="14" t="s">
        <v>1003</v>
      </c>
      <c r="I27" s="207" t="s">
        <v>1176</v>
      </c>
      <c r="J27" s="14" t="s">
        <v>164</v>
      </c>
      <c r="K27" s="191">
        <v>90</v>
      </c>
    </row>
    <row r="28" spans="1:11" ht="51">
      <c r="A28" s="20"/>
      <c r="B28" s="14">
        <v>15</v>
      </c>
      <c r="C28" s="15" t="s">
        <v>1115</v>
      </c>
      <c r="D28" s="15" t="str">
        <f>IFERROR(VLOOKUP(C28,Master!$D$2:$E$50,2,0),"")</f>
        <v>PELINDO</v>
      </c>
      <c r="E28" s="186" t="s">
        <v>1169</v>
      </c>
      <c r="F28" s="7" t="s">
        <v>1065</v>
      </c>
      <c r="G28" s="193" t="s">
        <v>1170</v>
      </c>
      <c r="H28" s="14" t="s">
        <v>980</v>
      </c>
      <c r="I28" s="207" t="s">
        <v>1171</v>
      </c>
      <c r="J28" s="14" t="s">
        <v>164</v>
      </c>
      <c r="K28" s="191">
        <v>95</v>
      </c>
    </row>
    <row r="29" spans="1:11" ht="51">
      <c r="A29" s="20"/>
      <c r="B29" s="14">
        <v>16</v>
      </c>
      <c r="C29" s="15" t="s">
        <v>1115</v>
      </c>
      <c r="D29" s="15" t="str">
        <f>IFERROR(VLOOKUP(C29,Master!$D$2:$E$50,2,0),"")</f>
        <v>PELINDO</v>
      </c>
      <c r="E29" s="202" t="s">
        <v>1174</v>
      </c>
      <c r="F29" s="7" t="s">
        <v>1077</v>
      </c>
      <c r="G29" s="50" t="s">
        <v>1175</v>
      </c>
      <c r="H29" s="14" t="s">
        <v>992</v>
      </c>
      <c r="I29" s="207" t="s">
        <v>1504</v>
      </c>
      <c r="J29" s="14" t="s">
        <v>164</v>
      </c>
      <c r="K29" s="220">
        <v>90</v>
      </c>
    </row>
    <row r="30" spans="1:11" ht="30.6">
      <c r="A30" s="20"/>
      <c r="B30" s="14">
        <v>17</v>
      </c>
      <c r="C30" s="231" t="s">
        <v>1115</v>
      </c>
      <c r="D30" s="231" t="str">
        <f>IFERROR(VLOOKUP(C30,Master!$D$2:$E$50,2,0),"")</f>
        <v>PELINDO</v>
      </c>
      <c r="E30" s="232" t="s">
        <v>1153</v>
      </c>
      <c r="F30" s="233" t="s">
        <v>1077</v>
      </c>
      <c r="G30" s="234" t="s">
        <v>1152</v>
      </c>
      <c r="H30" s="230" t="s">
        <v>693</v>
      </c>
      <c r="I30" s="235" t="s">
        <v>1415</v>
      </c>
      <c r="J30" s="230" t="s">
        <v>164</v>
      </c>
      <c r="K30" s="236">
        <v>50</v>
      </c>
    </row>
  </sheetData>
  <conditionalFormatting sqref="J11">
    <cfRule type="cellIs" dxfId="45" priority="1" operator="equal">
      <formula>1</formula>
    </cfRule>
  </conditionalFormatting>
  <hyperlinks>
    <hyperlink ref="A1" location="'Daftar Isi'!A1" display="Kembali ke Daftar Isi"/>
  </hyperlink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Master!$D$2:$D$50</xm:f>
          </x14:formula1>
          <xm:sqref>C14:C30</xm:sqref>
        </x14:dataValidation>
        <x14:dataValidation type="list" allowBlank="1" showInputMessage="1" showErrorMessage="1">
          <x14:formula1>
            <xm:f>Master!$F$2:$F$22</xm:f>
          </x14:formula1>
          <xm:sqref>F14:F30</xm:sqref>
        </x14:dataValidation>
        <x14:dataValidation type="list" allowBlank="1" showInputMessage="1" showErrorMessage="1">
          <x14:formula1>
            <xm:f>[1]Master!#REF!</xm:f>
          </x14:formula1>
          <xm:sqref>H14:H30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1896A4"/>
  </sheetPr>
  <dimension ref="A1:H22"/>
  <sheetViews>
    <sheetView showGridLines="0" zoomScale="115" zoomScaleNormal="115" workbookViewId="0">
      <pane xSplit="2" ySplit="3" topLeftCell="C10" activePane="bottomRight" state="frozen"/>
      <selection pane="topRight" activeCell="C1" sqref="C1"/>
      <selection pane="bottomLeft" activeCell="A4" sqref="A4"/>
      <selection pane="bottomRight" activeCell="G23" sqref="G23"/>
    </sheetView>
  </sheetViews>
  <sheetFormatPr defaultColWidth="11.44140625" defaultRowHeight="14.4"/>
  <cols>
    <col min="1" max="1" width="12.77734375" customWidth="1"/>
    <col min="2" max="2" width="6.21875" customWidth="1"/>
    <col min="3" max="3" width="33.44140625" customWidth="1"/>
    <col min="4" max="4" width="49.21875" style="95" customWidth="1"/>
    <col min="5" max="5" width="30.5546875" bestFit="1" customWidth="1"/>
    <col min="6" max="6" width="31.21875" style="223" customWidth="1"/>
    <col min="7" max="7" width="28.77734375" customWidth="1"/>
    <col min="8" max="8" width="34.21875" customWidth="1"/>
  </cols>
  <sheetData>
    <row r="1" spans="1:8">
      <c r="A1" s="102" t="s">
        <v>29</v>
      </c>
    </row>
    <row r="2" spans="1:8" ht="33" customHeight="1">
      <c r="A2" s="73" t="s">
        <v>31</v>
      </c>
      <c r="B2" s="72" t="s">
        <v>75</v>
      </c>
      <c r="C2" s="72" t="s">
        <v>76</v>
      </c>
      <c r="D2" s="72" t="s">
        <v>77</v>
      </c>
      <c r="E2" s="72" t="s">
        <v>78</v>
      </c>
      <c r="F2" s="224" t="s">
        <v>79</v>
      </c>
      <c r="G2" s="72" t="s">
        <v>80</v>
      </c>
      <c r="H2" s="72" t="s">
        <v>81</v>
      </c>
    </row>
    <row r="3" spans="1:8" ht="13.95" customHeight="1">
      <c r="A3" s="5" t="s">
        <v>36</v>
      </c>
      <c r="B3" s="3" t="s">
        <v>57</v>
      </c>
      <c r="C3" s="3" t="s">
        <v>60</v>
      </c>
      <c r="D3" s="3" t="s">
        <v>60</v>
      </c>
      <c r="E3" s="3" t="s">
        <v>60</v>
      </c>
      <c r="F3" s="225" t="s">
        <v>60</v>
      </c>
      <c r="G3" s="3" t="s">
        <v>60</v>
      </c>
      <c r="H3" s="3" t="s">
        <v>58</v>
      </c>
    </row>
    <row r="4" spans="1:8" ht="81.599999999999994">
      <c r="A4" s="5" t="s">
        <v>38</v>
      </c>
      <c r="B4" s="8"/>
      <c r="C4" s="8" t="s">
        <v>82</v>
      </c>
      <c r="D4" s="8" t="s">
        <v>83</v>
      </c>
      <c r="E4" s="8" t="s">
        <v>84</v>
      </c>
      <c r="F4" s="226" t="s">
        <v>85</v>
      </c>
      <c r="G4" s="8" t="s">
        <v>86</v>
      </c>
      <c r="H4" s="8" t="s">
        <v>87</v>
      </c>
    </row>
    <row r="5" spans="1:8" ht="144.75" customHeight="1">
      <c r="A5" s="10" t="s">
        <v>43</v>
      </c>
      <c r="B5" s="8"/>
      <c r="C5" s="8" t="s">
        <v>88</v>
      </c>
      <c r="D5" s="8" t="s">
        <v>89</v>
      </c>
      <c r="E5" s="8" t="s">
        <v>44</v>
      </c>
      <c r="F5" s="226" t="s">
        <v>44</v>
      </c>
      <c r="G5" s="8"/>
      <c r="H5" s="49" t="s">
        <v>90</v>
      </c>
    </row>
    <row r="6" spans="1:8" ht="40.950000000000003" customHeight="1">
      <c r="A6" s="397" t="s">
        <v>91</v>
      </c>
      <c r="B6" s="398"/>
      <c r="C6" s="161" t="s">
        <v>92</v>
      </c>
      <c r="D6" s="161"/>
      <c r="E6" s="398" t="s">
        <v>93</v>
      </c>
      <c r="F6" s="399" t="s">
        <v>94</v>
      </c>
      <c r="G6" s="398" t="s">
        <v>95</v>
      </c>
      <c r="H6" s="51" t="s">
        <v>96</v>
      </c>
    </row>
    <row r="7" spans="1:8" ht="40.950000000000003" customHeight="1">
      <c r="A7" s="397"/>
      <c r="B7" s="398"/>
      <c r="C7" s="400"/>
      <c r="D7" s="161" t="s">
        <v>97</v>
      </c>
      <c r="E7" s="398"/>
      <c r="F7" s="399"/>
      <c r="G7" s="398"/>
      <c r="H7" s="51" t="s">
        <v>98</v>
      </c>
    </row>
    <row r="8" spans="1:8" ht="40.950000000000003" customHeight="1">
      <c r="A8" s="397"/>
      <c r="B8" s="398"/>
      <c r="C8" s="400"/>
      <c r="D8" s="161" t="s">
        <v>99</v>
      </c>
      <c r="E8" s="398"/>
      <c r="F8" s="399"/>
      <c r="G8" s="398"/>
      <c r="H8" s="51" t="s">
        <v>96</v>
      </c>
    </row>
    <row r="9" spans="1:8" ht="37.200000000000003" hidden="1" customHeight="1">
      <c r="A9" s="5" t="s">
        <v>45</v>
      </c>
      <c r="B9" s="64"/>
      <c r="C9" s="62"/>
      <c r="D9" s="36"/>
      <c r="E9" s="63"/>
      <c r="F9" s="227"/>
      <c r="G9" s="63"/>
      <c r="H9" s="63"/>
    </row>
    <row r="10" spans="1:8" ht="71.400000000000006">
      <c r="A10" s="5" t="s">
        <v>45</v>
      </c>
      <c r="B10" s="50">
        <v>1</v>
      </c>
      <c r="C10" s="188" t="s">
        <v>1179</v>
      </c>
      <c r="D10" s="51" t="s">
        <v>1200</v>
      </c>
      <c r="E10" s="208" t="s">
        <v>1201</v>
      </c>
      <c r="F10" s="208">
        <f>'Risiko Residual Kuantitatif'!AH9</f>
        <v>147975000000</v>
      </c>
      <c r="G10" s="242">
        <v>0.1</v>
      </c>
      <c r="H10" s="51" t="s">
        <v>96</v>
      </c>
    </row>
    <row r="11" spans="1:8" ht="51">
      <c r="A11" s="96"/>
      <c r="B11" s="50">
        <v>2</v>
      </c>
      <c r="C11" s="188" t="s">
        <v>1399</v>
      </c>
      <c r="D11" s="51" t="s">
        <v>1190</v>
      </c>
      <c r="E11" s="208" t="s">
        <v>1395</v>
      </c>
      <c r="F11" s="208">
        <f>'Risiko Residual Kuantitatif'!AH10</f>
        <v>243879124999.99997</v>
      </c>
      <c r="G11" s="242">
        <v>0.05</v>
      </c>
      <c r="H11" s="51" t="s">
        <v>96</v>
      </c>
    </row>
    <row r="12" spans="1:8" ht="102">
      <c r="A12" s="96"/>
      <c r="B12" s="50">
        <v>3</v>
      </c>
      <c r="C12" s="196" t="s">
        <v>1400</v>
      </c>
      <c r="D12" s="51" t="s">
        <v>1191</v>
      </c>
      <c r="E12" s="208" t="s">
        <v>1396</v>
      </c>
      <c r="F12" s="208">
        <f>'Risiko Residual Kuantitatif'!AH11</f>
        <v>576965959000</v>
      </c>
      <c r="G12" s="242">
        <v>0.05</v>
      </c>
      <c r="H12" s="51" t="s">
        <v>96</v>
      </c>
    </row>
    <row r="13" spans="1:8" ht="71.400000000000006">
      <c r="A13" s="96"/>
      <c r="B13" s="50">
        <v>4</v>
      </c>
      <c r="C13" s="196" t="s">
        <v>1401</v>
      </c>
      <c r="D13" s="51" t="s">
        <v>1192</v>
      </c>
      <c r="E13" s="208" t="s">
        <v>1397</v>
      </c>
      <c r="F13" s="208">
        <f>'Risiko Residual Kuantitatif'!AH12</f>
        <v>128212326000</v>
      </c>
      <c r="G13" s="242">
        <v>0.05</v>
      </c>
      <c r="H13" s="51" t="s">
        <v>96</v>
      </c>
    </row>
    <row r="14" spans="1:8" ht="30.6">
      <c r="A14" s="96"/>
      <c r="B14" s="50">
        <v>5</v>
      </c>
      <c r="C14" s="196" t="s">
        <v>1402</v>
      </c>
      <c r="D14" s="51" t="s">
        <v>1193</v>
      </c>
      <c r="E14" s="208" t="s">
        <v>1398</v>
      </c>
      <c r="F14" s="208">
        <f>'Risiko Residual Kuantitatif'!AH13</f>
        <v>62985300000.000015</v>
      </c>
      <c r="G14" s="242">
        <v>0.05</v>
      </c>
      <c r="H14" s="51" t="s">
        <v>96</v>
      </c>
    </row>
    <row r="15" spans="1:8" ht="30.6">
      <c r="A15" s="96"/>
      <c r="B15" s="50">
        <v>6</v>
      </c>
      <c r="C15" s="188" t="s">
        <v>1184</v>
      </c>
      <c r="D15" s="51" t="s">
        <v>1378</v>
      </c>
      <c r="E15" s="209" t="s">
        <v>1377</v>
      </c>
      <c r="F15" s="208">
        <f>'Risiko Residual Kuantitatif'!AH14+'Risiko Residual Kuantitatif'!AH15+'Risiko Residual Kuantitatif'!AH17</f>
        <v>187259419196.14001</v>
      </c>
      <c r="G15" s="242">
        <v>0.78</v>
      </c>
      <c r="H15" s="51" t="s">
        <v>96</v>
      </c>
    </row>
    <row r="16" spans="1:8" ht="20.399999999999999">
      <c r="A16" s="96"/>
      <c r="B16" s="50">
        <v>7</v>
      </c>
      <c r="C16" s="188" t="s">
        <v>1185</v>
      </c>
      <c r="D16" s="51" t="s">
        <v>1194</v>
      </c>
      <c r="E16" s="187" t="s">
        <v>1202</v>
      </c>
      <c r="F16" s="208">
        <f>'Risiko Residual Kualitatif'!AH10</f>
        <v>13200000000</v>
      </c>
      <c r="G16" s="242">
        <v>0.9</v>
      </c>
      <c r="H16" s="51" t="s">
        <v>96</v>
      </c>
    </row>
    <row r="17" spans="1:8" ht="20.399999999999999">
      <c r="A17" s="96"/>
      <c r="B17" s="50">
        <v>8</v>
      </c>
      <c r="C17" s="188" t="s">
        <v>1186</v>
      </c>
      <c r="D17" s="51" t="s">
        <v>1195</v>
      </c>
      <c r="E17" s="187" t="s">
        <v>1202</v>
      </c>
      <c r="F17" s="208">
        <f>'Risiko Residual Kualitatif'!AH11</f>
        <v>19800000000</v>
      </c>
      <c r="G17" s="242">
        <v>0.5</v>
      </c>
      <c r="H17" s="51" t="s">
        <v>96</v>
      </c>
    </row>
    <row r="18" spans="1:8">
      <c r="A18" s="96"/>
      <c r="B18" s="50">
        <v>9</v>
      </c>
      <c r="C18" s="188" t="s">
        <v>1187</v>
      </c>
      <c r="D18" s="51" t="s">
        <v>1196</v>
      </c>
      <c r="E18" s="187" t="s">
        <v>1202</v>
      </c>
      <c r="F18" s="208">
        <f>'Risiko Residual Kualitatif'!AH12</f>
        <v>8800000000</v>
      </c>
      <c r="G18" s="242">
        <v>0.9</v>
      </c>
      <c r="H18" s="51" t="s">
        <v>96</v>
      </c>
    </row>
    <row r="19" spans="1:8" ht="30.6">
      <c r="A19" s="96"/>
      <c r="B19" s="50">
        <v>10</v>
      </c>
      <c r="C19" s="189" t="s">
        <v>1188</v>
      </c>
      <c r="D19" s="51" t="s">
        <v>1197</v>
      </c>
      <c r="E19" s="197" t="s">
        <v>1202</v>
      </c>
      <c r="F19" s="208">
        <f>'Risiko Residual Kualitatif'!AH13</f>
        <v>13200000000</v>
      </c>
      <c r="G19" s="242">
        <v>0.9</v>
      </c>
      <c r="H19" s="51" t="s">
        <v>96</v>
      </c>
    </row>
    <row r="20" spans="1:8" ht="30.6">
      <c r="A20" s="96"/>
      <c r="B20" s="50">
        <v>11</v>
      </c>
      <c r="C20" s="161" t="s">
        <v>1189</v>
      </c>
      <c r="D20" s="51" t="s">
        <v>1198</v>
      </c>
      <c r="E20" s="8" t="s">
        <v>1202</v>
      </c>
      <c r="F20" s="208">
        <f>'Risiko Residual Kualitatif'!AH14</f>
        <v>13200000000</v>
      </c>
      <c r="G20" s="242">
        <v>0.95</v>
      </c>
      <c r="H20" s="51" t="s">
        <v>96</v>
      </c>
    </row>
    <row r="21" spans="1:8" ht="20.399999999999999">
      <c r="A21" s="96"/>
      <c r="B21" s="50">
        <v>12</v>
      </c>
      <c r="C21" s="161" t="s">
        <v>1184</v>
      </c>
      <c r="D21" s="51" t="s">
        <v>1199</v>
      </c>
      <c r="E21" s="8" t="s">
        <v>1203</v>
      </c>
      <c r="F21" s="208">
        <v>12000000000</v>
      </c>
      <c r="G21" s="242">
        <v>0.7</v>
      </c>
      <c r="H21" s="51" t="s">
        <v>96</v>
      </c>
    </row>
    <row r="22" spans="1:8" ht="30.6">
      <c r="A22" s="96"/>
      <c r="B22" s="50">
        <v>13</v>
      </c>
      <c r="C22" s="161" t="s">
        <v>1407</v>
      </c>
      <c r="D22" s="51" t="s">
        <v>1406</v>
      </c>
      <c r="E22" s="8" t="s">
        <v>1417</v>
      </c>
      <c r="F22" s="208">
        <f>'Risiko Residual Kuantitatif'!AH18</f>
        <v>60880000000</v>
      </c>
      <c r="G22" s="242">
        <v>0.05</v>
      </c>
      <c r="H22" s="51" t="s">
        <v>96</v>
      </c>
    </row>
  </sheetData>
  <mergeCells count="6">
    <mergeCell ref="A6:A8"/>
    <mergeCell ref="B6:B8"/>
    <mergeCell ref="E6:E8"/>
    <mergeCell ref="F6:F8"/>
    <mergeCell ref="G6:G8"/>
    <mergeCell ref="C7:C8"/>
  </mergeCells>
  <conditionalFormatting sqref="E10:E15">
    <cfRule type="expression" dxfId="44" priority="7">
      <formula>$U10="kualitatif"</formula>
    </cfRule>
  </conditionalFormatting>
  <conditionalFormatting sqref="F10:G22">
    <cfRule type="expression" dxfId="43" priority="1">
      <formula>$U10="kualitatif"</formula>
    </cfRule>
  </conditionalFormatting>
  <hyperlinks>
    <hyperlink ref="A1" location="'Daftar Isi'!A1" display="Kembali ke Daftar Isi"/>
  </hyperlinks>
  <pageMargins left="0.7" right="0.7" top="0.75" bottom="0.75" header="0.3" footer="0.3"/>
  <pageSetup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Master!$M$2:$M$3</xm:f>
          </x14:formula1>
          <xm:sqref>H6:H22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filterMode="1">
    <tabColor rgb="FF1896A4"/>
  </sheetPr>
  <dimension ref="A1:BI23"/>
  <sheetViews>
    <sheetView showGridLines="0" zoomScale="70" zoomScaleNormal="70" workbookViewId="0">
      <pane xSplit="10" ySplit="3" topLeftCell="K16" activePane="bottomRight" state="frozen"/>
      <selection pane="topRight" activeCell="K1" sqref="K1"/>
      <selection pane="bottomLeft" activeCell="A4" sqref="A4"/>
      <selection pane="bottomRight" activeCell="F1" sqref="C1:F1048576"/>
    </sheetView>
  </sheetViews>
  <sheetFormatPr defaultColWidth="9" defaultRowHeight="13.8"/>
  <cols>
    <col min="1" max="1" width="9.21875" style="27" customWidth="1"/>
    <col min="2" max="2" width="5.44140625" style="27" customWidth="1"/>
    <col min="3" max="3" width="11.44140625" style="27" hidden="1" customWidth="1"/>
    <col min="4" max="4" width="8.77734375" style="27" hidden="1" customWidth="1"/>
    <col min="5" max="5" width="22.77734375" style="27" hidden="1" customWidth="1"/>
    <col min="6" max="6" width="13.77734375" style="27" hidden="1" customWidth="1"/>
    <col min="7" max="7" width="22.21875" style="27" customWidth="1"/>
    <col min="8" max="8" width="29.77734375" style="27" hidden="1" customWidth="1"/>
    <col min="9" max="9" width="11.77734375" style="27" customWidth="1"/>
    <col min="10" max="10" width="20" style="27" customWidth="1"/>
    <col min="11" max="11" width="32.5546875" style="27" customWidth="1"/>
    <col min="12" max="12" width="10.21875" style="27" customWidth="1"/>
    <col min="13" max="13" width="10.21875" style="28" customWidth="1"/>
    <col min="14" max="14" width="32.77734375" style="29" customWidth="1"/>
    <col min="15" max="15" width="18.77734375" style="42" customWidth="1"/>
    <col min="16" max="19" width="9.77734375" style="42" customWidth="1"/>
    <col min="20" max="20" width="32.77734375" style="29" customWidth="1"/>
    <col min="21" max="21" width="29.21875" style="29" customWidth="1"/>
    <col min="22" max="22" width="18.21875" style="27" customWidth="1"/>
    <col min="23" max="23" width="19.21875" style="27" customWidth="1"/>
    <col min="24" max="24" width="34.77734375" style="27" customWidth="1"/>
    <col min="25" max="25" width="18.21875" style="1" customWidth="1"/>
    <col min="26" max="61" width="9" style="26"/>
    <col min="62" max="16384" width="9" style="27"/>
  </cols>
  <sheetData>
    <row r="1" spans="1:25">
      <c r="A1" s="168" t="s">
        <v>29</v>
      </c>
    </row>
    <row r="2" spans="1:25" s="21" customFormat="1" ht="10.199999999999999">
      <c r="A2" s="402" t="s">
        <v>31</v>
      </c>
      <c r="B2" s="402" t="s">
        <v>47</v>
      </c>
      <c r="C2" s="402" t="s">
        <v>48</v>
      </c>
      <c r="D2" s="402" t="s">
        <v>49</v>
      </c>
      <c r="E2" s="402" t="s">
        <v>100</v>
      </c>
      <c r="F2" s="402" t="s">
        <v>101</v>
      </c>
      <c r="G2" s="402" t="s">
        <v>50</v>
      </c>
      <c r="H2" s="402" t="s">
        <v>51</v>
      </c>
      <c r="I2" s="402" t="s">
        <v>102</v>
      </c>
      <c r="J2" s="402" t="s">
        <v>103</v>
      </c>
      <c r="K2" s="402" t="s">
        <v>104</v>
      </c>
      <c r="L2" s="402" t="s">
        <v>105</v>
      </c>
      <c r="M2" s="401" t="s">
        <v>106</v>
      </c>
      <c r="N2" s="402" t="s">
        <v>107</v>
      </c>
      <c r="O2" s="403" t="s">
        <v>108</v>
      </c>
      <c r="P2" s="403" t="s">
        <v>109</v>
      </c>
      <c r="Q2" s="403" t="s">
        <v>110</v>
      </c>
      <c r="R2" s="403"/>
      <c r="S2" s="403"/>
      <c r="T2" s="402" t="s">
        <v>111</v>
      </c>
      <c r="U2" s="404" t="s">
        <v>112</v>
      </c>
      <c r="V2" s="402" t="s">
        <v>113</v>
      </c>
      <c r="W2" s="402" t="s">
        <v>114</v>
      </c>
      <c r="X2" s="402" t="s">
        <v>115</v>
      </c>
      <c r="Y2" s="402" t="s">
        <v>116</v>
      </c>
    </row>
    <row r="3" spans="1:25" s="21" customFormat="1" ht="10.199999999999999">
      <c r="A3" s="402"/>
      <c r="B3" s="402"/>
      <c r="C3" s="402"/>
      <c r="D3" s="402"/>
      <c r="E3" s="402"/>
      <c r="F3" s="402"/>
      <c r="G3" s="402"/>
      <c r="H3" s="402"/>
      <c r="I3" s="402"/>
      <c r="J3" s="402"/>
      <c r="K3" s="402"/>
      <c r="L3" s="402"/>
      <c r="M3" s="401"/>
      <c r="N3" s="402"/>
      <c r="O3" s="403"/>
      <c r="P3" s="403"/>
      <c r="Q3" s="65" t="s">
        <v>117</v>
      </c>
      <c r="R3" s="32" t="s">
        <v>118</v>
      </c>
      <c r="S3" s="66" t="s">
        <v>119</v>
      </c>
      <c r="T3" s="402"/>
      <c r="U3" s="404"/>
      <c r="V3" s="402"/>
      <c r="W3" s="402"/>
      <c r="X3" s="402"/>
      <c r="Y3" s="402"/>
    </row>
    <row r="4" spans="1:25" s="21" customFormat="1" ht="30.6" hidden="1">
      <c r="A4" s="2" t="s">
        <v>36</v>
      </c>
      <c r="B4" s="3" t="s">
        <v>57</v>
      </c>
      <c r="C4" s="3" t="s">
        <v>58</v>
      </c>
      <c r="D4" s="3" t="s">
        <v>59</v>
      </c>
      <c r="E4" s="3" t="s">
        <v>60</v>
      </c>
      <c r="F4" s="3" t="s">
        <v>58</v>
      </c>
      <c r="G4" s="3" t="s">
        <v>60</v>
      </c>
      <c r="H4" s="3" t="s">
        <v>58</v>
      </c>
      <c r="I4" s="3" t="s">
        <v>57</v>
      </c>
      <c r="J4" s="3" t="s">
        <v>60</v>
      </c>
      <c r="K4" s="3" t="s">
        <v>60</v>
      </c>
      <c r="L4" s="3" t="s">
        <v>120</v>
      </c>
      <c r="M4" s="172" t="s">
        <v>59</v>
      </c>
      <c r="N4" s="3" t="s">
        <v>60</v>
      </c>
      <c r="O4" s="4" t="s">
        <v>63</v>
      </c>
      <c r="P4" s="4" t="s">
        <v>63</v>
      </c>
      <c r="Q4" s="4" t="s">
        <v>63</v>
      </c>
      <c r="R4" s="4" t="s">
        <v>63</v>
      </c>
      <c r="S4" s="4" t="s">
        <v>63</v>
      </c>
      <c r="T4" s="3" t="s">
        <v>61</v>
      </c>
      <c r="U4" s="3" t="s">
        <v>60</v>
      </c>
      <c r="V4" s="3" t="s">
        <v>58</v>
      </c>
      <c r="W4" s="3" t="s">
        <v>58</v>
      </c>
      <c r="X4" s="3" t="s">
        <v>60</v>
      </c>
      <c r="Y4" s="3" t="s">
        <v>60</v>
      </c>
    </row>
    <row r="5" spans="1:25" s="24" customFormat="1" ht="306" hidden="1">
      <c r="A5" s="5" t="s">
        <v>38</v>
      </c>
      <c r="B5" s="7"/>
      <c r="C5" s="7"/>
      <c r="D5" s="12" t="s">
        <v>64</v>
      </c>
      <c r="E5" s="7" t="s">
        <v>121</v>
      </c>
      <c r="F5" s="7" t="s">
        <v>122</v>
      </c>
      <c r="G5" s="7" t="s">
        <v>123</v>
      </c>
      <c r="H5" s="7" t="s">
        <v>124</v>
      </c>
      <c r="I5" s="7" t="s">
        <v>125</v>
      </c>
      <c r="J5" s="7" t="s">
        <v>126</v>
      </c>
      <c r="K5" s="7" t="s">
        <v>127</v>
      </c>
      <c r="L5" s="7" t="s">
        <v>128</v>
      </c>
      <c r="M5" s="22" t="s">
        <v>129</v>
      </c>
      <c r="N5" s="8" t="s">
        <v>130</v>
      </c>
      <c r="O5" s="8" t="s">
        <v>131</v>
      </c>
      <c r="P5" s="8" t="s">
        <v>132</v>
      </c>
      <c r="Q5" s="18" t="s">
        <v>133</v>
      </c>
      <c r="R5" s="18"/>
      <c r="S5" s="18"/>
      <c r="T5" s="7" t="s">
        <v>134</v>
      </c>
      <c r="U5" s="7" t="s">
        <v>135</v>
      </c>
      <c r="V5" s="7" t="s">
        <v>136</v>
      </c>
      <c r="W5" s="7" t="s">
        <v>137</v>
      </c>
      <c r="X5" s="7" t="s">
        <v>138</v>
      </c>
      <c r="Y5" s="7" t="s">
        <v>139</v>
      </c>
    </row>
    <row r="6" spans="1:25" s="25" customFormat="1" ht="122.4" hidden="1">
      <c r="A6" s="10" t="s">
        <v>43</v>
      </c>
      <c r="B6" s="7"/>
      <c r="C6" s="7"/>
      <c r="D6" s="11"/>
      <c r="E6" s="12" t="s">
        <v>140</v>
      </c>
      <c r="F6" s="12"/>
      <c r="G6" s="12"/>
      <c r="H6" s="13" t="s">
        <v>141</v>
      </c>
      <c r="I6" s="7" t="s">
        <v>142</v>
      </c>
      <c r="J6" s="12" t="s">
        <v>143</v>
      </c>
      <c r="K6" s="12"/>
      <c r="L6" s="12"/>
      <c r="M6" s="8" t="s">
        <v>144</v>
      </c>
      <c r="N6" s="8" t="s">
        <v>145</v>
      </c>
      <c r="O6" s="50"/>
      <c r="P6" s="50"/>
      <c r="Q6" s="18"/>
      <c r="R6" s="18"/>
      <c r="S6" s="18"/>
      <c r="T6" s="12" t="s">
        <v>146</v>
      </c>
      <c r="U6" s="12" t="s">
        <v>147</v>
      </c>
      <c r="V6" s="12"/>
      <c r="W6" s="12" t="s">
        <v>148</v>
      </c>
      <c r="X6" s="200"/>
      <c r="Y6" s="12" t="s">
        <v>149</v>
      </c>
    </row>
    <row r="7" spans="1:25" s="21" customFormat="1" ht="163.19999999999999" hidden="1">
      <c r="A7" s="243" t="s">
        <v>150</v>
      </c>
      <c r="B7" s="15">
        <v>1</v>
      </c>
      <c r="C7" s="15" t="s">
        <v>1115</v>
      </c>
      <c r="D7" s="15" t="str">
        <f>'Metrik Strategi Risiko'!D14</f>
        <v>PELINDO</v>
      </c>
      <c r="E7" s="181" t="s">
        <v>1179</v>
      </c>
      <c r="F7" s="7" t="s">
        <v>1009</v>
      </c>
      <c r="G7" s="186" t="s">
        <v>1150</v>
      </c>
      <c r="H7" s="7" t="s">
        <v>1051</v>
      </c>
      <c r="I7" s="15">
        <f>'Risiko Inheren Kuantitatif'!E9</f>
        <v>1</v>
      </c>
      <c r="J7" s="7" t="str">
        <f>'Risiko Inheren Kuantitatif'!F9</f>
        <v>Kegagalan penyiapan pengembangan bisnis baru (ekspansi Regional)</v>
      </c>
      <c r="K7" s="213" t="s">
        <v>1227</v>
      </c>
      <c r="L7" s="15">
        <v>1</v>
      </c>
      <c r="M7" s="214" t="s">
        <v>1241</v>
      </c>
      <c r="N7" s="7" t="s">
        <v>1255</v>
      </c>
      <c r="O7" s="7" t="s">
        <v>1265</v>
      </c>
      <c r="P7" s="18" t="s">
        <v>164</v>
      </c>
      <c r="Q7" s="18" t="s">
        <v>1285</v>
      </c>
      <c r="R7" s="18" t="s">
        <v>1296</v>
      </c>
      <c r="S7" s="18" t="s">
        <v>1288</v>
      </c>
      <c r="T7" s="7" t="s">
        <v>985</v>
      </c>
      <c r="U7" s="182" t="s">
        <v>1305</v>
      </c>
      <c r="V7" s="7" t="s">
        <v>1014</v>
      </c>
      <c r="W7" s="15" t="s">
        <v>979</v>
      </c>
      <c r="X7" s="7" t="str">
        <f>'Risiko Inheren Kuantitatif'!G9</f>
        <v>Mengacu pada inisiatif strategis tahun 2025 :
- Potensi pendapatan inisiatif strategis diasumsikan sebesar Rp 395 M.
Sikap risiko terhadap pengembangan bisnis adalah moderat sehingga nilai kemungkinan sebesar 50%. 
Namun secara kualitatif kegagalan penyiapan program ekspansi ini dapat berdampak pada tertundanya program antara 3 - 6 bulan, dampak kualitatif level 3.</v>
      </c>
      <c r="Y7" s="15" t="s">
        <v>1317</v>
      </c>
    </row>
    <row r="8" spans="1:25" ht="142.80000000000001" hidden="1">
      <c r="B8" s="15">
        <v>2</v>
      </c>
      <c r="C8" s="15" t="s">
        <v>1115</v>
      </c>
      <c r="D8" s="15" t="str">
        <f>'Metrik Strategi Risiko'!D15</f>
        <v>PELINDO</v>
      </c>
      <c r="E8" s="7" t="s">
        <v>1180</v>
      </c>
      <c r="F8" s="7" t="s">
        <v>973</v>
      </c>
      <c r="G8" s="186" t="s">
        <v>1153</v>
      </c>
      <c r="H8" s="7" t="s">
        <v>1077</v>
      </c>
      <c r="I8" s="15">
        <f>'Risiko Inheren Kuantitatif'!E10</f>
        <v>2</v>
      </c>
      <c r="J8" s="7" t="str">
        <f>'Risiko Inheren Kuantitatif'!F10</f>
        <v>Penurunan Trafik Kapal</v>
      </c>
      <c r="K8" s="199" t="s">
        <v>1228</v>
      </c>
      <c r="L8" s="15">
        <v>2</v>
      </c>
      <c r="M8" s="214" t="s">
        <v>1242</v>
      </c>
      <c r="N8" s="7" t="s">
        <v>1256</v>
      </c>
      <c r="O8" s="7" t="s">
        <v>1382</v>
      </c>
      <c r="P8" s="18" t="s">
        <v>164</v>
      </c>
      <c r="Q8" s="18" t="s">
        <v>1278</v>
      </c>
      <c r="R8" s="18" t="s">
        <v>1297</v>
      </c>
      <c r="S8" s="18" t="s">
        <v>1289</v>
      </c>
      <c r="T8" s="7" t="s">
        <v>985</v>
      </c>
      <c r="U8" s="182" t="s">
        <v>1306</v>
      </c>
      <c r="V8" s="7" t="s">
        <v>1014</v>
      </c>
      <c r="W8" s="15" t="s">
        <v>979</v>
      </c>
      <c r="X8" s="7" t="str">
        <f>'Risiko Inheren Kuantitatif'!G10</f>
        <v>Berdasarkan analisis data 6 tahun terakhir, deviasi pencapaian pendapatan kapal adalah 10,15%.
Target pendapatan kapal 2025 sebesar Rp 6865 M. Nilai dampak utk 2025 adalah 10,15%*6865 M=697 M.
--
Nilai kemungkinan 3/6=50% (3x  kejadian dalam 6 tahun).
Namun secara kualitatif penuruan trafik ini berdampak pada aspek reputasi khususnya berkurangnya daya saing di atas 10%, level 3.</v>
      </c>
      <c r="Y8" s="15" t="s">
        <v>1317</v>
      </c>
    </row>
    <row r="9" spans="1:25" ht="102" hidden="1">
      <c r="B9" s="15">
        <v>3</v>
      </c>
      <c r="C9" s="15" t="s">
        <v>1115</v>
      </c>
      <c r="D9" s="15" t="str">
        <f>'Metrik Strategi Risiko'!D16</f>
        <v>PELINDO</v>
      </c>
      <c r="E9" s="7" t="s">
        <v>1181</v>
      </c>
      <c r="F9" s="7" t="s">
        <v>973</v>
      </c>
      <c r="G9" s="186" t="s">
        <v>1153</v>
      </c>
      <c r="H9" s="7" t="s">
        <v>1077</v>
      </c>
      <c r="I9" s="15">
        <f>'Risiko Inheren Kuantitatif'!E11</f>
        <v>3</v>
      </c>
      <c r="J9" s="7" t="str">
        <f>'Risiko Inheren Kuantitatif'!F11</f>
        <v>Penurunan Throughput Petikemas</v>
      </c>
      <c r="K9" s="199" t="s">
        <v>1229</v>
      </c>
      <c r="L9" s="15">
        <v>3</v>
      </c>
      <c r="M9" s="214" t="s">
        <v>1243</v>
      </c>
      <c r="N9" s="7" t="s">
        <v>1383</v>
      </c>
      <c r="O9" s="7" t="s">
        <v>1375</v>
      </c>
      <c r="P9" s="18" t="s">
        <v>164</v>
      </c>
      <c r="Q9" s="18" t="s">
        <v>1278</v>
      </c>
      <c r="R9" s="18" t="s">
        <v>1297</v>
      </c>
      <c r="S9" s="18" t="s">
        <v>1289</v>
      </c>
      <c r="T9" s="7" t="s">
        <v>985</v>
      </c>
      <c r="U9" s="182" t="s">
        <v>1307</v>
      </c>
      <c r="V9" s="7" t="s">
        <v>1014</v>
      </c>
      <c r="W9" s="15" t="s">
        <v>979</v>
      </c>
      <c r="X9" s="7" t="str">
        <f>'Risiko Inheren Kuantitatif'!G11</f>
        <v>Berdasarkan analisis data 6 tahun terakhir,  deviasi pencapaian pendapatan petikemas adalah 12,31%.
Target pendapatan petikemas 2025 sebesar Rp 13335 M. Nilai dampak utk 2025 adalah 12,31%*13335 M=1.641,5 M.
--
Nilai kemungkinan 4/6=67% (4 kali kejadian dalam 6 tahun).</v>
      </c>
      <c r="Y9" s="15" t="s">
        <v>1317</v>
      </c>
    </row>
    <row r="10" spans="1:25" ht="153" hidden="1">
      <c r="B10" s="15">
        <v>4</v>
      </c>
      <c r="C10" s="15" t="s">
        <v>1115</v>
      </c>
      <c r="D10" s="15" t="str">
        <f>'Metrik Strategi Risiko'!D17</f>
        <v>PELINDO</v>
      </c>
      <c r="E10" s="7" t="s">
        <v>1182</v>
      </c>
      <c r="F10" s="7" t="s">
        <v>973</v>
      </c>
      <c r="G10" s="186" t="s">
        <v>1153</v>
      </c>
      <c r="H10" s="7" t="s">
        <v>1077</v>
      </c>
      <c r="I10" s="15">
        <f>'Risiko Inheren Kuantitatif'!E12</f>
        <v>4</v>
      </c>
      <c r="J10" s="7" t="str">
        <f>'Risiko Inheren Kuantitatif'!F12</f>
        <v xml:space="preserve">Penurunan Throughput Non-Petikemas
</v>
      </c>
      <c r="K10" s="199" t="s">
        <v>1230</v>
      </c>
      <c r="L10" s="15">
        <v>4</v>
      </c>
      <c r="M10" s="214" t="s">
        <v>1244</v>
      </c>
      <c r="N10" s="7" t="s">
        <v>1384</v>
      </c>
      <c r="O10" s="7" t="s">
        <v>1376</v>
      </c>
      <c r="P10" s="18" t="s">
        <v>164</v>
      </c>
      <c r="Q10" s="18" t="s">
        <v>1278</v>
      </c>
      <c r="R10" s="18" t="s">
        <v>1297</v>
      </c>
      <c r="S10" s="18" t="s">
        <v>1289</v>
      </c>
      <c r="T10" s="7" t="s">
        <v>985</v>
      </c>
      <c r="U10" s="182" t="s">
        <v>1307</v>
      </c>
      <c r="V10" s="7" t="s">
        <v>1014</v>
      </c>
      <c r="W10" s="15" t="s">
        <v>979</v>
      </c>
      <c r="X10" s="7" t="str">
        <f>'Risiko Inheren Kuantitatif'!G12</f>
        <v>Berdasarkan analisis data 7 tahun terakhir,  deviasi pencapaian pendapatan non-petikemas adalah 13,69%.
Target pendapatan non-petikemas 2025 sebesar Rp 5203 M. Nilai dampak utk 2025 adalah 13,69%*5203 M=712 M.
--
Nilai kemungkinan 3/6=50% (3x  kejadian dalam 6 tahun).
Namun secara kualitatif penuruan trafik ini berdampak pada aspek reputasi khususnya berkurangnya daya saing di atas 10%, level 3.</v>
      </c>
      <c r="Y10" s="15" t="s">
        <v>1317</v>
      </c>
    </row>
    <row r="11" spans="1:25" ht="142.80000000000001" hidden="1">
      <c r="B11" s="15">
        <v>5</v>
      </c>
      <c r="C11" s="15" t="s">
        <v>1115</v>
      </c>
      <c r="D11" s="15" t="str">
        <f>'Metrik Strategi Risiko'!D18</f>
        <v>PELINDO</v>
      </c>
      <c r="E11" s="7" t="s">
        <v>1183</v>
      </c>
      <c r="F11" s="7" t="s">
        <v>973</v>
      </c>
      <c r="G11" s="186" t="s">
        <v>1153</v>
      </c>
      <c r="H11" s="7" t="s">
        <v>1077</v>
      </c>
      <c r="I11" s="15">
        <f>'Risiko Inheren Kuantitatif'!E13</f>
        <v>5</v>
      </c>
      <c r="J11" s="7" t="str">
        <f>'Risiko Inheren Kuantitatif'!F13</f>
        <v>Tidak Optimalnya Pengelolaan Aset Idle</v>
      </c>
      <c r="K11" s="7" t="s">
        <v>1231</v>
      </c>
      <c r="L11" s="15">
        <v>5</v>
      </c>
      <c r="M11" s="214" t="s">
        <v>1245</v>
      </c>
      <c r="N11" s="7" t="s">
        <v>1385</v>
      </c>
      <c r="O11" s="7" t="s">
        <v>1266</v>
      </c>
      <c r="P11" s="18" t="s">
        <v>164</v>
      </c>
      <c r="Q11" s="18" t="s">
        <v>1279</v>
      </c>
      <c r="R11" s="18" t="s">
        <v>1298</v>
      </c>
      <c r="S11" s="18" t="s">
        <v>1290</v>
      </c>
      <c r="T11" s="7" t="s">
        <v>985</v>
      </c>
      <c r="U11" s="182" t="s">
        <v>1308</v>
      </c>
      <c r="V11" s="7" t="s">
        <v>1014</v>
      </c>
      <c r="W11" s="15" t="s">
        <v>979</v>
      </c>
      <c r="X11" s="7" t="str">
        <f>'Risiko Inheren Kuantitatif'!G13</f>
        <v>Berdasarkan data 4 tahun terakhir, rata-rata deviasi pendapatan properti, air, listrik adalah -6,23%. 
Target Pendapatan properti, air, listrik tahun 2025 sebesar 5055 M. Maka dampak risiko adalah sebesar 6,23%* 5055 M= 314,9 M.
--
Nilai kemungkinan 3/4=75% (3x kejadian dalam 4 tahun)
Namun secara kualitatif tidak optimalnya aset idle disebabkan pula oelh adanya lahan yang masih bermasalah yang bila tidak dikelola dapat berdampak pada dampak tuntutan hukum, Level 3.</v>
      </c>
      <c r="Y11" s="15" t="s">
        <v>1317</v>
      </c>
    </row>
    <row r="12" spans="1:25" ht="40.799999999999997" hidden="1">
      <c r="B12" s="15">
        <v>6</v>
      </c>
      <c r="C12" s="15" t="s">
        <v>1115</v>
      </c>
      <c r="D12" s="15" t="str">
        <f>'Metrik Strategi Risiko'!D19</f>
        <v>PELINDO</v>
      </c>
      <c r="E12" s="7" t="s">
        <v>1184</v>
      </c>
      <c r="F12" s="7" t="s">
        <v>973</v>
      </c>
      <c r="G12" s="186" t="s">
        <v>1178</v>
      </c>
      <c r="H12" s="7" t="s">
        <v>1056</v>
      </c>
      <c r="I12" s="15">
        <f>'Risiko Inheren Kuantitatif'!E14</f>
        <v>6</v>
      </c>
      <c r="J12" s="7" t="str">
        <f>'Risiko Inheren Kuantitatif'!F14</f>
        <v>Rugi selisih kurs</v>
      </c>
      <c r="K12" s="7" t="s">
        <v>1232</v>
      </c>
      <c r="L12" s="15">
        <v>6</v>
      </c>
      <c r="M12" s="214" t="s">
        <v>1246</v>
      </c>
      <c r="N12" s="7" t="s">
        <v>1257</v>
      </c>
      <c r="O12" s="7" t="s">
        <v>1267</v>
      </c>
      <c r="P12" s="18" t="s">
        <v>164</v>
      </c>
      <c r="Q12" s="18" t="s">
        <v>1286</v>
      </c>
      <c r="R12" s="18" t="s">
        <v>1299</v>
      </c>
      <c r="S12" s="18" t="s">
        <v>1287</v>
      </c>
      <c r="T12" s="7" t="s">
        <v>1027</v>
      </c>
      <c r="U12" s="182" t="s">
        <v>1149</v>
      </c>
      <c r="V12" s="7" t="s">
        <v>1024</v>
      </c>
      <c r="W12" s="15" t="s">
        <v>979</v>
      </c>
      <c r="X12" s="7" t="str">
        <f>'Risiko Inheren Kuantitatif'!G14</f>
        <v xml:space="preserve">Mengacu pada data realisasi triwulan II tahun 2024, perusahaan pernah mengalami kerugian kurs sebesar ± Rp 733 M
</v>
      </c>
      <c r="Y12" s="15" t="s">
        <v>1317</v>
      </c>
    </row>
    <row r="13" spans="1:25" ht="81.599999999999994" hidden="1">
      <c r="B13" s="15">
        <v>8</v>
      </c>
      <c r="C13" s="15" t="s">
        <v>1115</v>
      </c>
      <c r="D13" s="15" t="str">
        <f>'Metrik Strategi Risiko'!D20</f>
        <v>PELINDO</v>
      </c>
      <c r="E13" s="7" t="s">
        <v>1184</v>
      </c>
      <c r="F13" s="7" t="s">
        <v>973</v>
      </c>
      <c r="G13" s="186" t="s">
        <v>1158</v>
      </c>
      <c r="H13" s="7" t="s">
        <v>1061</v>
      </c>
      <c r="I13" s="15">
        <f>'Risiko Inheren Kuantitatif'!E15</f>
        <v>7</v>
      </c>
      <c r="J13" s="7" t="str">
        <f>'Risiko Inheren Kuantitatif'!F15</f>
        <v>Inefisiensi Biaya</v>
      </c>
      <c r="K13" s="7" t="s">
        <v>1233</v>
      </c>
      <c r="L13" s="15">
        <v>7</v>
      </c>
      <c r="M13" s="214" t="s">
        <v>1394</v>
      </c>
      <c r="N13" s="7" t="s">
        <v>1258</v>
      </c>
      <c r="O13" s="7" t="s">
        <v>1268</v>
      </c>
      <c r="P13" s="18" t="s">
        <v>164</v>
      </c>
      <c r="Q13" s="18" t="s">
        <v>1280</v>
      </c>
      <c r="R13" s="18" t="s">
        <v>1300</v>
      </c>
      <c r="S13" s="18" t="s">
        <v>1291</v>
      </c>
      <c r="T13" s="7" t="s">
        <v>1027</v>
      </c>
      <c r="U13" s="182" t="s">
        <v>1309</v>
      </c>
      <c r="V13" s="7" t="s">
        <v>1014</v>
      </c>
      <c r="W13" s="15" t="s">
        <v>979</v>
      </c>
      <c r="X13" s="7" t="str">
        <f>'Risiko Inheren Kuantitatif'!G15</f>
        <v>Berdasarkan data TW 2 tahun 2024 terdapat deviasi anggaran Beban Usaha sebesar 2% dari RKAP.
Target Beban Usaha RKAP 2025 sebesar 26 T, maka dampak risiko sebesar 2%*26T = 520 M.
Namun secara kualitatif, pengelolaan biaya yang tidak efektif dapat berdampak pada peningkatan biaya pada kisaran 2,5-10% atau level 3.</v>
      </c>
      <c r="Y13" s="15" t="s">
        <v>1317</v>
      </c>
    </row>
    <row r="14" spans="1:25" ht="66.75" hidden="1" customHeight="1">
      <c r="B14" s="15">
        <v>9</v>
      </c>
      <c r="C14" s="15" t="s">
        <v>1115</v>
      </c>
      <c r="D14" s="15" t="str">
        <f>'Metrik Strategi Risiko'!D21</f>
        <v>PELINDO</v>
      </c>
      <c r="E14" s="181" t="s">
        <v>1205</v>
      </c>
      <c r="F14" s="7" t="s">
        <v>973</v>
      </c>
      <c r="G14" s="186" t="s">
        <v>1173</v>
      </c>
      <c r="H14" s="7" t="s">
        <v>1068</v>
      </c>
      <c r="I14" s="15">
        <f>'Risiko Inheren Kuantitatif'!E16</f>
        <v>8</v>
      </c>
      <c r="J14" s="7" t="str">
        <f>'Risiko Inheren Kuantitatif'!F16</f>
        <v>Keterlambatan pelaksanaan investasi strategis (di atas Rp 200 M)</v>
      </c>
      <c r="K14" s="7" t="s">
        <v>1233</v>
      </c>
      <c r="L14" s="15">
        <v>8</v>
      </c>
      <c r="M14" s="214" t="s">
        <v>1247</v>
      </c>
      <c r="N14" s="7" t="s">
        <v>1259</v>
      </c>
      <c r="O14" s="7" t="s">
        <v>1269</v>
      </c>
      <c r="P14" s="18" t="s">
        <v>164</v>
      </c>
      <c r="Q14" s="18" t="s">
        <v>1361</v>
      </c>
      <c r="R14" s="18" t="s">
        <v>1360</v>
      </c>
      <c r="S14" s="18" t="s">
        <v>1292</v>
      </c>
      <c r="T14" s="7" t="s">
        <v>985</v>
      </c>
      <c r="U14" s="182" t="s">
        <v>1305</v>
      </c>
      <c r="V14" s="7" t="s">
        <v>1014</v>
      </c>
      <c r="W14" s="15" t="s">
        <v>979</v>
      </c>
      <c r="X14" s="7" t="str">
        <f>'Risiko Inheren Kuantitatif'!G16</f>
        <v>Dampak keterlambatan penyelesaiaan investasi diperkirakan mengalami keterlambatan antara 3 sampai 6 bulan.
Asumsi terdapat klaim dari pihak Penyedia Pekerjaan atas keterlambatan perizinan dengan dampak klaim Rp 160 M.</v>
      </c>
      <c r="Y14" s="15" t="s">
        <v>1317</v>
      </c>
    </row>
    <row r="15" spans="1:25" ht="66.75" hidden="1" customHeight="1">
      <c r="B15" s="15">
        <v>10</v>
      </c>
      <c r="C15" s="15" t="s">
        <v>1115</v>
      </c>
      <c r="D15" s="15" t="str">
        <f>'Metrik Strategi Risiko'!D23</f>
        <v>PELINDO</v>
      </c>
      <c r="E15" s="181" t="s">
        <v>1366</v>
      </c>
      <c r="F15" s="7" t="s">
        <v>973</v>
      </c>
      <c r="G15" s="186" t="s">
        <v>654</v>
      </c>
      <c r="H15" s="7" t="s">
        <v>1061</v>
      </c>
      <c r="I15" s="15">
        <f>'Risiko Inheren Kuantitatif'!E17</f>
        <v>9</v>
      </c>
      <c r="J15" s="7" t="str">
        <f>'Risiko Inheren Kuantitatif'!F17</f>
        <v>Denda Pajak
(atas SPT Masa Withholding dan PPN bulanan)</v>
      </c>
      <c r="K15" s="7" t="s">
        <v>1367</v>
      </c>
      <c r="L15" s="15">
        <v>9</v>
      </c>
      <c r="M15" s="214" t="s">
        <v>1248</v>
      </c>
      <c r="N15" s="7" t="s">
        <v>1368</v>
      </c>
      <c r="O15" s="7" t="s">
        <v>1369</v>
      </c>
      <c r="P15" s="18" t="s">
        <v>164</v>
      </c>
      <c r="Q15" s="18">
        <v>100</v>
      </c>
      <c r="R15" s="18" t="s">
        <v>1281</v>
      </c>
      <c r="S15" s="18" t="s">
        <v>1370</v>
      </c>
      <c r="T15" s="7" t="s">
        <v>1008</v>
      </c>
      <c r="U15" s="182" t="s">
        <v>1371</v>
      </c>
      <c r="V15" s="7" t="s">
        <v>1004</v>
      </c>
      <c r="W15" s="15" t="s">
        <v>979</v>
      </c>
      <c r="X15" s="7" t="str">
        <f>'Risiko Inheren Kuantitatif'!G17</f>
        <v xml:space="preserve">Dampak denda pajak meliputi pembayaran biaya tambahan yang mengurangi profitabilitas, gangguan pada aliran kas, serta potensi kerusakan reputasi dan hubungan dengan otoritas pajak dengan potensi tahun 2025 Rp 138 M.
Namun secara kualitatif kesalahan dalam perhitungan/pelaporan pajak berpotrensi pada dampak kualitatif level 3, yakni adanya peringatan tertulis / formal dan terkena denda. 
</v>
      </c>
      <c r="Y15" s="15" t="s">
        <v>1317</v>
      </c>
    </row>
    <row r="16" spans="1:25" ht="102">
      <c r="B16" s="15">
        <v>11</v>
      </c>
      <c r="C16" s="15" t="s">
        <v>1115</v>
      </c>
      <c r="D16" s="15" t="str">
        <f>'Metrik Strategi Risiko'!D23</f>
        <v>PELINDO</v>
      </c>
      <c r="E16" s="7" t="s">
        <v>1184</v>
      </c>
      <c r="F16" s="7" t="s">
        <v>973</v>
      </c>
      <c r="G16" s="186" t="s">
        <v>1156</v>
      </c>
      <c r="H16" s="7" t="s">
        <v>1039</v>
      </c>
      <c r="I16" s="15">
        <f>'Risiko Inheren Kualitatif'!E8</f>
        <v>10</v>
      </c>
      <c r="J16" s="7" t="str">
        <f>'Risiko Inheren Kualitatif'!F8</f>
        <v>Terlambatnya Implementasi Inisiatif Strategis berkaitan dengan pemurnian bisnis anak perusahaan</v>
      </c>
      <c r="K16" s="170" t="s">
        <v>1234</v>
      </c>
      <c r="L16" s="15">
        <v>10</v>
      </c>
      <c r="M16" s="214" t="s">
        <v>1249</v>
      </c>
      <c r="N16" s="7" t="s">
        <v>1260</v>
      </c>
      <c r="O16" s="7" t="s">
        <v>1270</v>
      </c>
      <c r="P16" s="18" t="s">
        <v>164</v>
      </c>
      <c r="Q16" s="18" t="s">
        <v>1281</v>
      </c>
      <c r="R16" s="18" t="s">
        <v>1301</v>
      </c>
      <c r="S16" s="18" t="s">
        <v>1293</v>
      </c>
      <c r="T16" s="7" t="s">
        <v>985</v>
      </c>
      <c r="U16" s="182" t="s">
        <v>1310</v>
      </c>
      <c r="V16" s="7" t="s">
        <v>1014</v>
      </c>
      <c r="W16" s="15" t="s">
        <v>991</v>
      </c>
      <c r="X16" s="7" t="str">
        <f>'Risiko Inheren Kualitatif'!G8</f>
        <v xml:space="preserve">Dampak keterlambatan pencapaian program strategis tertunda antara 3 sampai 6 bulan
--
Keterlambataan dalam perencanaan pemilihan mitra berpotensi menimbulkan reputasi buruk di hadapan pemegang saham dan calon partner,
--
Keterlambatan dalam perencanaan pemilihan mitra berpotensi menimbulkan reputasi buruk di hadapan pemegang saham dan calon partner. </v>
      </c>
      <c r="Y16" s="15" t="s">
        <v>1317</v>
      </c>
    </row>
    <row r="17" spans="2:61" ht="153" hidden="1">
      <c r="B17" s="15">
        <v>12</v>
      </c>
      <c r="C17" s="15" t="s">
        <v>1115</v>
      </c>
      <c r="D17" s="15" t="str">
        <f>'Metrik Strategi Risiko'!D24</f>
        <v>PELINDO</v>
      </c>
      <c r="E17" s="190" t="s">
        <v>1185</v>
      </c>
      <c r="F17" s="7" t="s">
        <v>973</v>
      </c>
      <c r="G17" s="186" t="s">
        <v>1160</v>
      </c>
      <c r="H17" s="7" t="s">
        <v>1074</v>
      </c>
      <c r="I17" s="15">
        <f>'Risiko Inheren Kualitatif'!E9</f>
        <v>11</v>
      </c>
      <c r="J17" s="7" t="str">
        <f>'Risiko Inheren Kualitatif'!F9</f>
        <v>Enviroment Social Government</v>
      </c>
      <c r="K17" s="170" t="s">
        <v>1235</v>
      </c>
      <c r="L17" s="15">
        <v>11</v>
      </c>
      <c r="M17" s="214" t="s">
        <v>1250</v>
      </c>
      <c r="N17" s="7" t="s">
        <v>1319</v>
      </c>
      <c r="O17" s="7" t="s">
        <v>1386</v>
      </c>
      <c r="P17" s="18" t="s">
        <v>164</v>
      </c>
      <c r="Q17" s="18" t="s">
        <v>1387</v>
      </c>
      <c r="R17" s="216" t="s">
        <v>1388</v>
      </c>
      <c r="S17" s="18" t="s">
        <v>1389</v>
      </c>
      <c r="T17" s="7" t="s">
        <v>1008</v>
      </c>
      <c r="U17" s="182" t="s">
        <v>1311</v>
      </c>
      <c r="V17" s="7" t="s">
        <v>1014</v>
      </c>
      <c r="W17" s="15" t="s">
        <v>991</v>
      </c>
      <c r="X17" s="7" t="str">
        <f>'Risiko Inheren Kualitatif'!G9</f>
        <v xml:space="preserve">Emisi karbon yang dihasilkan dari aktivitas di pelabuhan dpt menjadi kontributor perubahan iklim bersama dengan emisi gas rumah kaca. Dampak terhadap lingkungan dipandang berupa Efek minor pada lingkungan, Efek jangka pendek (1-2 tahun) tetapi tidak mempengaruihi fungsi ekosistem.
--
Risiko akan berdampak pada munculnya pemberitaan negatif pada lingkungan eksternal perusahaan.
--
</v>
      </c>
      <c r="Y17" s="15" t="s">
        <v>1317</v>
      </c>
    </row>
    <row r="18" spans="2:61" ht="91.8" hidden="1">
      <c r="B18" s="15">
        <v>13</v>
      </c>
      <c r="C18" s="15" t="s">
        <v>1115</v>
      </c>
      <c r="D18" s="15" t="str">
        <f>'Metrik Strategi Risiko'!D25</f>
        <v>PELINDO</v>
      </c>
      <c r="E18" s="184" t="s">
        <v>1186</v>
      </c>
      <c r="F18" s="7" t="s">
        <v>998</v>
      </c>
      <c r="G18" s="186" t="s">
        <v>1162</v>
      </c>
      <c r="H18" s="7" t="s">
        <v>1071</v>
      </c>
      <c r="I18" s="15">
        <f>'Risiko Inheren Kualitatif'!E10</f>
        <v>12</v>
      </c>
      <c r="J18" s="7" t="str">
        <f>'Risiko Inheren Kualitatif'!F10</f>
        <v>Cyber Attack Sistem Informasi</v>
      </c>
      <c r="K18" s="7" t="s">
        <v>1236</v>
      </c>
      <c r="L18" s="15">
        <v>12</v>
      </c>
      <c r="M18" s="214" t="s">
        <v>1251</v>
      </c>
      <c r="N18" s="7" t="s">
        <v>1261</v>
      </c>
      <c r="O18" s="7" t="s">
        <v>1272</v>
      </c>
      <c r="P18" s="18" t="s">
        <v>1273</v>
      </c>
      <c r="Q18" s="18" t="s">
        <v>1282</v>
      </c>
      <c r="R18" s="18" t="s">
        <v>1362</v>
      </c>
      <c r="S18" s="18">
        <v>89</v>
      </c>
      <c r="T18" s="7" t="s">
        <v>985</v>
      </c>
      <c r="U18" s="182" t="s">
        <v>1312</v>
      </c>
      <c r="V18" s="7" t="s">
        <v>1014</v>
      </c>
      <c r="W18" s="15" t="s">
        <v>991</v>
      </c>
      <c r="X18" s="7" t="str">
        <f>'Risiko Inheren Kualitatif'!G10</f>
        <v>Jumlah insident TW I sebesar 131, dan jumlah insident TW II sebesar 261 pada tahun 2024  
--
Diasumsikan jumlah serangan ditahun 2025 100-199 kali 
--
Merujuk kasus cyber attack di JICT pada 17 Nov 2022 yg menyebabkan down sistem selama lebih dari 24 jam,</v>
      </c>
      <c r="Y18" s="15" t="s">
        <v>1317</v>
      </c>
    </row>
    <row r="19" spans="2:61" ht="132.6" hidden="1">
      <c r="B19" s="15">
        <v>14</v>
      </c>
      <c r="C19" s="15" t="s">
        <v>1115</v>
      </c>
      <c r="D19" s="15" t="str">
        <f>'Metrik Strategi Risiko'!D26</f>
        <v>PELINDO</v>
      </c>
      <c r="E19" s="181" t="s">
        <v>1187</v>
      </c>
      <c r="F19" s="7" t="s">
        <v>973</v>
      </c>
      <c r="G19" s="186" t="s">
        <v>1164</v>
      </c>
      <c r="H19" s="7" t="s">
        <v>1077</v>
      </c>
      <c r="I19" s="15">
        <f>'Risiko Inheren Kualitatif'!E11</f>
        <v>13</v>
      </c>
      <c r="J19" s="7" t="str">
        <f>'Risiko Inheren Kualitatif'!F11</f>
        <v>Kecelakaan Kerja pada Pekerja Perusahaan</v>
      </c>
      <c r="K19" s="7" t="s">
        <v>1237</v>
      </c>
      <c r="L19" s="15">
        <v>13</v>
      </c>
      <c r="M19" s="214" t="s">
        <v>1252</v>
      </c>
      <c r="N19" s="7" t="s">
        <v>1262</v>
      </c>
      <c r="O19" s="7" t="s">
        <v>1274</v>
      </c>
      <c r="P19" s="18" t="s">
        <v>164</v>
      </c>
      <c r="Q19" s="18" t="s">
        <v>1283</v>
      </c>
      <c r="R19" s="18" t="s">
        <v>1302</v>
      </c>
      <c r="S19" s="18" t="s">
        <v>1290</v>
      </c>
      <c r="T19" s="7" t="s">
        <v>1018</v>
      </c>
      <c r="U19" s="182" t="s">
        <v>1313</v>
      </c>
      <c r="V19" s="7" t="s">
        <v>1014</v>
      </c>
      <c r="W19" s="15" t="s">
        <v>991</v>
      </c>
      <c r="X19" s="7" t="str">
        <f>'Risiko Inheren Kualitatif'!G11</f>
        <v>Risiko berdampak pada Kasus kematian tunggal/ Cacat, baik dari kalangan pekerja perusahan ataupun TKBM eksternal.</v>
      </c>
      <c r="Y19" s="15" t="s">
        <v>1317</v>
      </c>
    </row>
    <row r="20" spans="2:61" ht="40.799999999999997" hidden="1">
      <c r="B20" s="15">
        <v>15</v>
      </c>
      <c r="C20" s="15" t="s">
        <v>1115</v>
      </c>
      <c r="D20" s="15" t="str">
        <f>'Metrik Strategi Risiko'!D27</f>
        <v>PELINDO</v>
      </c>
      <c r="E20" s="183" t="s">
        <v>1188</v>
      </c>
      <c r="F20" s="7" t="s">
        <v>1019</v>
      </c>
      <c r="G20" s="186" t="s">
        <v>1167</v>
      </c>
      <c r="H20" s="7" t="s">
        <v>1013</v>
      </c>
      <c r="I20" s="15">
        <f>'Risiko Inheren Kualitatif'!E12</f>
        <v>14</v>
      </c>
      <c r="J20" s="7" t="str">
        <f>'Risiko Inheren Kualitatif'!F12</f>
        <v>Ketidaksesuaian kualifikasi Pekerja</v>
      </c>
      <c r="K20" s="170" t="s">
        <v>1238</v>
      </c>
      <c r="L20" s="15">
        <v>14</v>
      </c>
      <c r="M20" s="214" t="s">
        <v>1253</v>
      </c>
      <c r="N20" s="7" t="s">
        <v>1263</v>
      </c>
      <c r="O20" s="7" t="s">
        <v>1275</v>
      </c>
      <c r="P20" s="18" t="s">
        <v>1276</v>
      </c>
      <c r="Q20" s="18" t="s">
        <v>1284</v>
      </c>
      <c r="R20" s="18" t="s">
        <v>1303</v>
      </c>
      <c r="S20" s="18" t="s">
        <v>1294</v>
      </c>
      <c r="T20" s="7" t="s">
        <v>1008</v>
      </c>
      <c r="U20" s="182" t="s">
        <v>1314</v>
      </c>
      <c r="V20" s="7" t="s">
        <v>1014</v>
      </c>
      <c r="W20" s="15" t="s">
        <v>991</v>
      </c>
      <c r="X20" s="7" t="str">
        <f>'Risiko Inheren Kualitatif'!G12</f>
        <v>Ketidaksiapan kompetensi pekerja berdampak pada tidak tercapainya sasaran perusahaan.</v>
      </c>
      <c r="Y20" s="15" t="s">
        <v>1317</v>
      </c>
    </row>
    <row r="21" spans="2:61" ht="51" hidden="1">
      <c r="B21" s="15">
        <v>16</v>
      </c>
      <c r="C21" s="15" t="s">
        <v>1115</v>
      </c>
      <c r="D21" s="15" t="str">
        <f>'Metrik Strategi Risiko'!D28</f>
        <v>PELINDO</v>
      </c>
      <c r="E21" s="181" t="s">
        <v>1189</v>
      </c>
      <c r="F21" s="7" t="s">
        <v>973</v>
      </c>
      <c r="G21" s="186" t="s">
        <v>1169</v>
      </c>
      <c r="H21" s="7" t="s">
        <v>1065</v>
      </c>
      <c r="I21" s="15">
        <f>'Risiko Inheren Kualitatif'!E13</f>
        <v>15</v>
      </c>
      <c r="J21" s="7" t="str">
        <f>'Risiko Inheren Kualitatif'!F13</f>
        <v>Pelanggaran Kode Etik (Fraud/Penyuapan/Gratifikasi/lainnya)</v>
      </c>
      <c r="K21" s="7" t="s">
        <v>1239</v>
      </c>
      <c r="L21" s="15">
        <v>15</v>
      </c>
      <c r="M21" s="214" t="s">
        <v>1318</v>
      </c>
      <c r="N21" s="7" t="s">
        <v>1264</v>
      </c>
      <c r="O21" s="7" t="s">
        <v>1277</v>
      </c>
      <c r="P21" s="18" t="s">
        <v>1271</v>
      </c>
      <c r="Q21" s="18">
        <v>0</v>
      </c>
      <c r="R21" s="215" t="s">
        <v>1304</v>
      </c>
      <c r="S21" s="18" t="s">
        <v>1295</v>
      </c>
      <c r="T21" s="7" t="s">
        <v>1008</v>
      </c>
      <c r="U21" s="182" t="s">
        <v>1315</v>
      </c>
      <c r="V21" s="7" t="s">
        <v>1014</v>
      </c>
      <c r="W21" s="15" t="s">
        <v>991</v>
      </c>
      <c r="X21" s="7" t="str">
        <f>'Risiko Inheren Kualitatif'!G13</f>
        <v>Publikasi negatif mencapai skala nasional yang tersebar di sosial media dari / atau memerlukan penanganan kewenangan Kantor Pusat</v>
      </c>
      <c r="Y21" s="15" t="s">
        <v>1317</v>
      </c>
    </row>
    <row r="22" spans="2:61" ht="91.8" hidden="1">
      <c r="B22" s="15">
        <v>17</v>
      </c>
      <c r="C22" s="15" t="s">
        <v>1115</v>
      </c>
      <c r="D22" s="15" t="str">
        <f>'Metrik Strategi Risiko'!D29</f>
        <v>PELINDO</v>
      </c>
      <c r="E22" s="7" t="s">
        <v>1184</v>
      </c>
      <c r="F22" s="7" t="s">
        <v>973</v>
      </c>
      <c r="G22" s="202" t="s">
        <v>1174</v>
      </c>
      <c r="H22" s="7" t="s">
        <v>1077</v>
      </c>
      <c r="I22" s="15">
        <f>'Risiko Inheren Kualitatif'!E14</f>
        <v>16</v>
      </c>
      <c r="J22" s="7" t="str">
        <f>'Risiko Inheren Kualitatif'!F14</f>
        <v>Gangguan layanan</v>
      </c>
      <c r="K22" s="7" t="s">
        <v>1240</v>
      </c>
      <c r="L22" s="15">
        <v>16</v>
      </c>
      <c r="M22" s="214" t="s">
        <v>1254</v>
      </c>
      <c r="N22" s="7" t="s">
        <v>1374</v>
      </c>
      <c r="O22" s="7" t="s">
        <v>1390</v>
      </c>
      <c r="P22" s="18" t="s">
        <v>164</v>
      </c>
      <c r="Q22" s="18" t="s">
        <v>1391</v>
      </c>
      <c r="R22" s="18" t="s">
        <v>1392</v>
      </c>
      <c r="S22" s="18" t="s">
        <v>1393</v>
      </c>
      <c r="T22" s="7" t="s">
        <v>985</v>
      </c>
      <c r="U22" s="182" t="s">
        <v>1316</v>
      </c>
      <c r="V22" s="7" t="s">
        <v>1014</v>
      </c>
      <c r="W22" s="15" t="s">
        <v>991</v>
      </c>
      <c r="X22" s="7" t="str">
        <f>'Risiko Inheren Kualitatif'!G14</f>
        <v>Kehilangan pelanggan akan berdampak pada penurunan pengsa pasar antara 5 sampai dengan 10%</v>
      </c>
      <c r="Y22" s="15" t="s">
        <v>1317</v>
      </c>
    </row>
    <row r="23" spans="2:61" ht="112.2">
      <c r="B23" s="15">
        <v>17</v>
      </c>
      <c r="C23" s="15" t="s">
        <v>1115</v>
      </c>
      <c r="D23" s="15" t="str">
        <f>'Metrik Strategi Risiko'!D30</f>
        <v>PELINDO</v>
      </c>
      <c r="E23" s="7" t="s">
        <v>1407</v>
      </c>
      <c r="F23" s="7" t="s">
        <v>973</v>
      </c>
      <c r="G23" s="202" t="s">
        <v>1156</v>
      </c>
      <c r="H23" s="7" t="s">
        <v>1039</v>
      </c>
      <c r="I23" s="15">
        <f>'Risiko Inheren Kuantitatif'!E18</f>
        <v>17</v>
      </c>
      <c r="J23" s="15" t="str">
        <f>'Risiko Inheren Kuantitatif'!F18</f>
        <v>Tidak tercapainya target Trafik JTCC</v>
      </c>
      <c r="K23" s="7" t="s">
        <v>1412</v>
      </c>
      <c r="L23" s="15">
        <v>17</v>
      </c>
      <c r="M23" s="214" t="s">
        <v>1410</v>
      </c>
      <c r="N23" s="7" t="s">
        <v>1413</v>
      </c>
      <c r="O23" s="7" t="s">
        <v>1414</v>
      </c>
      <c r="P23" s="18" t="s">
        <v>164</v>
      </c>
      <c r="Q23" s="18" t="s">
        <v>1391</v>
      </c>
      <c r="R23" s="18" t="s">
        <v>1409</v>
      </c>
      <c r="S23" s="18" t="s">
        <v>1408</v>
      </c>
      <c r="T23" s="7" t="s">
        <v>1027</v>
      </c>
      <c r="U23" s="182"/>
      <c r="V23" s="7" t="s">
        <v>1014</v>
      </c>
      <c r="W23" s="15" t="s">
        <v>979</v>
      </c>
      <c r="X23" s="7" t="str">
        <f>'Risiko Inheren Kuantitatif'!G18</f>
        <v>Kerugian dari beban keuangan di luar usaha diasumsikan tahun 2025 sebesar Rp 761 M berdasarkan laporan audited 2023.
Dari sisi pencapaian pendapatan trafik, terdapat potensi pendapatan atas inisiatif integrasi tarif tol sebesar Rp 200 M. 
Namun secara kualitatif ketidaktercapaian target trafik JTCC ini dapat berdampak pada keterlambatan pencapaian program strategis antara 6 - 9 bulan (level 4).</v>
      </c>
      <c r="Y23" s="15" t="s">
        <v>1317</v>
      </c>
      <c r="Z23" s="239"/>
      <c r="AA23" s="239"/>
      <c r="AB23" s="239"/>
      <c r="AC23" s="239"/>
      <c r="AD23" s="239"/>
      <c r="AE23" s="239"/>
      <c r="AF23" s="239"/>
      <c r="AG23" s="239"/>
      <c r="AH23" s="239"/>
      <c r="AI23" s="239"/>
      <c r="AJ23" s="239"/>
      <c r="AK23" s="239"/>
      <c r="AL23" s="239"/>
      <c r="AM23" s="239"/>
      <c r="AN23" s="239"/>
      <c r="AO23" s="239"/>
      <c r="AP23" s="239"/>
      <c r="AQ23" s="239"/>
      <c r="AR23" s="239"/>
      <c r="AS23" s="239"/>
      <c r="AT23" s="239"/>
      <c r="AU23" s="239"/>
      <c r="AV23" s="239"/>
      <c r="AW23" s="239"/>
      <c r="AX23" s="239"/>
      <c r="AY23" s="239"/>
      <c r="AZ23" s="239"/>
      <c r="BA23" s="239"/>
      <c r="BB23" s="239"/>
      <c r="BC23" s="239"/>
      <c r="BD23" s="239"/>
      <c r="BE23" s="239"/>
      <c r="BF23" s="239"/>
      <c r="BG23" s="239"/>
      <c r="BH23" s="239"/>
      <c r="BI23" s="239"/>
    </row>
  </sheetData>
  <autoFilter ref="A3:BI23">
    <filterColumn colId="6">
      <filters>
        <filter val="Pengelolaan Anak Perusahaan &amp; Afiliasi"/>
      </filters>
    </filterColumn>
  </autoFilter>
  <mergeCells count="23">
    <mergeCell ref="F2:F3"/>
    <mergeCell ref="A2:A3"/>
    <mergeCell ref="B2:B3"/>
    <mergeCell ref="C2:C3"/>
    <mergeCell ref="D2:D3"/>
    <mergeCell ref="E2:E3"/>
    <mergeCell ref="Y2:Y3"/>
    <mergeCell ref="X2:X3"/>
    <mergeCell ref="T2:T3"/>
    <mergeCell ref="U2:U3"/>
    <mergeCell ref="W2:W3"/>
    <mergeCell ref="M2:M3"/>
    <mergeCell ref="N2:N3"/>
    <mergeCell ref="V2:V3"/>
    <mergeCell ref="O2:O3"/>
    <mergeCell ref="G2:G3"/>
    <mergeCell ref="H2:H3"/>
    <mergeCell ref="I2:I3"/>
    <mergeCell ref="J2:J3"/>
    <mergeCell ref="P2:P3"/>
    <mergeCell ref="Q2:S2"/>
    <mergeCell ref="K2:K3"/>
    <mergeCell ref="L2:L3"/>
  </mergeCells>
  <phoneticPr fontId="56" type="noConversion"/>
  <conditionalFormatting sqref="O5:Q5">
    <cfRule type="cellIs" dxfId="42" priority="2" operator="equal">
      <formula>1</formula>
    </cfRule>
  </conditionalFormatting>
  <conditionalFormatting sqref="O4:S4">
    <cfRule type="cellIs" dxfId="41" priority="3" operator="equal">
      <formula>1</formula>
    </cfRule>
  </conditionalFormatting>
  <conditionalFormatting sqref="Q6">
    <cfRule type="cellIs" dxfId="40" priority="1" operator="equal">
      <formula>1</formula>
    </cfRule>
  </conditionalFormatting>
  <hyperlinks>
    <hyperlink ref="A1" location="'Daftar Isi'!A1" display="Kembali ke Daftar Isi"/>
  </hyperlinks>
  <pageMargins left="0.7" right="0.7" top="0.75" bottom="0.75" header="0.3" footer="0.3"/>
  <pageSetup orientation="portrait" r:id="rId1"/>
  <ignoredErrors>
    <ignoredError sqref="D16:D22 D7:D12 D13" unlockedFormula="1"/>
  </ignoredErrors>
  <extLst>
    <ext xmlns:x14="http://schemas.microsoft.com/office/spreadsheetml/2009/9/main" uri="{CCE6A557-97BC-4b89-ADB6-D9C93CAAB3DF}">
      <x14:dataValidations xmlns:xm="http://schemas.microsoft.com/office/excel/2006/main" count="6">
        <x14:dataValidation type="list" allowBlank="1" showInputMessage="1" showErrorMessage="1">
          <x14:formula1>
            <xm:f>Master!$A$2:$A$6</xm:f>
          </x14:formula1>
          <xm:sqref>F7:F23</xm:sqref>
        </x14:dataValidation>
        <x14:dataValidation type="list" allowBlank="1" showInputMessage="1" showErrorMessage="1">
          <x14:formula1>
            <xm:f>Master!$F$2:$F$22</xm:f>
          </x14:formula1>
          <xm:sqref>H7:H23</xm:sqref>
        </x14:dataValidation>
        <x14:dataValidation type="list" allowBlank="1" showInputMessage="1" showErrorMessage="1">
          <x14:formula1>
            <xm:f>Master!$K$2:$K$6</xm:f>
          </x14:formula1>
          <xm:sqref>V7:V23</xm:sqref>
        </x14:dataValidation>
        <x14:dataValidation type="list" allowBlank="1" showInputMessage="1" showErrorMessage="1">
          <x14:formula1>
            <xm:f>Master!$G$2:$G$3</xm:f>
          </x14:formula1>
          <xm:sqref>W7:W23</xm:sqref>
        </x14:dataValidation>
        <x14:dataValidation type="list" allowBlank="1" showInputMessage="1" showErrorMessage="1">
          <x14:formula1>
            <xm:f>Master!$R$2:$R$7</xm:f>
          </x14:formula1>
          <xm:sqref>T7:T23</xm:sqref>
        </x14:dataValidation>
        <x14:dataValidation type="list" allowBlank="1" showInputMessage="1" showErrorMessage="1">
          <x14:formula1>
            <xm:f>Master!$D$2:$D$50</xm:f>
          </x14:formula1>
          <xm:sqref>C7:C23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rgb="FF1896A4"/>
  </sheetPr>
  <dimension ref="A1:R24"/>
  <sheetViews>
    <sheetView showGridLines="0" zoomScaleNormal="100" workbookViewId="0">
      <pane xSplit="6" ySplit="4" topLeftCell="H16" activePane="bottomRight" state="frozen"/>
      <selection pane="topRight" activeCell="G1" sqref="G1"/>
      <selection pane="bottomLeft" activeCell="A5" sqref="A5"/>
      <selection pane="bottomRight" activeCell="Q18" sqref="Q18"/>
    </sheetView>
  </sheetViews>
  <sheetFormatPr defaultColWidth="11.44140625" defaultRowHeight="10.199999999999999"/>
  <cols>
    <col min="1" max="1" width="7" style="43" hidden="1" customWidth="1"/>
    <col min="2" max="2" width="7" style="43" customWidth="1"/>
    <col min="3" max="3" width="11.21875" style="43" hidden="1" customWidth="1"/>
    <col min="4" max="4" width="8.77734375" style="21" hidden="1" customWidth="1"/>
    <col min="5" max="5" width="6.77734375" style="47" hidden="1" customWidth="1"/>
    <col min="6" max="6" width="14.21875" style="43" customWidth="1"/>
    <col min="7" max="7" width="43.77734375" style="21" customWidth="1"/>
    <col min="8" max="8" width="15.5546875" style="30" bestFit="1" customWidth="1"/>
    <col min="9" max="9" width="9.21875" style="30" customWidth="1"/>
    <col min="10" max="10" width="16.77734375" style="30" customWidth="1"/>
    <col min="11" max="11" width="13.44140625" style="30" customWidth="1"/>
    <col min="12" max="12" width="11.21875" style="30" customWidth="1"/>
    <col min="13" max="13" width="18.77734375" style="30" customWidth="1"/>
    <col min="14" max="14" width="15.77734375" style="30" bestFit="1" customWidth="1"/>
    <col min="15" max="15" width="11" style="30" customWidth="1"/>
    <col min="16" max="16" width="14" style="30" customWidth="1"/>
    <col min="17" max="17" width="11.44140625" style="43" customWidth="1"/>
    <col min="18" max="18" width="16.21875" style="43" customWidth="1"/>
    <col min="19" max="16384" width="11.44140625" style="43"/>
  </cols>
  <sheetData>
    <row r="1" spans="1:18" ht="14.4">
      <c r="A1" s="102" t="s">
        <v>29</v>
      </c>
      <c r="B1" s="30"/>
      <c r="C1" s="30"/>
      <c r="D1" s="30"/>
      <c r="E1" s="30"/>
      <c r="F1" s="30"/>
      <c r="G1" s="30"/>
      <c r="Q1" s="30"/>
      <c r="R1" s="30"/>
    </row>
    <row r="2" spans="1:18" ht="15" customHeight="1">
      <c r="A2" s="403" t="s">
        <v>31</v>
      </c>
      <c r="B2" s="403" t="s">
        <v>47</v>
      </c>
      <c r="C2" s="403" t="s">
        <v>151</v>
      </c>
      <c r="D2" s="402" t="s">
        <v>49</v>
      </c>
      <c r="E2" s="403" t="s">
        <v>102</v>
      </c>
      <c r="F2" s="403" t="s">
        <v>152</v>
      </c>
      <c r="G2" s="408" t="s">
        <v>153</v>
      </c>
      <c r="H2" s="409"/>
      <c r="I2" s="409"/>
      <c r="J2" s="409"/>
      <c r="K2" s="409"/>
      <c r="L2" s="409"/>
      <c r="M2" s="409"/>
      <c r="N2" s="409"/>
      <c r="O2" s="409"/>
      <c r="P2" s="409"/>
      <c r="Q2" s="409"/>
      <c r="R2" s="410"/>
    </row>
    <row r="3" spans="1:18" ht="15" customHeight="1">
      <c r="A3" s="403"/>
      <c r="B3" s="403"/>
      <c r="C3" s="403"/>
      <c r="D3" s="402"/>
      <c r="E3" s="403"/>
      <c r="F3" s="403"/>
      <c r="G3" s="405" t="s">
        <v>154</v>
      </c>
      <c r="H3" s="405" t="s">
        <v>155</v>
      </c>
      <c r="I3" s="406" t="s">
        <v>156</v>
      </c>
      <c r="J3" s="407"/>
      <c r="K3" s="405" t="s">
        <v>157</v>
      </c>
      <c r="L3" s="406" t="s">
        <v>158</v>
      </c>
      <c r="M3" s="407"/>
      <c r="N3" s="405" t="s">
        <v>159</v>
      </c>
      <c r="O3" s="406" t="s">
        <v>160</v>
      </c>
      <c r="P3" s="407"/>
      <c r="Q3" s="406" t="s">
        <v>161</v>
      </c>
      <c r="R3" s="407"/>
    </row>
    <row r="4" spans="1:18" ht="20.25" customHeight="1">
      <c r="A4" s="403"/>
      <c r="B4" s="403"/>
      <c r="C4" s="403"/>
      <c r="D4" s="402"/>
      <c r="E4" s="403"/>
      <c r="F4" s="403"/>
      <c r="G4" s="405"/>
      <c r="H4" s="405"/>
      <c r="I4" s="31" t="s">
        <v>151</v>
      </c>
      <c r="J4" s="31" t="s">
        <v>162</v>
      </c>
      <c r="K4" s="405"/>
      <c r="L4" s="31" t="s">
        <v>151</v>
      </c>
      <c r="M4" s="31" t="s">
        <v>162</v>
      </c>
      <c r="N4" s="405"/>
      <c r="O4" s="31" t="s">
        <v>151</v>
      </c>
      <c r="P4" s="31" t="s">
        <v>162</v>
      </c>
      <c r="Q4" s="31" t="s">
        <v>151</v>
      </c>
      <c r="R4" s="31" t="s">
        <v>162</v>
      </c>
    </row>
    <row r="5" spans="1:18" ht="40.799999999999997" hidden="1">
      <c r="A5" s="32" t="s">
        <v>36</v>
      </c>
      <c r="B5" s="3" t="s">
        <v>59</v>
      </c>
      <c r="C5" s="3" t="s">
        <v>59</v>
      </c>
      <c r="D5" s="3" t="s">
        <v>59</v>
      </c>
      <c r="E5" s="3" t="s">
        <v>59</v>
      </c>
      <c r="F5" s="3" t="s">
        <v>59</v>
      </c>
      <c r="G5" s="3" t="s">
        <v>60</v>
      </c>
      <c r="H5" s="4" t="s">
        <v>163</v>
      </c>
      <c r="I5" s="4" t="s">
        <v>58</v>
      </c>
      <c r="J5" s="3" t="s">
        <v>59</v>
      </c>
      <c r="K5" s="4" t="s">
        <v>164</v>
      </c>
      <c r="L5" s="4" t="s">
        <v>58</v>
      </c>
      <c r="M5" s="4" t="s">
        <v>58</v>
      </c>
      <c r="N5" s="4" t="s">
        <v>165</v>
      </c>
      <c r="O5" s="4" t="s">
        <v>166</v>
      </c>
      <c r="P5" s="4" t="s">
        <v>166</v>
      </c>
      <c r="Q5" s="3" t="s">
        <v>60</v>
      </c>
      <c r="R5" s="3" t="s">
        <v>59</v>
      </c>
    </row>
    <row r="6" spans="1:18" s="44" customFormat="1" ht="132.6" hidden="1">
      <c r="A6" s="32" t="s">
        <v>38</v>
      </c>
      <c r="B6" s="7"/>
      <c r="C6" s="313">
        <f>SUM('Risiko Inheren Kuantitatif'!N10)</f>
        <v>348398750000</v>
      </c>
      <c r="D6" s="12" t="s">
        <v>64</v>
      </c>
      <c r="E6" s="15" t="s">
        <v>125</v>
      </c>
      <c r="F6" s="7" t="s">
        <v>167</v>
      </c>
      <c r="G6" s="7" t="s">
        <v>168</v>
      </c>
      <c r="H6" s="8" t="s">
        <v>169</v>
      </c>
      <c r="I6" s="8" t="s">
        <v>170</v>
      </c>
      <c r="J6" s="8" t="s">
        <v>171</v>
      </c>
      <c r="K6" s="8" t="s">
        <v>172</v>
      </c>
      <c r="L6" s="8" t="s">
        <v>173</v>
      </c>
      <c r="M6" s="8" t="s">
        <v>171</v>
      </c>
      <c r="N6" s="8" t="s">
        <v>174</v>
      </c>
      <c r="O6" s="33" t="s">
        <v>175</v>
      </c>
      <c r="P6" s="8" t="s">
        <v>171</v>
      </c>
      <c r="Q6" s="8" t="s">
        <v>176</v>
      </c>
      <c r="R6" s="8" t="s">
        <v>171</v>
      </c>
    </row>
    <row r="7" spans="1:18" s="44" customFormat="1" ht="204" hidden="1">
      <c r="A7" s="35" t="s">
        <v>43</v>
      </c>
      <c r="B7" s="7"/>
      <c r="C7" s="11"/>
      <c r="D7" s="11"/>
      <c r="E7" s="15"/>
      <c r="F7" s="7" t="s">
        <v>177</v>
      </c>
      <c r="G7" s="12"/>
      <c r="H7" s="78" t="s">
        <v>178</v>
      </c>
      <c r="I7" s="8" t="s">
        <v>179</v>
      </c>
      <c r="J7" s="36"/>
      <c r="K7" s="36"/>
      <c r="L7" s="8" t="s">
        <v>180</v>
      </c>
      <c r="M7" s="36"/>
      <c r="N7" s="36" t="s">
        <v>181</v>
      </c>
      <c r="O7" s="36"/>
      <c r="P7" s="37"/>
      <c r="Q7" s="8" t="s">
        <v>182</v>
      </c>
      <c r="R7" s="8" t="s">
        <v>183</v>
      </c>
    </row>
    <row r="8" spans="1:18" ht="30.6" hidden="1">
      <c r="A8" s="32" t="s">
        <v>150</v>
      </c>
      <c r="B8" s="7"/>
      <c r="C8" s="15"/>
      <c r="D8" s="15" t="str">
        <f>IFERROR(VLOOKUP(C8,Master!$D$2:$E$50,2,0),"")</f>
        <v/>
      </c>
      <c r="E8" s="15"/>
      <c r="F8" s="74" t="str">
        <f>IFERROR(VLOOKUP($E8,'Profil Risiko'!$I:$J,2,0),"")</f>
        <v/>
      </c>
      <c r="G8" s="7"/>
      <c r="H8" s="38"/>
      <c r="I8" s="18"/>
      <c r="J8" s="18"/>
      <c r="K8" s="39"/>
      <c r="L8" s="18"/>
      <c r="M8" s="18"/>
      <c r="N8" s="40">
        <f t="shared" ref="N8:N18" si="0">$H8*$K8</f>
        <v>0</v>
      </c>
      <c r="O8" s="41"/>
      <c r="P8" s="75" t="str">
        <f>IFERROR(VLOOKUP($J8&amp;$M8,Master!$V$2:$W$26,2,0),"No Data")</f>
        <v>No Data</v>
      </c>
      <c r="Q8" s="45"/>
      <c r="R8" s="76" t="str">
        <f>IFERROR(VLOOKUP($J8&amp;$M8,Master!$W$2:$Y$26,3,0),"No Data")</f>
        <v>No Data</v>
      </c>
    </row>
    <row r="9" spans="1:18" ht="102">
      <c r="A9" s="7"/>
      <c r="B9" s="7">
        <v>1</v>
      </c>
      <c r="C9" s="15" t="s">
        <v>1115</v>
      </c>
      <c r="D9" s="15" t="str">
        <f>IFERROR(VLOOKUP(C9,Master!$D$2:$E$50,2,0),"")</f>
        <v>PELINDO</v>
      </c>
      <c r="E9" s="15">
        <f t="shared" ref="E9:E16" si="1">B9</f>
        <v>1</v>
      </c>
      <c r="F9" s="18" t="s">
        <v>1206</v>
      </c>
      <c r="G9" s="7" t="s">
        <v>1506</v>
      </c>
      <c r="H9" s="210">
        <v>394600000000</v>
      </c>
      <c r="I9" s="18">
        <v>3</v>
      </c>
      <c r="J9" s="18"/>
      <c r="K9" s="177">
        <v>0.5</v>
      </c>
      <c r="L9" s="176">
        <v>3</v>
      </c>
      <c r="M9" s="18"/>
      <c r="N9" s="40">
        <f t="shared" si="0"/>
        <v>197300000000</v>
      </c>
      <c r="O9" s="173">
        <v>13</v>
      </c>
      <c r="P9" s="75" t="str">
        <f>IFERROR(VLOOKUP($J9&amp;$M9,Master!$V$2:$W$26,2,0),"No Data")</f>
        <v>No Data</v>
      </c>
      <c r="Q9" s="176" t="s">
        <v>890</v>
      </c>
      <c r="R9" s="76" t="str">
        <f>IFERROR(VLOOKUP($J9&amp;$M9,Master!$W$2:$Y$26,3,0),"No Data")</f>
        <v>No Data</v>
      </c>
    </row>
    <row r="10" spans="1:18" ht="122.4">
      <c r="A10" s="7"/>
      <c r="B10" s="7">
        <v>2</v>
      </c>
      <c r="C10" s="15" t="s">
        <v>1115</v>
      </c>
      <c r="D10" s="15" t="str">
        <f>IFERROR(VLOOKUP(C10,Master!$D$2:$E$50,2,0),"")</f>
        <v>PELINDO</v>
      </c>
      <c r="E10" s="15">
        <f t="shared" si="1"/>
        <v>2</v>
      </c>
      <c r="F10" s="363" t="s">
        <v>1207</v>
      </c>
      <c r="G10" s="364" t="s">
        <v>1511</v>
      </c>
      <c r="H10" s="365">
        <f>10.15%*6865*10^9</f>
        <v>696797500000</v>
      </c>
      <c r="I10" s="18">
        <v>3</v>
      </c>
      <c r="J10" s="18"/>
      <c r="K10" s="171">
        <v>0.5</v>
      </c>
      <c r="L10" s="18">
        <v>3</v>
      </c>
      <c r="M10" s="18"/>
      <c r="N10" s="40">
        <f t="shared" si="0"/>
        <v>348398750000</v>
      </c>
      <c r="O10" s="173">
        <v>13</v>
      </c>
      <c r="P10" s="75" t="str">
        <f>IFERROR(VLOOKUP($J10&amp;$M10,Master!$V$2:$W$26,2,0),"No Data")</f>
        <v>No Data</v>
      </c>
      <c r="Q10" s="18" t="s">
        <v>890</v>
      </c>
      <c r="R10" s="76" t="str">
        <f>IFERROR(VLOOKUP($J10&amp;$M10,Master!$W$2:$Y$26,3,0),"No Data")</f>
        <v>No Data</v>
      </c>
    </row>
    <row r="11" spans="1:18" ht="81.599999999999994">
      <c r="A11" s="7"/>
      <c r="B11" s="7">
        <v>3</v>
      </c>
      <c r="C11" s="15" t="s">
        <v>1115</v>
      </c>
      <c r="D11" s="15" t="str">
        <f>IFERROR(VLOOKUP(C11,Master!$D$2:$E$50,2,0),"")</f>
        <v>PELINDO</v>
      </c>
      <c r="E11" s="15">
        <f t="shared" si="1"/>
        <v>3</v>
      </c>
      <c r="F11" s="363" t="s">
        <v>1208</v>
      </c>
      <c r="G11" s="364" t="s">
        <v>1512</v>
      </c>
      <c r="H11" s="365">
        <f>(12.31%*13335)*10^9</f>
        <v>1641538500000</v>
      </c>
      <c r="I11" s="18">
        <f>IF(H11&lt;=20%*'Metrik Strategi Risiko'!$E$7,1,IF(H11&lt;=40%*'Metrik Strategi Risiko'!$E$7,2,IF(H11&lt;=60%*'Metrik Strategi Risiko'!$E$7,3,IF(H11&lt;=80%*'Metrik Strategi Risiko'!$E$7,4,5))))</f>
        <v>4</v>
      </c>
      <c r="J11" s="18"/>
      <c r="K11" s="171">
        <v>0.7</v>
      </c>
      <c r="L11" s="18">
        <v>4</v>
      </c>
      <c r="M11" s="18"/>
      <c r="N11" s="40">
        <f t="shared" si="0"/>
        <v>1149076950000</v>
      </c>
      <c r="O11" s="173">
        <v>19</v>
      </c>
      <c r="P11" s="75" t="str">
        <f>IFERROR(VLOOKUP($J11&amp;$M11,Master!$V$2:$W$26,2,0),"No Data")</f>
        <v>No Data</v>
      </c>
      <c r="Q11" s="18" t="s">
        <v>893</v>
      </c>
      <c r="R11" s="76" t="str">
        <f>IFERROR(VLOOKUP($J11&amp;$M11,Master!$W$2:$Y$26,3,0),"No Data")</f>
        <v>No Data</v>
      </c>
    </row>
    <row r="12" spans="1:18" ht="122.4">
      <c r="A12" s="7"/>
      <c r="B12" s="7">
        <v>4</v>
      </c>
      <c r="C12" s="15" t="s">
        <v>1115</v>
      </c>
      <c r="D12" s="15" t="str">
        <f>IFERROR(VLOOKUP(C12,Master!$D$2:$E$50,2,0),"")</f>
        <v>PELINDO</v>
      </c>
      <c r="E12" s="15">
        <f t="shared" si="1"/>
        <v>4</v>
      </c>
      <c r="F12" s="363" t="s">
        <v>1209</v>
      </c>
      <c r="G12" s="364" t="s">
        <v>1513</v>
      </c>
      <c r="H12" s="365">
        <f>13.69%*5203*10^9</f>
        <v>712290700000</v>
      </c>
      <c r="I12" s="18">
        <v>3</v>
      </c>
      <c r="J12" s="18"/>
      <c r="K12" s="171">
        <v>0.5</v>
      </c>
      <c r="L12" s="18">
        <v>3</v>
      </c>
      <c r="M12" s="18"/>
      <c r="N12" s="40">
        <f t="shared" si="0"/>
        <v>356145350000</v>
      </c>
      <c r="O12" s="173">
        <v>13</v>
      </c>
      <c r="P12" s="75" t="str">
        <f>IFERROR(VLOOKUP($J12&amp;$M12,Master!$V$2:$W$26,2,0),"No Data")</f>
        <v>No Data</v>
      </c>
      <c r="Q12" s="18" t="s">
        <v>890</v>
      </c>
      <c r="R12" s="76" t="str">
        <f>IFERROR(VLOOKUP($J12&amp;$M12,Master!$W$2:$Y$26,3,0),"No Data")</f>
        <v>No Data</v>
      </c>
    </row>
    <row r="13" spans="1:18" ht="122.4">
      <c r="A13" s="7"/>
      <c r="B13" s="7">
        <v>5</v>
      </c>
      <c r="C13" s="15" t="s">
        <v>1115</v>
      </c>
      <c r="D13" s="15" t="str">
        <f>IFERROR(VLOOKUP(C13,Master!$D$2:$E$50,2,0),"")</f>
        <v>PELINDO</v>
      </c>
      <c r="E13" s="15">
        <f t="shared" si="1"/>
        <v>5</v>
      </c>
      <c r="F13" s="18" t="s">
        <v>1210</v>
      </c>
      <c r="G13" s="7" t="s">
        <v>1507</v>
      </c>
      <c r="H13" s="211">
        <f>6.23%*5055*10^9</f>
        <v>314926500000.00006</v>
      </c>
      <c r="I13" s="18">
        <v>3</v>
      </c>
      <c r="J13" s="18"/>
      <c r="K13" s="175">
        <v>0.7</v>
      </c>
      <c r="L13" s="174">
        <v>4</v>
      </c>
      <c r="M13" s="18"/>
      <c r="N13" s="40">
        <f t="shared" si="0"/>
        <v>220448550000.00003</v>
      </c>
      <c r="O13" s="173">
        <v>14</v>
      </c>
      <c r="P13" s="75" t="str">
        <f>IFERROR(VLOOKUP($J13&amp;$M13,Master!$V$2:$W$26,2,0),"No Data")</f>
        <v>No Data</v>
      </c>
      <c r="Q13" s="373" t="s">
        <v>890</v>
      </c>
      <c r="R13" s="76" t="str">
        <f>IFERROR(VLOOKUP($J13&amp;$M13,Master!$W$2:$Y$26,3,0),"No Data")</f>
        <v>No Data</v>
      </c>
    </row>
    <row r="14" spans="1:18" ht="30.6">
      <c r="A14" s="7"/>
      <c r="B14" s="7">
        <v>6</v>
      </c>
      <c r="C14" s="15" t="s">
        <v>1115</v>
      </c>
      <c r="D14" s="15" t="str">
        <f>IFERROR(VLOOKUP(C14,Master!$D$2:$E$50,2,0),"")</f>
        <v>PELINDO</v>
      </c>
      <c r="E14" s="15">
        <f t="shared" si="1"/>
        <v>6</v>
      </c>
      <c r="F14" s="18" t="s">
        <v>1211</v>
      </c>
      <c r="G14" s="7" t="s">
        <v>1505</v>
      </c>
      <c r="H14" s="212">
        <v>733523653269</v>
      </c>
      <c r="I14" s="18">
        <v>4</v>
      </c>
      <c r="J14" s="18"/>
      <c r="K14" s="179">
        <v>0.5</v>
      </c>
      <c r="L14" s="178">
        <v>3</v>
      </c>
      <c r="M14" s="18"/>
      <c r="N14" s="40">
        <f t="shared" si="0"/>
        <v>366761826634.5</v>
      </c>
      <c r="O14" s="180">
        <v>18</v>
      </c>
      <c r="P14" s="75" t="str">
        <f>IFERROR(VLOOKUP($J14&amp;$M14,Master!$V$2:$W$26,2,0),"No Data")</f>
        <v>No Data</v>
      </c>
      <c r="Q14" s="373" t="s">
        <v>893</v>
      </c>
      <c r="R14" s="76" t="str">
        <f>IFERROR(VLOOKUP($J14&amp;$M14,Master!$W$2:$Y$26,3,0),"No Data")</f>
        <v>No Data</v>
      </c>
    </row>
    <row r="15" spans="1:18" ht="81.599999999999994">
      <c r="A15" s="7"/>
      <c r="B15" s="7">
        <v>7</v>
      </c>
      <c r="C15" s="15" t="s">
        <v>1115</v>
      </c>
      <c r="D15" s="15" t="str">
        <f>IFERROR(VLOOKUP(C15,Master!$D$2:$E$50,2,0),"")</f>
        <v>PELINDO</v>
      </c>
      <c r="E15" s="15">
        <f t="shared" si="1"/>
        <v>7</v>
      </c>
      <c r="F15" s="367" t="s">
        <v>1212</v>
      </c>
      <c r="G15" s="368" t="s">
        <v>1508</v>
      </c>
      <c r="H15" s="369">
        <f>26*10^12*2%</f>
        <v>520000000000</v>
      </c>
      <c r="I15" s="18">
        <v>3</v>
      </c>
      <c r="J15" s="18"/>
      <c r="K15" s="177">
        <v>0.5</v>
      </c>
      <c r="L15" s="18">
        <v>3</v>
      </c>
      <c r="M15" s="18"/>
      <c r="N15" s="40">
        <f t="shared" si="0"/>
        <v>260000000000</v>
      </c>
      <c r="O15" s="41">
        <v>13</v>
      </c>
      <c r="P15" s="75" t="str">
        <f>IFERROR(VLOOKUP($J15&amp;$M15,Master!$V$2:$W$26,2,0),"No Data")</f>
        <v>No Data</v>
      </c>
      <c r="Q15" s="373" t="s">
        <v>890</v>
      </c>
      <c r="R15" s="76" t="str">
        <f>IFERROR(VLOOKUP($J15&amp;$M15,Master!$W$2:$Y$26,3,0),"No Data")</f>
        <v>No Data</v>
      </c>
    </row>
    <row r="16" spans="1:18" ht="40.799999999999997">
      <c r="A16" s="7"/>
      <c r="B16" s="7">
        <v>8</v>
      </c>
      <c r="C16" s="15" t="s">
        <v>1115</v>
      </c>
      <c r="D16" s="15" t="str">
        <f>IFERROR(VLOOKUP(C16,Master!$D$2:$E$50,2,0),"")</f>
        <v>PELINDO</v>
      </c>
      <c r="E16" s="15">
        <f t="shared" si="1"/>
        <v>8</v>
      </c>
      <c r="F16" s="18" t="s">
        <v>1213</v>
      </c>
      <c r="G16" s="7" t="s">
        <v>1509</v>
      </c>
      <c r="H16" s="52">
        <v>160000000000</v>
      </c>
      <c r="I16" s="18">
        <v>3</v>
      </c>
      <c r="J16" s="18"/>
      <c r="K16" s="171">
        <v>0.7</v>
      </c>
      <c r="L16" s="18">
        <v>4</v>
      </c>
      <c r="M16" s="18"/>
      <c r="N16" s="40">
        <f t="shared" si="0"/>
        <v>112000000000</v>
      </c>
      <c r="O16" s="41">
        <v>14</v>
      </c>
      <c r="P16" s="75" t="str">
        <f>IFERROR(VLOOKUP($J16&amp;$M16,Master!$V$2:$W$26,2,0),"No Data")</f>
        <v>No Data</v>
      </c>
      <c r="Q16" s="18" t="s">
        <v>890</v>
      </c>
      <c r="R16" s="76" t="str">
        <f>IFERROR(VLOOKUP($J16&amp;$M16,Master!$W$2:$Y$26,3,0),"No Data")</f>
        <v>No Data</v>
      </c>
    </row>
    <row r="17" spans="1:18" ht="91.8">
      <c r="A17" s="7"/>
      <c r="B17" s="7">
        <v>9</v>
      </c>
      <c r="C17" s="15" t="s">
        <v>1115</v>
      </c>
      <c r="D17" s="15" t="str">
        <f>IFERROR(VLOOKUP(C17,Master!$D$2:$E$50,2,0),"")</f>
        <v>PELINDO</v>
      </c>
      <c r="E17" s="15">
        <f t="shared" ref="E17:E18" si="2">B17</f>
        <v>9</v>
      </c>
      <c r="F17" s="18" t="s">
        <v>1365</v>
      </c>
      <c r="G17" s="7" t="s">
        <v>1510</v>
      </c>
      <c r="H17" s="52">
        <v>138000000000</v>
      </c>
      <c r="I17" s="18">
        <v>3</v>
      </c>
      <c r="J17" s="18"/>
      <c r="K17" s="171">
        <v>0.5</v>
      </c>
      <c r="L17" s="18">
        <v>3</v>
      </c>
      <c r="M17" s="18"/>
      <c r="N17" s="40">
        <f t="shared" si="0"/>
        <v>69000000000</v>
      </c>
      <c r="O17" s="41">
        <v>13</v>
      </c>
      <c r="P17" s="75" t="str">
        <f>IFERROR(VLOOKUP($J17&amp;$M17,Master!$V$2:$W$26,2,0),"No Data")</f>
        <v>No Data</v>
      </c>
      <c r="Q17" s="18" t="s">
        <v>890</v>
      </c>
      <c r="R17" s="76" t="str">
        <f>IFERROR(VLOOKUP($J17&amp;$M17,Master!$W$2:$Y$26,3,0),"No Data")</f>
        <v>No Data</v>
      </c>
    </row>
    <row r="18" spans="1:18" ht="81.599999999999994">
      <c r="A18" s="7"/>
      <c r="B18" s="7">
        <v>17</v>
      </c>
      <c r="C18" s="15" t="s">
        <v>1115</v>
      </c>
      <c r="D18" s="15" t="str">
        <f>IFERROR(VLOOKUP(C18,Master!$D$2:$E$50,2,0),"")</f>
        <v>PELINDO</v>
      </c>
      <c r="E18" s="15">
        <f t="shared" si="2"/>
        <v>17</v>
      </c>
      <c r="F18" s="18" t="s">
        <v>1411</v>
      </c>
      <c r="G18" s="7" t="s">
        <v>1514</v>
      </c>
      <c r="H18" s="52">
        <v>761000000000</v>
      </c>
      <c r="I18" s="18">
        <v>4</v>
      </c>
      <c r="J18" s="18"/>
      <c r="K18" s="171">
        <v>0.5</v>
      </c>
      <c r="L18" s="18">
        <v>3</v>
      </c>
      <c r="M18" s="18"/>
      <c r="N18" s="40">
        <f t="shared" si="0"/>
        <v>380500000000</v>
      </c>
      <c r="O18" s="41">
        <v>18</v>
      </c>
      <c r="P18" s="75" t="str">
        <f>IFERROR(VLOOKUP($J18&amp;$M18,Master!$V$2:$W$26,2,0),"No Data")</f>
        <v>No Data</v>
      </c>
      <c r="Q18" s="373" t="s">
        <v>893</v>
      </c>
      <c r="R18" s="76" t="str">
        <f>IFERROR(VLOOKUP($J18&amp;$M18,Master!$W$2:$Y$26,3,0),"No Data")</f>
        <v>No Data</v>
      </c>
    </row>
    <row r="21" spans="1:18">
      <c r="F21" s="30"/>
      <c r="G21" s="30"/>
      <c r="L21" s="43"/>
      <c r="M21" s="43"/>
      <c r="N21" s="240">
        <f>SUM(N9:N18)</f>
        <v>3459631426634.5</v>
      </c>
      <c r="O21" s="43"/>
      <c r="P21" s="43"/>
    </row>
    <row r="22" spans="1:18">
      <c r="F22" s="30"/>
      <c r="G22" s="30"/>
      <c r="L22" s="43"/>
      <c r="M22" s="43"/>
      <c r="N22" s="43"/>
      <c r="O22" s="43"/>
      <c r="P22" s="43"/>
    </row>
    <row r="23" spans="1:18">
      <c r="F23" s="30"/>
      <c r="G23" s="30"/>
      <c r="L23" s="43"/>
      <c r="M23" s="43"/>
      <c r="N23" s="43"/>
      <c r="O23" s="43"/>
      <c r="P23" s="43"/>
    </row>
    <row r="24" spans="1:18">
      <c r="F24" s="30"/>
      <c r="G24" s="30"/>
      <c r="L24" s="43"/>
      <c r="M24" s="43"/>
      <c r="N24" s="43"/>
      <c r="O24" s="43"/>
      <c r="P24" s="43"/>
    </row>
  </sheetData>
  <mergeCells count="15">
    <mergeCell ref="Q3:R3"/>
    <mergeCell ref="G2:R2"/>
    <mergeCell ref="I3:J3"/>
    <mergeCell ref="L3:M3"/>
    <mergeCell ref="N3:N4"/>
    <mergeCell ref="K3:K4"/>
    <mergeCell ref="O3:P3"/>
    <mergeCell ref="G3:G4"/>
    <mergeCell ref="A2:A4"/>
    <mergeCell ref="B2:B4"/>
    <mergeCell ref="C2:C4"/>
    <mergeCell ref="H3:H4"/>
    <mergeCell ref="E2:E4"/>
    <mergeCell ref="F2:F4"/>
    <mergeCell ref="D2:D4"/>
  </mergeCells>
  <conditionalFormatting sqref="H6">
    <cfRule type="expression" dxfId="39" priority="3">
      <formula>#REF!="kualitatif"</formula>
    </cfRule>
  </conditionalFormatting>
  <conditionalFormatting sqref="H8:H18">
    <cfRule type="expression" dxfId="38" priority="1">
      <formula>$T8="kualitatif"</formula>
    </cfRule>
  </conditionalFormatting>
  <conditionalFormatting sqref="M24 R25:R1048576">
    <cfRule type="cellIs" dxfId="37" priority="4" operator="equal">
      <formula>#REF!</formula>
    </cfRule>
    <cfRule type="cellIs" dxfId="36" priority="5" operator="equal">
      <formula>#REF!</formula>
    </cfRule>
    <cfRule type="cellIs" dxfId="35" priority="6" operator="equal">
      <formula>#REF!</formula>
    </cfRule>
    <cfRule type="cellIs" dxfId="34" priority="7" operator="equal">
      <formula>#REF!</formula>
    </cfRule>
    <cfRule type="cellIs" dxfId="33" priority="8" operator="equal">
      <formula>#REF!</formula>
    </cfRule>
  </conditionalFormatting>
  <hyperlinks>
    <hyperlink ref="A1" location="'Daftar Isi'!A1" display="Kembali ke Daftar Isi"/>
  </hyperlinks>
  <pageMargins left="0.7" right="0.7" top="0.75" bottom="0.75" header="0.3" footer="0.3"/>
  <legacyDrawing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14:formula1>
            <xm:f>Master!$H$2:$H$6</xm:f>
          </x14:formula1>
          <xm:sqref>L8:M18 J8:J18 I8</xm:sqref>
        </x14:dataValidation>
        <x14:dataValidation type="list" allowBlank="1" showInputMessage="1" showErrorMessage="1">
          <x14:formula1>
            <xm:f>Master!$I$2:$I$26</xm:f>
          </x14:formula1>
          <xm:sqref>O8:O18</xm:sqref>
        </x14:dataValidation>
        <x14:dataValidation type="list" allowBlank="1" showInputMessage="1" showErrorMessage="1">
          <x14:formula1>
            <xm:f>Master!$D$2:$D$50</xm:f>
          </x14:formula1>
          <xm:sqref>C8:C18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1896A4"/>
  </sheetPr>
  <dimension ref="A1:R20"/>
  <sheetViews>
    <sheetView showGridLines="0" zoomScale="115" zoomScaleNormal="115" workbookViewId="0">
      <pane xSplit="6" ySplit="4" topLeftCell="N5" activePane="bottomRight" state="frozen"/>
      <selection pane="topRight" activeCell="G1" sqref="G1"/>
      <selection pane="bottomLeft" activeCell="A5" sqref="A5"/>
      <selection pane="bottomRight" activeCell="O6" sqref="O6"/>
    </sheetView>
  </sheetViews>
  <sheetFormatPr defaultColWidth="11.44140625" defaultRowHeight="10.199999999999999"/>
  <cols>
    <col min="1" max="1" width="7.77734375" style="43" customWidth="1"/>
    <col min="2" max="2" width="7" style="43" customWidth="1"/>
    <col min="3" max="3" width="10.77734375" style="43" customWidth="1"/>
    <col min="4" max="4" width="8.77734375" style="21" customWidth="1"/>
    <col min="5" max="5" width="8" style="43" customWidth="1"/>
    <col min="6" max="6" width="18.21875" style="43" customWidth="1"/>
    <col min="7" max="7" width="42.77734375" style="21" customWidth="1"/>
    <col min="8" max="8" width="22.21875" style="30" customWidth="1"/>
    <col min="9" max="9" width="15.21875" style="30" customWidth="1"/>
    <col min="10" max="10" width="30.44140625" style="30" customWidth="1"/>
    <col min="11" max="11" width="9.5546875" style="30" customWidth="1"/>
    <col min="12" max="12" width="12.77734375" style="30" customWidth="1"/>
    <col min="13" max="13" width="18.77734375" style="30" customWidth="1"/>
    <col min="14" max="14" width="20.21875" style="30" bestFit="1" customWidth="1"/>
    <col min="15" max="16" width="17.44140625" style="30" bestFit="1" customWidth="1"/>
    <col min="17" max="17" width="11.44140625" style="43"/>
    <col min="18" max="18" width="14.21875" style="43" bestFit="1" customWidth="1"/>
    <col min="19" max="16384" width="11.44140625" style="43"/>
  </cols>
  <sheetData>
    <row r="1" spans="1:18" ht="14.4">
      <c r="A1" s="102" t="s">
        <v>29</v>
      </c>
      <c r="B1" s="30"/>
      <c r="C1" s="30"/>
      <c r="D1" s="30"/>
      <c r="E1" s="30"/>
      <c r="F1" s="30"/>
      <c r="G1" s="30"/>
      <c r="Q1" s="30"/>
      <c r="R1" s="30"/>
    </row>
    <row r="2" spans="1:18">
      <c r="A2" s="403" t="s">
        <v>31</v>
      </c>
      <c r="B2" s="403" t="s">
        <v>47</v>
      </c>
      <c r="C2" s="403" t="s">
        <v>151</v>
      </c>
      <c r="D2" s="402" t="s">
        <v>49</v>
      </c>
      <c r="E2" s="403" t="s">
        <v>102</v>
      </c>
      <c r="F2" s="411" t="s">
        <v>152</v>
      </c>
      <c r="G2" s="408" t="s">
        <v>153</v>
      </c>
      <c r="H2" s="409"/>
      <c r="I2" s="409"/>
      <c r="J2" s="409"/>
      <c r="K2" s="409"/>
      <c r="L2" s="409"/>
      <c r="M2" s="409"/>
      <c r="N2" s="409"/>
      <c r="O2" s="409"/>
      <c r="P2" s="409"/>
      <c r="Q2" s="409"/>
      <c r="R2" s="409"/>
    </row>
    <row r="3" spans="1:18">
      <c r="A3" s="403"/>
      <c r="B3" s="403"/>
      <c r="C3" s="403"/>
      <c r="D3" s="402"/>
      <c r="E3" s="403"/>
      <c r="F3" s="412"/>
      <c r="G3" s="405" t="s">
        <v>184</v>
      </c>
      <c r="H3" s="405" t="s">
        <v>155</v>
      </c>
      <c r="I3" s="406" t="s">
        <v>156</v>
      </c>
      <c r="J3" s="407"/>
      <c r="K3" s="405" t="s">
        <v>157</v>
      </c>
      <c r="L3" s="406" t="s">
        <v>158</v>
      </c>
      <c r="M3" s="407"/>
      <c r="N3" s="405" t="s">
        <v>185</v>
      </c>
      <c r="O3" s="406" t="s">
        <v>186</v>
      </c>
      <c r="P3" s="407"/>
      <c r="Q3" s="406" t="s">
        <v>187</v>
      </c>
      <c r="R3" s="407"/>
    </row>
    <row r="4" spans="1:18">
      <c r="A4" s="403"/>
      <c r="B4" s="403"/>
      <c r="C4" s="403"/>
      <c r="D4" s="402"/>
      <c r="E4" s="403"/>
      <c r="F4" s="413"/>
      <c r="G4" s="405"/>
      <c r="H4" s="405"/>
      <c r="I4" s="31" t="s">
        <v>151</v>
      </c>
      <c r="J4" s="31" t="s">
        <v>162</v>
      </c>
      <c r="K4" s="405"/>
      <c r="L4" s="31" t="s">
        <v>151</v>
      </c>
      <c r="M4" s="31" t="s">
        <v>162</v>
      </c>
      <c r="N4" s="405"/>
      <c r="O4" s="31" t="s">
        <v>151</v>
      </c>
      <c r="P4" s="31" t="s">
        <v>162</v>
      </c>
      <c r="Q4" s="31" t="s">
        <v>151</v>
      </c>
      <c r="R4" s="31" t="s">
        <v>162</v>
      </c>
    </row>
    <row r="5" spans="1:18" ht="30.6">
      <c r="A5" s="32" t="s">
        <v>36</v>
      </c>
      <c r="B5" s="3" t="s">
        <v>59</v>
      </c>
      <c r="C5" s="3" t="s">
        <v>59</v>
      </c>
      <c r="D5" s="3" t="s">
        <v>59</v>
      </c>
      <c r="E5" s="3" t="s">
        <v>59</v>
      </c>
      <c r="F5" s="3" t="s">
        <v>59</v>
      </c>
      <c r="G5" s="3" t="s">
        <v>60</v>
      </c>
      <c r="H5" s="4" t="s">
        <v>163</v>
      </c>
      <c r="I5" s="4" t="s">
        <v>58</v>
      </c>
      <c r="J5" s="3" t="s">
        <v>59</v>
      </c>
      <c r="K5" s="4" t="s">
        <v>164</v>
      </c>
      <c r="L5" s="4" t="s">
        <v>58</v>
      </c>
      <c r="M5" s="3" t="s">
        <v>59</v>
      </c>
      <c r="N5" s="3" t="s">
        <v>57</v>
      </c>
      <c r="O5" s="4" t="s">
        <v>166</v>
      </c>
      <c r="P5" s="4" t="s">
        <v>166</v>
      </c>
      <c r="Q5" s="3" t="s">
        <v>60</v>
      </c>
      <c r="R5" s="3" t="s">
        <v>59</v>
      </c>
    </row>
    <row r="6" spans="1:18" s="44" customFormat="1" ht="71.400000000000006">
      <c r="A6" s="32" t="s">
        <v>38</v>
      </c>
      <c r="B6" s="7"/>
      <c r="C6" s="7"/>
      <c r="D6" s="12" t="s">
        <v>64</v>
      </c>
      <c r="E6" s="7" t="s">
        <v>125</v>
      </c>
      <c r="F6" s="7" t="s">
        <v>167</v>
      </c>
      <c r="G6" s="7" t="s">
        <v>188</v>
      </c>
      <c r="H6" s="8" t="s">
        <v>189</v>
      </c>
      <c r="I6" s="8" t="s">
        <v>170</v>
      </c>
      <c r="J6" s="8" t="s">
        <v>171</v>
      </c>
      <c r="K6" s="8" t="s">
        <v>172</v>
      </c>
      <c r="L6" s="8" t="s">
        <v>173</v>
      </c>
      <c r="M6" s="8" t="s">
        <v>171</v>
      </c>
      <c r="N6" s="8" t="s">
        <v>190</v>
      </c>
      <c r="O6" s="33" t="s">
        <v>175</v>
      </c>
      <c r="P6" s="8" t="s">
        <v>171</v>
      </c>
      <c r="Q6" s="8" t="s">
        <v>191</v>
      </c>
      <c r="R6" s="8" t="s">
        <v>171</v>
      </c>
    </row>
    <row r="7" spans="1:18" s="44" customFormat="1" ht="193.8">
      <c r="A7" s="35" t="s">
        <v>43</v>
      </c>
      <c r="B7" s="7"/>
      <c r="C7" s="11"/>
      <c r="D7" s="11"/>
      <c r="E7" s="7"/>
      <c r="F7" s="7" t="s">
        <v>177</v>
      </c>
      <c r="G7" s="12"/>
      <c r="H7" s="36"/>
      <c r="I7" s="8" t="s">
        <v>192</v>
      </c>
      <c r="J7" s="36"/>
      <c r="K7" s="36"/>
      <c r="L7" s="8" t="s">
        <v>180</v>
      </c>
      <c r="M7" s="36"/>
      <c r="N7" s="36"/>
      <c r="O7" s="8" t="s">
        <v>193</v>
      </c>
      <c r="P7" s="20"/>
      <c r="Q7" s="8" t="s">
        <v>194</v>
      </c>
      <c r="R7" s="8" t="s">
        <v>183</v>
      </c>
    </row>
    <row r="8" spans="1:18" ht="102">
      <c r="A8" s="32" t="s">
        <v>150</v>
      </c>
      <c r="B8" s="7">
        <v>10</v>
      </c>
      <c r="C8" s="15" t="s">
        <v>1115</v>
      </c>
      <c r="D8" s="15" t="str">
        <f>IFERROR(VLOOKUP(C8,Master!$D$2:$E$50,2,0),"")</f>
        <v>PELINDO</v>
      </c>
      <c r="E8" s="7">
        <f t="shared" ref="E8:E14" si="0">B8</f>
        <v>10</v>
      </c>
      <c r="F8" s="18" t="s">
        <v>1220</v>
      </c>
      <c r="G8" s="7" t="s">
        <v>1221</v>
      </c>
      <c r="H8" s="38"/>
      <c r="I8" s="18">
        <v>3</v>
      </c>
      <c r="J8" s="18"/>
      <c r="K8" s="171">
        <v>0.5</v>
      </c>
      <c r="L8" s="18">
        <v>3</v>
      </c>
      <c r="M8" s="18"/>
      <c r="N8" s="40">
        <f>1%*'Metrik Strategi Risiko'!$E$7*$I8*$K8</f>
        <v>33000000000</v>
      </c>
      <c r="O8" s="41">
        <v>13</v>
      </c>
      <c r="P8" s="75" t="str">
        <f>IFERROR(VLOOKUP($J8&amp;$M8,Master!$V$2:$W$26,2,0),"No Data")</f>
        <v>No Data</v>
      </c>
      <c r="Q8" s="18" t="s">
        <v>890</v>
      </c>
      <c r="R8" s="76" t="str">
        <f>IFERROR(VLOOKUP($J8&amp;$M8,Master!$W$2:$Y$26,3,0),"No Data")</f>
        <v>No Data</v>
      </c>
    </row>
    <row r="9" spans="1:18" ht="102">
      <c r="A9" s="7"/>
      <c r="B9" s="7">
        <v>11</v>
      </c>
      <c r="C9" s="15" t="s">
        <v>1115</v>
      </c>
      <c r="D9" s="15" t="str">
        <f>IFERROR(VLOOKUP(C9,Master!$D$2:$E$50,2,0),"")</f>
        <v>PELINDO</v>
      </c>
      <c r="E9" s="7">
        <f t="shared" si="0"/>
        <v>11</v>
      </c>
      <c r="F9" s="18" t="s">
        <v>1214</v>
      </c>
      <c r="G9" s="7" t="s">
        <v>1222</v>
      </c>
      <c r="H9" s="52"/>
      <c r="I9" s="18">
        <v>3</v>
      </c>
      <c r="J9" s="18"/>
      <c r="K9" s="171">
        <v>0.5</v>
      </c>
      <c r="L9" s="18">
        <v>3</v>
      </c>
      <c r="M9" s="18"/>
      <c r="N9" s="40">
        <f>1%*'Metrik Strategi Risiko'!$E$7*$I9*$K9</f>
        <v>33000000000</v>
      </c>
      <c r="O9" s="173">
        <v>13</v>
      </c>
      <c r="P9" s="75" t="str">
        <f>IFERROR(VLOOKUP($J9&amp;$M9,Master!$V$2:$W$26,2,0),"No Data")</f>
        <v>No Data</v>
      </c>
      <c r="Q9" s="18" t="s">
        <v>890</v>
      </c>
      <c r="R9" s="76" t="str">
        <f>IFERROR(VLOOKUP($J9&amp;$M9,Master!$W$2:$Y$26,3,0),"No Data")</f>
        <v>No Data</v>
      </c>
    </row>
    <row r="10" spans="1:18" ht="71.400000000000006">
      <c r="A10" s="7"/>
      <c r="B10" s="7">
        <v>12</v>
      </c>
      <c r="C10" s="15" t="s">
        <v>1115</v>
      </c>
      <c r="D10" s="15" t="str">
        <f>IFERROR(VLOOKUP(C10,Master!$D$2:$E$50,2,0),"")</f>
        <v>PELINDO</v>
      </c>
      <c r="E10" s="7">
        <f t="shared" si="0"/>
        <v>12</v>
      </c>
      <c r="F10" s="18" t="s">
        <v>1215</v>
      </c>
      <c r="G10" s="7" t="s">
        <v>1223</v>
      </c>
      <c r="H10" s="38"/>
      <c r="I10" s="18">
        <v>4</v>
      </c>
      <c r="J10" s="18"/>
      <c r="K10" s="171">
        <v>0.3</v>
      </c>
      <c r="L10" s="18">
        <v>2</v>
      </c>
      <c r="M10" s="18"/>
      <c r="N10" s="40">
        <f>1%*'Metrik Strategi Risiko'!$E$7*$I10*$K10</f>
        <v>26400000000</v>
      </c>
      <c r="O10" s="41">
        <v>16</v>
      </c>
      <c r="P10" s="75" t="str">
        <f>IFERROR(VLOOKUP($J10&amp;$M10,Master!$V$2:$W$26,2,0),"No Data")</f>
        <v>No Data</v>
      </c>
      <c r="Q10" s="18" t="s">
        <v>893</v>
      </c>
      <c r="R10" s="76" t="str">
        <f>IFERROR(VLOOKUP($J10&amp;$M10,Master!$W$2:$Y$26,3,0),"No Data")</f>
        <v>No Data</v>
      </c>
    </row>
    <row r="11" spans="1:18" ht="30.6">
      <c r="A11" s="7"/>
      <c r="B11" s="7">
        <v>13</v>
      </c>
      <c r="C11" s="15" t="s">
        <v>1115</v>
      </c>
      <c r="D11" s="15" t="str">
        <f>IFERROR(VLOOKUP(C11,Master!$D$2:$E$50,2,0),"")</f>
        <v>PELINDO</v>
      </c>
      <c r="E11" s="7">
        <f t="shared" si="0"/>
        <v>13</v>
      </c>
      <c r="F11" s="18" t="s">
        <v>1216</v>
      </c>
      <c r="G11" s="7" t="s">
        <v>1224</v>
      </c>
      <c r="H11" s="38"/>
      <c r="I11" s="18">
        <v>4</v>
      </c>
      <c r="J11" s="18"/>
      <c r="K11" s="171">
        <v>0.5</v>
      </c>
      <c r="L11" s="18">
        <v>3</v>
      </c>
      <c r="M11" s="18"/>
      <c r="N11" s="40">
        <f>1%*'Metrik Strategi Risiko'!$E$7*$I11*$K11</f>
        <v>44000000000</v>
      </c>
      <c r="O11" s="41">
        <v>18</v>
      </c>
      <c r="P11" s="75" t="str">
        <f>IFERROR(VLOOKUP($J11&amp;$M11,Master!$V$2:$W$26,2,0),"No Data")</f>
        <v>No Data</v>
      </c>
      <c r="Q11" s="18" t="s">
        <v>893</v>
      </c>
      <c r="R11" s="76" t="str">
        <f>IFERROR(VLOOKUP($J11&amp;$M11,Master!$W$2:$Y$26,3,0),"No Data")</f>
        <v>No Data</v>
      </c>
    </row>
    <row r="12" spans="1:18" ht="30.6">
      <c r="A12" s="7"/>
      <c r="B12" s="7">
        <v>14</v>
      </c>
      <c r="C12" s="15" t="s">
        <v>1115</v>
      </c>
      <c r="D12" s="15" t="str">
        <f>IFERROR(VLOOKUP(C12,Master!$D$2:$E$50,2,0),"")</f>
        <v>PELINDO</v>
      </c>
      <c r="E12" s="7">
        <f t="shared" si="0"/>
        <v>14</v>
      </c>
      <c r="F12" s="18" t="s">
        <v>1217</v>
      </c>
      <c r="G12" s="7" t="s">
        <v>1225</v>
      </c>
      <c r="H12" s="38"/>
      <c r="I12" s="18">
        <v>3</v>
      </c>
      <c r="J12" s="18"/>
      <c r="K12" s="171">
        <v>0.5</v>
      </c>
      <c r="L12" s="18">
        <v>3</v>
      </c>
      <c r="M12" s="18"/>
      <c r="N12" s="40">
        <f>1%*'Metrik Strategi Risiko'!$E$7*$I12*$K12</f>
        <v>33000000000</v>
      </c>
      <c r="O12" s="41">
        <v>13</v>
      </c>
      <c r="P12" s="75" t="str">
        <f>IFERROR(VLOOKUP($J12&amp;$M12,Master!$V$2:$W$26,2,0),"No Data")</f>
        <v>No Data</v>
      </c>
      <c r="Q12" s="18" t="s">
        <v>890</v>
      </c>
      <c r="R12" s="76" t="str">
        <f>IFERROR(VLOOKUP($J12&amp;$M12,Master!$W$2:$Y$26,3,0),"No Data")</f>
        <v>No Data</v>
      </c>
    </row>
    <row r="13" spans="1:18" ht="30.6">
      <c r="A13" s="7"/>
      <c r="B13" s="7">
        <v>15</v>
      </c>
      <c r="C13" s="15" t="s">
        <v>1115</v>
      </c>
      <c r="D13" s="15" t="str">
        <f>IFERROR(VLOOKUP(C13,Master!$D$2:$E$50,2,0),"")</f>
        <v>PELINDO</v>
      </c>
      <c r="E13" s="7">
        <f t="shared" si="0"/>
        <v>15</v>
      </c>
      <c r="F13" s="18" t="s">
        <v>1218</v>
      </c>
      <c r="G13" s="7" t="s">
        <v>1204</v>
      </c>
      <c r="H13" s="38"/>
      <c r="I13" s="18">
        <v>4</v>
      </c>
      <c r="J13" s="18"/>
      <c r="K13" s="171">
        <v>0.3</v>
      </c>
      <c r="L13" s="18">
        <v>2</v>
      </c>
      <c r="M13" s="18"/>
      <c r="N13" s="40">
        <f>1%*'Metrik Strategi Risiko'!$E$7*$I13*$K13</f>
        <v>26400000000</v>
      </c>
      <c r="O13" s="41">
        <v>16</v>
      </c>
      <c r="P13" s="75" t="str">
        <f>IFERROR(VLOOKUP($J13&amp;$M13,Master!$V$2:$W$26,2,0),"No Data")</f>
        <v>No Data</v>
      </c>
      <c r="Q13" s="18" t="s">
        <v>893</v>
      </c>
      <c r="R13" s="76" t="str">
        <f>IFERROR(VLOOKUP($J13&amp;$M13,Master!$W$2:$Y$26,3,0),"No Data")</f>
        <v>No Data</v>
      </c>
    </row>
    <row r="14" spans="1:18" ht="30.6">
      <c r="A14" s="7"/>
      <c r="B14" s="7">
        <v>16</v>
      </c>
      <c r="C14" s="15" t="s">
        <v>1115</v>
      </c>
      <c r="D14" s="15" t="str">
        <f>IFERROR(VLOOKUP(C14,Master!$D$2:$E$50,2,0),"")</f>
        <v>PELINDO</v>
      </c>
      <c r="E14" s="7">
        <f t="shared" si="0"/>
        <v>16</v>
      </c>
      <c r="F14" s="18" t="s">
        <v>1219</v>
      </c>
      <c r="G14" s="7" t="s">
        <v>1226</v>
      </c>
      <c r="H14" s="38"/>
      <c r="I14" s="18">
        <v>3</v>
      </c>
      <c r="J14" s="18"/>
      <c r="K14" s="171">
        <v>0.5</v>
      </c>
      <c r="L14" s="18">
        <v>3</v>
      </c>
      <c r="M14" s="18"/>
      <c r="N14" s="40">
        <f>1%*'Metrik Strategi Risiko'!$E$7*$I14*$K14</f>
        <v>33000000000</v>
      </c>
      <c r="O14" s="41">
        <v>13</v>
      </c>
      <c r="P14" s="75" t="str">
        <f>IFERROR(VLOOKUP($J14&amp;$M14,Master!$V$2:$W$26,2,0),"No Data")</f>
        <v>No Data</v>
      </c>
      <c r="Q14" s="18" t="s">
        <v>890</v>
      </c>
      <c r="R14" s="76" t="str">
        <f>IFERROR(VLOOKUP($J14&amp;$M14,Master!$W$2:$Y$26,3,0),"No Data")</f>
        <v>No Data</v>
      </c>
    </row>
    <row r="15" spans="1:18">
      <c r="N15" s="221">
        <f>SUM(N8:N14)</f>
        <v>228800000000</v>
      </c>
    </row>
    <row r="16" spans="1:18">
      <c r="M16" s="354"/>
      <c r="N16" s="355">
        <f>SUM(N8:N14)</f>
        <v>228800000000</v>
      </c>
    </row>
    <row r="17" spans="7:16">
      <c r="M17" s="354"/>
      <c r="N17" s="356">
        <f>'Risiko Inheren Kuantitatif'!N21</f>
        <v>3459631426634.5</v>
      </c>
    </row>
    <row r="18" spans="7:16">
      <c r="L18" s="43"/>
      <c r="M18" s="357"/>
      <c r="N18" s="357"/>
      <c r="O18" s="43"/>
      <c r="P18" s="43"/>
    </row>
    <row r="19" spans="7:16">
      <c r="G19" s="30"/>
      <c r="J19" s="43"/>
      <c r="K19" s="43"/>
      <c r="L19" s="43"/>
      <c r="M19" s="358" t="s">
        <v>1492</v>
      </c>
      <c r="N19" s="359">
        <f>SUM(N16:N17)</f>
        <v>3688431426634.5</v>
      </c>
      <c r="O19" s="43"/>
      <c r="P19" s="43"/>
    </row>
    <row r="20" spans="7:16">
      <c r="G20" s="30"/>
      <c r="J20" s="43"/>
      <c r="K20" s="43"/>
      <c r="L20" s="43"/>
      <c r="M20" s="43"/>
      <c r="N20" s="43"/>
      <c r="O20" s="43"/>
      <c r="P20" s="43"/>
    </row>
  </sheetData>
  <mergeCells count="15">
    <mergeCell ref="A2:A4"/>
    <mergeCell ref="B2:B4"/>
    <mergeCell ref="E2:E4"/>
    <mergeCell ref="C2:C4"/>
    <mergeCell ref="F2:F4"/>
    <mergeCell ref="D2:D4"/>
    <mergeCell ref="G2:R2"/>
    <mergeCell ref="L3:M3"/>
    <mergeCell ref="O3:P3"/>
    <mergeCell ref="Q3:R3"/>
    <mergeCell ref="H3:H4"/>
    <mergeCell ref="K3:K4"/>
    <mergeCell ref="N3:N4"/>
    <mergeCell ref="I3:J3"/>
    <mergeCell ref="G3:G4"/>
  </mergeCells>
  <conditionalFormatting sqref="H6">
    <cfRule type="expression" dxfId="32" priority="5">
      <formula>#REF!="kualitatif"</formula>
    </cfRule>
  </conditionalFormatting>
  <conditionalFormatting sqref="H8">
    <cfRule type="expression" dxfId="31" priority="26">
      <formula>#REF!="kualitatif"</formula>
    </cfRule>
  </conditionalFormatting>
  <conditionalFormatting sqref="H9:H14">
    <cfRule type="expression" dxfId="30" priority="1">
      <formula>$T9="kualitatif"</formula>
    </cfRule>
  </conditionalFormatting>
  <conditionalFormatting sqref="N6">
    <cfRule type="expression" dxfId="29" priority="3">
      <formula>#REF!="kualitatif"</formula>
    </cfRule>
  </conditionalFormatting>
  <conditionalFormatting sqref="R15:R17 M18 K19:K20 R21:R1048576">
    <cfRule type="cellIs" dxfId="28" priority="11" operator="equal">
      <formula>#REF!</formula>
    </cfRule>
    <cfRule type="cellIs" dxfId="27" priority="12" operator="equal">
      <formula>#REF!</formula>
    </cfRule>
    <cfRule type="cellIs" dxfId="26" priority="13" operator="equal">
      <formula>#REF!</formula>
    </cfRule>
    <cfRule type="cellIs" dxfId="25" priority="14" operator="equal">
      <formula>#REF!</formula>
    </cfRule>
    <cfRule type="cellIs" dxfId="24" priority="15" operator="equal">
      <formula>#REF!</formula>
    </cfRule>
  </conditionalFormatting>
  <hyperlinks>
    <hyperlink ref="A1" location="'Daftar Isi'!A1" display="Kembali ke Daftar Isi"/>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Master!$H$2:$H$6</xm:f>
          </x14:formula1>
          <xm:sqref>I8:J14 L8:M14</xm:sqref>
        </x14:dataValidation>
        <x14:dataValidation type="list" allowBlank="1" showInputMessage="1" showErrorMessage="1">
          <x14:formula1>
            <xm:f>Master!$I$2:$I$26</xm:f>
          </x14:formula1>
          <xm:sqref>O8:O14</xm:sqref>
        </x14:dataValidation>
        <x14:dataValidation type="list" allowBlank="1" showInputMessage="1" showErrorMessage="1">
          <x14:formula1>
            <xm:f>Master!$D$2:$D$50</xm:f>
          </x14:formula1>
          <xm:sqref>C8:C14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1896A4"/>
  </sheetPr>
  <dimension ref="A1:AX37"/>
  <sheetViews>
    <sheetView showGridLines="0" zoomScale="115" zoomScaleNormal="115" workbookViewId="0">
      <pane xSplit="6" ySplit="5" topLeftCell="AH18" activePane="bottomRight" state="frozen"/>
      <selection pane="topRight" activeCell="G1" sqref="G1"/>
      <selection pane="bottomLeft" activeCell="A6" sqref="A6"/>
      <selection pane="bottomRight" activeCell="J15" sqref="J15"/>
    </sheetView>
  </sheetViews>
  <sheetFormatPr defaultColWidth="11.44140625" defaultRowHeight="10.199999999999999" outlineLevelCol="1"/>
  <cols>
    <col min="1" max="1" width="8.77734375" style="43" customWidth="1"/>
    <col min="2" max="2" width="8" style="43" customWidth="1"/>
    <col min="3" max="3" width="11" style="43" customWidth="1"/>
    <col min="4" max="4" width="9.44140625" style="21" customWidth="1"/>
    <col min="5" max="5" width="5.77734375" style="47" customWidth="1"/>
    <col min="6" max="6" width="25.77734375" style="43" customWidth="1"/>
    <col min="7" max="10" width="16.77734375" style="30" bestFit="1" customWidth="1" outlineLevel="1"/>
    <col min="11" max="13" width="3.77734375" style="30" customWidth="1"/>
    <col min="14" max="14" width="2.77734375" style="30" customWidth="1"/>
    <col min="15" max="15" width="3.44140625" style="30" customWidth="1"/>
    <col min="16" max="18" width="4" style="30" customWidth="1"/>
    <col min="19" max="21" width="4.44140625" style="30" customWidth="1" outlineLevel="1"/>
    <col min="22" max="22" width="5" style="30" customWidth="1" outlineLevel="1"/>
    <col min="23" max="26" width="3.77734375" style="30" customWidth="1" outlineLevel="1"/>
    <col min="27" max="27" width="3.44140625" style="30" customWidth="1" outlineLevel="1"/>
    <col min="28" max="30" width="4" style="30" customWidth="1" outlineLevel="1"/>
    <col min="31" max="31" width="14.44140625" style="30" bestFit="1" customWidth="1" outlineLevel="1"/>
    <col min="32" max="33" width="13.21875" style="30" customWidth="1" outlineLevel="1"/>
    <col min="34" max="34" width="14.44140625" style="30" bestFit="1" customWidth="1" outlineLevel="1"/>
    <col min="35" max="35" width="3.21875" style="30" customWidth="1"/>
    <col min="36" max="38" width="4" style="30" customWidth="1"/>
    <col min="39" max="42" width="4.44140625" style="30" customWidth="1"/>
    <col min="43" max="46" width="11.44140625" style="30" customWidth="1"/>
    <col min="47" max="50" width="7" style="43" customWidth="1"/>
    <col min="51" max="16384" width="11.44140625" style="43"/>
  </cols>
  <sheetData>
    <row r="1" spans="1:50" ht="14.4">
      <c r="A1" s="102" t="s">
        <v>29</v>
      </c>
      <c r="B1" s="30"/>
      <c r="C1" s="30"/>
      <c r="D1" s="30"/>
      <c r="E1" s="30"/>
      <c r="F1" s="30"/>
      <c r="AU1" s="30"/>
      <c r="AV1" s="30"/>
      <c r="AW1" s="30"/>
      <c r="AX1" s="30"/>
    </row>
    <row r="2" spans="1:50" ht="13.95" customHeight="1">
      <c r="A2" s="403" t="s">
        <v>31</v>
      </c>
      <c r="B2" s="403" t="s">
        <v>47</v>
      </c>
      <c r="C2" s="403" t="s">
        <v>151</v>
      </c>
      <c r="D2" s="402" t="s">
        <v>49</v>
      </c>
      <c r="E2" s="403" t="s">
        <v>102</v>
      </c>
      <c r="F2" s="403" t="s">
        <v>152</v>
      </c>
      <c r="G2" s="403" t="s">
        <v>195</v>
      </c>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c r="AM2" s="403"/>
      <c r="AN2" s="403"/>
      <c r="AO2" s="403"/>
      <c r="AP2" s="403"/>
      <c r="AQ2" s="403"/>
      <c r="AR2" s="403"/>
      <c r="AS2" s="403"/>
      <c r="AT2" s="403"/>
      <c r="AU2" s="403"/>
      <c r="AV2" s="403"/>
      <c r="AW2" s="403"/>
      <c r="AX2" s="403"/>
    </row>
    <row r="3" spans="1:50" ht="13.95" customHeight="1">
      <c r="A3" s="403"/>
      <c r="B3" s="403"/>
      <c r="C3" s="403"/>
      <c r="D3" s="402"/>
      <c r="E3" s="403"/>
      <c r="F3" s="403"/>
      <c r="G3" s="418" t="s">
        <v>196</v>
      </c>
      <c r="H3" s="418"/>
      <c r="I3" s="418"/>
      <c r="J3" s="418"/>
      <c r="K3" s="419" t="s">
        <v>197</v>
      </c>
      <c r="L3" s="419"/>
      <c r="M3" s="419"/>
      <c r="N3" s="419"/>
      <c r="O3" s="419"/>
      <c r="P3" s="419"/>
      <c r="Q3" s="419"/>
      <c r="R3" s="419"/>
      <c r="S3" s="420" t="s">
        <v>157</v>
      </c>
      <c r="T3" s="421"/>
      <c r="U3" s="421"/>
      <c r="V3" s="422"/>
      <c r="W3" s="419" t="s">
        <v>198</v>
      </c>
      <c r="X3" s="419"/>
      <c r="Y3" s="419"/>
      <c r="Z3" s="419"/>
      <c r="AA3" s="419"/>
      <c r="AB3" s="419"/>
      <c r="AC3" s="419"/>
      <c r="AD3" s="419"/>
      <c r="AE3" s="420" t="s">
        <v>159</v>
      </c>
      <c r="AF3" s="421"/>
      <c r="AG3" s="421"/>
      <c r="AH3" s="422"/>
      <c r="AI3" s="429" t="s">
        <v>199</v>
      </c>
      <c r="AJ3" s="430"/>
      <c r="AK3" s="430"/>
      <c r="AL3" s="430"/>
      <c r="AM3" s="430"/>
      <c r="AN3" s="430"/>
      <c r="AO3" s="430"/>
      <c r="AP3" s="431"/>
      <c r="AQ3" s="429" t="s">
        <v>200</v>
      </c>
      <c r="AR3" s="430"/>
      <c r="AS3" s="430"/>
      <c r="AT3" s="430"/>
      <c r="AU3" s="430"/>
      <c r="AV3" s="430"/>
      <c r="AW3" s="430"/>
      <c r="AX3" s="431"/>
    </row>
    <row r="4" spans="1:50" ht="13.95" customHeight="1">
      <c r="A4" s="403"/>
      <c r="B4" s="403"/>
      <c r="C4" s="403"/>
      <c r="D4" s="402"/>
      <c r="E4" s="403"/>
      <c r="F4" s="403"/>
      <c r="G4" s="418"/>
      <c r="H4" s="418"/>
      <c r="I4" s="418"/>
      <c r="J4" s="418"/>
      <c r="K4" s="418" t="s">
        <v>151</v>
      </c>
      <c r="L4" s="418"/>
      <c r="M4" s="418"/>
      <c r="N4" s="418"/>
      <c r="O4" s="418" t="s">
        <v>201</v>
      </c>
      <c r="P4" s="418"/>
      <c r="Q4" s="418"/>
      <c r="R4" s="418"/>
      <c r="S4" s="423"/>
      <c r="T4" s="424"/>
      <c r="U4" s="424"/>
      <c r="V4" s="425"/>
      <c r="W4" s="418" t="s">
        <v>151</v>
      </c>
      <c r="X4" s="418"/>
      <c r="Y4" s="418"/>
      <c r="Z4" s="418"/>
      <c r="AA4" s="418" t="s">
        <v>201</v>
      </c>
      <c r="AB4" s="418"/>
      <c r="AC4" s="418"/>
      <c r="AD4" s="418"/>
      <c r="AE4" s="423"/>
      <c r="AF4" s="424"/>
      <c r="AG4" s="424"/>
      <c r="AH4" s="425"/>
      <c r="AI4" s="414" t="s">
        <v>151</v>
      </c>
      <c r="AJ4" s="415"/>
      <c r="AK4" s="415"/>
      <c r="AL4" s="416"/>
      <c r="AM4" s="414" t="s">
        <v>201</v>
      </c>
      <c r="AN4" s="415"/>
      <c r="AO4" s="415"/>
      <c r="AP4" s="416"/>
      <c r="AQ4" s="414" t="s">
        <v>151</v>
      </c>
      <c r="AR4" s="415"/>
      <c r="AS4" s="415"/>
      <c r="AT4" s="416"/>
      <c r="AU4" s="414" t="s">
        <v>201</v>
      </c>
      <c r="AV4" s="415"/>
      <c r="AW4" s="415"/>
      <c r="AX4" s="416"/>
    </row>
    <row r="5" spans="1:50" ht="13.95" customHeight="1">
      <c r="A5" s="403"/>
      <c r="B5" s="403"/>
      <c r="C5" s="403"/>
      <c r="D5" s="432"/>
      <c r="E5" s="403"/>
      <c r="F5" s="403"/>
      <c r="G5" s="46" t="s">
        <v>202</v>
      </c>
      <c r="H5" s="46" t="s">
        <v>203</v>
      </c>
      <c r="I5" s="46" t="s">
        <v>204</v>
      </c>
      <c r="J5" s="46" t="s">
        <v>205</v>
      </c>
      <c r="K5" s="46" t="s">
        <v>202</v>
      </c>
      <c r="L5" s="46" t="s">
        <v>203</v>
      </c>
      <c r="M5" s="46" t="s">
        <v>204</v>
      </c>
      <c r="N5" s="46" t="s">
        <v>205</v>
      </c>
      <c r="O5" s="46" t="s">
        <v>202</v>
      </c>
      <c r="P5" s="46" t="s">
        <v>203</v>
      </c>
      <c r="Q5" s="46" t="s">
        <v>204</v>
      </c>
      <c r="R5" s="46" t="s">
        <v>205</v>
      </c>
      <c r="S5" s="46" t="s">
        <v>202</v>
      </c>
      <c r="T5" s="46" t="s">
        <v>203</v>
      </c>
      <c r="U5" s="46" t="s">
        <v>204</v>
      </c>
      <c r="V5" s="46" t="s">
        <v>205</v>
      </c>
      <c r="W5" s="46" t="s">
        <v>202</v>
      </c>
      <c r="X5" s="46" t="s">
        <v>203</v>
      </c>
      <c r="Y5" s="46" t="s">
        <v>204</v>
      </c>
      <c r="Z5" s="46" t="s">
        <v>205</v>
      </c>
      <c r="AA5" s="46" t="s">
        <v>202</v>
      </c>
      <c r="AB5" s="46" t="s">
        <v>203</v>
      </c>
      <c r="AC5" s="46" t="s">
        <v>204</v>
      </c>
      <c r="AD5" s="46" t="s">
        <v>205</v>
      </c>
      <c r="AE5" s="46" t="s">
        <v>202</v>
      </c>
      <c r="AF5" s="46" t="s">
        <v>203</v>
      </c>
      <c r="AG5" s="46" t="s">
        <v>204</v>
      </c>
      <c r="AH5" s="46" t="s">
        <v>205</v>
      </c>
      <c r="AI5" s="46" t="s">
        <v>202</v>
      </c>
      <c r="AJ5" s="46" t="s">
        <v>203</v>
      </c>
      <c r="AK5" s="46" t="s">
        <v>204</v>
      </c>
      <c r="AL5" s="46" t="s">
        <v>205</v>
      </c>
      <c r="AM5" s="46" t="s">
        <v>202</v>
      </c>
      <c r="AN5" s="46" t="s">
        <v>203</v>
      </c>
      <c r="AO5" s="46" t="s">
        <v>204</v>
      </c>
      <c r="AP5" s="46" t="s">
        <v>205</v>
      </c>
      <c r="AQ5" s="46" t="s">
        <v>202</v>
      </c>
      <c r="AR5" s="46" t="s">
        <v>203</v>
      </c>
      <c r="AS5" s="46" t="s">
        <v>204</v>
      </c>
      <c r="AT5" s="46" t="s">
        <v>205</v>
      </c>
      <c r="AU5" s="46" t="s">
        <v>202</v>
      </c>
      <c r="AV5" s="46" t="s">
        <v>203</v>
      </c>
      <c r="AW5" s="46" t="s">
        <v>204</v>
      </c>
      <c r="AX5" s="46" t="s">
        <v>205</v>
      </c>
    </row>
    <row r="6" spans="1:50" ht="26.25" hidden="1" customHeight="1">
      <c r="A6" s="32" t="s">
        <v>36</v>
      </c>
      <c r="B6" s="3" t="s">
        <v>57</v>
      </c>
      <c r="C6" s="3" t="s">
        <v>58</v>
      </c>
      <c r="D6" s="3" t="s">
        <v>59</v>
      </c>
      <c r="E6" s="3" t="s">
        <v>57</v>
      </c>
      <c r="F6" s="3" t="s">
        <v>59</v>
      </c>
      <c r="G6" s="417" t="s">
        <v>163</v>
      </c>
      <c r="H6" s="417"/>
      <c r="I6" s="417"/>
      <c r="J6" s="417"/>
      <c r="K6" s="417" t="s">
        <v>58</v>
      </c>
      <c r="L6" s="417"/>
      <c r="M6" s="417"/>
      <c r="N6" s="417"/>
      <c r="O6" s="417" t="s">
        <v>59</v>
      </c>
      <c r="P6" s="417"/>
      <c r="Q6" s="417"/>
      <c r="R6" s="417"/>
      <c r="S6" s="417" t="s">
        <v>164</v>
      </c>
      <c r="T6" s="417"/>
      <c r="U6" s="417"/>
      <c r="V6" s="417"/>
      <c r="W6" s="417" t="s">
        <v>58</v>
      </c>
      <c r="X6" s="417"/>
      <c r="Y6" s="417"/>
      <c r="Z6" s="417"/>
      <c r="AA6" s="417" t="s">
        <v>59</v>
      </c>
      <c r="AB6" s="417"/>
      <c r="AC6" s="417"/>
      <c r="AD6" s="417"/>
      <c r="AE6" s="417" t="s">
        <v>163</v>
      </c>
      <c r="AF6" s="417"/>
      <c r="AG6" s="417"/>
      <c r="AH6" s="417"/>
      <c r="AI6" s="417" t="s">
        <v>166</v>
      </c>
      <c r="AJ6" s="417"/>
      <c r="AK6" s="417"/>
      <c r="AL6" s="417"/>
      <c r="AM6" s="417" t="s">
        <v>166</v>
      </c>
      <c r="AN6" s="417"/>
      <c r="AO6" s="417"/>
      <c r="AP6" s="417"/>
      <c r="AQ6" s="417" t="s">
        <v>60</v>
      </c>
      <c r="AR6" s="417"/>
      <c r="AS6" s="417"/>
      <c r="AT6" s="417"/>
      <c r="AU6" s="433" t="s">
        <v>59</v>
      </c>
      <c r="AV6" s="433"/>
      <c r="AW6" s="433"/>
      <c r="AX6" s="433"/>
    </row>
    <row r="7" spans="1:50" s="44" customFormat="1" ht="72" hidden="1" customHeight="1">
      <c r="A7" s="32" t="s">
        <v>38</v>
      </c>
      <c r="B7" s="7"/>
      <c r="C7" s="7"/>
      <c r="D7" s="12" t="s">
        <v>64</v>
      </c>
      <c r="E7" s="15" t="s">
        <v>125</v>
      </c>
      <c r="F7" s="7" t="s">
        <v>167</v>
      </c>
      <c r="G7" s="426" t="s">
        <v>206</v>
      </c>
      <c r="H7" s="426"/>
      <c r="I7" s="426"/>
      <c r="J7" s="426"/>
      <c r="K7" s="426" t="s">
        <v>207</v>
      </c>
      <c r="L7" s="426"/>
      <c r="M7" s="426"/>
      <c r="N7" s="426"/>
      <c r="O7" s="426" t="s">
        <v>171</v>
      </c>
      <c r="P7" s="426"/>
      <c r="Q7" s="426"/>
      <c r="R7" s="426"/>
      <c r="S7" s="426" t="s">
        <v>208</v>
      </c>
      <c r="T7" s="426"/>
      <c r="U7" s="426"/>
      <c r="V7" s="426"/>
      <c r="W7" s="426" t="s">
        <v>209</v>
      </c>
      <c r="X7" s="426"/>
      <c r="Y7" s="426"/>
      <c r="Z7" s="426"/>
      <c r="AA7" s="426" t="s">
        <v>171</v>
      </c>
      <c r="AB7" s="426"/>
      <c r="AC7" s="426"/>
      <c r="AD7" s="426"/>
      <c r="AE7" s="426" t="s">
        <v>210</v>
      </c>
      <c r="AF7" s="426"/>
      <c r="AG7" s="426"/>
      <c r="AH7" s="426"/>
      <c r="AI7" s="428" t="s">
        <v>175</v>
      </c>
      <c r="AJ7" s="428"/>
      <c r="AK7" s="428"/>
      <c r="AL7" s="428"/>
      <c r="AM7" s="426" t="s">
        <v>171</v>
      </c>
      <c r="AN7" s="426"/>
      <c r="AO7" s="426"/>
      <c r="AP7" s="426"/>
      <c r="AQ7" s="428" t="s">
        <v>211</v>
      </c>
      <c r="AR7" s="428"/>
      <c r="AS7" s="428"/>
      <c r="AT7" s="428"/>
      <c r="AU7" s="426" t="s">
        <v>171</v>
      </c>
      <c r="AV7" s="426"/>
      <c r="AW7" s="426"/>
      <c r="AX7" s="426"/>
    </row>
    <row r="8" spans="1:50" s="44" customFormat="1" ht="63" hidden="1" customHeight="1">
      <c r="A8" s="35" t="s">
        <v>43</v>
      </c>
      <c r="B8" s="7"/>
      <c r="C8" s="11"/>
      <c r="D8" s="11"/>
      <c r="E8" s="15"/>
      <c r="F8" s="7" t="s">
        <v>177</v>
      </c>
      <c r="G8" s="398"/>
      <c r="H8" s="398"/>
      <c r="I8" s="398"/>
      <c r="J8" s="398"/>
      <c r="K8" s="398"/>
      <c r="L8" s="398"/>
      <c r="M8" s="398"/>
      <c r="N8" s="398"/>
      <c r="O8" s="398"/>
      <c r="P8" s="398"/>
      <c r="Q8" s="398"/>
      <c r="R8" s="398"/>
      <c r="S8" s="427"/>
      <c r="T8" s="427"/>
      <c r="U8" s="427"/>
      <c r="V8" s="427"/>
      <c r="W8" s="398"/>
      <c r="X8" s="398"/>
      <c r="Y8" s="398"/>
      <c r="Z8" s="398"/>
      <c r="AA8" s="398"/>
      <c r="AB8" s="398"/>
      <c r="AC8" s="398"/>
      <c r="AD8" s="398"/>
      <c r="AE8" s="398"/>
      <c r="AF8" s="398"/>
      <c r="AG8" s="398"/>
      <c r="AH8" s="398"/>
      <c r="AI8" s="398"/>
      <c r="AJ8" s="398"/>
      <c r="AK8" s="398"/>
      <c r="AL8" s="398"/>
      <c r="AM8" s="398"/>
      <c r="AN8" s="398"/>
      <c r="AO8" s="398"/>
      <c r="AP8" s="398"/>
      <c r="AQ8" s="398"/>
      <c r="AR8" s="398"/>
      <c r="AS8" s="398"/>
      <c r="AT8" s="398"/>
      <c r="AU8" s="398"/>
      <c r="AV8" s="398"/>
      <c r="AW8" s="398"/>
      <c r="AX8" s="398"/>
    </row>
    <row r="9" spans="1:50" s="47" customFormat="1" ht="43.2" customHeight="1">
      <c r="A9" s="32" t="s">
        <v>150</v>
      </c>
      <c r="B9" s="18">
        <v>1</v>
      </c>
      <c r="C9" s="15" t="s">
        <v>1115</v>
      </c>
      <c r="D9" s="15" t="str">
        <f>IFERROR(VLOOKUP(C9,Master!$D$2:$E$50,2,0),"")</f>
        <v>PELINDO</v>
      </c>
      <c r="E9" s="15">
        <f>B9</f>
        <v>1</v>
      </c>
      <c r="F9" s="74" t="str">
        <f>IFERROR(VLOOKUP($E9,'Profil Risiko'!$I:$J,2,0),"")</f>
        <v>Kegagalan penyiapan pengembangan bisnis baru (ekspansi Regional)</v>
      </c>
      <c r="G9" s="222">
        <f>'Risiko Inheren Kuantitatif'!H9</f>
        <v>394600000000</v>
      </c>
      <c r="H9" s="222">
        <f>'Risiko Inheren Kuantitatif'!H9*0.9</f>
        <v>355140000000</v>
      </c>
      <c r="I9" s="38">
        <f>'Risiko Inheren Kuantitatif'!H9*0.8</f>
        <v>315680000000</v>
      </c>
      <c r="J9" s="38">
        <f>'Risiko Inheren Kuantitatif'!H9*0.75</f>
        <v>295950000000</v>
      </c>
      <c r="K9" s="18">
        <v>3</v>
      </c>
      <c r="L9" s="18">
        <v>3</v>
      </c>
      <c r="M9" s="18">
        <v>3</v>
      </c>
      <c r="N9" s="18">
        <v>2</v>
      </c>
      <c r="O9" s="18"/>
      <c r="P9" s="18"/>
      <c r="Q9" s="18"/>
      <c r="R9" s="18"/>
      <c r="S9" s="198">
        <f>'[1]Risiko Inheren Kuantitatif'!K8</f>
        <v>0.5</v>
      </c>
      <c r="T9" s="198">
        <v>0.5</v>
      </c>
      <c r="U9" s="198">
        <v>0.5</v>
      </c>
      <c r="V9" s="198">
        <v>0.5</v>
      </c>
      <c r="W9" s="18">
        <v>3</v>
      </c>
      <c r="X9" s="18">
        <v>3</v>
      </c>
      <c r="Y9" s="18">
        <v>3</v>
      </c>
      <c r="Z9" s="18">
        <v>3</v>
      </c>
      <c r="AA9" s="18"/>
      <c r="AB9" s="18"/>
      <c r="AC9" s="18"/>
      <c r="AD9" s="18"/>
      <c r="AE9" s="41">
        <f>$G9*$S9</f>
        <v>197300000000</v>
      </c>
      <c r="AF9" s="41">
        <f>$H9*$T9</f>
        <v>177570000000</v>
      </c>
      <c r="AG9" s="41">
        <f>$I9*$U9</f>
        <v>157840000000</v>
      </c>
      <c r="AH9" s="41">
        <f>$J9*$V9</f>
        <v>147975000000</v>
      </c>
      <c r="AI9" s="41">
        <v>13</v>
      </c>
      <c r="AJ9" s="41">
        <v>13</v>
      </c>
      <c r="AK9" s="41">
        <v>13</v>
      </c>
      <c r="AL9" s="41">
        <v>8</v>
      </c>
      <c r="AM9" s="75" t="str">
        <f>IFERROR(VLOOKUP($O9&amp;$AA9,Master!$V$2:$W$26,2,0),"No Data")</f>
        <v>No Data</v>
      </c>
      <c r="AN9" s="75" t="str">
        <f>IFERROR(VLOOKUP($P9&amp;$AB9,Master!$V$2:$W$26,2,0),"No Data")</f>
        <v>No Data</v>
      </c>
      <c r="AO9" s="75" t="str">
        <f>IFERROR(VLOOKUP($Q9&amp;$AC9,Master!$V$2:$W$26,2,0),"No Data")</f>
        <v>No Data</v>
      </c>
      <c r="AP9" s="75" t="str">
        <f>IFERROR(VLOOKUP($R9&amp;$AD9,Master!$V$2:$W$26,2,0),"No Data")</f>
        <v>No Data</v>
      </c>
      <c r="AQ9" s="41" t="s">
        <v>890</v>
      </c>
      <c r="AR9" s="41" t="s">
        <v>890</v>
      </c>
      <c r="AS9" s="41" t="s">
        <v>890</v>
      </c>
      <c r="AT9" s="41" t="s">
        <v>887</v>
      </c>
      <c r="AU9" s="76" t="str">
        <f>IFERROR(VLOOKUP($O9&amp;$AA9,Master!$W$2:$Y$26,3,0),"No Data")</f>
        <v>No Data</v>
      </c>
      <c r="AV9" s="76" t="str">
        <f>IFERROR(VLOOKUP($P9&amp;$AB9,Master!$W$2:$Y$26,3,0),"No Data")</f>
        <v>No Data</v>
      </c>
      <c r="AW9" s="76" t="str">
        <f>IFERROR(VLOOKUP($Q9&amp;$AC9,Master!$W$2:$Y$26,3,0),"No Data")</f>
        <v>No Data</v>
      </c>
      <c r="AX9" s="76" t="str">
        <f>IFERROR(VLOOKUP($R9&amp;$AD9,Master!$W$2:$Y$26,3,0),"No Data")</f>
        <v>No Data</v>
      </c>
    </row>
    <row r="10" spans="1:50" s="47" customFormat="1" ht="43.2" customHeight="1">
      <c r="A10" s="18"/>
      <c r="B10" s="18">
        <v>2</v>
      </c>
      <c r="C10" s="15" t="s">
        <v>1115</v>
      </c>
      <c r="D10" s="15" t="str">
        <f>IFERROR(VLOOKUP(C10,Master!$D$2:$E$50,2,0),"")</f>
        <v>PELINDO</v>
      </c>
      <c r="E10" s="15">
        <f t="shared" ref="E10:E16" si="0">B10</f>
        <v>2</v>
      </c>
      <c r="F10" s="74" t="str">
        <f>IFERROR(VLOOKUP($E10,'Profil Risiko'!$I:$J,2,0),"")</f>
        <v>Penurunan Trafik Kapal</v>
      </c>
      <c r="G10" s="222">
        <f>'Risiko Inheren Kuantitatif'!H10*0.95</f>
        <v>661957625000</v>
      </c>
      <c r="H10" s="38">
        <f>'Risiko Inheren Kuantitatif'!H10*0.85</f>
        <v>592277875000</v>
      </c>
      <c r="I10" s="38">
        <f>'Risiko Inheren Kuantitatif'!H10*0.8</f>
        <v>557438000000</v>
      </c>
      <c r="J10" s="38">
        <f>'Risiko Inheren Kuantitatif'!H10*0.7</f>
        <v>487758249999.99994</v>
      </c>
      <c r="K10" s="18">
        <v>3</v>
      </c>
      <c r="L10" s="18">
        <v>3</v>
      </c>
      <c r="M10" s="18">
        <v>3</v>
      </c>
      <c r="N10" s="18">
        <v>2</v>
      </c>
      <c r="O10" s="18"/>
      <c r="P10" s="18"/>
      <c r="Q10" s="18"/>
      <c r="R10" s="18"/>
      <c r="S10" s="198">
        <f>'[1]Risiko Inheren Kuantitatif'!K9</f>
        <v>0.5</v>
      </c>
      <c r="T10" s="198">
        <v>0.5</v>
      </c>
      <c r="U10" s="198">
        <v>0.5</v>
      </c>
      <c r="V10" s="198">
        <v>0.5</v>
      </c>
      <c r="W10" s="18">
        <v>3</v>
      </c>
      <c r="X10" s="18">
        <v>3</v>
      </c>
      <c r="Y10" s="18">
        <v>3</v>
      </c>
      <c r="Z10" s="18">
        <v>3</v>
      </c>
      <c r="AA10" s="18"/>
      <c r="AB10" s="18"/>
      <c r="AC10" s="18"/>
      <c r="AD10" s="18"/>
      <c r="AE10" s="41">
        <f>$G10*$S10</f>
        <v>330978812500</v>
      </c>
      <c r="AF10" s="41">
        <f>$H10*$T10</f>
        <v>296138937500</v>
      </c>
      <c r="AG10" s="41">
        <f>$I10*$U10</f>
        <v>278719000000</v>
      </c>
      <c r="AH10" s="247">
        <f>$J10*$V10</f>
        <v>243879124999.99997</v>
      </c>
      <c r="AI10" s="41">
        <v>13</v>
      </c>
      <c r="AJ10" s="41">
        <v>13</v>
      </c>
      <c r="AK10" s="41">
        <v>13</v>
      </c>
      <c r="AL10" s="41">
        <v>8</v>
      </c>
      <c r="AM10" s="75" t="str">
        <f>IFERROR(VLOOKUP($O10&amp;$AA10,Master!$V$2:$W$26,2,0),"No Data")</f>
        <v>No Data</v>
      </c>
      <c r="AN10" s="75" t="str">
        <f>IFERROR(VLOOKUP($P10&amp;$AB10,Master!$V$2:$W$26,2,0),"No Data")</f>
        <v>No Data</v>
      </c>
      <c r="AO10" s="75" t="str">
        <f>IFERROR(VLOOKUP($Q10&amp;$AC10,Master!$V$2:$W$26,2,0),"No Data")</f>
        <v>No Data</v>
      </c>
      <c r="AP10" s="75" t="str">
        <f>IFERROR(VLOOKUP($R10&amp;$AD10,Master!$V$2:$W$26,2,0),"No Data")</f>
        <v>No Data</v>
      </c>
      <c r="AQ10" s="41" t="s">
        <v>893</v>
      </c>
      <c r="AR10" s="41" t="s">
        <v>890</v>
      </c>
      <c r="AS10" s="41" t="s">
        <v>890</v>
      </c>
      <c r="AT10" s="41" t="s">
        <v>887</v>
      </c>
      <c r="AU10" s="76" t="str">
        <f>IFERROR(VLOOKUP($O10&amp;$AA10,Master!$W$2:$Y$26,3,0),"No Data")</f>
        <v>No Data</v>
      </c>
      <c r="AV10" s="76" t="str">
        <f>IFERROR(VLOOKUP($P10&amp;$AB10,Master!$W$2:$Y$26,3,0),"No Data")</f>
        <v>No Data</v>
      </c>
      <c r="AW10" s="76" t="str">
        <f>IFERROR(VLOOKUP($Q10&amp;$AC10,Master!$W$2:$Y$26,3,0),"No Data")</f>
        <v>No Data</v>
      </c>
      <c r="AX10" s="76" t="str">
        <f>IFERROR(VLOOKUP($R10&amp;$AD10,Master!$W$2:$Y$26,3,0),"No Data")</f>
        <v>No Data</v>
      </c>
    </row>
    <row r="11" spans="1:50" s="47" customFormat="1" ht="43.2" customHeight="1">
      <c r="A11" s="18"/>
      <c r="B11" s="18">
        <v>3</v>
      </c>
      <c r="C11" s="15" t="s">
        <v>1115</v>
      </c>
      <c r="D11" s="15" t="str">
        <f>IFERROR(VLOOKUP(C11,Master!$D$2:$E$50,2,0),"")</f>
        <v>PELINDO</v>
      </c>
      <c r="E11" s="15">
        <f t="shared" si="0"/>
        <v>3</v>
      </c>
      <c r="F11" s="74" t="str">
        <f>IFERROR(VLOOKUP($E11,'Profil Risiko'!$I:$J,2,0),"")</f>
        <v>Penurunan Throughput Petikemas</v>
      </c>
      <c r="G11" s="222">
        <f>'Risiko Inheren Kuantitatif'!H11*0.95</f>
        <v>1559461575000</v>
      </c>
      <c r="H11" s="38">
        <f>'Risiko Inheren Kuantitatif'!H11*0.8</f>
        <v>1313230800000</v>
      </c>
      <c r="I11" s="38">
        <f>'Risiko Inheren Kuantitatif'!H11*0.75</f>
        <v>1231153875000</v>
      </c>
      <c r="J11" s="38">
        <f>('Risiko Inheren Kuantitatif'!H11*0.7)+(2*2427484000)</f>
        <v>1153931918000</v>
      </c>
      <c r="K11" s="18">
        <v>4</v>
      </c>
      <c r="L11" s="18">
        <v>4</v>
      </c>
      <c r="M11" s="18">
        <v>3</v>
      </c>
      <c r="N11" s="18">
        <v>2</v>
      </c>
      <c r="O11" s="18"/>
      <c r="P11" s="18"/>
      <c r="Q11" s="18"/>
      <c r="R11" s="18"/>
      <c r="S11" s="198">
        <f>'[1]Risiko Inheren Kuantitatif'!K10</f>
        <v>0.7</v>
      </c>
      <c r="T11" s="198">
        <v>0.5</v>
      </c>
      <c r="U11" s="198">
        <v>0.5</v>
      </c>
      <c r="V11" s="198">
        <v>0.5</v>
      </c>
      <c r="W11" s="18">
        <v>4</v>
      </c>
      <c r="X11" s="18">
        <v>3</v>
      </c>
      <c r="Y11" s="18">
        <v>3</v>
      </c>
      <c r="Z11" s="18">
        <v>3</v>
      </c>
      <c r="AA11" s="18"/>
      <c r="AB11" s="18"/>
      <c r="AC11" s="18"/>
      <c r="AD11" s="18"/>
      <c r="AE11" s="41">
        <f t="shared" ref="AE11:AE18" si="1">$G11*$S11</f>
        <v>1091623102499.9999</v>
      </c>
      <c r="AF11" s="41">
        <f t="shared" ref="AF11:AF18" si="2">$H11*$T11</f>
        <v>656615400000</v>
      </c>
      <c r="AG11" s="41">
        <f t="shared" ref="AG11:AG18" si="3">$I11*$U11</f>
        <v>615576937500</v>
      </c>
      <c r="AH11" s="247">
        <f t="shared" ref="AH11:AH18" si="4">$J11*$V11</f>
        <v>576965959000</v>
      </c>
      <c r="AI11" s="41">
        <v>19</v>
      </c>
      <c r="AJ11" s="41">
        <v>19</v>
      </c>
      <c r="AK11" s="41">
        <v>13</v>
      </c>
      <c r="AL11" s="41">
        <v>8</v>
      </c>
      <c r="AM11" s="75" t="str">
        <f>IFERROR(VLOOKUP($O11&amp;$AA11,Master!$V$2:$W$26,2,0),"No Data")</f>
        <v>No Data</v>
      </c>
      <c r="AN11" s="75" t="str">
        <f>IFERROR(VLOOKUP($P11&amp;$AB11,Master!$V$2:$W$26,2,0),"No Data")</f>
        <v>No Data</v>
      </c>
      <c r="AO11" s="75" t="str">
        <f>IFERROR(VLOOKUP($Q11&amp;$AC11,Master!$V$2:$W$26,2,0),"No Data")</f>
        <v>No Data</v>
      </c>
      <c r="AP11" s="75" t="str">
        <f>IFERROR(VLOOKUP($R11&amp;$AD11,Master!$V$2:$W$26,2,0),"No Data")</f>
        <v>No Data</v>
      </c>
      <c r="AQ11" s="41" t="s">
        <v>893</v>
      </c>
      <c r="AR11" s="41" t="s">
        <v>893</v>
      </c>
      <c r="AS11" s="41" t="s">
        <v>890</v>
      </c>
      <c r="AT11" s="41" t="s">
        <v>887</v>
      </c>
      <c r="AU11" s="76" t="str">
        <f>IFERROR(VLOOKUP($O11&amp;$AA11,Master!$W$2:$Y$26,3,0),"No Data")</f>
        <v>No Data</v>
      </c>
      <c r="AV11" s="76" t="str">
        <f>IFERROR(VLOOKUP($P11&amp;$AB11,Master!$W$2:$Y$26,3,0),"No Data")</f>
        <v>No Data</v>
      </c>
      <c r="AW11" s="76" t="str">
        <f>IFERROR(VLOOKUP($Q11&amp;$AC11,Master!$W$2:$Y$26,3,0),"No Data")</f>
        <v>No Data</v>
      </c>
      <c r="AX11" s="76" t="str">
        <f>IFERROR(VLOOKUP($R11&amp;$AD11,Master!$W$2:$Y$26,3,0),"No Data")</f>
        <v>No Data</v>
      </c>
    </row>
    <row r="12" spans="1:50" s="47" customFormat="1" ht="43.2" customHeight="1">
      <c r="A12" s="18"/>
      <c r="B12" s="18">
        <v>4</v>
      </c>
      <c r="C12" s="15" t="s">
        <v>1115</v>
      </c>
      <c r="D12" s="15" t="str">
        <f>IFERROR(VLOOKUP(C12,Master!$D$2:$E$50,2,0),"")</f>
        <v>PELINDO</v>
      </c>
      <c r="E12" s="15">
        <f t="shared" si="0"/>
        <v>4</v>
      </c>
      <c r="F12" s="74" t="str">
        <f>IFERROR(VLOOKUP($E12,'Profil Risiko'!$I:$J,2,0),"")</f>
        <v xml:space="preserve">Penurunan Throughput Non-Petikemas
</v>
      </c>
      <c r="G12" s="222">
        <f>'Risiko Inheren Kuantitatif'!H12</f>
        <v>712290700000</v>
      </c>
      <c r="H12" s="38">
        <f>'Risiko Inheren Kuantitatif'!H12*0.85</f>
        <v>605447095000</v>
      </c>
      <c r="I12" s="38">
        <f>'Risiko Inheren Kuantitatif'!H12*0.7</f>
        <v>498603489999.99994</v>
      </c>
      <c r="J12" s="38">
        <f>'Risiko Inheren Kuantitatif'!H12*0.6</f>
        <v>427374420000</v>
      </c>
      <c r="K12" s="18">
        <v>3</v>
      </c>
      <c r="L12" s="18">
        <v>3</v>
      </c>
      <c r="M12" s="18">
        <v>2</v>
      </c>
      <c r="N12" s="18">
        <v>2</v>
      </c>
      <c r="O12" s="18"/>
      <c r="P12" s="18"/>
      <c r="Q12" s="18"/>
      <c r="R12" s="18"/>
      <c r="S12" s="198">
        <f>'[1]Risiko Inheren Kuantitatif'!K11</f>
        <v>0.5</v>
      </c>
      <c r="T12" s="198">
        <v>0.5</v>
      </c>
      <c r="U12" s="198">
        <v>0.5</v>
      </c>
      <c r="V12" s="198">
        <v>0.3</v>
      </c>
      <c r="W12" s="18">
        <v>3</v>
      </c>
      <c r="X12" s="18">
        <v>3</v>
      </c>
      <c r="Y12" s="18">
        <v>3</v>
      </c>
      <c r="Z12" s="18">
        <v>2</v>
      </c>
      <c r="AA12" s="18"/>
      <c r="AB12" s="18"/>
      <c r="AC12" s="18"/>
      <c r="AD12" s="18"/>
      <c r="AE12" s="41">
        <f t="shared" si="1"/>
        <v>356145350000</v>
      </c>
      <c r="AF12" s="41">
        <f t="shared" si="2"/>
        <v>302723547500</v>
      </c>
      <c r="AG12" s="41">
        <f t="shared" si="3"/>
        <v>249301744999.99997</v>
      </c>
      <c r="AH12" s="247">
        <f t="shared" si="4"/>
        <v>128212326000</v>
      </c>
      <c r="AI12" s="41">
        <v>13</v>
      </c>
      <c r="AJ12" s="41">
        <v>13</v>
      </c>
      <c r="AK12" s="41">
        <v>8</v>
      </c>
      <c r="AL12" s="41">
        <v>6</v>
      </c>
      <c r="AM12" s="75" t="str">
        <f>IFERROR(VLOOKUP($O12&amp;$AA12,Master!$V$2:$W$26,2,0),"No Data")</f>
        <v>No Data</v>
      </c>
      <c r="AN12" s="75" t="str">
        <f>IFERROR(VLOOKUP($P12&amp;$AB12,Master!$V$2:$W$26,2,0),"No Data")</f>
        <v>No Data</v>
      </c>
      <c r="AO12" s="75" t="str">
        <f>IFERROR(VLOOKUP($Q12&amp;$AC12,Master!$V$2:$W$26,2,0),"No Data")</f>
        <v>No Data</v>
      </c>
      <c r="AP12" s="75" t="str">
        <f>IFERROR(VLOOKUP($R12&amp;$AD12,Master!$V$2:$W$26,2,0),"No Data")</f>
        <v>No Data</v>
      </c>
      <c r="AQ12" s="41" t="s">
        <v>890</v>
      </c>
      <c r="AR12" s="41" t="s">
        <v>890</v>
      </c>
      <c r="AS12" s="41" t="s">
        <v>887</v>
      </c>
      <c r="AT12" s="41" t="s">
        <v>887</v>
      </c>
      <c r="AU12" s="76" t="str">
        <f>IFERROR(VLOOKUP($O12&amp;$AA12,Master!$W$2:$Y$26,3,0),"No Data")</f>
        <v>No Data</v>
      </c>
      <c r="AV12" s="76" t="str">
        <f>IFERROR(VLOOKUP($P12&amp;$AB12,Master!$W$2:$Y$26,3,0),"No Data")</f>
        <v>No Data</v>
      </c>
      <c r="AW12" s="76" t="str">
        <f>IFERROR(VLOOKUP($Q12&amp;$AC12,Master!$W$2:$Y$26,3,0),"No Data")</f>
        <v>No Data</v>
      </c>
      <c r="AX12" s="76" t="str">
        <f>IFERROR(VLOOKUP($R12&amp;$AD12,Master!$W$2:$Y$26,3,0),"No Data")</f>
        <v>No Data</v>
      </c>
    </row>
    <row r="13" spans="1:50" s="47" customFormat="1" ht="43.2" customHeight="1">
      <c r="A13" s="18"/>
      <c r="B13" s="18">
        <v>5</v>
      </c>
      <c r="C13" s="15" t="s">
        <v>1115</v>
      </c>
      <c r="D13" s="15" t="str">
        <f>IFERROR(VLOOKUP(C13,Master!$D$2:$E$50,2,0),"")</f>
        <v>PELINDO</v>
      </c>
      <c r="E13" s="15">
        <f t="shared" si="0"/>
        <v>5</v>
      </c>
      <c r="F13" s="74" t="str">
        <f>IFERROR(VLOOKUP($E13,'Profil Risiko'!$I:$J,2,0),"")</f>
        <v>Tidak Optimalnya Pengelolaan Aset Idle</v>
      </c>
      <c r="G13" s="222">
        <f>'Risiko Inheren Kuantitatif'!H13*0.95</f>
        <v>299180175000.00006</v>
      </c>
      <c r="H13" s="38">
        <f>'Risiko Inheren Kuantitatif'!H13*0.85</f>
        <v>267687525000.00003</v>
      </c>
      <c r="I13" s="38">
        <f>'Risiko Inheren Kuantitatif'!H13*0.5</f>
        <v>157463250000.00003</v>
      </c>
      <c r="J13" s="38">
        <f>'Risiko Inheren Kuantitatif'!H13*0.4</f>
        <v>125970600000.00003</v>
      </c>
      <c r="K13" s="18">
        <v>3</v>
      </c>
      <c r="L13" s="18">
        <v>3</v>
      </c>
      <c r="M13" s="18">
        <v>3</v>
      </c>
      <c r="N13" s="18">
        <v>2</v>
      </c>
      <c r="O13" s="18"/>
      <c r="P13" s="18"/>
      <c r="Q13" s="18"/>
      <c r="R13" s="18"/>
      <c r="S13" s="198">
        <f>'[1]Risiko Inheren Kuantitatif'!K12</f>
        <v>0.7</v>
      </c>
      <c r="T13" s="198">
        <v>0.7</v>
      </c>
      <c r="U13" s="198">
        <v>0.5</v>
      </c>
      <c r="V13" s="198">
        <v>0.5</v>
      </c>
      <c r="W13" s="18">
        <v>4</v>
      </c>
      <c r="X13" s="18">
        <v>4</v>
      </c>
      <c r="Y13" s="18">
        <v>3</v>
      </c>
      <c r="Z13" s="18">
        <v>3</v>
      </c>
      <c r="AA13" s="18"/>
      <c r="AB13" s="18"/>
      <c r="AC13" s="18"/>
      <c r="AD13" s="18"/>
      <c r="AE13" s="41">
        <f t="shared" si="1"/>
        <v>209426122500.00003</v>
      </c>
      <c r="AF13" s="41">
        <f t="shared" si="2"/>
        <v>187381267500</v>
      </c>
      <c r="AG13" s="41">
        <f t="shared" si="3"/>
        <v>78731625000.000015</v>
      </c>
      <c r="AH13" s="247">
        <f t="shared" si="4"/>
        <v>62985300000.000015</v>
      </c>
      <c r="AI13" s="41">
        <v>14</v>
      </c>
      <c r="AJ13" s="41">
        <v>14</v>
      </c>
      <c r="AK13" s="41">
        <v>13</v>
      </c>
      <c r="AL13" s="41">
        <v>8</v>
      </c>
      <c r="AM13" s="75" t="str">
        <f>IFERROR(VLOOKUP($O13&amp;$AA13,Master!$V$2:$W$26,2,0),"No Data")</f>
        <v>No Data</v>
      </c>
      <c r="AN13" s="75" t="str">
        <f>IFERROR(VLOOKUP($P13&amp;$AB13,Master!$V$2:$W$26,2,0),"No Data")</f>
        <v>No Data</v>
      </c>
      <c r="AO13" s="75" t="str">
        <f>IFERROR(VLOOKUP($Q13&amp;$AC13,Master!$V$2:$W$26,2,0),"No Data")</f>
        <v>No Data</v>
      </c>
      <c r="AP13" s="75" t="str">
        <f>IFERROR(VLOOKUP($R13&amp;$AD13,Master!$V$2:$W$26,2,0),"No Data")</f>
        <v>No Data</v>
      </c>
      <c r="AQ13" s="41" t="s">
        <v>890</v>
      </c>
      <c r="AR13" s="41" t="s">
        <v>890</v>
      </c>
      <c r="AS13" s="41" t="s">
        <v>890</v>
      </c>
      <c r="AT13" s="41" t="s">
        <v>887</v>
      </c>
      <c r="AU13" s="76" t="str">
        <f>IFERROR(VLOOKUP($O13&amp;$AA13,Master!$W$2:$Y$26,3,0),"No Data")</f>
        <v>No Data</v>
      </c>
      <c r="AV13" s="76" t="str">
        <f>IFERROR(VLOOKUP($P13&amp;$AB13,Master!$W$2:$Y$26,3,0),"No Data")</f>
        <v>No Data</v>
      </c>
      <c r="AW13" s="76" t="str">
        <f>IFERROR(VLOOKUP($Q13&amp;$AC13,Master!$W$2:$Y$26,3,0),"No Data")</f>
        <v>No Data</v>
      </c>
      <c r="AX13" s="76" t="str">
        <f>IFERROR(VLOOKUP($R13&amp;$AD13,Master!$W$2:$Y$26,3,0),"No Data")</f>
        <v>No Data</v>
      </c>
    </row>
    <row r="14" spans="1:50" s="47" customFormat="1" ht="43.2" customHeight="1">
      <c r="A14" s="18"/>
      <c r="B14" s="18">
        <v>6</v>
      </c>
      <c r="C14" s="15" t="s">
        <v>1115</v>
      </c>
      <c r="D14" s="15" t="str">
        <f>IFERROR(VLOOKUP(C14,Master!$D$2:$E$50,2,0),"")</f>
        <v>PELINDO</v>
      </c>
      <c r="E14" s="15">
        <f t="shared" si="0"/>
        <v>6</v>
      </c>
      <c r="F14" s="74" t="str">
        <f>IFERROR(VLOOKUP($E14,'Profil Risiko'!$I:$J,2,0),"")</f>
        <v>Rugi selisih kurs</v>
      </c>
      <c r="G14" s="222">
        <f>'Risiko Inheren Kuantitatif'!H14*0.95</f>
        <v>696847470605.54993</v>
      </c>
      <c r="H14" s="38">
        <f>'Risiko Inheren Kuantitatif'!H14*0.85</f>
        <v>623495105278.65002</v>
      </c>
      <c r="I14" s="38">
        <f>'Risiko Inheren Kuantitatif'!H14*0.5</f>
        <v>366761826634.5</v>
      </c>
      <c r="J14" s="38">
        <f>'Risiko Inheren Kuantitatif'!H14*0.2</f>
        <v>146704730653.80002</v>
      </c>
      <c r="K14" s="18">
        <v>4</v>
      </c>
      <c r="L14" s="18">
        <v>4</v>
      </c>
      <c r="M14" s="18">
        <v>4</v>
      </c>
      <c r="N14" s="18">
        <v>3</v>
      </c>
      <c r="O14" s="18"/>
      <c r="P14" s="18"/>
      <c r="Q14" s="18"/>
      <c r="R14" s="18"/>
      <c r="S14" s="198">
        <f>'[1]Risiko Inheren Kuantitatif'!K13</f>
        <v>0.5</v>
      </c>
      <c r="T14" s="198">
        <v>0.5</v>
      </c>
      <c r="U14" s="198">
        <v>0.3</v>
      </c>
      <c r="V14" s="198">
        <v>0.3</v>
      </c>
      <c r="W14" s="18">
        <v>3</v>
      </c>
      <c r="X14" s="18">
        <v>3</v>
      </c>
      <c r="Y14" s="18">
        <v>2</v>
      </c>
      <c r="Z14" s="18">
        <v>2</v>
      </c>
      <c r="AA14" s="18"/>
      <c r="AB14" s="18"/>
      <c r="AC14" s="18"/>
      <c r="AD14" s="18"/>
      <c r="AE14" s="41">
        <f t="shared" si="1"/>
        <v>348423735302.77496</v>
      </c>
      <c r="AF14" s="41">
        <f t="shared" si="2"/>
        <v>311747552639.32501</v>
      </c>
      <c r="AG14" s="41">
        <f t="shared" si="3"/>
        <v>110028547990.34999</v>
      </c>
      <c r="AH14" s="41">
        <f t="shared" si="4"/>
        <v>44011419196.140007</v>
      </c>
      <c r="AI14" s="41">
        <v>18</v>
      </c>
      <c r="AJ14" s="41">
        <v>18</v>
      </c>
      <c r="AK14" s="41">
        <v>16</v>
      </c>
      <c r="AL14" s="41">
        <v>11</v>
      </c>
      <c r="AM14" s="75" t="str">
        <f>IFERROR(VLOOKUP($O14&amp;$AA14,Master!$V$2:$W$26,2,0),"No Data")</f>
        <v>No Data</v>
      </c>
      <c r="AN14" s="75" t="str">
        <f>IFERROR(VLOOKUP($P14&amp;$AB14,Master!$V$2:$W$26,2,0),"No Data")</f>
        <v>No Data</v>
      </c>
      <c r="AO14" s="75" t="str">
        <f>IFERROR(VLOOKUP($Q14&amp;$AC14,Master!$V$2:$W$26,2,0),"No Data")</f>
        <v>No Data</v>
      </c>
      <c r="AP14" s="75" t="str">
        <f>IFERROR(VLOOKUP($R14&amp;$AD14,Master!$V$2:$W$26,2,0),"No Data")</f>
        <v>No Data</v>
      </c>
      <c r="AQ14" s="41" t="s">
        <v>893</v>
      </c>
      <c r="AR14" s="41" t="s">
        <v>893</v>
      </c>
      <c r="AS14" s="41" t="s">
        <v>893</v>
      </c>
      <c r="AT14" s="41" t="s">
        <v>887</v>
      </c>
      <c r="AU14" s="76" t="str">
        <f>IFERROR(VLOOKUP($O14&amp;$AA14,Master!$W$2:$Y$26,3,0),"No Data")</f>
        <v>No Data</v>
      </c>
      <c r="AV14" s="76" t="str">
        <f>IFERROR(VLOOKUP($P14&amp;$AB14,Master!$W$2:$Y$26,3,0),"No Data")</f>
        <v>No Data</v>
      </c>
      <c r="AW14" s="76" t="str">
        <f>IFERROR(VLOOKUP($Q14&amp;$AC14,Master!$W$2:$Y$26,3,0),"No Data")</f>
        <v>No Data</v>
      </c>
      <c r="AX14" s="76" t="str">
        <f>IFERROR(VLOOKUP($R14&amp;$AD14,Master!$W$2:$Y$26,3,0),"No Data")</f>
        <v>No Data</v>
      </c>
    </row>
    <row r="15" spans="1:50" s="47" customFormat="1" ht="43.2" customHeight="1">
      <c r="A15" s="18"/>
      <c r="B15" s="18">
        <v>7</v>
      </c>
      <c r="C15" s="15" t="s">
        <v>1115</v>
      </c>
      <c r="D15" s="15" t="str">
        <f>IFERROR(VLOOKUP(C15,Master!$D$2:$E$50,2,0),"")</f>
        <v>PELINDO</v>
      </c>
      <c r="E15" s="15">
        <f t="shared" si="0"/>
        <v>7</v>
      </c>
      <c r="F15" s="74" t="str">
        <f>IFERROR(VLOOKUP($E15,'Profil Risiko'!$I:$J,2,0),"")</f>
        <v>Inefisiensi Biaya</v>
      </c>
      <c r="G15" s="222">
        <f>'Risiko Inheren Kuantitatif'!H15</f>
        <v>520000000000</v>
      </c>
      <c r="H15" s="38">
        <f>'Risiko Inheren Kuantitatif'!H15*0.95</f>
        <v>494000000000</v>
      </c>
      <c r="I15" s="38">
        <f>'Risiko Inheren Kuantitatif'!H15*0.5</f>
        <v>260000000000</v>
      </c>
      <c r="J15" s="38">
        <f>'Risiko Inheren Kuantitatif'!H15*0.5</f>
        <v>260000000000</v>
      </c>
      <c r="K15" s="18">
        <v>3</v>
      </c>
      <c r="L15" s="18">
        <v>3</v>
      </c>
      <c r="M15" s="18">
        <v>2</v>
      </c>
      <c r="N15" s="18">
        <v>2</v>
      </c>
      <c r="O15" s="18"/>
      <c r="P15" s="18"/>
      <c r="Q15" s="18"/>
      <c r="R15" s="18"/>
      <c r="S15" s="198">
        <f>'[1]Risiko Inheren Kuantitatif'!K15</f>
        <v>0.5</v>
      </c>
      <c r="T15" s="198">
        <v>0.5</v>
      </c>
      <c r="U15" s="198">
        <v>0.5</v>
      </c>
      <c r="V15" s="198">
        <v>0.5</v>
      </c>
      <c r="W15" s="18">
        <v>3</v>
      </c>
      <c r="X15" s="18">
        <v>3</v>
      </c>
      <c r="Y15" s="18">
        <v>3</v>
      </c>
      <c r="Z15" s="18">
        <v>3</v>
      </c>
      <c r="AA15" s="18"/>
      <c r="AB15" s="18"/>
      <c r="AC15" s="18"/>
      <c r="AD15" s="18"/>
      <c r="AE15" s="41">
        <f t="shared" si="1"/>
        <v>260000000000</v>
      </c>
      <c r="AF15" s="41">
        <f t="shared" si="2"/>
        <v>247000000000</v>
      </c>
      <c r="AG15" s="41">
        <f t="shared" si="3"/>
        <v>130000000000</v>
      </c>
      <c r="AH15" s="247">
        <f t="shared" si="4"/>
        <v>130000000000</v>
      </c>
      <c r="AI15" s="41">
        <v>13</v>
      </c>
      <c r="AJ15" s="41">
        <v>13</v>
      </c>
      <c r="AK15" s="41">
        <v>8</v>
      </c>
      <c r="AL15" s="41">
        <v>8</v>
      </c>
      <c r="AM15" s="75" t="str">
        <f>IFERROR(VLOOKUP($O15&amp;$AA15,Master!$V$2:$W$26,2,0),"No Data")</f>
        <v>No Data</v>
      </c>
      <c r="AN15" s="75" t="str">
        <f>IFERROR(VLOOKUP($P15&amp;$AB15,Master!$V$2:$W$26,2,0),"No Data")</f>
        <v>No Data</v>
      </c>
      <c r="AO15" s="75" t="str">
        <f>IFERROR(VLOOKUP($Q15&amp;$AC15,Master!$V$2:$W$26,2,0),"No Data")</f>
        <v>No Data</v>
      </c>
      <c r="AP15" s="75" t="str">
        <f>IFERROR(VLOOKUP($R15&amp;$AD15,Master!$V$2:$W$26,2,0),"No Data")</f>
        <v>No Data</v>
      </c>
      <c r="AQ15" s="41" t="s">
        <v>890</v>
      </c>
      <c r="AR15" s="41" t="s">
        <v>890</v>
      </c>
      <c r="AS15" s="41" t="s">
        <v>887</v>
      </c>
      <c r="AT15" s="41" t="s">
        <v>887</v>
      </c>
      <c r="AU15" s="76" t="str">
        <f>IFERROR(VLOOKUP($O15&amp;$AA15,Master!$W$2:$Y$26,3,0),"No Data")</f>
        <v>No Data</v>
      </c>
      <c r="AV15" s="76" t="str">
        <f>IFERROR(VLOOKUP($P15&amp;$AB15,Master!$W$2:$Y$26,3,0),"No Data")</f>
        <v>No Data</v>
      </c>
      <c r="AW15" s="76" t="str">
        <f>IFERROR(VLOOKUP($Q15&amp;$AC15,Master!$W$2:$Y$26,3,0),"No Data")</f>
        <v>No Data</v>
      </c>
      <c r="AX15" s="76" t="str">
        <f>IFERROR(VLOOKUP($R15&amp;$AD15,Master!$W$2:$Y$26,3,0),"No Data")</f>
        <v>No Data</v>
      </c>
    </row>
    <row r="16" spans="1:50" s="47" customFormat="1" ht="43.2" customHeight="1">
      <c r="A16" s="18"/>
      <c r="B16" s="18">
        <v>8</v>
      </c>
      <c r="C16" s="15" t="s">
        <v>1115</v>
      </c>
      <c r="D16" s="15" t="str">
        <f>IFERROR(VLOOKUP(C16,Master!$D$2:$E$50,2,0),"")</f>
        <v>PELINDO</v>
      </c>
      <c r="E16" s="15">
        <f t="shared" si="0"/>
        <v>8</v>
      </c>
      <c r="F16" s="74" t="str">
        <f>IFERROR(VLOOKUP($E16,'Profil Risiko'!$I:$J,2,0),"")</f>
        <v>Keterlambatan pelaksanaan investasi strategis (di atas Rp 200 M)</v>
      </c>
      <c r="G16" s="222">
        <f>'Risiko Inheren Kuantitatif'!H16</f>
        <v>160000000000</v>
      </c>
      <c r="H16" s="38">
        <f>'Risiko Inheren Kuantitatif'!H16</f>
        <v>160000000000</v>
      </c>
      <c r="I16" s="38">
        <f>'Risiko Inheren Kuantitatif'!H16*0.75</f>
        <v>120000000000</v>
      </c>
      <c r="J16" s="38">
        <f>'Risiko Inheren Kuantitatif'!H16*0.4</f>
        <v>64000000000</v>
      </c>
      <c r="K16" s="18">
        <v>3</v>
      </c>
      <c r="L16" s="18">
        <v>3</v>
      </c>
      <c r="M16" s="18">
        <v>2</v>
      </c>
      <c r="N16" s="18">
        <v>2</v>
      </c>
      <c r="O16" s="18"/>
      <c r="P16" s="18"/>
      <c r="Q16" s="18"/>
      <c r="R16" s="18"/>
      <c r="S16" s="198">
        <f>'[1]Risiko Inheren Kuantitatif'!K16</f>
        <v>0.7</v>
      </c>
      <c r="T16" s="171">
        <v>0.5</v>
      </c>
      <c r="U16" s="171">
        <v>0.3</v>
      </c>
      <c r="V16" s="171">
        <v>0.3</v>
      </c>
      <c r="W16" s="18">
        <v>4</v>
      </c>
      <c r="X16" s="18">
        <v>3</v>
      </c>
      <c r="Y16" s="18">
        <v>3</v>
      </c>
      <c r="Z16" s="18">
        <v>2</v>
      </c>
      <c r="AA16" s="18"/>
      <c r="AB16" s="18"/>
      <c r="AC16" s="18"/>
      <c r="AD16" s="18"/>
      <c r="AE16" s="41">
        <f t="shared" si="1"/>
        <v>112000000000</v>
      </c>
      <c r="AF16" s="41">
        <f t="shared" si="2"/>
        <v>80000000000</v>
      </c>
      <c r="AG16" s="41">
        <f t="shared" si="3"/>
        <v>36000000000</v>
      </c>
      <c r="AH16" s="41">
        <f t="shared" si="4"/>
        <v>19200000000</v>
      </c>
      <c r="AI16" s="41">
        <v>14</v>
      </c>
      <c r="AJ16" s="41">
        <v>13</v>
      </c>
      <c r="AK16" s="41">
        <v>8</v>
      </c>
      <c r="AL16" s="41">
        <v>6</v>
      </c>
      <c r="AM16" s="75" t="str">
        <f>IFERROR(VLOOKUP($O16&amp;$AA16,Master!$V$2:$W$26,2,0),"No Data")</f>
        <v>No Data</v>
      </c>
      <c r="AN16" s="75" t="str">
        <f>IFERROR(VLOOKUP($P16&amp;$AB16,Master!$V$2:$W$26,2,0),"No Data")</f>
        <v>No Data</v>
      </c>
      <c r="AO16" s="75" t="str">
        <f>IFERROR(VLOOKUP($Q16&amp;$AC16,Master!$V$2:$W$26,2,0),"No Data")</f>
        <v>No Data</v>
      </c>
      <c r="AP16" s="75" t="str">
        <f>IFERROR(VLOOKUP($R16&amp;$AD16,Master!$V$2:$W$26,2,0),"No Data")</f>
        <v>No Data</v>
      </c>
      <c r="AQ16" s="41" t="s">
        <v>890</v>
      </c>
      <c r="AR16" s="41" t="s">
        <v>890</v>
      </c>
      <c r="AS16" s="41" t="s">
        <v>887</v>
      </c>
      <c r="AT16" s="41" t="s">
        <v>887</v>
      </c>
      <c r="AU16" s="76" t="str">
        <f>IFERROR(VLOOKUP($O16&amp;$AA16,Master!$W$2:$Y$26,3,0),"No Data")</f>
        <v>No Data</v>
      </c>
      <c r="AV16" s="76" t="str">
        <f>IFERROR(VLOOKUP($P16&amp;$AB16,Master!$W$2:$Y$26,3,0),"No Data")</f>
        <v>No Data</v>
      </c>
      <c r="AW16" s="76" t="str">
        <f>IFERROR(VLOOKUP($Q16&amp;$AC16,Master!$W$2:$Y$26,3,0),"No Data")</f>
        <v>No Data</v>
      </c>
      <c r="AX16" s="76" t="str">
        <f>IFERROR(VLOOKUP($R16&amp;$AD16,Master!$W$2:$Y$26,3,0),"No Data")</f>
        <v>No Data</v>
      </c>
    </row>
    <row r="17" spans="1:50" s="47" customFormat="1" ht="43.2" customHeight="1">
      <c r="A17" s="18"/>
      <c r="B17" s="18">
        <v>9</v>
      </c>
      <c r="C17" s="15" t="s">
        <v>1115</v>
      </c>
      <c r="D17" s="15" t="str">
        <f>IFERROR(VLOOKUP(C17,Master!$D$2:$E$50,2,0),"")</f>
        <v>PELINDO</v>
      </c>
      <c r="E17" s="15">
        <f t="shared" ref="E17:E18" si="5">B17</f>
        <v>9</v>
      </c>
      <c r="F17" s="74" t="str">
        <f>IFERROR(VLOOKUP($E17,'Profil Risiko'!$I:$J,2,0),"")</f>
        <v>Denda Pajak
(atas SPT Masa Withholding dan PPN bulanan)</v>
      </c>
      <c r="G17" s="222">
        <f>'Risiko Inheren Kuantitatif'!H17</f>
        <v>138000000000</v>
      </c>
      <c r="H17" s="52">
        <f>G17</f>
        <v>138000000000</v>
      </c>
      <c r="I17" s="38">
        <f>G17*0.65</f>
        <v>89700000000</v>
      </c>
      <c r="J17" s="38">
        <f>G17*0.32</f>
        <v>44160000000</v>
      </c>
      <c r="K17" s="18">
        <v>3</v>
      </c>
      <c r="L17" s="18">
        <v>3</v>
      </c>
      <c r="M17" s="18">
        <v>3</v>
      </c>
      <c r="N17" s="18">
        <v>2</v>
      </c>
      <c r="O17" s="18"/>
      <c r="P17" s="18"/>
      <c r="Q17" s="18"/>
      <c r="R17" s="18"/>
      <c r="S17" s="198">
        <v>0.5</v>
      </c>
      <c r="T17" s="171">
        <v>0.5</v>
      </c>
      <c r="U17" s="171">
        <v>0.5</v>
      </c>
      <c r="V17" s="171">
        <v>0.3</v>
      </c>
      <c r="W17" s="18">
        <v>3</v>
      </c>
      <c r="X17" s="18">
        <v>3</v>
      </c>
      <c r="Y17" s="18">
        <v>3</v>
      </c>
      <c r="Z17" s="18">
        <v>2</v>
      </c>
      <c r="AA17" s="18"/>
      <c r="AB17" s="18"/>
      <c r="AC17" s="18"/>
      <c r="AD17" s="18"/>
      <c r="AE17" s="41">
        <f t="shared" si="1"/>
        <v>69000000000</v>
      </c>
      <c r="AF17" s="41">
        <f t="shared" si="2"/>
        <v>69000000000</v>
      </c>
      <c r="AG17" s="41">
        <f t="shared" si="3"/>
        <v>44850000000</v>
      </c>
      <c r="AH17" s="41">
        <f t="shared" si="4"/>
        <v>13248000000</v>
      </c>
      <c r="AI17" s="41">
        <v>13</v>
      </c>
      <c r="AJ17" s="41">
        <v>13</v>
      </c>
      <c r="AK17" s="41">
        <v>13</v>
      </c>
      <c r="AL17" s="41">
        <v>6</v>
      </c>
      <c r="AM17" s="75" t="str">
        <f>IFERROR(VLOOKUP($O17&amp;$AA17,Master!$V$2:$W$26,2,0),"No Data")</f>
        <v>No Data</v>
      </c>
      <c r="AN17" s="75" t="str">
        <f>IFERROR(VLOOKUP($P17&amp;$AB17,Master!$V$2:$W$26,2,0),"No Data")</f>
        <v>No Data</v>
      </c>
      <c r="AO17" s="75" t="str">
        <f>IFERROR(VLOOKUP($Q17&amp;$AC17,Master!$V$2:$W$26,2,0),"No Data")</f>
        <v>No Data</v>
      </c>
      <c r="AP17" s="75" t="str">
        <f>IFERROR(VLOOKUP($R17&amp;$AD17,Master!$V$2:$W$26,2,0),"No Data")</f>
        <v>No Data</v>
      </c>
      <c r="AQ17" s="41" t="s">
        <v>890</v>
      </c>
      <c r="AR17" s="41" t="s">
        <v>890</v>
      </c>
      <c r="AS17" s="41" t="s">
        <v>890</v>
      </c>
      <c r="AT17" s="41" t="s">
        <v>887</v>
      </c>
      <c r="AU17" s="76" t="str">
        <f>IFERROR(VLOOKUP($O17&amp;$AA17,Master!$W$2:$Y$26,3,0),"No Data")</f>
        <v>No Data</v>
      </c>
      <c r="AV17" s="76" t="str">
        <f>IFERROR(VLOOKUP($P17&amp;$AB17,Master!$W$2:$Y$26,3,0),"No Data")</f>
        <v>No Data</v>
      </c>
      <c r="AW17" s="76" t="str">
        <f>IFERROR(VLOOKUP($Q17&amp;$AC17,Master!$W$2:$Y$26,3,0),"No Data")</f>
        <v>No Data</v>
      </c>
      <c r="AX17" s="76" t="str">
        <f>IFERROR(VLOOKUP($R17&amp;$AD17,Master!$W$2:$Y$26,3,0),"No Data")</f>
        <v>No Data</v>
      </c>
    </row>
    <row r="18" spans="1:50" s="47" customFormat="1" ht="43.2" customHeight="1">
      <c r="A18" s="18"/>
      <c r="B18" s="18">
        <v>17</v>
      </c>
      <c r="C18" s="15" t="s">
        <v>1115</v>
      </c>
      <c r="D18" s="15" t="str">
        <f>IFERROR(VLOOKUP(C18,Master!$D$2:$E$50,2,0),"")</f>
        <v>PELINDO</v>
      </c>
      <c r="E18" s="15">
        <f t="shared" si="5"/>
        <v>17</v>
      </c>
      <c r="F18" s="74" t="str">
        <f>IFERROR(VLOOKUP($E18,'Profil Risiko'!$I:$J,2,0),"")</f>
        <v>Tidak tercapainya target Trafik JTCC</v>
      </c>
      <c r="G18" s="222">
        <f>'Risiko Inheren Kuantitatif'!H18</f>
        <v>761000000000</v>
      </c>
      <c r="H18" s="52">
        <f>G18*0.9</f>
        <v>684900000000</v>
      </c>
      <c r="I18" s="38">
        <f>G18*0.7</f>
        <v>532699999999.99994</v>
      </c>
      <c r="J18" s="38">
        <f>G18*0.4</f>
        <v>304400000000</v>
      </c>
      <c r="K18" s="18">
        <v>4</v>
      </c>
      <c r="L18" s="18">
        <v>4</v>
      </c>
      <c r="M18" s="18">
        <v>4</v>
      </c>
      <c r="N18" s="18">
        <v>3</v>
      </c>
      <c r="O18" s="18"/>
      <c r="P18" s="18"/>
      <c r="Q18" s="18"/>
      <c r="R18" s="18"/>
      <c r="S18" s="198">
        <v>0.5</v>
      </c>
      <c r="T18" s="198">
        <v>0.5</v>
      </c>
      <c r="U18" s="198">
        <v>0.3</v>
      </c>
      <c r="V18" s="198">
        <v>0.2</v>
      </c>
      <c r="W18" s="18">
        <v>3</v>
      </c>
      <c r="X18" s="18">
        <v>3</v>
      </c>
      <c r="Y18" s="18">
        <v>2</v>
      </c>
      <c r="Z18" s="18">
        <v>2</v>
      </c>
      <c r="AA18" s="18"/>
      <c r="AB18" s="18"/>
      <c r="AC18" s="18"/>
      <c r="AD18" s="18"/>
      <c r="AE18" s="41">
        <f t="shared" si="1"/>
        <v>380500000000</v>
      </c>
      <c r="AF18" s="41">
        <f t="shared" si="2"/>
        <v>342450000000</v>
      </c>
      <c r="AG18" s="41">
        <f t="shared" si="3"/>
        <v>159809999999.99997</v>
      </c>
      <c r="AH18" s="41">
        <f t="shared" si="4"/>
        <v>60880000000</v>
      </c>
      <c r="AI18" s="41">
        <v>18</v>
      </c>
      <c r="AJ18" s="41">
        <v>18</v>
      </c>
      <c r="AK18" s="41">
        <v>16</v>
      </c>
      <c r="AL18" s="41">
        <v>11</v>
      </c>
      <c r="AM18" s="75" t="str">
        <f>IFERROR(VLOOKUP($O18&amp;$AA18,Master!$V$2:$W$26,2,0),"No Data")</f>
        <v>No Data</v>
      </c>
      <c r="AN18" s="75" t="str">
        <f>IFERROR(VLOOKUP($P18&amp;$AB18,Master!$V$2:$W$26,2,0),"No Data")</f>
        <v>No Data</v>
      </c>
      <c r="AO18" s="75" t="str">
        <f>IFERROR(VLOOKUP($Q18&amp;$AC18,Master!$V$2:$W$26,2,0),"No Data")</f>
        <v>No Data</v>
      </c>
      <c r="AP18" s="75" t="str">
        <f>IFERROR(VLOOKUP($R18&amp;$AD18,Master!$V$2:$W$26,2,0),"No Data")</f>
        <v>No Data</v>
      </c>
      <c r="AQ18" s="41" t="s">
        <v>893</v>
      </c>
      <c r="AR18" s="41" t="s">
        <v>893</v>
      </c>
      <c r="AS18" s="41" t="s">
        <v>893</v>
      </c>
      <c r="AT18" s="41" t="s">
        <v>887</v>
      </c>
      <c r="AU18" s="76" t="str">
        <f>IFERROR(VLOOKUP($O18&amp;$AA18,Master!$W$2:$Y$26,3,0),"No Data")</f>
        <v>No Data</v>
      </c>
      <c r="AV18" s="76" t="str">
        <f>IFERROR(VLOOKUP($P18&amp;$AB18,Master!$W$2:$Y$26,3,0),"No Data")</f>
        <v>No Data</v>
      </c>
      <c r="AW18" s="76" t="str">
        <f>IFERROR(VLOOKUP($Q18&amp;$AC18,Master!$W$2:$Y$26,3,0),"No Data")</f>
        <v>No Data</v>
      </c>
      <c r="AX18" s="76" t="str">
        <f>IFERROR(VLOOKUP($R18&amp;$AD18,Master!$W$2:$Y$26,3,0),"No Data")</f>
        <v>No Data</v>
      </c>
    </row>
    <row r="19" spans="1:50">
      <c r="AH19" s="241">
        <f>SUM(AH9:AH18)</f>
        <v>1427357129196.1399</v>
      </c>
    </row>
    <row r="20" spans="1:50">
      <c r="AH20" s="228"/>
      <c r="AT20" s="43"/>
    </row>
    <row r="21" spans="1:50">
      <c r="AH21" s="366">
        <f>SUM(AH9:AH18)</f>
        <v>1427357129196.1399</v>
      </c>
      <c r="AI21" s="43"/>
      <c r="AJ21" s="43"/>
      <c r="AK21" s="43"/>
      <c r="AL21" s="43"/>
      <c r="AM21" s="43"/>
      <c r="AN21" s="43"/>
      <c r="AO21" s="43"/>
      <c r="AP21" s="43"/>
      <c r="AQ21" s="43"/>
      <c r="AR21" s="43"/>
      <c r="AS21" s="43"/>
      <c r="AT21" s="43"/>
    </row>
    <row r="22" spans="1:50">
      <c r="AG22" s="43"/>
      <c r="AH22" s="43"/>
      <c r="AI22" s="43"/>
      <c r="AJ22" s="43"/>
      <c r="AK22" s="43"/>
      <c r="AL22" s="43"/>
      <c r="AM22" s="43"/>
      <c r="AN22" s="43"/>
      <c r="AO22" s="43"/>
      <c r="AP22" s="43"/>
      <c r="AQ22" s="43"/>
      <c r="AR22" s="43"/>
      <c r="AS22" s="43"/>
      <c r="AT22" s="43"/>
    </row>
    <row r="23" spans="1:50">
      <c r="AG23" s="43"/>
      <c r="AH23" s="43"/>
      <c r="AI23" s="43"/>
      <c r="AJ23" s="43"/>
      <c r="AK23" s="43"/>
      <c r="AL23" s="43"/>
      <c r="AM23" s="43"/>
      <c r="AN23" s="43"/>
      <c r="AO23" s="43"/>
      <c r="AP23" s="43"/>
      <c r="AQ23" s="43"/>
      <c r="AR23" s="43"/>
      <c r="AS23" s="43"/>
      <c r="AT23" s="43"/>
    </row>
    <row r="24" spans="1:50">
      <c r="AG24" s="43"/>
      <c r="AH24" s="43"/>
      <c r="AI24" s="43"/>
      <c r="AJ24" s="43"/>
      <c r="AK24" s="43"/>
      <c r="AL24" s="43"/>
      <c r="AM24" s="43"/>
      <c r="AN24" s="43"/>
      <c r="AO24" s="43"/>
      <c r="AP24" s="43"/>
      <c r="AQ24" s="43"/>
      <c r="AR24" s="43"/>
      <c r="AS24" s="43"/>
      <c r="AT24" s="43"/>
    </row>
    <row r="25" spans="1:50">
      <c r="AG25" s="43"/>
      <c r="AH25" s="43"/>
      <c r="AI25" s="43"/>
      <c r="AJ25" s="43"/>
      <c r="AK25" s="43"/>
      <c r="AL25" s="43"/>
      <c r="AM25" s="43"/>
      <c r="AN25" s="43"/>
      <c r="AO25" s="43"/>
      <c r="AP25" s="43"/>
      <c r="AQ25" s="43"/>
      <c r="AR25" s="43"/>
      <c r="AS25" s="43"/>
      <c r="AT25" s="43"/>
    </row>
    <row r="26" spans="1:50">
      <c r="AG26" s="43"/>
      <c r="AH26" s="43"/>
      <c r="AI26" s="43"/>
      <c r="AJ26" s="43"/>
      <c r="AK26" s="43"/>
      <c r="AL26" s="43"/>
      <c r="AM26" s="43"/>
      <c r="AN26" s="43"/>
      <c r="AO26" s="43"/>
      <c r="AP26" s="43"/>
      <c r="AQ26" s="43"/>
      <c r="AR26" s="43"/>
      <c r="AS26" s="43"/>
      <c r="AT26" s="43"/>
    </row>
    <row r="27" spans="1:50">
      <c r="AR27" s="43"/>
      <c r="AS27" s="43"/>
      <c r="AT27" s="43"/>
    </row>
    <row r="28" spans="1:50">
      <c r="AR28" s="43"/>
      <c r="AS28" s="43"/>
      <c r="AT28" s="43"/>
    </row>
    <row r="29" spans="1:50">
      <c r="AR29" s="43"/>
      <c r="AS29" s="43"/>
      <c r="AT29" s="43"/>
    </row>
    <row r="30" spans="1:50">
      <c r="AR30" s="43"/>
      <c r="AS30" s="43"/>
      <c r="AT30" s="43"/>
    </row>
    <row r="31" spans="1:50">
      <c r="AR31" s="43"/>
      <c r="AS31" s="43"/>
      <c r="AT31" s="43"/>
    </row>
    <row r="32" spans="1:50">
      <c r="AR32" s="43"/>
      <c r="AS32" s="43"/>
      <c r="AT32" s="43"/>
    </row>
    <row r="33" spans="44:46">
      <c r="AR33" s="43"/>
      <c r="AS33" s="43"/>
      <c r="AT33" s="43"/>
    </row>
    <row r="34" spans="44:46">
      <c r="AR34" s="43"/>
      <c r="AS34" s="43"/>
      <c r="AT34" s="43"/>
    </row>
    <row r="35" spans="44:46">
      <c r="AR35" s="43"/>
      <c r="AS35" s="43"/>
      <c r="AT35" s="43"/>
    </row>
    <row r="36" spans="44:46">
      <c r="AR36" s="43"/>
      <c r="AS36" s="43"/>
      <c r="AT36" s="43"/>
    </row>
    <row r="37" spans="44:46">
      <c r="AR37" s="43"/>
      <c r="AS37" s="43"/>
      <c r="AT37" s="43"/>
    </row>
  </sheetData>
  <mergeCells count="55">
    <mergeCell ref="AI3:AP3"/>
    <mergeCell ref="AQ3:AX3"/>
    <mergeCell ref="AU4:AX4"/>
    <mergeCell ref="C2:C5"/>
    <mergeCell ref="G8:J8"/>
    <mergeCell ref="AI8:AL8"/>
    <mergeCell ref="AI6:AL6"/>
    <mergeCell ref="W4:Z4"/>
    <mergeCell ref="AA4:AD4"/>
    <mergeCell ref="AI4:AL4"/>
    <mergeCell ref="E2:E5"/>
    <mergeCell ref="D2:D5"/>
    <mergeCell ref="F2:F5"/>
    <mergeCell ref="S6:V6"/>
    <mergeCell ref="W6:Z6"/>
    <mergeCell ref="AU6:AX6"/>
    <mergeCell ref="AU7:AX7"/>
    <mergeCell ref="AM8:AP8"/>
    <mergeCell ref="AI7:AL7"/>
    <mergeCell ref="AM7:AP7"/>
    <mergeCell ref="AU8:AX8"/>
    <mergeCell ref="AQ7:AT7"/>
    <mergeCell ref="AQ8:AT8"/>
    <mergeCell ref="K8:N8"/>
    <mergeCell ref="K7:N7"/>
    <mergeCell ref="AE8:AH8"/>
    <mergeCell ref="AE7:AH7"/>
    <mergeCell ref="O6:R6"/>
    <mergeCell ref="AA6:AD6"/>
    <mergeCell ref="O8:R8"/>
    <mergeCell ref="S8:V8"/>
    <mergeCell ref="W8:Z8"/>
    <mergeCell ref="AA8:AD8"/>
    <mergeCell ref="AE6:AH6"/>
    <mergeCell ref="G7:J7"/>
    <mergeCell ref="O7:R7"/>
    <mergeCell ref="S7:V7"/>
    <mergeCell ref="W7:Z7"/>
    <mergeCell ref="AA7:AD7"/>
    <mergeCell ref="AQ4:AT4"/>
    <mergeCell ref="AQ6:AT6"/>
    <mergeCell ref="O4:R4"/>
    <mergeCell ref="A2:A5"/>
    <mergeCell ref="G6:J6"/>
    <mergeCell ref="K6:N6"/>
    <mergeCell ref="B2:B5"/>
    <mergeCell ref="G3:J4"/>
    <mergeCell ref="K3:R3"/>
    <mergeCell ref="K4:N4"/>
    <mergeCell ref="G2:AX2"/>
    <mergeCell ref="S3:V4"/>
    <mergeCell ref="W3:AD3"/>
    <mergeCell ref="AE3:AH4"/>
    <mergeCell ref="AM4:AP4"/>
    <mergeCell ref="AM6:AP6"/>
  </mergeCells>
  <conditionalFormatting sqref="G7">
    <cfRule type="expression" dxfId="23" priority="9">
      <formula>#REF!="kualitatif"</formula>
    </cfRule>
  </conditionalFormatting>
  <conditionalFormatting sqref="G9:G18">
    <cfRule type="expression" dxfId="22" priority="8">
      <formula>$S9="kualitatif"</formula>
    </cfRule>
  </conditionalFormatting>
  <conditionalFormatting sqref="H9">
    <cfRule type="expression" dxfId="21" priority="1">
      <formula>$S9="kualitatif"</formula>
    </cfRule>
  </conditionalFormatting>
  <conditionalFormatting sqref="H17:H18">
    <cfRule type="expression" dxfId="20" priority="2">
      <formula>$T17="kualitatif"</formula>
    </cfRule>
  </conditionalFormatting>
  <conditionalFormatting sqref="AV9:AX18 AU19:AX19 AT20:AW20 AI21:AL21 AG22:AJ26 AR27:AU37 AU38:AX1048576">
    <cfRule type="cellIs" dxfId="19" priority="3" operator="equal">
      <formula>#REF!</formula>
    </cfRule>
    <cfRule type="cellIs" dxfId="18" priority="4" operator="equal">
      <formula>#REF!</formula>
    </cfRule>
    <cfRule type="cellIs" dxfId="17" priority="5" operator="equal">
      <formula>#REF!</formula>
    </cfRule>
    <cfRule type="cellIs" dxfId="16" priority="6" operator="equal">
      <formula>#REF!</formula>
    </cfRule>
    <cfRule type="cellIs" dxfId="15" priority="7" operator="equal">
      <formula>#REF!</formula>
    </cfRule>
  </conditionalFormatting>
  <hyperlinks>
    <hyperlink ref="A1" location="'Daftar Isi'!A1" display="Kembali ke Daftar Isi"/>
  </hyperlink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Master!$H$2:$H$6</xm:f>
          </x14:formula1>
          <xm:sqref>W9:Z18</xm:sqref>
        </x14:dataValidation>
        <x14:dataValidation type="list" allowBlank="1" showInputMessage="1" showErrorMessage="1">
          <x14:formula1>
            <xm:f>Master!$I$2:$I$26</xm:f>
          </x14:formula1>
          <xm:sqref>AI9:AL18</xm:sqref>
        </x14:dataValidation>
        <x14:dataValidation type="list" allowBlank="1" showInputMessage="1" showErrorMessage="1">
          <x14:formula1>
            <xm:f>Master!$D$2:$D$50</xm:f>
          </x14:formula1>
          <xm:sqref>C9:C18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1896A4"/>
  </sheetPr>
  <dimension ref="A1:AX30"/>
  <sheetViews>
    <sheetView showGridLines="0" zoomScaleNormal="100" workbookViewId="0">
      <pane xSplit="6" ySplit="5" topLeftCell="AF15" activePane="bottomRight" state="frozen"/>
      <selection pane="topRight" activeCell="G1" sqref="G1"/>
      <selection pane="bottomLeft" activeCell="A6" sqref="A6"/>
      <selection pane="bottomRight" activeCell="AI32" sqref="AI32"/>
    </sheetView>
  </sheetViews>
  <sheetFormatPr defaultColWidth="11.44140625" defaultRowHeight="13.8"/>
  <cols>
    <col min="1" max="1" width="10.21875" style="1" hidden="1" customWidth="1"/>
    <col min="2" max="2" width="6.77734375" style="1" customWidth="1"/>
    <col min="3" max="3" width="11" style="1" hidden="1" customWidth="1"/>
    <col min="4" max="4" width="8.21875" style="27" hidden="1" customWidth="1"/>
    <col min="5" max="5" width="12" style="1" hidden="1" customWidth="1"/>
    <col min="6" max="6" width="21.21875" style="1" customWidth="1"/>
    <col min="7" max="10" width="4.44140625" style="42" customWidth="1"/>
    <col min="11" max="18" width="3.77734375" style="42" customWidth="1"/>
    <col min="19" max="22" width="4.44140625" style="42" customWidth="1"/>
    <col min="23" max="30" width="3.77734375" style="42" customWidth="1"/>
    <col min="31" max="32" width="12.44140625" style="42" customWidth="1"/>
    <col min="33" max="33" width="20.77734375" style="42" bestFit="1" customWidth="1"/>
    <col min="34" max="34" width="16.44140625" style="42" customWidth="1"/>
    <col min="35" max="36" width="16.44140625" style="42" bestFit="1" customWidth="1"/>
    <col min="37" max="37" width="4" style="42" customWidth="1"/>
    <col min="38" max="38" width="4" style="42" bestFit="1" customWidth="1"/>
    <col min="39" max="39" width="4.21875" style="42" customWidth="1"/>
    <col min="40" max="42" width="4.44140625" style="42" bestFit="1" customWidth="1"/>
    <col min="43" max="46" width="11.44140625" style="42" customWidth="1"/>
    <col min="47" max="50" width="7" style="1" customWidth="1"/>
    <col min="51" max="16384" width="11.44140625" style="1"/>
  </cols>
  <sheetData>
    <row r="1" spans="1:50" ht="14.4">
      <c r="A1" s="102" t="s">
        <v>29</v>
      </c>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row>
    <row r="2" spans="1:50">
      <c r="A2" s="403" t="s">
        <v>31</v>
      </c>
      <c r="B2" s="403" t="s">
        <v>47</v>
      </c>
      <c r="C2" s="403" t="s">
        <v>151</v>
      </c>
      <c r="D2" s="402" t="s">
        <v>49</v>
      </c>
      <c r="E2" s="403" t="s">
        <v>102</v>
      </c>
      <c r="F2" s="411" t="s">
        <v>152</v>
      </c>
      <c r="G2" s="403" t="s">
        <v>195</v>
      </c>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c r="AM2" s="403"/>
      <c r="AN2" s="403"/>
      <c r="AO2" s="403"/>
      <c r="AP2" s="403"/>
      <c r="AQ2" s="403"/>
      <c r="AR2" s="403"/>
      <c r="AS2" s="403"/>
      <c r="AT2" s="403"/>
      <c r="AU2" s="403"/>
      <c r="AV2" s="403"/>
      <c r="AW2" s="403"/>
      <c r="AX2" s="403"/>
    </row>
    <row r="3" spans="1:50">
      <c r="A3" s="403"/>
      <c r="B3" s="403"/>
      <c r="C3" s="403"/>
      <c r="D3" s="402"/>
      <c r="E3" s="403"/>
      <c r="F3" s="412"/>
      <c r="G3" s="421" t="s">
        <v>196</v>
      </c>
      <c r="H3" s="421"/>
      <c r="I3" s="421"/>
      <c r="J3" s="422"/>
      <c r="K3" s="419" t="s">
        <v>197</v>
      </c>
      <c r="L3" s="419"/>
      <c r="M3" s="419"/>
      <c r="N3" s="419"/>
      <c r="O3" s="419"/>
      <c r="P3" s="419"/>
      <c r="Q3" s="419"/>
      <c r="R3" s="419"/>
      <c r="S3" s="420" t="s">
        <v>157</v>
      </c>
      <c r="T3" s="421"/>
      <c r="U3" s="421"/>
      <c r="V3" s="422"/>
      <c r="W3" s="419" t="s">
        <v>198</v>
      </c>
      <c r="X3" s="419"/>
      <c r="Y3" s="419"/>
      <c r="Z3" s="419"/>
      <c r="AA3" s="419"/>
      <c r="AB3" s="419"/>
      <c r="AC3" s="419"/>
      <c r="AD3" s="419"/>
      <c r="AE3" s="420" t="s">
        <v>159</v>
      </c>
      <c r="AF3" s="421"/>
      <c r="AG3" s="421"/>
      <c r="AH3" s="422"/>
      <c r="AI3" s="429" t="s">
        <v>199</v>
      </c>
      <c r="AJ3" s="430"/>
      <c r="AK3" s="430"/>
      <c r="AL3" s="430"/>
      <c r="AM3" s="430"/>
      <c r="AN3" s="430"/>
      <c r="AO3" s="430"/>
      <c r="AP3" s="431"/>
      <c r="AQ3" s="429" t="s">
        <v>200</v>
      </c>
      <c r="AR3" s="430"/>
      <c r="AS3" s="430"/>
      <c r="AT3" s="430"/>
      <c r="AU3" s="430"/>
      <c r="AV3" s="430"/>
      <c r="AW3" s="430"/>
      <c r="AX3" s="431"/>
    </row>
    <row r="4" spans="1:50">
      <c r="A4" s="403"/>
      <c r="B4" s="403"/>
      <c r="C4" s="403"/>
      <c r="D4" s="402"/>
      <c r="E4" s="403"/>
      <c r="F4" s="412"/>
      <c r="G4" s="424"/>
      <c r="H4" s="424"/>
      <c r="I4" s="424"/>
      <c r="J4" s="425"/>
      <c r="K4" s="418" t="s">
        <v>151</v>
      </c>
      <c r="L4" s="418"/>
      <c r="M4" s="418"/>
      <c r="N4" s="418"/>
      <c r="O4" s="418" t="s">
        <v>201</v>
      </c>
      <c r="P4" s="418"/>
      <c r="Q4" s="418"/>
      <c r="R4" s="418"/>
      <c r="S4" s="423"/>
      <c r="T4" s="424"/>
      <c r="U4" s="424"/>
      <c r="V4" s="425"/>
      <c r="W4" s="418" t="s">
        <v>151</v>
      </c>
      <c r="X4" s="418"/>
      <c r="Y4" s="418"/>
      <c r="Z4" s="418"/>
      <c r="AA4" s="418" t="s">
        <v>201</v>
      </c>
      <c r="AB4" s="418"/>
      <c r="AC4" s="418"/>
      <c r="AD4" s="418"/>
      <c r="AE4" s="423"/>
      <c r="AF4" s="424"/>
      <c r="AG4" s="424"/>
      <c r="AH4" s="425"/>
      <c r="AI4" s="414" t="s">
        <v>151</v>
      </c>
      <c r="AJ4" s="415"/>
      <c r="AK4" s="415"/>
      <c r="AL4" s="416"/>
      <c r="AM4" s="414" t="s">
        <v>201</v>
      </c>
      <c r="AN4" s="415"/>
      <c r="AO4" s="415"/>
      <c r="AP4" s="416"/>
      <c r="AQ4" s="414" t="s">
        <v>151</v>
      </c>
      <c r="AR4" s="415"/>
      <c r="AS4" s="415"/>
      <c r="AT4" s="416"/>
      <c r="AU4" s="414" t="s">
        <v>201</v>
      </c>
      <c r="AV4" s="415"/>
      <c r="AW4" s="415"/>
      <c r="AX4" s="416"/>
    </row>
    <row r="5" spans="1:50">
      <c r="A5" s="403"/>
      <c r="B5" s="403"/>
      <c r="C5" s="403"/>
      <c r="D5" s="432"/>
      <c r="E5" s="403"/>
      <c r="F5" s="413"/>
      <c r="G5" s="46" t="s">
        <v>202</v>
      </c>
      <c r="H5" s="46" t="s">
        <v>203</v>
      </c>
      <c r="I5" s="46" t="s">
        <v>204</v>
      </c>
      <c r="J5" s="46" t="s">
        <v>205</v>
      </c>
      <c r="K5" s="46" t="s">
        <v>202</v>
      </c>
      <c r="L5" s="46" t="s">
        <v>203</v>
      </c>
      <c r="M5" s="46" t="s">
        <v>204</v>
      </c>
      <c r="N5" s="46" t="s">
        <v>205</v>
      </c>
      <c r="O5" s="46" t="s">
        <v>202</v>
      </c>
      <c r="P5" s="46" t="s">
        <v>203</v>
      </c>
      <c r="Q5" s="46" t="s">
        <v>204</v>
      </c>
      <c r="R5" s="46" t="s">
        <v>205</v>
      </c>
      <c r="S5" s="46" t="s">
        <v>202</v>
      </c>
      <c r="T5" s="46" t="s">
        <v>203</v>
      </c>
      <c r="U5" s="46" t="s">
        <v>204</v>
      </c>
      <c r="V5" s="46" t="s">
        <v>205</v>
      </c>
      <c r="W5" s="46" t="s">
        <v>202</v>
      </c>
      <c r="X5" s="46" t="s">
        <v>203</v>
      </c>
      <c r="Y5" s="46" t="s">
        <v>204</v>
      </c>
      <c r="Z5" s="46" t="s">
        <v>205</v>
      </c>
      <c r="AA5" s="46" t="s">
        <v>202</v>
      </c>
      <c r="AB5" s="46" t="s">
        <v>203</v>
      </c>
      <c r="AC5" s="46" t="s">
        <v>204</v>
      </c>
      <c r="AD5" s="46" t="s">
        <v>205</v>
      </c>
      <c r="AE5" s="46" t="s">
        <v>202</v>
      </c>
      <c r="AF5" s="46" t="s">
        <v>203</v>
      </c>
      <c r="AG5" s="46" t="s">
        <v>204</v>
      </c>
      <c r="AH5" s="46" t="s">
        <v>205</v>
      </c>
      <c r="AI5" s="46" t="s">
        <v>202</v>
      </c>
      <c r="AJ5" s="46" t="s">
        <v>203</v>
      </c>
      <c r="AK5" s="46" t="s">
        <v>204</v>
      </c>
      <c r="AL5" s="46" t="s">
        <v>205</v>
      </c>
      <c r="AM5" s="46" t="s">
        <v>202</v>
      </c>
      <c r="AN5" s="46" t="s">
        <v>203</v>
      </c>
      <c r="AO5" s="46" t="s">
        <v>204</v>
      </c>
      <c r="AP5" s="46" t="s">
        <v>205</v>
      </c>
      <c r="AQ5" s="46" t="s">
        <v>202</v>
      </c>
      <c r="AR5" s="46" t="s">
        <v>203</v>
      </c>
      <c r="AS5" s="46" t="s">
        <v>204</v>
      </c>
      <c r="AT5" s="46" t="s">
        <v>205</v>
      </c>
      <c r="AU5" s="46" t="s">
        <v>202</v>
      </c>
      <c r="AV5" s="46" t="s">
        <v>203</v>
      </c>
      <c r="AW5" s="46" t="s">
        <v>204</v>
      </c>
      <c r="AX5" s="46" t="s">
        <v>205</v>
      </c>
    </row>
    <row r="6" spans="1:50" hidden="1">
      <c r="A6" s="32" t="s">
        <v>36</v>
      </c>
      <c r="B6" s="3" t="s">
        <v>57</v>
      </c>
      <c r="C6" s="3" t="s">
        <v>58</v>
      </c>
      <c r="D6" s="3" t="s">
        <v>59</v>
      </c>
      <c r="E6" s="3" t="s">
        <v>57</v>
      </c>
      <c r="F6" s="3" t="s">
        <v>59</v>
      </c>
      <c r="G6" s="417" t="s">
        <v>163</v>
      </c>
      <c r="H6" s="417"/>
      <c r="I6" s="417"/>
      <c r="J6" s="417"/>
      <c r="K6" s="417" t="s">
        <v>58</v>
      </c>
      <c r="L6" s="417"/>
      <c r="M6" s="417"/>
      <c r="N6" s="417"/>
      <c r="O6" s="417" t="s">
        <v>59</v>
      </c>
      <c r="P6" s="417"/>
      <c r="Q6" s="417"/>
      <c r="R6" s="417"/>
      <c r="S6" s="417" t="s">
        <v>164</v>
      </c>
      <c r="T6" s="417"/>
      <c r="U6" s="417"/>
      <c r="V6" s="417"/>
      <c r="W6" s="417" t="s">
        <v>58</v>
      </c>
      <c r="X6" s="417"/>
      <c r="Y6" s="417"/>
      <c r="Z6" s="417"/>
      <c r="AA6" s="417" t="s">
        <v>59</v>
      </c>
      <c r="AB6" s="417"/>
      <c r="AC6" s="417"/>
      <c r="AD6" s="417"/>
      <c r="AE6" s="417" t="s">
        <v>57</v>
      </c>
      <c r="AF6" s="417"/>
      <c r="AG6" s="417"/>
      <c r="AH6" s="417"/>
      <c r="AI6" s="417" t="s">
        <v>166</v>
      </c>
      <c r="AJ6" s="417"/>
      <c r="AK6" s="417"/>
      <c r="AL6" s="417"/>
      <c r="AM6" s="417" t="s">
        <v>166</v>
      </c>
      <c r="AN6" s="417"/>
      <c r="AO6" s="417"/>
      <c r="AP6" s="417"/>
      <c r="AQ6" s="437" t="s">
        <v>60</v>
      </c>
      <c r="AR6" s="438"/>
      <c r="AS6" s="438"/>
      <c r="AT6" s="439"/>
      <c r="AU6" s="434" t="s">
        <v>59</v>
      </c>
      <c r="AV6" s="435"/>
      <c r="AW6" s="435"/>
      <c r="AX6" s="436"/>
    </row>
    <row r="7" spans="1:50" s="34" customFormat="1" ht="61.2" hidden="1">
      <c r="A7" s="32" t="s">
        <v>38</v>
      </c>
      <c r="B7" s="7"/>
      <c r="C7" s="7"/>
      <c r="D7" s="12" t="s">
        <v>64</v>
      </c>
      <c r="E7" s="7" t="s">
        <v>125</v>
      </c>
      <c r="F7" s="7" t="s">
        <v>167</v>
      </c>
      <c r="G7" s="426" t="s">
        <v>189</v>
      </c>
      <c r="H7" s="426"/>
      <c r="I7" s="426"/>
      <c r="J7" s="426"/>
      <c r="K7" s="426" t="s">
        <v>207</v>
      </c>
      <c r="L7" s="426"/>
      <c r="M7" s="426"/>
      <c r="N7" s="426"/>
      <c r="O7" s="426" t="s">
        <v>171</v>
      </c>
      <c r="P7" s="426"/>
      <c r="Q7" s="426"/>
      <c r="R7" s="426"/>
      <c r="S7" s="426" t="s">
        <v>208</v>
      </c>
      <c r="T7" s="426"/>
      <c r="U7" s="426"/>
      <c r="V7" s="426"/>
      <c r="W7" s="426" t="s">
        <v>209</v>
      </c>
      <c r="X7" s="426"/>
      <c r="Y7" s="426"/>
      <c r="Z7" s="426"/>
      <c r="AA7" s="426" t="s">
        <v>171</v>
      </c>
      <c r="AB7" s="426"/>
      <c r="AC7" s="426"/>
      <c r="AD7" s="426"/>
      <c r="AE7" s="426" t="s">
        <v>212</v>
      </c>
      <c r="AF7" s="426"/>
      <c r="AG7" s="426"/>
      <c r="AH7" s="426"/>
      <c r="AI7" s="428" t="s">
        <v>175</v>
      </c>
      <c r="AJ7" s="428"/>
      <c r="AK7" s="428"/>
      <c r="AL7" s="428"/>
      <c r="AM7" s="426" t="s">
        <v>171</v>
      </c>
      <c r="AN7" s="426"/>
      <c r="AO7" s="426"/>
      <c r="AP7" s="426"/>
      <c r="AQ7" s="428" t="s">
        <v>211</v>
      </c>
      <c r="AR7" s="428"/>
      <c r="AS7" s="428"/>
      <c r="AT7" s="428"/>
      <c r="AU7" s="426" t="s">
        <v>171</v>
      </c>
      <c r="AV7" s="426"/>
      <c r="AW7" s="426"/>
      <c r="AX7" s="426"/>
    </row>
    <row r="8" spans="1:50" s="34" customFormat="1" ht="40.799999999999997" hidden="1">
      <c r="A8" s="35" t="s">
        <v>43</v>
      </c>
      <c r="B8" s="7"/>
      <c r="C8" s="11"/>
      <c r="D8" s="11"/>
      <c r="E8" s="7"/>
      <c r="F8" s="7" t="s">
        <v>177</v>
      </c>
      <c r="G8" s="398"/>
      <c r="H8" s="398"/>
      <c r="I8" s="398"/>
      <c r="J8" s="398"/>
      <c r="K8" s="398"/>
      <c r="L8" s="398"/>
      <c r="M8" s="398"/>
      <c r="N8" s="398"/>
      <c r="O8" s="398"/>
      <c r="P8" s="398"/>
      <c r="Q8" s="398"/>
      <c r="R8" s="398"/>
      <c r="S8" s="427"/>
      <c r="T8" s="427"/>
      <c r="U8" s="427"/>
      <c r="V8" s="427"/>
      <c r="W8" s="398"/>
      <c r="X8" s="398"/>
      <c r="Y8" s="398"/>
      <c r="Z8" s="398"/>
      <c r="AA8" s="398"/>
      <c r="AB8" s="398"/>
      <c r="AC8" s="398"/>
      <c r="AD8" s="398"/>
      <c r="AE8" s="398"/>
      <c r="AF8" s="398"/>
      <c r="AG8" s="398"/>
      <c r="AH8" s="398"/>
      <c r="AI8" s="428"/>
      <c r="AJ8" s="428"/>
      <c r="AK8" s="428"/>
      <c r="AL8" s="428"/>
      <c r="AM8" s="426"/>
      <c r="AN8" s="426"/>
      <c r="AO8" s="426"/>
      <c r="AP8" s="426"/>
      <c r="AQ8" s="428"/>
      <c r="AR8" s="428"/>
      <c r="AS8" s="428"/>
      <c r="AT8" s="428"/>
      <c r="AU8" s="398"/>
      <c r="AV8" s="398"/>
      <c r="AW8" s="398"/>
      <c r="AX8" s="398"/>
    </row>
    <row r="9" spans="1:50" s="19" customFormat="1" ht="40.799999999999997">
      <c r="A9" s="144" t="s">
        <v>150</v>
      </c>
      <c r="B9" s="18">
        <v>10</v>
      </c>
      <c r="C9" s="15" t="s">
        <v>1115</v>
      </c>
      <c r="D9" s="15" t="str">
        <f>IFERROR(VLOOKUP(C9,Master!$D$2:$E$50,2,0),"")</f>
        <v>PELINDO</v>
      </c>
      <c r="E9" s="7">
        <f>B9</f>
        <v>10</v>
      </c>
      <c r="F9" s="74" t="str">
        <f>IFERROR(VLOOKUP($E9,'Profil Risiko'!$I:$J,2,0),"")</f>
        <v>Terlambatnya Implementasi Inisiatif Strategis berkaitan dengan pemurnian bisnis anak perusahaan</v>
      </c>
      <c r="G9" s="38"/>
      <c r="H9" s="38"/>
      <c r="I9" s="38"/>
      <c r="J9" s="38"/>
      <c r="K9" s="18">
        <v>3</v>
      </c>
      <c r="L9" s="18">
        <v>3</v>
      </c>
      <c r="M9" s="18">
        <v>2</v>
      </c>
      <c r="N9" s="18">
        <v>2</v>
      </c>
      <c r="O9" s="18"/>
      <c r="P9" s="18"/>
      <c r="Q9" s="18"/>
      <c r="R9" s="18"/>
      <c r="S9" s="39">
        <v>0.5</v>
      </c>
      <c r="T9" s="39">
        <v>0.5</v>
      </c>
      <c r="U9" s="39">
        <v>0.3</v>
      </c>
      <c r="V9" s="39">
        <v>0.3</v>
      </c>
      <c r="W9" s="18">
        <v>3</v>
      </c>
      <c r="X9" s="18">
        <v>3</v>
      </c>
      <c r="Y9" s="18">
        <v>2</v>
      </c>
      <c r="Z9" s="18">
        <v>2</v>
      </c>
      <c r="AA9" s="18"/>
      <c r="AB9" s="18"/>
      <c r="AC9" s="18"/>
      <c r="AD9" s="18"/>
      <c r="AE9" s="40">
        <f>1%*'Metrik Strategi Risiko'!$E$7*$K9*$S9</f>
        <v>33000000000</v>
      </c>
      <c r="AF9" s="40">
        <f>1%*'Metrik Strategi Risiko'!$E$7*$L9*$T9</f>
        <v>33000000000</v>
      </c>
      <c r="AG9" s="40">
        <f>1%*'Metrik Strategi Risiko'!$E$7*$M9*$U9</f>
        <v>13200000000</v>
      </c>
      <c r="AH9" s="40">
        <f>1%*'Metrik Strategi Risiko'!$E$7*$N9*$V9</f>
        <v>13200000000</v>
      </c>
      <c r="AI9" s="41">
        <v>13</v>
      </c>
      <c r="AJ9" s="41">
        <v>13</v>
      </c>
      <c r="AK9" s="41">
        <v>6</v>
      </c>
      <c r="AL9" s="41">
        <v>6</v>
      </c>
      <c r="AM9" s="75" t="str">
        <f>IFERROR(VLOOKUP($O9&amp;$AA9,Master!$V$2:$W$26,2,0),"No Data")</f>
        <v>No Data</v>
      </c>
      <c r="AN9" s="75" t="str">
        <f>IFERROR(VLOOKUP($P9&amp;$AB9,Master!$V$2:$W$26,2,0),"No Data")</f>
        <v>No Data</v>
      </c>
      <c r="AO9" s="75" t="str">
        <f>IFERROR(VLOOKUP($Q9&amp;$AC9,Master!$V$2:$W$26,2,0),"No Data")</f>
        <v>No Data</v>
      </c>
      <c r="AP9" s="75" t="str">
        <f>IFERROR(VLOOKUP($R9&amp;$AD9,Master!$V$2:$W$26,2,0),"No Data")</f>
        <v>No Data</v>
      </c>
      <c r="AQ9" s="41" t="s">
        <v>890</v>
      </c>
      <c r="AR9" s="41" t="s">
        <v>890</v>
      </c>
      <c r="AS9" s="41" t="s">
        <v>887</v>
      </c>
      <c r="AT9" s="41" t="s">
        <v>887</v>
      </c>
      <c r="AU9" s="76" t="str">
        <f>IFERROR(VLOOKUP($O9&amp;$AA9,Master!$W$2:$Y$26,3,0),"No Data")</f>
        <v>No Data</v>
      </c>
      <c r="AV9" s="76" t="str">
        <f>IFERROR(VLOOKUP($P9&amp;$AB9,Master!$W$2:$Y$26,3,0),"No Data")</f>
        <v>No Data</v>
      </c>
      <c r="AW9" s="76" t="str">
        <f>IFERROR(VLOOKUP($Q9&amp;$AC9,Master!$W$2:$Y$26,3,0),"No Data")</f>
        <v>No Data</v>
      </c>
      <c r="AX9" s="76" t="str">
        <f>IFERROR(VLOOKUP($R9&amp;$AD9,Master!$W$2:$Y$26,3,0),"No Data")</f>
        <v>No Data</v>
      </c>
    </row>
    <row r="10" spans="1:50" s="19" customFormat="1" ht="30.6">
      <c r="A10" s="18"/>
      <c r="B10" s="18">
        <v>11</v>
      </c>
      <c r="C10" s="15" t="s">
        <v>1115</v>
      </c>
      <c r="D10" s="15" t="str">
        <f>IFERROR(VLOOKUP(C10,Master!$D$2:$E$50,2,0),"")</f>
        <v>PELINDO</v>
      </c>
      <c r="E10" s="7">
        <f t="shared" ref="E10:E15" si="0">B10</f>
        <v>11</v>
      </c>
      <c r="F10" s="74" t="str">
        <f>IFERROR(VLOOKUP($E10,'Profil Risiko'!$I:$J,2,0),"")</f>
        <v>Enviroment Social Government</v>
      </c>
      <c r="G10" s="38"/>
      <c r="H10" s="38"/>
      <c r="I10" s="38"/>
      <c r="J10" s="38"/>
      <c r="K10" s="18">
        <v>3</v>
      </c>
      <c r="L10" s="18">
        <v>2</v>
      </c>
      <c r="M10" s="18">
        <v>2</v>
      </c>
      <c r="N10" s="18">
        <v>2</v>
      </c>
      <c r="O10" s="18"/>
      <c r="P10" s="18"/>
      <c r="Q10" s="18"/>
      <c r="R10" s="18"/>
      <c r="S10" s="39">
        <v>0.5</v>
      </c>
      <c r="T10" s="39">
        <v>0.5</v>
      </c>
      <c r="U10" s="39">
        <v>0.3</v>
      </c>
      <c r="V10" s="39">
        <v>0.3</v>
      </c>
      <c r="W10" s="18">
        <v>3</v>
      </c>
      <c r="X10" s="18">
        <v>3</v>
      </c>
      <c r="Y10" s="18">
        <v>2</v>
      </c>
      <c r="Z10" s="18">
        <v>2</v>
      </c>
      <c r="AA10" s="18"/>
      <c r="AB10" s="18"/>
      <c r="AC10" s="18"/>
      <c r="AD10" s="18"/>
      <c r="AE10" s="40">
        <f>1%*'Metrik Strategi Risiko'!$E$7*$K10*$S10</f>
        <v>33000000000</v>
      </c>
      <c r="AF10" s="40">
        <f>1%*'Metrik Strategi Risiko'!$E$7*$L10*$T10</f>
        <v>22000000000</v>
      </c>
      <c r="AG10" s="40">
        <f>1%*'Metrik Strategi Risiko'!$E$7*$M10*$U10</f>
        <v>13200000000</v>
      </c>
      <c r="AH10" s="40">
        <f>1%*'Metrik Strategi Risiko'!$E$7*$N10*$V10</f>
        <v>13200000000</v>
      </c>
      <c r="AI10" s="41">
        <v>13</v>
      </c>
      <c r="AJ10" s="41">
        <v>8</v>
      </c>
      <c r="AK10" s="41">
        <v>6</v>
      </c>
      <c r="AL10" s="41">
        <v>6</v>
      </c>
      <c r="AM10" s="75" t="str">
        <f>IFERROR(VLOOKUP($O10&amp;$AA10,Master!$V$2:$W$26,2,0),"No Data")</f>
        <v>No Data</v>
      </c>
      <c r="AN10" s="75" t="str">
        <f>IFERROR(VLOOKUP($P10&amp;$AB10,Master!$V$2:$W$26,2,0),"No Data")</f>
        <v>No Data</v>
      </c>
      <c r="AO10" s="75" t="str">
        <f>IFERROR(VLOOKUP($Q10&amp;$AC10,Master!$V$2:$W$26,2,0),"No Data")</f>
        <v>No Data</v>
      </c>
      <c r="AP10" s="75" t="str">
        <f>IFERROR(VLOOKUP($R10&amp;$AD10,Master!$V$2:$W$26,2,0),"No Data")</f>
        <v>No Data</v>
      </c>
      <c r="AQ10" s="41" t="s">
        <v>890</v>
      </c>
      <c r="AR10" s="41" t="s">
        <v>887</v>
      </c>
      <c r="AS10" s="41" t="s">
        <v>887</v>
      </c>
      <c r="AT10" s="41" t="s">
        <v>887</v>
      </c>
      <c r="AU10" s="76" t="str">
        <f>IFERROR(VLOOKUP($O10&amp;$AA10,Master!$W$2:$Y$26,3,0),"No Data")</f>
        <v>No Data</v>
      </c>
      <c r="AV10" s="76" t="str">
        <f>IFERROR(VLOOKUP($P10&amp;$AB10,Master!$W$2:$Y$26,3,0),"No Data")</f>
        <v>No Data</v>
      </c>
      <c r="AW10" s="76" t="str">
        <f>IFERROR(VLOOKUP($Q10&amp;$AC10,Master!$W$2:$Y$26,3,0),"No Data")</f>
        <v>No Data</v>
      </c>
      <c r="AX10" s="76" t="str">
        <f>IFERROR(VLOOKUP($R10&amp;$AD10,Master!$W$2:$Y$26,3,0),"No Data")</f>
        <v>No Data</v>
      </c>
    </row>
    <row r="11" spans="1:50" s="19" customFormat="1" ht="30.6">
      <c r="A11" s="18"/>
      <c r="B11" s="18">
        <v>12</v>
      </c>
      <c r="C11" s="15" t="s">
        <v>1115</v>
      </c>
      <c r="D11" s="15" t="str">
        <f>IFERROR(VLOOKUP(C11,Master!$D$2:$E$50,2,0),"")</f>
        <v>PELINDO</v>
      </c>
      <c r="E11" s="7">
        <f t="shared" si="0"/>
        <v>12</v>
      </c>
      <c r="F11" s="74" t="str">
        <f>IFERROR(VLOOKUP($E11,'Profil Risiko'!$I:$J,2,0),"")</f>
        <v>Cyber Attack Sistem Informasi</v>
      </c>
      <c r="G11" s="38"/>
      <c r="H11" s="38"/>
      <c r="I11" s="38"/>
      <c r="J11" s="38"/>
      <c r="K11" s="18">
        <v>4</v>
      </c>
      <c r="L11" s="18">
        <v>4</v>
      </c>
      <c r="M11" s="18">
        <v>4</v>
      </c>
      <c r="N11" s="18">
        <v>3</v>
      </c>
      <c r="O11" s="18"/>
      <c r="P11" s="18"/>
      <c r="Q11" s="18"/>
      <c r="R11" s="18"/>
      <c r="S11" s="39">
        <v>0.3</v>
      </c>
      <c r="T11" s="39">
        <v>0.3</v>
      </c>
      <c r="U11" s="39">
        <v>0.3</v>
      </c>
      <c r="V11" s="39">
        <v>0.3</v>
      </c>
      <c r="W11" s="18">
        <v>2</v>
      </c>
      <c r="X11" s="18">
        <v>2</v>
      </c>
      <c r="Y11" s="18">
        <v>2</v>
      </c>
      <c r="Z11" s="18">
        <v>2</v>
      </c>
      <c r="AA11" s="18"/>
      <c r="AB11" s="18"/>
      <c r="AC11" s="18"/>
      <c r="AD11" s="18"/>
      <c r="AE11" s="40">
        <f>1%*'Metrik Strategi Risiko'!$E$7*$K11*$S11</f>
        <v>26400000000</v>
      </c>
      <c r="AF11" s="40">
        <f>1%*'Metrik Strategi Risiko'!$E$7*$L11*$T11</f>
        <v>26400000000</v>
      </c>
      <c r="AG11" s="40">
        <f>1%*'Metrik Strategi Risiko'!$E$7*$M11*$U11</f>
        <v>26400000000</v>
      </c>
      <c r="AH11" s="40">
        <f>1%*'Metrik Strategi Risiko'!$E$7*$N11*$V11</f>
        <v>19800000000</v>
      </c>
      <c r="AI11" s="41">
        <v>16</v>
      </c>
      <c r="AJ11" s="41">
        <v>16</v>
      </c>
      <c r="AK11" s="41">
        <v>16</v>
      </c>
      <c r="AL11" s="41">
        <v>11</v>
      </c>
      <c r="AM11" s="75" t="str">
        <f>IFERROR(VLOOKUP($O11&amp;$AA11,Master!$V$2:$W$26,2,0),"No Data")</f>
        <v>No Data</v>
      </c>
      <c r="AN11" s="75" t="str">
        <f>IFERROR(VLOOKUP($P11&amp;$AB11,Master!$V$2:$W$26,2,0),"No Data")</f>
        <v>No Data</v>
      </c>
      <c r="AO11" s="75" t="str">
        <f>IFERROR(VLOOKUP($Q11&amp;$AC11,Master!$V$2:$W$26,2,0),"No Data")</f>
        <v>No Data</v>
      </c>
      <c r="AP11" s="75" t="str">
        <f>IFERROR(VLOOKUP($R11&amp;$AD11,Master!$V$2:$W$26,2,0),"No Data")</f>
        <v>No Data</v>
      </c>
      <c r="AQ11" s="41" t="s">
        <v>893</v>
      </c>
      <c r="AR11" s="41" t="s">
        <v>893</v>
      </c>
      <c r="AS11" s="41" t="s">
        <v>893</v>
      </c>
      <c r="AT11" s="41" t="s">
        <v>887</v>
      </c>
      <c r="AU11" s="76" t="str">
        <f>IFERROR(VLOOKUP($O11&amp;$AA11,Master!$W$2:$Y$26,3,0),"No Data")</f>
        <v>No Data</v>
      </c>
      <c r="AV11" s="76" t="str">
        <f>IFERROR(VLOOKUP($P11&amp;$AB11,Master!$W$2:$Y$26,3,0),"No Data")</f>
        <v>No Data</v>
      </c>
      <c r="AW11" s="76" t="str">
        <f>IFERROR(VLOOKUP($Q11&amp;$AC11,Master!$W$2:$Y$26,3,0),"No Data")</f>
        <v>No Data</v>
      </c>
      <c r="AX11" s="76" t="str">
        <f>IFERROR(VLOOKUP($R11&amp;$AD11,Master!$W$2:$Y$26,3,0),"No Data")</f>
        <v>No Data</v>
      </c>
    </row>
    <row r="12" spans="1:50" s="19" customFormat="1" ht="30.6">
      <c r="A12" s="18"/>
      <c r="B12" s="18">
        <v>13</v>
      </c>
      <c r="C12" s="15" t="s">
        <v>1115</v>
      </c>
      <c r="D12" s="15" t="str">
        <f>IFERROR(VLOOKUP(C12,Master!$D$2:$E$50,2,0),"")</f>
        <v>PELINDO</v>
      </c>
      <c r="E12" s="7">
        <f t="shared" si="0"/>
        <v>13</v>
      </c>
      <c r="F12" s="74" t="str">
        <f>IFERROR(VLOOKUP($E12,'Profil Risiko'!$I:$J,2,0),"")</f>
        <v>Kecelakaan Kerja pada Pekerja Perusahaan</v>
      </c>
      <c r="G12" s="38"/>
      <c r="H12" s="38"/>
      <c r="I12" s="38"/>
      <c r="J12" s="38"/>
      <c r="K12" s="18">
        <v>4</v>
      </c>
      <c r="L12" s="18">
        <v>4</v>
      </c>
      <c r="M12" s="18">
        <v>4</v>
      </c>
      <c r="N12" s="18">
        <v>4</v>
      </c>
      <c r="O12" s="18"/>
      <c r="P12" s="18"/>
      <c r="Q12" s="18"/>
      <c r="R12" s="18"/>
      <c r="S12" s="39">
        <v>0.5</v>
      </c>
      <c r="T12" s="39">
        <v>0.5</v>
      </c>
      <c r="U12" s="39">
        <v>0.3</v>
      </c>
      <c r="V12" s="39">
        <v>0.1</v>
      </c>
      <c r="W12" s="18">
        <v>3</v>
      </c>
      <c r="X12" s="18">
        <v>3</v>
      </c>
      <c r="Y12" s="18">
        <v>2</v>
      </c>
      <c r="Z12" s="18">
        <v>1</v>
      </c>
      <c r="AA12" s="18"/>
      <c r="AB12" s="18"/>
      <c r="AC12" s="18"/>
      <c r="AD12" s="18"/>
      <c r="AE12" s="40">
        <f>1%*'Metrik Strategi Risiko'!$E$7*$K12*$S12</f>
        <v>44000000000</v>
      </c>
      <c r="AF12" s="40">
        <f>1%*'Metrik Strategi Risiko'!$E$7*$L12*$T12</f>
        <v>44000000000</v>
      </c>
      <c r="AG12" s="40">
        <f>1%*'Metrik Strategi Risiko'!$E$7*$M12*$U12</f>
        <v>26400000000</v>
      </c>
      <c r="AH12" s="40">
        <f>1%*'Metrik Strategi Risiko'!$E$7*$N12*$V12</f>
        <v>8800000000</v>
      </c>
      <c r="AI12" s="41">
        <v>18</v>
      </c>
      <c r="AJ12" s="41">
        <v>18</v>
      </c>
      <c r="AK12" s="41">
        <v>16</v>
      </c>
      <c r="AL12" s="41">
        <v>15</v>
      </c>
      <c r="AM12" s="75" t="str">
        <f>IFERROR(VLOOKUP($O12&amp;$AA12,Master!$V$2:$W$26,2,0),"No Data")</f>
        <v>No Data</v>
      </c>
      <c r="AN12" s="75" t="str">
        <f>IFERROR(VLOOKUP($P12&amp;$AB12,Master!$V$2:$W$26,2,0),"No Data")</f>
        <v>No Data</v>
      </c>
      <c r="AO12" s="75" t="str">
        <f>IFERROR(VLOOKUP($Q12&amp;$AC12,Master!$V$2:$W$26,2,0),"No Data")</f>
        <v>No Data</v>
      </c>
      <c r="AP12" s="75" t="str">
        <f>IFERROR(VLOOKUP($R12&amp;$AD12,Master!$V$2:$W$26,2,0),"No Data")</f>
        <v>No Data</v>
      </c>
      <c r="AQ12" s="41" t="s">
        <v>893</v>
      </c>
      <c r="AR12" s="41" t="s">
        <v>893</v>
      </c>
      <c r="AS12" s="41" t="s">
        <v>893</v>
      </c>
      <c r="AT12" s="41" t="s">
        <v>890</v>
      </c>
      <c r="AU12" s="76" t="str">
        <f>IFERROR(VLOOKUP($O12&amp;$AA12,Master!$W$2:$Y$26,3,0),"No Data")</f>
        <v>No Data</v>
      </c>
      <c r="AV12" s="76" t="str">
        <f>IFERROR(VLOOKUP($P12&amp;$AB12,Master!$W$2:$Y$26,3,0),"No Data")</f>
        <v>No Data</v>
      </c>
      <c r="AW12" s="76" t="str">
        <f>IFERROR(VLOOKUP($Q12&amp;$AC12,Master!$W$2:$Y$26,3,0),"No Data")</f>
        <v>No Data</v>
      </c>
      <c r="AX12" s="76" t="str">
        <f>IFERROR(VLOOKUP($R12&amp;$AD12,Master!$W$2:$Y$26,3,0),"No Data")</f>
        <v>No Data</v>
      </c>
    </row>
    <row r="13" spans="1:50" s="19" customFormat="1" ht="30.6">
      <c r="A13" s="18"/>
      <c r="B13" s="18">
        <v>14</v>
      </c>
      <c r="C13" s="15" t="s">
        <v>1115</v>
      </c>
      <c r="D13" s="15" t="str">
        <f>IFERROR(VLOOKUP(C13,Master!$D$2:$E$50,2,0),"")</f>
        <v>PELINDO</v>
      </c>
      <c r="E13" s="7">
        <f t="shared" si="0"/>
        <v>14</v>
      </c>
      <c r="F13" s="74" t="str">
        <f>IFERROR(VLOOKUP($E13,'Profil Risiko'!$I:$J,2,0),"")</f>
        <v>Ketidaksesuaian kualifikasi Pekerja</v>
      </c>
      <c r="G13" s="38"/>
      <c r="H13" s="38"/>
      <c r="I13" s="38"/>
      <c r="J13" s="38"/>
      <c r="K13" s="18">
        <v>3</v>
      </c>
      <c r="L13" s="18">
        <v>3</v>
      </c>
      <c r="M13" s="18">
        <v>3</v>
      </c>
      <c r="N13" s="18">
        <v>2</v>
      </c>
      <c r="O13" s="18"/>
      <c r="P13" s="18"/>
      <c r="Q13" s="18"/>
      <c r="R13" s="18"/>
      <c r="S13" s="39">
        <v>0.5</v>
      </c>
      <c r="T13" s="39">
        <v>0.5</v>
      </c>
      <c r="U13" s="39">
        <v>0.3</v>
      </c>
      <c r="V13" s="39">
        <v>0.3</v>
      </c>
      <c r="W13" s="18">
        <v>3</v>
      </c>
      <c r="X13" s="18">
        <v>3</v>
      </c>
      <c r="Y13" s="18">
        <v>2</v>
      </c>
      <c r="Z13" s="18">
        <v>2</v>
      </c>
      <c r="AA13" s="18"/>
      <c r="AB13" s="18"/>
      <c r="AC13" s="18"/>
      <c r="AD13" s="18"/>
      <c r="AE13" s="40">
        <f>1%*'Metrik Strategi Risiko'!$E$7*$K13*$S13</f>
        <v>33000000000</v>
      </c>
      <c r="AF13" s="40">
        <f>1%*'Metrik Strategi Risiko'!$E$7*$L13*$T13</f>
        <v>33000000000</v>
      </c>
      <c r="AG13" s="40">
        <f>1%*'Metrik Strategi Risiko'!$E$7*$M13*$U13</f>
        <v>19800000000</v>
      </c>
      <c r="AH13" s="40">
        <f>1%*'Metrik Strategi Risiko'!$E$7*$N13*$V13</f>
        <v>13200000000</v>
      </c>
      <c r="AI13" s="41">
        <v>13</v>
      </c>
      <c r="AJ13" s="41">
        <v>13</v>
      </c>
      <c r="AK13" s="41">
        <v>11</v>
      </c>
      <c r="AL13" s="41">
        <v>6</v>
      </c>
      <c r="AM13" s="75" t="str">
        <f>IFERROR(VLOOKUP($O13&amp;$AA13,Master!$V$2:$W$26,2,0),"No Data")</f>
        <v>No Data</v>
      </c>
      <c r="AN13" s="75" t="str">
        <f>IFERROR(VLOOKUP($P13&amp;$AB13,Master!$V$2:$W$26,2,0),"No Data")</f>
        <v>No Data</v>
      </c>
      <c r="AO13" s="75" t="str">
        <f>IFERROR(VLOOKUP($Q13&amp;$AC13,Master!$V$2:$W$26,2,0),"No Data")</f>
        <v>No Data</v>
      </c>
      <c r="AP13" s="75" t="str">
        <f>IFERROR(VLOOKUP($R13&amp;$AD13,Master!$V$2:$W$26,2,0),"No Data")</f>
        <v>No Data</v>
      </c>
      <c r="AQ13" s="41" t="s">
        <v>890</v>
      </c>
      <c r="AR13" s="41" t="s">
        <v>890</v>
      </c>
      <c r="AS13" s="41" t="s">
        <v>887</v>
      </c>
      <c r="AT13" s="41" t="s">
        <v>887</v>
      </c>
      <c r="AU13" s="76" t="str">
        <f>IFERROR(VLOOKUP($O13&amp;$AA13,Master!$W$2:$Y$26,3,0),"No Data")</f>
        <v>No Data</v>
      </c>
      <c r="AV13" s="76" t="str">
        <f>IFERROR(VLOOKUP($P13&amp;$AB13,Master!$W$2:$Y$26,3,0),"No Data")</f>
        <v>No Data</v>
      </c>
      <c r="AW13" s="76" t="str">
        <f>IFERROR(VLOOKUP($Q13&amp;$AC13,Master!$W$2:$Y$26,3,0),"No Data")</f>
        <v>No Data</v>
      </c>
      <c r="AX13" s="76" t="str">
        <f>IFERROR(VLOOKUP($R13&amp;$AD13,Master!$W$2:$Y$26,3,0),"No Data")</f>
        <v>No Data</v>
      </c>
    </row>
    <row r="14" spans="1:50" s="19" customFormat="1" ht="30.6">
      <c r="A14" s="18"/>
      <c r="B14" s="18">
        <v>15</v>
      </c>
      <c r="C14" s="15" t="s">
        <v>1115</v>
      </c>
      <c r="D14" s="15" t="str">
        <f>IFERROR(VLOOKUP(C14,Master!$D$2:$E$50,2,0),"")</f>
        <v>PELINDO</v>
      </c>
      <c r="E14" s="7">
        <f t="shared" si="0"/>
        <v>15</v>
      </c>
      <c r="F14" s="74" t="str">
        <f>IFERROR(VLOOKUP($E14,'Profil Risiko'!$I:$J,2,0),"")</f>
        <v>Pelanggaran Kode Etik (Fraud/Penyuapan/Gratifikasi/lainnya)</v>
      </c>
      <c r="G14" s="38"/>
      <c r="H14" s="38"/>
      <c r="I14" s="38"/>
      <c r="J14" s="38"/>
      <c r="K14" s="18">
        <v>4</v>
      </c>
      <c r="L14" s="18">
        <v>3</v>
      </c>
      <c r="M14" s="18">
        <v>3</v>
      </c>
      <c r="N14" s="18">
        <v>2</v>
      </c>
      <c r="O14" s="18"/>
      <c r="P14" s="18"/>
      <c r="Q14" s="18"/>
      <c r="R14" s="18"/>
      <c r="S14" s="39">
        <v>0.3</v>
      </c>
      <c r="T14" s="39">
        <v>0.3</v>
      </c>
      <c r="U14" s="39">
        <v>0.3</v>
      </c>
      <c r="V14" s="39">
        <v>0.3</v>
      </c>
      <c r="W14" s="18">
        <v>2</v>
      </c>
      <c r="X14" s="18">
        <v>2</v>
      </c>
      <c r="Y14" s="18">
        <v>2</v>
      </c>
      <c r="Z14" s="18">
        <v>2</v>
      </c>
      <c r="AA14" s="18"/>
      <c r="AB14" s="18"/>
      <c r="AC14" s="18"/>
      <c r="AD14" s="18"/>
      <c r="AE14" s="40">
        <f>1%*'Metrik Strategi Risiko'!$E$7*$K14*$S14</f>
        <v>26400000000</v>
      </c>
      <c r="AF14" s="40">
        <f>1%*'Metrik Strategi Risiko'!$E$7*$L14*$T14</f>
        <v>19800000000</v>
      </c>
      <c r="AG14" s="40">
        <f>1%*'Metrik Strategi Risiko'!$E$7*$M14*$U14</f>
        <v>19800000000</v>
      </c>
      <c r="AH14" s="40">
        <f>1%*'Metrik Strategi Risiko'!$E$7*$N14*$V14</f>
        <v>13200000000</v>
      </c>
      <c r="AI14" s="41">
        <v>16</v>
      </c>
      <c r="AJ14" s="41">
        <v>11</v>
      </c>
      <c r="AK14" s="41">
        <v>11</v>
      </c>
      <c r="AL14" s="41">
        <v>6</v>
      </c>
      <c r="AM14" s="75" t="str">
        <f>IFERROR(VLOOKUP($O14&amp;$AA14,Master!$V$2:$W$26,2,0),"No Data")</f>
        <v>No Data</v>
      </c>
      <c r="AN14" s="75" t="str">
        <f>IFERROR(VLOOKUP($P14&amp;$AB14,Master!$V$2:$W$26,2,0),"No Data")</f>
        <v>No Data</v>
      </c>
      <c r="AO14" s="75" t="str">
        <f>IFERROR(VLOOKUP($Q14&amp;$AC14,Master!$V$2:$W$26,2,0),"No Data")</f>
        <v>No Data</v>
      </c>
      <c r="AP14" s="75" t="str">
        <f>IFERROR(VLOOKUP($R14&amp;$AD14,Master!$V$2:$W$26,2,0),"No Data")</f>
        <v>No Data</v>
      </c>
      <c r="AQ14" s="41" t="s">
        <v>893</v>
      </c>
      <c r="AR14" s="41" t="s">
        <v>887</v>
      </c>
      <c r="AS14" s="41" t="s">
        <v>887</v>
      </c>
      <c r="AT14" s="41" t="s">
        <v>887</v>
      </c>
      <c r="AU14" s="76" t="str">
        <f>IFERROR(VLOOKUP($O14&amp;$AA14,Master!$W$2:$Y$26,3,0),"No Data")</f>
        <v>No Data</v>
      </c>
      <c r="AV14" s="76" t="str">
        <f>IFERROR(VLOOKUP($P14&amp;$AB14,Master!$W$2:$Y$26,3,0),"No Data")</f>
        <v>No Data</v>
      </c>
      <c r="AW14" s="76" t="str">
        <f>IFERROR(VLOOKUP($Q14&amp;$AC14,Master!$W$2:$Y$26,3,0),"No Data")</f>
        <v>No Data</v>
      </c>
      <c r="AX14" s="76" t="str">
        <f>IFERROR(VLOOKUP($R14&amp;$AD14,Master!$W$2:$Y$26,3,0),"No Data")</f>
        <v>No Data</v>
      </c>
    </row>
    <row r="15" spans="1:50" s="19" customFormat="1" ht="30.6">
      <c r="A15" s="18"/>
      <c r="B15" s="18">
        <v>16</v>
      </c>
      <c r="C15" s="15" t="s">
        <v>1115</v>
      </c>
      <c r="D15" s="15" t="str">
        <f>IFERROR(VLOOKUP(C15,Master!$D$2:$E$50,2,0),"")</f>
        <v>PELINDO</v>
      </c>
      <c r="E15" s="7">
        <f t="shared" si="0"/>
        <v>16</v>
      </c>
      <c r="F15" s="74" t="str">
        <f>IFERROR(VLOOKUP($E15,'Profil Risiko'!$I:$J,2,0),"")</f>
        <v>Gangguan layanan</v>
      </c>
      <c r="G15" s="38"/>
      <c r="H15" s="38"/>
      <c r="I15" s="38"/>
      <c r="J15" s="38"/>
      <c r="K15" s="18">
        <v>3</v>
      </c>
      <c r="L15" s="18">
        <v>2</v>
      </c>
      <c r="M15" s="18">
        <v>2</v>
      </c>
      <c r="N15" s="18">
        <v>2</v>
      </c>
      <c r="O15" s="18"/>
      <c r="P15" s="18"/>
      <c r="Q15" s="18"/>
      <c r="R15" s="18"/>
      <c r="S15" s="39">
        <v>0.5</v>
      </c>
      <c r="T15" s="39">
        <v>0.5</v>
      </c>
      <c r="U15" s="39">
        <v>0.3</v>
      </c>
      <c r="V15" s="39">
        <v>0.3</v>
      </c>
      <c r="W15" s="18">
        <v>3</v>
      </c>
      <c r="X15" s="18">
        <v>3</v>
      </c>
      <c r="Y15" s="18">
        <v>2</v>
      </c>
      <c r="Z15" s="18">
        <v>2</v>
      </c>
      <c r="AA15" s="18"/>
      <c r="AB15" s="18"/>
      <c r="AC15" s="18"/>
      <c r="AD15" s="18"/>
      <c r="AE15" s="40">
        <f>1%*'Metrik Strategi Risiko'!$E$7*$K15*$S15</f>
        <v>33000000000</v>
      </c>
      <c r="AF15" s="40">
        <f>1%*'Metrik Strategi Risiko'!$E$7*$L15*$T15</f>
        <v>22000000000</v>
      </c>
      <c r="AG15" s="40">
        <f>1%*'Metrik Strategi Risiko'!$E$7*$M15*$U15</f>
        <v>13200000000</v>
      </c>
      <c r="AH15" s="248">
        <f>1%*'Metrik Strategi Risiko'!$E$7*$N15*$V15</f>
        <v>13200000000</v>
      </c>
      <c r="AI15" s="41">
        <v>13</v>
      </c>
      <c r="AJ15" s="41">
        <v>8</v>
      </c>
      <c r="AK15" s="41">
        <v>6</v>
      </c>
      <c r="AL15" s="41">
        <v>6</v>
      </c>
      <c r="AM15" s="75" t="str">
        <f>IFERROR(VLOOKUP($O15&amp;$AA15,Master!$V$2:$W$26,2,0),"No Data")</f>
        <v>No Data</v>
      </c>
      <c r="AN15" s="75" t="str">
        <f>IFERROR(VLOOKUP($P15&amp;$AB15,Master!$V$2:$W$26,2,0),"No Data")</f>
        <v>No Data</v>
      </c>
      <c r="AO15" s="75" t="str">
        <f>IFERROR(VLOOKUP($Q15&amp;$AC15,Master!$V$2:$W$26,2,0),"No Data")</f>
        <v>No Data</v>
      </c>
      <c r="AP15" s="75" t="str">
        <f>IFERROR(VLOOKUP($R15&amp;$AD15,Master!$V$2:$W$26,2,0),"No Data")</f>
        <v>No Data</v>
      </c>
      <c r="AQ15" s="41" t="s">
        <v>890</v>
      </c>
      <c r="AR15" s="41" t="s">
        <v>887</v>
      </c>
      <c r="AS15" s="41" t="s">
        <v>887</v>
      </c>
      <c r="AT15" s="41" t="s">
        <v>887</v>
      </c>
      <c r="AU15" s="76" t="str">
        <f>IFERROR(VLOOKUP($O15&amp;$AA15,Master!$W$2:$Y$26,3,0),"No Data")</f>
        <v>No Data</v>
      </c>
      <c r="AV15" s="76" t="str">
        <f>IFERROR(VLOOKUP($P15&amp;$AB15,Master!$W$2:$Y$26,3,0),"No Data")</f>
        <v>No Data</v>
      </c>
      <c r="AW15" s="76" t="str">
        <f>IFERROR(VLOOKUP($Q15&amp;$AC15,Master!$W$2:$Y$26,3,0),"No Data")</f>
        <v>No Data</v>
      </c>
      <c r="AX15" s="76" t="str">
        <f>IFERROR(VLOOKUP($R15&amp;$AD15,Master!$W$2:$Y$26,3,0),"No Data")</f>
        <v>No Data</v>
      </c>
    </row>
    <row r="16" spans="1:50">
      <c r="AH16" s="221">
        <f>SUM(AH9:AH15)</f>
        <v>94600000000</v>
      </c>
    </row>
    <row r="17" spans="33:36">
      <c r="AG17" s="30" t="s">
        <v>1420</v>
      </c>
      <c r="AH17" s="245">
        <f>SUM(AH6:AH15)</f>
        <v>94600000000</v>
      </c>
    </row>
    <row r="18" spans="33:36">
      <c r="AG18" s="30" t="s">
        <v>1421</v>
      </c>
      <c r="AH18" s="245">
        <f>'Risiko Residual Kuantitatif'!AH21</f>
        <v>1427357129196.1399</v>
      </c>
    </row>
    <row r="19" spans="33:36">
      <c r="AG19" s="246" t="s">
        <v>1493</v>
      </c>
      <c r="AH19" s="244">
        <f>SUM(AH17:AH18)</f>
        <v>1521957129196.1399</v>
      </c>
    </row>
    <row r="20" spans="33:36">
      <c r="AG20" s="30"/>
    </row>
    <row r="22" spans="33:36">
      <c r="AG22" s="246" t="s">
        <v>1422</v>
      </c>
      <c r="AH22" s="371">
        <f>'Risiko Residual Kuantitatif'!AH9+'Risiko Residual Kuantitatif'!AH10+'Risiko Residual Kuantitatif'!AH11+'Risiko Residual Kuantitatif'!AH12+'Risiko Residual Kuantitatif'!AH13+'Risiko Residual Kualitatif'!AH15</f>
        <v>1173217710000</v>
      </c>
      <c r="AI22" s="250">
        <f>'Risiko Residual Kuantitatif'!AH9+'Risiko Residual Kuantitatif'!AH10+'Risiko Residual Kuantitatif'!AH11+'Risiko Residual Kuantitatif'!AH12+'Risiko Residual Kuantitatif'!AH13</f>
        <v>1160017710000</v>
      </c>
      <c r="AJ22" s="250"/>
    </row>
    <row r="23" spans="33:36">
      <c r="AG23" s="246" t="s">
        <v>1423</v>
      </c>
      <c r="AH23" s="371">
        <f>SUM('Risiko Residual Kuantitatif'!AH14,'Risiko Residual Kuantitatif'!AH15,'Risiko Residual Kuantitatif'!AH16,'Risiko Residual Kuantitatif'!AH17,'Risiko Residual Kuantitatif'!AH18,'Risiko Residual Kualitatif'!AH14,'Risiko Residual Kualitatif'!AH13,'Risiko Residual Kualitatif'!AH12,'Risiko Residual Kualitatif'!AH11,'Risiko Residual Kualitatif'!AH10,'Risiko Residual Kualitatif'!AH9)</f>
        <v>348739419196.14001</v>
      </c>
      <c r="AI23" s="244">
        <f>'Risiko Residual Kuantitatif'!AH14+'Risiko Residual Kuantitatif'!AH15+'Risiko Residual Kuantitatif'!AH16+'Risiko Residual Kuantitatif'!AH17+'Risiko Residual Kuantitatif'!AH18</f>
        <v>267339419196.14001</v>
      </c>
    </row>
    <row r="24" spans="33:36">
      <c r="AH24" s="371">
        <f>SUM(AH22:AH23)</f>
        <v>1521957129196.1401</v>
      </c>
      <c r="AI24" s="245">
        <f>SUM(AI22:AI23)</f>
        <v>1427357129196.1401</v>
      </c>
      <c r="AJ24" s="370">
        <f>AH24-AI24</f>
        <v>94600000000</v>
      </c>
    </row>
    <row r="26" spans="33:36">
      <c r="AG26" s="246" t="s">
        <v>1491</v>
      </c>
      <c r="AH26" s="244">
        <f>'Risiko Inheren Kualitatif'!N19</f>
        <v>3688431426634.5</v>
      </c>
    </row>
    <row r="27" spans="33:36">
      <c r="AG27" s="246" t="s">
        <v>1494</v>
      </c>
      <c r="AH27" s="244">
        <f>AH26-AH19</f>
        <v>2166474297438.3601</v>
      </c>
    </row>
    <row r="28" spans="33:36">
      <c r="AH28" s="244"/>
    </row>
    <row r="29" spans="33:36">
      <c r="AG29" s="246" t="s">
        <v>1495</v>
      </c>
      <c r="AH29" s="244">
        <f>'Rencana Perlakuan Risiko'!L25</f>
        <v>120693184025</v>
      </c>
    </row>
    <row r="30" spans="33:36">
      <c r="AG30" s="246" t="s">
        <v>1496</v>
      </c>
      <c r="AH30" s="244">
        <f>AH27-AH29</f>
        <v>2045781113413.3601</v>
      </c>
    </row>
  </sheetData>
  <mergeCells count="55">
    <mergeCell ref="AQ3:AX3"/>
    <mergeCell ref="G2:AX2"/>
    <mergeCell ref="K3:R3"/>
    <mergeCell ref="S3:V4"/>
    <mergeCell ref="W3:AD3"/>
    <mergeCell ref="G3:J4"/>
    <mergeCell ref="W4:Z4"/>
    <mergeCell ref="AM4:AP4"/>
    <mergeCell ref="AI4:AL4"/>
    <mergeCell ref="AE3:AH4"/>
    <mergeCell ref="AI3:AP3"/>
    <mergeCell ref="AA4:AD4"/>
    <mergeCell ref="G8:J8"/>
    <mergeCell ref="K8:N8"/>
    <mergeCell ref="O8:R8"/>
    <mergeCell ref="S8:V8"/>
    <mergeCell ref="W8:Z8"/>
    <mergeCell ref="G7:J7"/>
    <mergeCell ref="K7:N7"/>
    <mergeCell ref="O7:R7"/>
    <mergeCell ref="S7:V7"/>
    <mergeCell ref="W7:Z7"/>
    <mergeCell ref="AU8:AX8"/>
    <mergeCell ref="AU7:AX7"/>
    <mergeCell ref="AU6:AX6"/>
    <mergeCell ref="AU4:AX4"/>
    <mergeCell ref="AQ4:AT4"/>
    <mergeCell ref="AQ6:AT6"/>
    <mergeCell ref="AQ7:AT7"/>
    <mergeCell ref="S6:V6"/>
    <mergeCell ref="W6:Z6"/>
    <mergeCell ref="AM8:AP8"/>
    <mergeCell ref="AQ8:AT8"/>
    <mergeCell ref="AM6:AP6"/>
    <mergeCell ref="AM7:AP7"/>
    <mergeCell ref="AI7:AL7"/>
    <mergeCell ref="AI8:AL8"/>
    <mergeCell ref="AA7:AD7"/>
    <mergeCell ref="AA8:AD8"/>
    <mergeCell ref="AE8:AH8"/>
    <mergeCell ref="AE7:AH7"/>
    <mergeCell ref="AA6:AD6"/>
    <mergeCell ref="AE6:AH6"/>
    <mergeCell ref="AI6:AL6"/>
    <mergeCell ref="G6:J6"/>
    <mergeCell ref="K6:N6"/>
    <mergeCell ref="O6:R6"/>
    <mergeCell ref="A2:A5"/>
    <mergeCell ref="B2:B5"/>
    <mergeCell ref="E2:E5"/>
    <mergeCell ref="C2:C5"/>
    <mergeCell ref="D2:D5"/>
    <mergeCell ref="F2:F5"/>
    <mergeCell ref="K4:N4"/>
    <mergeCell ref="O4:R4"/>
  </mergeCells>
  <conditionalFormatting sqref="G7">
    <cfRule type="expression" dxfId="14" priority="32">
      <formula>#REF!="kualitatif"</formula>
    </cfRule>
  </conditionalFormatting>
  <conditionalFormatting sqref="G9:G15">
    <cfRule type="expression" dxfId="13" priority="31">
      <formula>$S9="kualitatif"</formula>
    </cfRule>
  </conditionalFormatting>
  <conditionalFormatting sqref="AU16:AX1048576">
    <cfRule type="cellIs" dxfId="12" priority="26" operator="equal">
      <formula>#REF!</formula>
    </cfRule>
    <cfRule type="cellIs" dxfId="11" priority="27" operator="equal">
      <formula>#REF!</formula>
    </cfRule>
    <cfRule type="cellIs" dxfId="10" priority="28" operator="equal">
      <formula>#REF!</formula>
    </cfRule>
    <cfRule type="cellIs" dxfId="9" priority="29" operator="equal">
      <formula>#REF!</formula>
    </cfRule>
    <cfRule type="cellIs" dxfId="8" priority="30" operator="equal">
      <formula>#REF!</formula>
    </cfRule>
  </conditionalFormatting>
  <conditionalFormatting sqref="AV9:AX15">
    <cfRule type="cellIs" dxfId="7" priority="1" operator="equal">
      <formula>#REF!</formula>
    </cfRule>
    <cfRule type="cellIs" dxfId="6" priority="2" operator="equal">
      <formula>#REF!</formula>
    </cfRule>
    <cfRule type="cellIs" dxfId="5" priority="3" operator="equal">
      <formula>#REF!</formula>
    </cfRule>
    <cfRule type="cellIs" dxfId="4" priority="4" operator="equal">
      <formula>#REF!</formula>
    </cfRule>
    <cfRule type="cellIs" dxfId="3" priority="5" operator="equal">
      <formula>#REF!</formula>
    </cfRule>
  </conditionalFormatting>
  <hyperlinks>
    <hyperlink ref="A1" location="'Daftar Isi'!A1" display="Kembali ke Daftar Isi"/>
  </hyperlink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14:formula1>
            <xm:f>Master!$H$2:$H$6</xm:f>
          </x14:formula1>
          <xm:sqref>W9:Z15 K9:N15</xm:sqref>
        </x14:dataValidation>
        <x14:dataValidation type="list" allowBlank="1" showInputMessage="1" showErrorMessage="1">
          <x14:formula1>
            <xm:f>Master!$I$2:$I$26</xm:f>
          </x14:formula1>
          <xm:sqref>AI9:AL15</xm:sqref>
        </x14:dataValidation>
        <x14:dataValidation type="list" allowBlank="1" showInputMessage="1" showErrorMessage="1">
          <x14:formula1>
            <xm:f>Master!$D$2:$D$50</xm:f>
          </x14:formula1>
          <xm:sqref>C9:C15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d89ccfa0-f34a-41cc-aaa8-64bd3ab45d39">
      <Terms xmlns="http://schemas.microsoft.com/office/infopath/2007/PartnerControls"/>
    </lcf76f155ced4ddcb4097134ff3c332f>
    <_ip_UnifiedCompliancePolicyProperties xmlns="http://schemas.microsoft.com/sharepoint/v3" xsi:nil="true"/>
    <TaxCatchAll xmlns="927fdab7-de7f-4654-8475-36294926be99" xsi:nil="true"/>
    <SharedWithUsers xmlns="927fdab7-de7f-4654-8475-36294926be99">
      <UserInfo>
        <DisplayName>Nicola Riess</DisplayName>
        <AccountId>113</AccountId>
        <AccountType/>
      </UserInfo>
      <UserInfo>
        <DisplayName>Dian Meliana Wati</DisplayName>
        <AccountId>275</AccountId>
        <AccountType/>
      </UserInfo>
      <UserInfo>
        <DisplayName>Yumna Rodiyanti</DisplayName>
        <AccountId>312</AccountId>
        <AccountType/>
      </UserInfo>
      <UserInfo>
        <DisplayName>Muhammad Ariq Khosyi</DisplayName>
        <AccountId>167</AccountId>
        <AccountType/>
      </UserInfo>
      <UserInfo>
        <DisplayName>Galalea Selesta</DisplayName>
        <AccountId>171</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kumen" ma:contentTypeID="0x010100DB960A1D9E9B2744AC9732D56F468989" ma:contentTypeVersion="20" ma:contentTypeDescription="Buat sebuah dokumen baru." ma:contentTypeScope="" ma:versionID="2d9edc714b059a258b58ab11223247e7">
  <xsd:schema xmlns:xsd="http://www.w3.org/2001/XMLSchema" xmlns:xs="http://www.w3.org/2001/XMLSchema" xmlns:p="http://schemas.microsoft.com/office/2006/metadata/properties" xmlns:ns1="http://schemas.microsoft.com/sharepoint/v3" xmlns:ns2="d89ccfa0-f34a-41cc-aaa8-64bd3ab45d39" xmlns:ns3="927fdab7-de7f-4654-8475-36294926be99" targetNamespace="http://schemas.microsoft.com/office/2006/metadata/properties" ma:root="true" ma:fieldsID="21fd8690c2c7f533ee93f7ec689ab0e7" ns1:_="" ns2:_="" ns3:_="">
    <xsd:import namespace="http://schemas.microsoft.com/sharepoint/v3"/>
    <xsd:import namespace="d89ccfa0-f34a-41cc-aaa8-64bd3ab45d39"/>
    <xsd:import namespace="927fdab7-de7f-4654-8475-36294926be9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Properti Kebijakan Kepatuhan Terpadu" ma:hidden="true" ma:internalName="_ip_UnifiedCompliancePolicyProperties">
      <xsd:simpleType>
        <xsd:restriction base="dms:Note"/>
      </xsd:simpleType>
    </xsd:element>
    <xsd:element name="_ip_UnifiedCompliancePolicyUIAction" ma:index="22" nillable="true" ma:displayName="Tindakan UI Kebijakan Kepatuhan Terpadu"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89ccfa0-f34a-41cc-aaa8-64bd3ab45d3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4" nillable="true" ma:taxonomy="true" ma:internalName="lcf76f155ced4ddcb4097134ff3c332f" ma:taxonomyFieldName="MediaServiceImageTags" ma:displayName="Tag Gambar" ma:readOnly="false" ma:fieldId="{5cf76f15-5ced-4ddc-b409-7134ff3c332f}" ma:taxonomyMulti="true" ma:sspId="9d326e08-6574-4155-b46c-7478b83ec99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27fdab7-de7f-4654-8475-36294926be99" elementFormDefault="qualified">
    <xsd:import namespace="http://schemas.microsoft.com/office/2006/documentManagement/types"/>
    <xsd:import namespace="http://schemas.microsoft.com/office/infopath/2007/PartnerControls"/>
    <xsd:element name="SharedWithUsers" ma:index="18" nillable="true" ma:displayName="Dibagikan Denga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ibagikan Dengan Detail" ma:internalName="SharedWithDetails" ma:readOnly="true">
      <xsd:simpleType>
        <xsd:restriction base="dms:Note">
          <xsd:maxLength value="255"/>
        </xsd:restriction>
      </xsd:simpleType>
    </xsd:element>
    <xsd:element name="TaxCatchAll" ma:index="25" nillable="true" ma:displayName="Taxonomy Catch All Column" ma:hidden="true" ma:list="{4825d7b1-243e-48cb-ab18-c9ff69ef4b7a}" ma:internalName="TaxCatchAll" ma:showField="CatchAllData" ma:web="927fdab7-de7f-4654-8475-36294926be9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e Isi"/>
        <xsd:element ref="dc:title" minOccurs="0" maxOccurs="1" ma:index="4" ma:displayName="Judu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E7C7C8B-EB25-4F6C-8EE6-16B7EB190BC4}">
  <ds:schemaRefs>
    <ds:schemaRef ds:uri="http://schemas.microsoft.com/office/2006/documentManagement/types"/>
    <ds:schemaRef ds:uri="http://schemas.microsoft.com/sharepoint/v3"/>
    <ds:schemaRef ds:uri="http://purl.org/dc/dcmitype/"/>
    <ds:schemaRef ds:uri="http://www.w3.org/XML/1998/namespace"/>
    <ds:schemaRef ds:uri="http://purl.org/dc/elements/1.1/"/>
    <ds:schemaRef ds:uri="http://schemas.microsoft.com/office/infopath/2007/PartnerControls"/>
    <ds:schemaRef ds:uri="http://purl.org/dc/terms/"/>
    <ds:schemaRef ds:uri="http://schemas.openxmlformats.org/package/2006/metadata/core-properties"/>
    <ds:schemaRef ds:uri="927fdab7-de7f-4654-8475-36294926be99"/>
    <ds:schemaRef ds:uri="d89ccfa0-f34a-41cc-aaa8-64bd3ab45d39"/>
    <ds:schemaRef ds:uri="http://schemas.microsoft.com/office/2006/metadata/properties"/>
  </ds:schemaRefs>
</ds:datastoreItem>
</file>

<file path=customXml/itemProps2.xml><?xml version="1.0" encoding="utf-8"?>
<ds:datastoreItem xmlns:ds="http://schemas.openxmlformats.org/officeDocument/2006/customXml" ds:itemID="{6D7049C3-3036-44C8-A0C9-A71A8BC9ED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89ccfa0-f34a-41cc-aaa8-64bd3ab45d39"/>
    <ds:schemaRef ds:uri="927fdab7-de7f-4654-8475-36294926be9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36565DA-7DA2-4B3C-AF64-F21E1FFDCEE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Halaman Judul</vt:lpstr>
      <vt:lpstr>Daftar Isi</vt:lpstr>
      <vt:lpstr>Metrik Strategi Risiko</vt:lpstr>
      <vt:lpstr>Pilihan Sasaran&amp;Strategi Bisnis</vt:lpstr>
      <vt:lpstr>Profil Risiko</vt:lpstr>
      <vt:lpstr>Risiko Inheren Kuantitatif</vt:lpstr>
      <vt:lpstr>Risiko Inheren Kualitatif</vt:lpstr>
      <vt:lpstr>Risiko Residual Kuantitatif</vt:lpstr>
      <vt:lpstr>Risiko Residual Kualitatif</vt:lpstr>
      <vt:lpstr>Heatmap</vt:lpstr>
      <vt:lpstr>Rekap</vt:lpstr>
      <vt:lpstr>Hitung"</vt:lpstr>
      <vt:lpstr>Kriteria Dampak &amp; Prob.</vt:lpstr>
      <vt:lpstr>Rencana Perlakuan Risiko</vt:lpstr>
      <vt:lpstr>Definisi Taksonomi Risiko</vt:lpstr>
      <vt:lpstr>Data Perencanaan Keuangan</vt:lpstr>
      <vt:lpstr>Ilustrasi</vt:lpstr>
      <vt:lpstr>Master</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Achmad Bastian</dc:creator>
  <cp:keywords/>
  <dc:description/>
  <cp:lastModifiedBy>Usman Saroni</cp:lastModifiedBy>
  <cp:revision/>
  <dcterms:created xsi:type="dcterms:W3CDTF">2023-05-16T08:20:49Z</dcterms:created>
  <dcterms:modified xsi:type="dcterms:W3CDTF">2025-04-29T07:29:02Z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0x010100DB960A1D9E9B2744AC9732D56F468989</vt:lpwstr>
  </property>
  <property fmtid="{D5CDD505-2E9C-101B-9397-08002B2CF9AE}" pid="3" name="MediaServiceImageTags">
    <vt:lpwstr/>
  </property>
</Properties>
</file>