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5" yWindow="6690" windowWidth="28830" windowHeight="6735" activeTab="1"/>
  </bookViews>
  <sheets>
    <sheet name="Overview" sheetId="1" r:id="rId1"/>
    <sheet name="Other Objects" sheetId="2" r:id="rId2"/>
    <sheet name="Travel" sheetId="5" r:id="rId3"/>
  </sheets>
  <definedNames>
    <definedName name="_xlnm.Print_Area" localSheetId="0">Overview!$A$1:$E$43</definedName>
    <definedName name="_xlnm.Print_Titles" localSheetId="0">Overview!$A:$A,Overview!$1:$2</definedName>
  </definedNames>
  <calcPr calcId="145621"/>
</workbook>
</file>

<file path=xl/calcChain.xml><?xml version="1.0" encoding="utf-8"?>
<calcChain xmlns="http://schemas.openxmlformats.org/spreadsheetml/2006/main">
  <c r="K19" i="1" l="1"/>
  <c r="K26" i="1" l="1"/>
  <c r="J26" i="1"/>
  <c r="I20" i="1"/>
  <c r="I11" i="1"/>
  <c r="I18" i="1"/>
  <c r="I10" i="1"/>
  <c r="J19" i="1"/>
  <c r="J12" i="1"/>
  <c r="K10" i="1"/>
  <c r="J10" i="1"/>
  <c r="K6" i="1"/>
  <c r="J5" i="1"/>
  <c r="J6" i="1"/>
  <c r="J4" i="1"/>
  <c r="I5" i="1"/>
  <c r="C40" i="1"/>
  <c r="C13" i="1"/>
  <c r="C4" i="1" l="1"/>
  <c r="C26" i="1"/>
  <c r="C27" i="1"/>
  <c r="C28" i="1"/>
  <c r="C29" i="1"/>
  <c r="C25" i="1"/>
  <c r="C19" i="1"/>
  <c r="C20" i="1"/>
  <c r="C21" i="1"/>
  <c r="C22" i="1"/>
  <c r="C23" i="1"/>
  <c r="C18" i="1"/>
  <c r="C11" i="1"/>
  <c r="C12" i="1"/>
  <c r="C14" i="1"/>
  <c r="C15" i="1"/>
  <c r="C16" i="1"/>
  <c r="C10" i="1"/>
  <c r="C5" i="1"/>
  <c r="C6" i="1"/>
  <c r="C7" i="1"/>
  <c r="C8" i="1"/>
  <c r="D11" i="1" l="1"/>
  <c r="D7" i="1"/>
  <c r="D5" i="1"/>
  <c r="D4" i="1"/>
  <c r="D26" i="1" l="1"/>
  <c r="D25" i="1"/>
  <c r="D21" i="1"/>
  <c r="G30" i="1"/>
  <c r="H30" i="1"/>
  <c r="I30" i="1"/>
  <c r="J30" i="1"/>
  <c r="K30" i="1"/>
  <c r="L30" i="1"/>
  <c r="M30" i="1"/>
  <c r="C6" i="2" l="1"/>
  <c r="D32" i="1"/>
  <c r="C32" i="1" l="1"/>
  <c r="E32" i="1" l="1"/>
  <c r="B31" i="2"/>
  <c r="C27" i="2"/>
  <c r="C28" i="2" s="1"/>
  <c r="C29" i="2" s="1"/>
  <c r="E29" i="1" l="1"/>
  <c r="F29" i="1" s="1"/>
  <c r="E28" i="1"/>
  <c r="F28" i="1" s="1"/>
  <c r="E27" i="1"/>
  <c r="F27" i="1" s="1"/>
  <c r="E26" i="1"/>
  <c r="F26" i="1" s="1"/>
  <c r="E23" i="1"/>
  <c r="E22" i="1"/>
  <c r="F22" i="1" s="1"/>
  <c r="E21" i="1"/>
  <c r="F21" i="1" s="1"/>
  <c r="E20" i="1"/>
  <c r="F20" i="1" s="1"/>
  <c r="E19" i="1"/>
  <c r="F19" i="1" s="1"/>
  <c r="E16" i="1"/>
  <c r="E15" i="1"/>
  <c r="E14" i="1"/>
  <c r="E13" i="1"/>
  <c r="F13" i="1" s="1"/>
  <c r="E12" i="1"/>
  <c r="F12" i="1" s="1"/>
  <c r="E11" i="1"/>
  <c r="F11" i="1" s="1"/>
  <c r="E5" i="1"/>
  <c r="F5" i="1" s="1"/>
  <c r="E6" i="1"/>
  <c r="F6" i="1" s="1"/>
  <c r="E7" i="1"/>
  <c r="F7" i="1" s="1"/>
  <c r="E8" i="1"/>
  <c r="F8" i="1" s="1"/>
  <c r="E25" i="1" l="1"/>
  <c r="F25" i="1" s="1"/>
  <c r="E18" i="1"/>
  <c r="F18" i="1" s="1"/>
  <c r="E10" i="1"/>
  <c r="F10" i="1" s="1"/>
  <c r="E4" i="1"/>
  <c r="F4" i="1" s="1"/>
</calcChain>
</file>

<file path=xl/sharedStrings.xml><?xml version="1.0" encoding="utf-8"?>
<sst xmlns="http://schemas.openxmlformats.org/spreadsheetml/2006/main" count="118" uniqueCount="84">
  <si>
    <t>Q1</t>
  </si>
  <si>
    <t>Q2</t>
  </si>
  <si>
    <t>Q3</t>
  </si>
  <si>
    <t>Q4</t>
  </si>
  <si>
    <t>Task</t>
  </si>
  <si>
    <t>Balakirsky</t>
  </si>
  <si>
    <t>Schlenoff</t>
  </si>
  <si>
    <t>Kramer</t>
  </si>
  <si>
    <t>Kootbally</t>
  </si>
  <si>
    <t xml:space="preserve">Labor ($K) </t>
  </si>
  <si>
    <t>OO Total ($K)</t>
  </si>
  <si>
    <t>Total ($K)</t>
  </si>
  <si>
    <t>NOTES:</t>
  </si>
  <si>
    <t>Old budget was $654, new (assuming no new division overhead) is $794</t>
  </si>
  <si>
    <t>Current budget now set for 577,760 (10/31/2011)</t>
  </si>
  <si>
    <t>Description</t>
  </si>
  <si>
    <t>Who</t>
  </si>
  <si>
    <t>Zeid</t>
  </si>
  <si>
    <t>Education</t>
  </si>
  <si>
    <t>Craig</t>
  </si>
  <si>
    <t xml:space="preserve">Amount </t>
  </si>
  <si>
    <t>Priority</t>
  </si>
  <si>
    <t>High</t>
  </si>
  <si>
    <t>Travel to Lyon France</t>
  </si>
  <si>
    <t>Low</t>
  </si>
  <si>
    <t>Medium</t>
  </si>
  <si>
    <t>Stephen</t>
  </si>
  <si>
    <t>Total</t>
  </si>
  <si>
    <t>High+Medium</t>
  </si>
  <si>
    <t>High+Medium+Low</t>
  </si>
  <si>
    <t>General</t>
  </si>
  <si>
    <t>Target</t>
  </si>
  <si>
    <t>Travel to GT</t>
  </si>
  <si>
    <t>Misc Equipment</t>
  </si>
  <si>
    <t>Location</t>
  </si>
  <si>
    <t>Reason</t>
  </si>
  <si>
    <t>Number of Travelers</t>
  </si>
  <si>
    <t>Importance</t>
  </si>
  <si>
    <t>Cost/Per person</t>
  </si>
  <si>
    <t>Notes</t>
  </si>
  <si>
    <t>Length (days)</t>
  </si>
  <si>
    <t>The Division is going to take about 28% if whatever the total amount of your budget turns out to be. Actually, because we have more money this year, the percentage is likely to be less, but if you say you need a budget of $1M, you will actually have $1M – 28% = $1M – $280,000 = $720,000. If you want to hit a specific amount, then you would use the method you propose to ensure that you get the amount you need.</t>
  </si>
  <si>
    <t>Pietromartire</t>
  </si>
  <si>
    <t>Klothe</t>
  </si>
  <si>
    <t>TOTAL Labor (with 28% tax)</t>
  </si>
  <si>
    <t>Travel to ICRA (w/ reg.) Germany</t>
  </si>
  <si>
    <t>Travel to IROS (w/ reg.) Japan</t>
  </si>
  <si>
    <t>4 Computers</t>
  </si>
  <si>
    <t>2 Computers</t>
  </si>
  <si>
    <t>Sim Lab</t>
  </si>
  <si>
    <t>Vacuum Effector</t>
  </si>
  <si>
    <t>Robot</t>
  </si>
  <si>
    <t>Travel to UC Merced</t>
  </si>
  <si>
    <t>Travel to ASME Conf.</t>
  </si>
  <si>
    <t>Grant to UC Merced</t>
  </si>
  <si>
    <t>Misc</t>
  </si>
  <si>
    <t>Travel for Permis</t>
  </si>
  <si>
    <t>Stephen, Craig, Zeid, Tom</t>
  </si>
  <si>
    <t>Travel to KR Conference</t>
  </si>
  <si>
    <t>New Hire</t>
  </si>
  <si>
    <t>Roger Eastman Grant</t>
  </si>
  <si>
    <t>Roger Eastman</t>
  </si>
  <si>
    <r>
      <rPr>
        <sz val="11"/>
        <color theme="1"/>
        <rFont val="Arial"/>
        <family val="2"/>
      </rPr>
      <t>Present a white paper that will be shared with industry and the IEEE working group that begins a discussion on flexibility and agility. What does it mean to be flexible?  What does it mean to be adaptable? What aspects of the system require flexibility/adaptability to yield the largest payoffs?</t>
    </r>
    <r>
      <rPr>
        <b/>
        <sz val="11"/>
        <color theme="1"/>
        <rFont val="Arial"/>
        <family val="2"/>
      </rPr>
      <t xml:space="preserve"> (Balakirsky)</t>
    </r>
  </si>
  <si>
    <r>
      <rPr>
        <sz val="11"/>
        <color theme="1"/>
        <rFont val="Arial"/>
        <family val="2"/>
      </rPr>
      <t>Augment the ontology to include anticipated failure modes of actions and the probabilities associated with them</t>
    </r>
    <r>
      <rPr>
        <b/>
        <sz val="11"/>
        <color theme="1"/>
        <rFont val="Arial"/>
        <family val="2"/>
      </rPr>
      <t>.</t>
    </r>
    <r>
      <rPr>
        <sz val="11"/>
        <color theme="1"/>
        <rFont val="Arial"/>
        <family val="2"/>
      </rPr>
      <t xml:space="preserve"> (</t>
    </r>
    <r>
      <rPr>
        <b/>
        <sz val="11"/>
        <color theme="1"/>
        <rFont val="Arial"/>
        <family val="2"/>
      </rPr>
      <t xml:space="preserve">Kramer </t>
    </r>
    <r>
      <rPr>
        <sz val="11"/>
        <color theme="1"/>
        <rFont val="Arial"/>
        <family val="2"/>
      </rPr>
      <t>&amp; Kootbally)</t>
    </r>
  </si>
  <si>
    <r>
      <t>Automatically generate PDDL files from OWL and OWL-S ontology files. (</t>
    </r>
    <r>
      <rPr>
        <b/>
        <sz val="11"/>
        <color theme="1"/>
        <rFont val="Arial"/>
        <family val="2"/>
      </rPr>
      <t>Schlenoff</t>
    </r>
    <r>
      <rPr>
        <sz val="11"/>
        <color theme="1"/>
        <rFont val="Arial"/>
        <family val="2"/>
      </rPr>
      <t xml:space="preserve"> &amp; Kootbally)</t>
    </r>
  </si>
  <si>
    <r>
      <rPr>
        <sz val="11"/>
        <color theme="1"/>
        <rFont val="Arial"/>
        <family val="2"/>
      </rPr>
      <t>Submit a conference paper detailing our state-based approach to ontology update. (</t>
    </r>
    <r>
      <rPr>
        <b/>
        <sz val="11"/>
        <color theme="1"/>
        <rFont val="Arial"/>
        <family val="2"/>
      </rPr>
      <t>Schlenoff)</t>
    </r>
  </si>
  <si>
    <r>
      <rPr>
        <sz val="11"/>
        <color theme="1"/>
        <rFont val="Arial"/>
        <family val="2"/>
      </rPr>
      <t>Develop metrics to determine how flexible and agile a system is. These will be based off of the definitions from Q1. (</t>
    </r>
    <r>
      <rPr>
        <b/>
        <sz val="11"/>
        <color theme="1"/>
        <rFont val="Arial"/>
        <family val="2"/>
      </rPr>
      <t>Kramer</t>
    </r>
    <r>
      <rPr>
        <sz val="11"/>
        <color theme="1"/>
        <rFont val="Arial"/>
        <family val="2"/>
      </rPr>
      <t>)</t>
    </r>
  </si>
  <si>
    <r>
      <rPr>
        <sz val="11"/>
        <color theme="1"/>
        <rFont val="Arial"/>
        <family val="2"/>
      </rPr>
      <t>Develop test methods that will provide a means of testing a system’s flexibility and agility using the definitions produced in Q1 and the metrics produced in Q2. (</t>
    </r>
    <r>
      <rPr>
        <b/>
        <sz val="11"/>
        <color theme="1"/>
        <rFont val="Arial"/>
        <family val="2"/>
      </rPr>
      <t>Balakirsky</t>
    </r>
    <r>
      <rPr>
        <sz val="11"/>
        <color theme="1"/>
        <rFont val="Arial"/>
        <family val="2"/>
      </rPr>
      <t xml:space="preserve"> &amp; Kramer)</t>
    </r>
  </si>
  <si>
    <r>
      <rPr>
        <sz val="11"/>
        <color theme="1"/>
        <rFont val="Arial"/>
        <family val="2"/>
      </rPr>
      <t>Populate specific instances of failure modes for our kitting domain into the ontology and deliver the updated ontology to the IEEE working group. (</t>
    </r>
    <r>
      <rPr>
        <b/>
        <sz val="11"/>
        <color theme="1"/>
        <rFont val="Arial"/>
        <family val="2"/>
      </rPr>
      <t>Kootbally</t>
    </r>
    <r>
      <rPr>
        <sz val="11"/>
        <color theme="1"/>
        <rFont val="Arial"/>
        <family val="2"/>
      </rPr>
      <t>)</t>
    </r>
  </si>
  <si>
    <r>
      <rPr>
        <sz val="7"/>
        <color theme="1"/>
        <rFont val="Times New Roman"/>
        <family val="1"/>
      </rPr>
      <t xml:space="preserve"> </t>
    </r>
    <r>
      <rPr>
        <sz val="11"/>
        <color theme="1"/>
        <rFont val="Arial"/>
        <family val="2"/>
      </rPr>
      <t>Augment the ontology to support the representation of plan segments. (</t>
    </r>
    <r>
      <rPr>
        <b/>
        <sz val="11"/>
        <color theme="1"/>
        <rFont val="Arial"/>
        <family val="2"/>
      </rPr>
      <t>Kramer</t>
    </r>
    <r>
      <rPr>
        <sz val="11"/>
        <color theme="1"/>
        <rFont val="Arial"/>
        <family val="2"/>
      </rPr>
      <t>)</t>
    </r>
  </si>
  <si>
    <r>
      <rPr>
        <sz val="7"/>
        <color theme="1"/>
        <rFont val="Times New Roman"/>
        <family val="1"/>
      </rPr>
      <t xml:space="preserve"> </t>
    </r>
    <r>
      <rPr>
        <sz val="11"/>
        <color theme="1"/>
        <rFont val="Arial"/>
        <family val="2"/>
      </rPr>
      <t>Augment the plan executor to read PDDL files and generate the Interlingua. (</t>
    </r>
    <r>
      <rPr>
        <b/>
        <sz val="11"/>
        <color theme="1"/>
        <rFont val="Arial"/>
        <family val="2"/>
      </rPr>
      <t>Kootbally</t>
    </r>
    <r>
      <rPr>
        <sz val="11"/>
        <color theme="1"/>
        <rFont val="Arial"/>
        <family val="2"/>
      </rPr>
      <t xml:space="preserve"> &amp; Pietromartire)</t>
    </r>
  </si>
  <si>
    <r>
      <rPr>
        <sz val="11"/>
        <color theme="1"/>
        <rFont val="Arial"/>
        <family val="2"/>
      </rPr>
      <t>An initial system demonstrated to IEEE working group (at the 2013 IROS Conference) that updates the ontology based on state information observations. (</t>
    </r>
    <r>
      <rPr>
        <b/>
        <sz val="11"/>
        <color theme="1"/>
        <rFont val="Arial"/>
        <family val="2"/>
      </rPr>
      <t>Schlenoff</t>
    </r>
    <r>
      <rPr>
        <sz val="11"/>
        <color theme="1"/>
        <rFont val="Arial"/>
        <family val="2"/>
      </rPr>
      <t>)</t>
    </r>
  </si>
  <si>
    <r>
      <rPr>
        <sz val="7"/>
        <color theme="1"/>
        <rFont val="Times New Roman"/>
        <family val="1"/>
      </rPr>
      <t xml:space="preserve"> </t>
    </r>
    <r>
      <rPr>
        <sz val="11"/>
        <color theme="1"/>
        <rFont val="Arial"/>
        <family val="2"/>
      </rPr>
      <t>Develop a visualization/data tool that will allow users to visualize the execution of plans formulated in the Interlingua and gather statistics on those plans for use in performance evaluation. (</t>
    </r>
    <r>
      <rPr>
        <b/>
        <sz val="11"/>
        <color theme="1"/>
        <rFont val="Arial"/>
        <family val="2"/>
      </rPr>
      <t>Kramer</t>
    </r>
    <r>
      <rPr>
        <sz val="11"/>
        <color theme="1"/>
        <rFont val="Arial"/>
        <family val="2"/>
      </rPr>
      <t>)</t>
    </r>
  </si>
  <si>
    <r>
      <rPr>
        <sz val="7"/>
        <color theme="1"/>
        <rFont val="Times New Roman"/>
        <family val="1"/>
      </rPr>
      <t xml:space="preserve"> </t>
    </r>
    <r>
      <rPr>
        <sz val="11"/>
        <color theme="1"/>
        <rFont val="Arial"/>
        <family val="2"/>
      </rPr>
      <t>Develop a representation of detailed state information within the ontology and real-time knowledge base. (</t>
    </r>
    <r>
      <rPr>
        <b/>
        <sz val="11"/>
        <color theme="1"/>
        <rFont val="Arial"/>
        <family val="2"/>
      </rPr>
      <t>Schlenoff</t>
    </r>
    <r>
      <rPr>
        <sz val="11"/>
        <color theme="1"/>
        <rFont val="Arial"/>
        <family val="2"/>
      </rPr>
      <t>)</t>
    </r>
  </si>
  <si>
    <r>
      <rPr>
        <sz val="11"/>
        <color theme="1"/>
        <rFont val="Arial"/>
        <family val="2"/>
      </rPr>
      <t>Present a report to the IEEE Working Group detailing our definitions of flexibility, the test methods that may be used to demonstrate flexibility, and a demonstration of how a knowledge representation can aid in assuring system flexibility and agility. (</t>
    </r>
    <r>
      <rPr>
        <b/>
        <sz val="11"/>
        <color theme="1"/>
        <rFont val="Arial"/>
        <family val="2"/>
      </rPr>
      <t xml:space="preserve">Balakirsky </t>
    </r>
    <r>
      <rPr>
        <sz val="11"/>
        <color theme="1"/>
        <rFont val="Arial"/>
        <family val="2"/>
      </rPr>
      <t>&amp; Kootbally</t>
    </r>
    <r>
      <rPr>
        <b/>
        <sz val="11"/>
        <color theme="1"/>
        <rFont val="Arial"/>
        <family val="2"/>
      </rPr>
      <t>)</t>
    </r>
  </si>
  <si>
    <r>
      <rPr>
        <sz val="7"/>
        <color theme="1"/>
        <rFont val="Times New Roman"/>
        <family val="1"/>
      </rPr>
      <t xml:space="preserve"> </t>
    </r>
    <r>
      <rPr>
        <sz val="11"/>
        <color theme="1"/>
        <rFont val="Arial"/>
        <family val="2"/>
      </rPr>
      <t>Augment our planning system to detect action failures, retrieve appropriate responses from the ontology, and execute these contingency plans thus demonstrating the ability to adapt to error conditions. Deliver the system to the IEEE working group. (</t>
    </r>
    <r>
      <rPr>
        <b/>
        <sz val="11"/>
        <color theme="1"/>
        <rFont val="Arial"/>
        <family val="2"/>
      </rPr>
      <t>Kootbally</t>
    </r>
    <r>
      <rPr>
        <sz val="11"/>
        <color theme="1"/>
        <rFont val="Arial"/>
        <family val="2"/>
      </rPr>
      <t xml:space="preserve"> &amp; Pietromartire)</t>
    </r>
  </si>
  <si>
    <t>Task ID</t>
  </si>
  <si>
    <t>1.5,2.5,4.3</t>
  </si>
  <si>
    <r>
      <t>Develop a representation to act as an Interlingua for communicating between a high-level planning system and a lower-level planning system. This intermediate language will be delivered to the IEEE working group for use in the standards activities. (</t>
    </r>
    <r>
      <rPr>
        <b/>
        <sz val="11"/>
        <color theme="1"/>
        <rFont val="Arial"/>
        <family val="2"/>
      </rPr>
      <t>Kramer</t>
    </r>
    <r>
      <rPr>
        <sz val="11"/>
        <color theme="1"/>
        <rFont val="Arial"/>
        <family val="2"/>
      </rPr>
      <t>)</t>
    </r>
  </si>
  <si>
    <t>Labor Cost (Loaded)/Hour</t>
  </si>
  <si>
    <t>Total Person hours</t>
  </si>
  <si>
    <t>Person Hours</t>
  </si>
  <si>
    <t>For guest researchers, I computed hours/month as 52 weeks/year * 40 hours/week * 23.5/26 vacation factor * 1 year/12 months</t>
  </si>
  <si>
    <t>Tom Kramer Grant w/ tax per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</si>
</sst>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0.0"/>
  </numFmts>
  <fonts count="11" x14ac:knownFonts="1">
    <font>
      <sz val="11"/>
      <color theme="1"/>
      <name val="Palatino Linotype"/>
      <family val="2"/>
      <scheme val="minor"/>
    </font>
    <font>
      <b/>
      <sz val="11"/>
      <color rgb="FFFA7D00"/>
      <name val="Palatino Linotype"/>
      <family val="2"/>
      <scheme val="minor"/>
    </font>
    <font>
      <b/>
      <sz val="11"/>
      <color theme="1"/>
      <name val="Palatino Linotype"/>
      <family val="2"/>
      <scheme val="minor"/>
    </font>
    <font>
      <sz val="11"/>
      <color theme="1"/>
      <name val="Arial"/>
      <family val="2"/>
    </font>
    <font>
      <b/>
      <sz val="11"/>
      <color theme="1"/>
      <name val="Arial"/>
      <family val="2"/>
    </font>
    <font>
      <b/>
      <sz val="11"/>
      <color theme="9" tint="-0.249977111117893"/>
      <name val="Palatino Linotype"/>
      <family val="2"/>
      <scheme val="minor"/>
    </font>
    <font>
      <b/>
      <sz val="11"/>
      <color theme="1"/>
      <name val="Palatino Linotype"/>
      <family val="1"/>
      <scheme val="minor"/>
    </font>
    <font>
      <sz val="12"/>
      <color theme="1"/>
      <name val="Times New Roman"/>
      <family val="1"/>
    </font>
    <font>
      <sz val="11"/>
      <color theme="1"/>
      <name val="Symbol"/>
      <family val="1"/>
      <charset val="2"/>
    </font>
    <font>
      <sz val="7"/>
      <color theme="1"/>
      <name val="Times New Roman"/>
      <family val="1"/>
    </font>
    <font>
      <sz val="11"/>
      <color rgb="FF4F81BD"/>
      <name val="Arial"/>
      <family val="2"/>
    </font>
  </fonts>
  <fills count="5">
    <fill>
      <patternFill patternType="none"/>
    </fill>
    <fill>
      <patternFill patternType="gray125"/>
    </fill>
    <fill>
      <patternFill patternType="solid">
        <fgColor rgb="FFF2F2F2"/>
      </patternFill>
    </fill>
    <fill>
      <patternFill patternType="solid">
        <fgColor theme="9" tint="0.79998168889431442"/>
        <bgColor indexed="64"/>
      </patternFill>
    </fill>
    <fill>
      <patternFill patternType="solid">
        <fgColor theme="3" tint="0.39994506668294322"/>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double">
        <color auto="1"/>
      </left>
      <right/>
      <top/>
      <bottom/>
      <diagonal/>
    </border>
    <border>
      <left/>
      <right/>
      <top/>
      <bottom style="thin">
        <color auto="1"/>
      </bottom>
      <diagonal/>
    </border>
    <border>
      <left style="double">
        <color auto="1"/>
      </left>
      <right/>
      <top/>
      <bottom style="thin">
        <color auto="1"/>
      </bottom>
      <diagonal/>
    </border>
    <border>
      <left style="thin">
        <color rgb="FF7F7F7F"/>
      </left>
      <right style="thin">
        <color rgb="FF7F7F7F"/>
      </right>
      <top style="thin">
        <color rgb="FF7F7F7F"/>
      </top>
      <bottom/>
      <diagonal/>
    </border>
    <border>
      <left/>
      <right/>
      <top style="medium">
        <color auto="1"/>
      </top>
      <bottom/>
      <diagonal/>
    </border>
  </borders>
  <cellStyleXfs count="2">
    <xf numFmtId="0" fontId="0" fillId="0" borderId="0"/>
    <xf numFmtId="0" fontId="1" fillId="2" borderId="1" applyNumberFormat="0" applyAlignment="0" applyProtection="0"/>
  </cellStyleXfs>
  <cellXfs count="52">
    <xf numFmtId="0" fontId="0" fillId="0" borderId="0" xfId="0"/>
    <xf numFmtId="0" fontId="2" fillId="0" borderId="0" xfId="0" applyFont="1" applyAlignment="1">
      <alignment wrapText="1"/>
    </xf>
    <xf numFmtId="0" fontId="5" fillId="0" borderId="0" xfId="0" applyFont="1" applyAlignment="1">
      <alignment wrapText="1"/>
    </xf>
    <xf numFmtId="0" fontId="2" fillId="0" borderId="0" xfId="0" applyFont="1"/>
    <xf numFmtId="1" fontId="2" fillId="0" borderId="2" xfId="0" applyNumberFormat="1" applyFont="1" applyBorder="1"/>
    <xf numFmtId="1" fontId="2" fillId="0" borderId="0" xfId="0" applyNumberFormat="1" applyFont="1"/>
    <xf numFmtId="0" fontId="0" fillId="0" borderId="0" xfId="0" applyAlignment="1">
      <alignment wrapText="1"/>
    </xf>
    <xf numFmtId="0" fontId="0" fillId="0" borderId="2" xfId="0" applyBorder="1"/>
    <xf numFmtId="0" fontId="4" fillId="0" borderId="0" xfId="0" applyFont="1" applyBorder="1" applyAlignment="1">
      <alignment vertical="center" wrapText="1"/>
    </xf>
    <xf numFmtId="1" fontId="0" fillId="0" borderId="0" xfId="0" applyNumberFormat="1" applyBorder="1"/>
    <xf numFmtId="1" fontId="2" fillId="3" borderId="0" xfId="0" applyNumberFormat="1" applyFont="1" applyFill="1" applyBorder="1"/>
    <xf numFmtId="0" fontId="0" fillId="0" borderId="0" xfId="0" applyBorder="1"/>
    <xf numFmtId="0" fontId="0" fillId="0" borderId="0" xfId="0" applyBorder="1" applyAlignment="1">
      <alignment wrapText="1"/>
    </xf>
    <xf numFmtId="0" fontId="2" fillId="3" borderId="0" xfId="0" applyFont="1" applyFill="1" applyBorder="1"/>
    <xf numFmtId="0" fontId="0" fillId="0" borderId="3" xfId="0" applyBorder="1" applyAlignment="1">
      <alignment wrapText="1"/>
    </xf>
    <xf numFmtId="0" fontId="0" fillId="0" borderId="3" xfId="0" applyBorder="1"/>
    <xf numFmtId="1" fontId="2" fillId="3" borderId="3" xfId="0" applyNumberFormat="1" applyFont="1" applyFill="1" applyBorder="1"/>
    <xf numFmtId="0" fontId="0" fillId="0" borderId="4" xfId="0" applyBorder="1"/>
    <xf numFmtId="0" fontId="1" fillId="3" borderId="5" xfId="1" applyFont="1" applyFill="1" applyBorder="1" applyAlignment="1">
      <alignment wrapText="1"/>
    </xf>
    <xf numFmtId="0" fontId="4" fillId="4" borderId="6" xfId="0" applyFont="1" applyFill="1" applyBorder="1" applyAlignment="1">
      <alignment vertical="center" wrapText="1"/>
    </xf>
    <xf numFmtId="0" fontId="3" fillId="0" borderId="0" xfId="0" applyFont="1" applyBorder="1" applyAlignment="1">
      <alignment vertical="center" wrapText="1"/>
    </xf>
    <xf numFmtId="0" fontId="0" fillId="0" borderId="0" xfId="0" applyAlignment="1">
      <alignment horizontal="center"/>
    </xf>
    <xf numFmtId="164" fontId="0" fillId="0" borderId="0" xfId="0" applyNumberFormat="1" applyAlignment="1">
      <alignment horizontal="center"/>
    </xf>
    <xf numFmtId="164" fontId="0" fillId="0" borderId="0" xfId="0" applyNumberFormat="1"/>
    <xf numFmtId="0" fontId="6" fillId="0" borderId="0" xfId="0" applyFont="1"/>
    <xf numFmtId="164" fontId="6" fillId="0" borderId="0" xfId="0" applyNumberFormat="1" applyFont="1"/>
    <xf numFmtId="164" fontId="0" fillId="0" borderId="0" xfId="0" applyNumberFormat="1" applyBorder="1"/>
    <xf numFmtId="0" fontId="7" fillId="0" borderId="0" xfId="0" applyFont="1" applyAlignment="1">
      <alignment vertical="center" wrapText="1"/>
    </xf>
    <xf numFmtId="1" fontId="2" fillId="0" borderId="0" xfId="0" applyNumberFormat="1" applyFont="1" applyFill="1" applyBorder="1"/>
    <xf numFmtId="0" fontId="0" fillId="0" borderId="0" xfId="0" applyAlignment="1">
      <alignment horizontal="center" wrapText="1"/>
    </xf>
    <xf numFmtId="0" fontId="6" fillId="0" borderId="0" xfId="0" applyFont="1" applyAlignment="1">
      <alignment wrapText="1"/>
    </xf>
    <xf numFmtId="0" fontId="3" fillId="0" borderId="0" xfId="0" applyFont="1" applyAlignment="1">
      <alignment horizontal="left" vertical="center" wrapText="1"/>
    </xf>
    <xf numFmtId="0" fontId="8" fillId="0" borderId="0" xfId="0" applyFont="1" applyAlignment="1">
      <alignment horizontal="left" vertical="center" wrapText="1"/>
    </xf>
    <xf numFmtId="0" fontId="10" fillId="0" borderId="0" xfId="0" applyFont="1" applyAlignment="1">
      <alignment vertical="center"/>
    </xf>
    <xf numFmtId="2" fontId="0" fillId="0" borderId="2" xfId="0" applyNumberFormat="1" applyBorder="1"/>
    <xf numFmtId="2" fontId="0" fillId="0" borderId="0" xfId="0" applyNumberFormat="1" applyBorder="1"/>
    <xf numFmtId="2" fontId="0" fillId="0" borderId="4" xfId="0" applyNumberFormat="1" applyBorder="1"/>
    <xf numFmtId="2" fontId="0" fillId="0" borderId="3" xfId="0" applyNumberFormat="1" applyBorder="1"/>
    <xf numFmtId="0" fontId="0" fillId="0" borderId="0" xfId="0" applyFill="1" applyBorder="1"/>
    <xf numFmtId="165" fontId="0" fillId="0" borderId="2" xfId="0" applyNumberFormat="1" applyBorder="1"/>
    <xf numFmtId="165" fontId="0" fillId="0" borderId="0" xfId="0" applyNumberFormat="1" applyBorder="1"/>
    <xf numFmtId="165" fontId="4" fillId="4" borderId="6" xfId="0" applyNumberFormat="1" applyFont="1" applyFill="1" applyBorder="1" applyAlignment="1">
      <alignment vertical="center" wrapText="1"/>
    </xf>
    <xf numFmtId="1" fontId="0" fillId="0" borderId="0" xfId="0" applyNumberFormat="1"/>
    <xf numFmtId="1" fontId="4" fillId="4" borderId="6" xfId="0" applyNumberFormat="1" applyFont="1" applyFill="1" applyBorder="1" applyAlignment="1">
      <alignment vertical="center" wrapText="1"/>
    </xf>
    <xf numFmtId="1" fontId="0" fillId="0" borderId="3" xfId="0" applyNumberFormat="1" applyBorder="1"/>
    <xf numFmtId="2" fontId="0" fillId="0" borderId="0" xfId="0" applyNumberFormat="1"/>
    <xf numFmtId="2" fontId="5" fillId="0" borderId="0" xfId="0" applyNumberFormat="1" applyFont="1" applyAlignment="1">
      <alignment wrapText="1"/>
    </xf>
    <xf numFmtId="2" fontId="4" fillId="4" borderId="6" xfId="0" applyNumberFormat="1" applyFont="1" applyFill="1" applyBorder="1" applyAlignment="1">
      <alignment vertical="center" wrapText="1"/>
    </xf>
    <xf numFmtId="2" fontId="2" fillId="3" borderId="3" xfId="0" applyNumberFormat="1" applyFont="1" applyFill="1" applyBorder="1"/>
    <xf numFmtId="165" fontId="6" fillId="0" borderId="2" xfId="0" applyNumberFormat="1" applyFont="1" applyBorder="1"/>
    <xf numFmtId="165" fontId="6" fillId="0" borderId="0" xfId="0" applyNumberFormat="1" applyFont="1"/>
    <xf numFmtId="0" fontId="0" fillId="0" borderId="0" xfId="0" applyAlignment="1">
      <alignment horizontal="center"/>
    </xf>
  </cellXfs>
  <cellStyles count="2">
    <cellStyle name="Calculation" xfId="1" builtinId="2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xecutive">
  <a:themeElements>
    <a:clrScheme name="Executive">
      <a:dk1>
        <a:sysClr val="windowText" lastClr="000000"/>
      </a:dk1>
      <a:lt1>
        <a:sysClr val="window" lastClr="FFFFFF"/>
      </a:lt1>
      <a:dk2>
        <a:srgbClr val="2F5897"/>
      </a:dk2>
      <a:lt2>
        <a:srgbClr val="E4E9EF"/>
      </a:lt2>
      <a:accent1>
        <a:srgbClr val="6076B4"/>
      </a:accent1>
      <a:accent2>
        <a:srgbClr val="9C5252"/>
      </a:accent2>
      <a:accent3>
        <a:srgbClr val="E68422"/>
      </a:accent3>
      <a:accent4>
        <a:srgbClr val="846648"/>
      </a:accent4>
      <a:accent5>
        <a:srgbClr val="63891F"/>
      </a:accent5>
      <a:accent6>
        <a:srgbClr val="758085"/>
      </a:accent6>
      <a:hlink>
        <a:srgbClr val="3399FF"/>
      </a:hlink>
      <a:folHlink>
        <a:srgbClr val="B2B2B2"/>
      </a:folHlink>
    </a:clrScheme>
    <a:fontScheme name="Executive">
      <a:majorFont>
        <a:latin typeface="Century Gothic"/>
        <a:ea typeface=""/>
        <a:cs typeface=""/>
        <a:font script="Jpan" typeface="HGｺﾞｼｯｸM"/>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Palatino Linotype"/>
        <a:ea typeface=""/>
        <a:cs typeface=""/>
        <a:font script="Jpan" typeface="HGS明朝E"/>
        <a:font script="Hang" typeface="맑은 고딕"/>
        <a:font script="Hans" typeface="宋体"/>
        <a:font script="Hant" typeface="新細明體"/>
        <a:font script="Arab" typeface="Times New Roman"/>
        <a:font script="Hebr" typeface="Times New Roman"/>
        <a:font script="Thai" typeface="Browall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Executiv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8575" cap="flat" cmpd="sng" algn="ctr">
          <a:solidFill>
            <a:schemeClr val="phClr"/>
          </a:solidFill>
          <a:prstDash val="solid"/>
        </a:ln>
        <a:ln w="508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50000">
              <a:schemeClr val="phClr">
                <a:tint val="80000"/>
                <a:satMod val="250000"/>
              </a:schemeClr>
            </a:gs>
            <a:gs pos="76000">
              <a:schemeClr val="phClr">
                <a:tint val="90000"/>
                <a:shade val="90000"/>
                <a:satMod val="200000"/>
              </a:schemeClr>
            </a:gs>
            <a:gs pos="92000">
              <a:schemeClr val="phClr">
                <a:tint val="90000"/>
                <a:shade val="70000"/>
                <a:satMod val="250000"/>
              </a:schemeClr>
            </a:gs>
          </a:gsLst>
          <a:path path="circle">
            <a:fillToRect l="50000" t="50000" r="50000" b="50000"/>
          </a:path>
        </a:gradFill>
        <a:blipFill>
          <a:blip xmlns:r="http://schemas.openxmlformats.org/officeDocument/2006/relationships" r:embed="rId1">
            <a:duotone>
              <a:schemeClr val="phClr">
                <a:tint val="95000"/>
              </a:schemeClr>
              <a:schemeClr val="phClr">
                <a:shade val="9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3"/>
  <sheetViews>
    <sheetView zoomScaleNormal="100" workbookViewId="0">
      <pane xSplit="2" ySplit="2" topLeftCell="C18" activePane="bottomRight" state="frozen"/>
      <selection pane="topRight" activeCell="B1" sqref="B1"/>
      <selection pane="bottomLeft" activeCell="A3" sqref="A3"/>
      <selection pane="bottomRight" activeCell="B40" sqref="B40"/>
    </sheetView>
  </sheetViews>
  <sheetFormatPr defaultRowHeight="17.25" x14ac:dyDescent="0.35"/>
  <cols>
    <col min="2" max="2" width="77.5" style="6" customWidth="1"/>
    <col min="3" max="3" width="9" style="45"/>
    <col min="4" max="4" width="0" hidden="1" customWidth="1"/>
    <col min="5" max="5" width="10.375" style="3" hidden="1" customWidth="1"/>
    <col min="6" max="6" width="0" style="42" hidden="1" customWidth="1"/>
    <col min="7" max="7" width="10" style="7" customWidth="1"/>
    <col min="8" max="8" width="10.25" customWidth="1"/>
    <col min="10" max="13" width="10" customWidth="1"/>
    <col min="14" max="14" width="14.875" customWidth="1"/>
    <col min="18" max="18" width="12.125" customWidth="1"/>
    <col min="20" max="20" width="10.375" customWidth="1"/>
  </cols>
  <sheetData>
    <row r="1" spans="1:21" x14ac:dyDescent="0.35">
      <c r="G1" s="51" t="s">
        <v>81</v>
      </c>
      <c r="H1" s="51"/>
      <c r="I1" s="51"/>
      <c r="J1" s="51"/>
      <c r="K1" s="51"/>
      <c r="L1" s="51"/>
      <c r="M1" s="51"/>
      <c r="N1" s="51" t="s">
        <v>79</v>
      </c>
      <c r="O1" s="51"/>
    </row>
    <row r="2" spans="1:21" ht="52.5" thickBot="1" x14ac:dyDescent="0.4">
      <c r="A2" s="1" t="s">
        <v>76</v>
      </c>
      <c r="B2" s="1" t="s">
        <v>4</v>
      </c>
      <c r="C2" s="46" t="s">
        <v>9</v>
      </c>
      <c r="D2" s="2" t="s">
        <v>10</v>
      </c>
      <c r="E2" s="18" t="s">
        <v>11</v>
      </c>
      <c r="F2" s="5"/>
      <c r="G2" s="4" t="s">
        <v>5</v>
      </c>
      <c r="H2" s="5" t="s">
        <v>6</v>
      </c>
      <c r="I2" s="5" t="s">
        <v>7</v>
      </c>
      <c r="J2" s="5" t="s">
        <v>8</v>
      </c>
      <c r="K2" s="28" t="s">
        <v>42</v>
      </c>
      <c r="L2" s="28" t="s">
        <v>43</v>
      </c>
      <c r="M2" s="28" t="s">
        <v>59</v>
      </c>
      <c r="N2" s="4" t="s">
        <v>5</v>
      </c>
      <c r="O2" s="5" t="s">
        <v>6</v>
      </c>
      <c r="P2" s="28" t="s">
        <v>7</v>
      </c>
      <c r="Q2" s="28" t="s">
        <v>8</v>
      </c>
      <c r="R2" s="28" t="s">
        <v>42</v>
      </c>
      <c r="S2" s="28" t="s">
        <v>43</v>
      </c>
      <c r="T2" s="28" t="s">
        <v>59</v>
      </c>
      <c r="U2" s="28"/>
    </row>
    <row r="3" spans="1:21" s="19" customFormat="1" ht="15" x14ac:dyDescent="0.3">
      <c r="B3" s="19" t="s">
        <v>0</v>
      </c>
      <c r="C3" s="47"/>
      <c r="F3" s="43"/>
      <c r="N3" s="19">
        <v>205.72</v>
      </c>
      <c r="O3" s="19">
        <v>205.72</v>
      </c>
    </row>
    <row r="4" spans="1:21" s="11" customFormat="1" ht="57.75" x14ac:dyDescent="0.35">
      <c r="A4" s="11">
        <v>1.1000000000000001</v>
      </c>
      <c r="B4" s="8" t="s">
        <v>62</v>
      </c>
      <c r="C4" s="35">
        <f t="shared" ref="C4:C29" si="0">($N$3*G4+$O$3*H4+$P$3*I4+$Q$3*J4+$R$3*K4+$S$3*L4+$T$3*M4 )/1000</f>
        <v>32.388556799999996</v>
      </c>
      <c r="D4" s="9">
        <f>6000/1000</f>
        <v>6</v>
      </c>
      <c r="E4" s="10">
        <f>C4+D4</f>
        <v>38.388556799999996</v>
      </c>
      <c r="F4" s="9">
        <f>E4*1.28</f>
        <v>49.137352703999994</v>
      </c>
      <c r="G4" s="39">
        <v>157.44</v>
      </c>
      <c r="H4" s="40"/>
      <c r="I4" s="40"/>
      <c r="J4" s="40">
        <f>0.5 * $C$40</f>
        <v>78.333333333333329</v>
      </c>
      <c r="K4" s="40"/>
      <c r="L4" s="40"/>
      <c r="M4" s="40"/>
      <c r="N4" s="7"/>
    </row>
    <row r="5" spans="1:21" s="11" customFormat="1" ht="29.25" x14ac:dyDescent="0.35">
      <c r="A5" s="11">
        <v>1.2</v>
      </c>
      <c r="B5" s="8" t="s">
        <v>63</v>
      </c>
      <c r="C5" s="35">
        <f t="shared" si="0"/>
        <v>6.4801800000000007</v>
      </c>
      <c r="D5" s="9">
        <f>4000/1000</f>
        <v>4</v>
      </c>
      <c r="E5" s="10">
        <f t="shared" ref="E5:E8" si="1">C5+D5</f>
        <v>10.480180000000001</v>
      </c>
      <c r="F5" s="9">
        <f t="shared" ref="F5:F8" si="2">E5*1.28</f>
        <v>13.414630400000002</v>
      </c>
      <c r="G5" s="39">
        <v>31.5</v>
      </c>
      <c r="H5" s="40"/>
      <c r="I5" s="40">
        <f>1 * $C$40</f>
        <v>156.66666666666666</v>
      </c>
      <c r="J5" s="40">
        <f t="shared" ref="J5:K6" si="3">0.5 * $C$40</f>
        <v>78.333333333333329</v>
      </c>
      <c r="K5" s="40"/>
      <c r="L5" s="40"/>
      <c r="M5" s="40"/>
      <c r="N5" s="7"/>
    </row>
    <row r="6" spans="1:21" s="11" customFormat="1" ht="29.25" x14ac:dyDescent="0.35">
      <c r="A6" s="11">
        <v>1.3</v>
      </c>
      <c r="B6" s="20" t="s">
        <v>64</v>
      </c>
      <c r="C6" s="35">
        <f t="shared" si="0"/>
        <v>16.190163999999999</v>
      </c>
      <c r="D6" s="9"/>
      <c r="E6" s="10">
        <f t="shared" si="1"/>
        <v>16.190163999999999</v>
      </c>
      <c r="F6" s="9">
        <f t="shared" si="2"/>
        <v>20.723409919999998</v>
      </c>
      <c r="G6" s="39"/>
      <c r="H6" s="40">
        <v>78.7</v>
      </c>
      <c r="I6" s="40"/>
      <c r="J6" s="40">
        <f t="shared" si="3"/>
        <v>78.333333333333329</v>
      </c>
      <c r="K6" s="40">
        <f t="shared" si="3"/>
        <v>78.333333333333329</v>
      </c>
      <c r="L6" s="40"/>
      <c r="M6" s="40"/>
      <c r="N6" s="7"/>
    </row>
    <row r="7" spans="1:21" s="11" customFormat="1" ht="29.25" x14ac:dyDescent="0.35">
      <c r="A7" s="38">
        <v>1.4</v>
      </c>
      <c r="B7" s="8" t="s">
        <v>65</v>
      </c>
      <c r="C7" s="35">
        <f t="shared" si="0"/>
        <v>32.388556799999996</v>
      </c>
      <c r="D7" s="9">
        <f>(600+6000+5000)/1000</f>
        <v>11.6</v>
      </c>
      <c r="E7" s="10">
        <f t="shared" si="1"/>
        <v>43.988556799999998</v>
      </c>
      <c r="F7" s="9">
        <f t="shared" si="2"/>
        <v>56.305352704000001</v>
      </c>
      <c r="G7" s="39"/>
      <c r="H7" s="40">
        <v>157.44</v>
      </c>
      <c r="I7" s="40"/>
      <c r="J7" s="40"/>
      <c r="K7" s="40"/>
      <c r="L7" s="40"/>
      <c r="M7" s="40"/>
      <c r="N7" s="7"/>
    </row>
    <row r="8" spans="1:21" s="11" customFormat="1" ht="18" thickBot="1" x14ac:dyDescent="0.4">
      <c r="B8" s="8"/>
      <c r="C8" s="35">
        <f t="shared" si="0"/>
        <v>0</v>
      </c>
      <c r="D8" s="9"/>
      <c r="E8" s="10">
        <f t="shared" si="1"/>
        <v>0</v>
      </c>
      <c r="F8" s="9">
        <f t="shared" si="2"/>
        <v>0</v>
      </c>
      <c r="G8" s="39"/>
      <c r="H8" s="40"/>
      <c r="I8" s="40"/>
      <c r="J8" s="40"/>
      <c r="K8" s="40"/>
      <c r="L8" s="40"/>
      <c r="M8" s="40"/>
      <c r="N8" s="7"/>
    </row>
    <row r="9" spans="1:21" s="19" customFormat="1" ht="15" x14ac:dyDescent="0.3">
      <c r="B9" s="19" t="s">
        <v>1</v>
      </c>
      <c r="C9" s="47"/>
      <c r="F9" s="43"/>
      <c r="G9" s="41"/>
      <c r="H9" s="41"/>
      <c r="I9" s="41"/>
      <c r="J9" s="41"/>
      <c r="K9" s="41"/>
      <c r="L9" s="41"/>
      <c r="M9" s="41"/>
    </row>
    <row r="10" spans="1:21" s="11" customFormat="1" ht="29.25" x14ac:dyDescent="0.35">
      <c r="A10" s="38">
        <v>2.1</v>
      </c>
      <c r="B10" s="31" t="s">
        <v>66</v>
      </c>
      <c r="C10" s="35">
        <f t="shared" si="0"/>
        <v>16.190163999999999</v>
      </c>
      <c r="D10" s="9"/>
      <c r="E10" s="10">
        <f t="shared" ref="E10:E16" si="4">C10+D10</f>
        <v>16.190163999999999</v>
      </c>
      <c r="F10" s="9">
        <f>E10*1.28</f>
        <v>20.723409919999998</v>
      </c>
      <c r="G10" s="39">
        <v>78.7</v>
      </c>
      <c r="H10" s="40"/>
      <c r="I10" s="40">
        <f>1 * $C$40</f>
        <v>156.66666666666666</v>
      </c>
      <c r="J10" s="40">
        <f t="shared" ref="J10:K10" si="5">0.5 * $C$40</f>
        <v>78.333333333333329</v>
      </c>
      <c r="K10" s="40">
        <f t="shared" si="5"/>
        <v>78.333333333333329</v>
      </c>
      <c r="L10" s="40"/>
      <c r="M10" s="40"/>
      <c r="N10" s="7"/>
    </row>
    <row r="11" spans="1:21" s="11" customFormat="1" ht="43.5" x14ac:dyDescent="0.35">
      <c r="A11" s="38">
        <v>2.2000000000000002</v>
      </c>
      <c r="B11" s="31" t="s">
        <v>67</v>
      </c>
      <c r="C11" s="35">
        <f t="shared" si="0"/>
        <v>64.779170800000003</v>
      </c>
      <c r="D11" s="9">
        <f>1100/1000</f>
        <v>1.1000000000000001</v>
      </c>
      <c r="E11" s="10">
        <f t="shared" si="4"/>
        <v>65.879170799999997</v>
      </c>
      <c r="F11" s="9">
        <f t="shared" ref="F11:F13" si="6">E11*1.28</f>
        <v>84.325338623999997</v>
      </c>
      <c r="G11" s="39">
        <v>314.89</v>
      </c>
      <c r="H11" s="40"/>
      <c r="I11" s="40">
        <f>1.5*$C$40</f>
        <v>235</v>
      </c>
      <c r="J11" s="40"/>
      <c r="K11" s="40"/>
      <c r="L11" s="40"/>
      <c r="M11" s="40"/>
      <c r="N11" s="7"/>
    </row>
    <row r="12" spans="1:21" s="11" customFormat="1" ht="29.25" x14ac:dyDescent="0.35">
      <c r="A12" s="38">
        <v>2.2999999999999998</v>
      </c>
      <c r="B12" s="31" t="s">
        <v>68</v>
      </c>
      <c r="C12" s="35">
        <f t="shared" si="0"/>
        <v>0</v>
      </c>
      <c r="D12" s="9"/>
      <c r="E12" s="10">
        <f t="shared" si="4"/>
        <v>0</v>
      </c>
      <c r="F12" s="9">
        <f t="shared" si="6"/>
        <v>0</v>
      </c>
      <c r="G12" s="39"/>
      <c r="H12" s="40"/>
      <c r="I12" s="40"/>
      <c r="J12" s="40">
        <f t="shared" ref="J12" si="7">0.5 * $C$40</f>
        <v>78.333333333333329</v>
      </c>
      <c r="K12" s="40"/>
      <c r="L12" s="40"/>
      <c r="M12" s="40"/>
      <c r="N12" s="7"/>
    </row>
    <row r="13" spans="1:21" s="11" customFormat="1" ht="43.5" x14ac:dyDescent="0.35">
      <c r="A13" s="38">
        <v>2.4</v>
      </c>
      <c r="B13" s="31" t="s">
        <v>78</v>
      </c>
      <c r="C13" s="35">
        <f t="shared" si="0"/>
        <v>16.190163999999999</v>
      </c>
      <c r="D13" s="9"/>
      <c r="E13" s="10">
        <f t="shared" si="4"/>
        <v>16.190163999999999</v>
      </c>
      <c r="F13" s="9">
        <f t="shared" si="6"/>
        <v>20.723409919999998</v>
      </c>
      <c r="G13" s="39">
        <v>78.7</v>
      </c>
      <c r="H13" s="40"/>
      <c r="I13" s="40"/>
      <c r="J13" s="40"/>
      <c r="K13" s="40"/>
      <c r="L13" s="40"/>
      <c r="M13" s="40"/>
      <c r="N13" s="7"/>
    </row>
    <row r="14" spans="1:21" s="11" customFormat="1" x14ac:dyDescent="0.35">
      <c r="B14" s="8"/>
      <c r="C14" s="35">
        <f t="shared" si="0"/>
        <v>0</v>
      </c>
      <c r="D14" s="9"/>
      <c r="E14" s="10">
        <f t="shared" si="4"/>
        <v>0</v>
      </c>
      <c r="F14" s="9"/>
      <c r="G14" s="39"/>
      <c r="H14" s="40"/>
      <c r="I14" s="40"/>
      <c r="J14" s="40"/>
      <c r="K14" s="40"/>
      <c r="L14" s="40"/>
      <c r="M14" s="40"/>
      <c r="N14" s="7"/>
    </row>
    <row r="15" spans="1:21" s="11" customFormat="1" x14ac:dyDescent="0.35">
      <c r="B15" s="8"/>
      <c r="C15" s="35">
        <f t="shared" si="0"/>
        <v>0</v>
      </c>
      <c r="D15" s="9"/>
      <c r="E15" s="10">
        <f t="shared" si="4"/>
        <v>0</v>
      </c>
      <c r="F15" s="9"/>
      <c r="G15" s="39"/>
      <c r="H15" s="40"/>
      <c r="I15" s="40"/>
      <c r="J15" s="40"/>
      <c r="K15" s="40"/>
      <c r="L15" s="40"/>
      <c r="M15" s="40"/>
      <c r="N15" s="7"/>
    </row>
    <row r="16" spans="1:21" s="11" customFormat="1" ht="18" thickBot="1" x14ac:dyDescent="0.4">
      <c r="B16" s="8"/>
      <c r="C16" s="35">
        <f t="shared" si="0"/>
        <v>0</v>
      </c>
      <c r="D16" s="9"/>
      <c r="E16" s="10">
        <f t="shared" si="4"/>
        <v>0</v>
      </c>
      <c r="F16" s="9"/>
      <c r="G16" s="39"/>
      <c r="H16" s="40"/>
      <c r="I16" s="40"/>
      <c r="J16" s="40"/>
      <c r="K16" s="40"/>
      <c r="L16" s="40"/>
      <c r="M16" s="40"/>
      <c r="N16" s="7"/>
    </row>
    <row r="17" spans="1:14" s="19" customFormat="1" ht="15" x14ac:dyDescent="0.3">
      <c r="B17" s="19" t="s">
        <v>2</v>
      </c>
      <c r="C17" s="47"/>
      <c r="F17" s="43"/>
      <c r="G17" s="41"/>
      <c r="H17" s="41"/>
      <c r="I17" s="41"/>
      <c r="J17" s="41"/>
      <c r="K17" s="41"/>
      <c r="L17" s="41"/>
      <c r="M17" s="41"/>
    </row>
    <row r="18" spans="1:14" s="11" customFormat="1" x14ac:dyDescent="0.35">
      <c r="A18" s="11">
        <v>3.1</v>
      </c>
      <c r="B18" s="32" t="s">
        <v>69</v>
      </c>
      <c r="C18" s="35">
        <f t="shared" si="0"/>
        <v>0</v>
      </c>
      <c r="D18" s="9"/>
      <c r="E18" s="10">
        <f t="shared" ref="E18:E23" si="8">C18+D18</f>
        <v>0</v>
      </c>
      <c r="F18" s="9">
        <f>E18*1.28</f>
        <v>0</v>
      </c>
      <c r="G18" s="39"/>
      <c r="H18" s="40"/>
      <c r="I18" s="40">
        <f>1 * $C$40</f>
        <v>156.66666666666666</v>
      </c>
      <c r="J18" s="40"/>
      <c r="K18" s="40"/>
      <c r="L18" s="40"/>
      <c r="M18" s="40"/>
      <c r="N18" s="7"/>
    </row>
    <row r="19" spans="1:14" s="11" customFormat="1" ht="29.25" x14ac:dyDescent="0.35">
      <c r="A19" s="11">
        <v>3.2</v>
      </c>
      <c r="B19" s="32" t="s">
        <v>70</v>
      </c>
      <c r="C19" s="35">
        <f t="shared" si="0"/>
        <v>0</v>
      </c>
      <c r="D19" s="9"/>
      <c r="E19" s="10">
        <f t="shared" si="8"/>
        <v>0</v>
      </c>
      <c r="F19" s="9">
        <f t="shared" ref="F19:F22" si="9">E19*1.28</f>
        <v>0</v>
      </c>
      <c r="G19" s="39"/>
      <c r="H19" s="40"/>
      <c r="I19" s="40"/>
      <c r="J19" s="40">
        <f t="shared" ref="J19" si="10">0.5 * $C$40</f>
        <v>78.333333333333329</v>
      </c>
      <c r="K19" s="40">
        <f>1*$C$40</f>
        <v>156.66666666666666</v>
      </c>
      <c r="L19" s="40"/>
      <c r="M19" s="40"/>
      <c r="N19" s="7"/>
    </row>
    <row r="20" spans="1:14" s="11" customFormat="1" ht="43.5" x14ac:dyDescent="0.35">
      <c r="A20" s="11">
        <v>3.3</v>
      </c>
      <c r="B20" s="32" t="s">
        <v>72</v>
      </c>
      <c r="C20" s="35">
        <f t="shared" si="0"/>
        <v>0</v>
      </c>
      <c r="D20" s="9"/>
      <c r="E20" s="10">
        <f t="shared" si="8"/>
        <v>0</v>
      </c>
      <c r="F20" s="9">
        <f t="shared" si="9"/>
        <v>0</v>
      </c>
      <c r="G20" s="39"/>
      <c r="H20" s="40"/>
      <c r="I20" s="40">
        <f>1.5*$C$40</f>
        <v>235</v>
      </c>
      <c r="J20" s="40"/>
      <c r="K20" s="40"/>
      <c r="L20" s="40"/>
      <c r="M20" s="40"/>
      <c r="N20" s="7"/>
    </row>
    <row r="21" spans="1:14" s="11" customFormat="1" ht="29.25" x14ac:dyDescent="0.35">
      <c r="A21" s="11">
        <v>3.4</v>
      </c>
      <c r="B21" s="31" t="s">
        <v>71</v>
      </c>
      <c r="C21" s="35">
        <f t="shared" si="0"/>
        <v>64.779170800000003</v>
      </c>
      <c r="D21" s="9">
        <f>6000/1000</f>
        <v>6</v>
      </c>
      <c r="E21" s="10">
        <f t="shared" si="8"/>
        <v>70.779170800000003</v>
      </c>
      <c r="F21" s="9">
        <f t="shared" si="9"/>
        <v>90.597338624000002</v>
      </c>
      <c r="G21" s="39"/>
      <c r="H21" s="40">
        <v>314.89</v>
      </c>
      <c r="I21" s="40"/>
      <c r="J21" s="40"/>
      <c r="K21" s="40"/>
      <c r="L21" s="40"/>
      <c r="M21" s="40"/>
      <c r="N21" s="7"/>
    </row>
    <row r="22" spans="1:14" s="11" customFormat="1" ht="29.25" x14ac:dyDescent="0.35">
      <c r="A22" s="11">
        <v>3.5</v>
      </c>
      <c r="B22" s="32" t="s">
        <v>73</v>
      </c>
      <c r="C22" s="35">
        <f t="shared" si="0"/>
        <v>32.388556799999996</v>
      </c>
      <c r="D22" s="9"/>
      <c r="E22" s="10">
        <f t="shared" si="8"/>
        <v>32.388556799999996</v>
      </c>
      <c r="F22" s="9">
        <f t="shared" si="9"/>
        <v>41.457352703999995</v>
      </c>
      <c r="G22" s="39"/>
      <c r="H22" s="40">
        <v>157.44</v>
      </c>
      <c r="I22" s="40"/>
      <c r="J22" s="40"/>
      <c r="K22" s="40"/>
      <c r="L22" s="40"/>
      <c r="M22" s="40"/>
      <c r="N22" s="7"/>
    </row>
    <row r="23" spans="1:14" s="11" customFormat="1" ht="18" thickBot="1" x14ac:dyDescent="0.4">
      <c r="B23" s="8"/>
      <c r="C23" s="35">
        <f t="shared" si="0"/>
        <v>0</v>
      </c>
      <c r="D23" s="9"/>
      <c r="E23" s="10">
        <f t="shared" si="8"/>
        <v>0</v>
      </c>
      <c r="F23" s="9"/>
      <c r="G23" s="39"/>
      <c r="H23" s="40"/>
      <c r="I23" s="40"/>
      <c r="J23" s="40"/>
      <c r="K23" s="40"/>
      <c r="L23" s="40"/>
      <c r="M23" s="40"/>
      <c r="N23" s="7"/>
    </row>
    <row r="24" spans="1:14" s="19" customFormat="1" ht="15" x14ac:dyDescent="0.3">
      <c r="B24" s="19" t="s">
        <v>3</v>
      </c>
      <c r="C24" s="47"/>
      <c r="F24" s="43"/>
      <c r="G24" s="41"/>
      <c r="H24" s="41"/>
      <c r="I24" s="41"/>
      <c r="J24" s="41"/>
      <c r="K24" s="41"/>
      <c r="L24" s="41"/>
      <c r="M24" s="41"/>
    </row>
    <row r="25" spans="1:14" s="11" customFormat="1" ht="58.5" x14ac:dyDescent="0.35">
      <c r="A25" s="38">
        <v>4.0999999999999996</v>
      </c>
      <c r="B25" s="31" t="s">
        <v>74</v>
      </c>
      <c r="C25" s="35">
        <f t="shared" si="0"/>
        <v>32.388556799999996</v>
      </c>
      <c r="D25" s="9">
        <f>6000/1000</f>
        <v>6</v>
      </c>
      <c r="E25" s="10">
        <f t="shared" ref="E25:E29" si="11">C25+D25</f>
        <v>38.388556799999996</v>
      </c>
      <c r="F25" s="9">
        <f>E25*1.28</f>
        <v>49.137352703999994</v>
      </c>
      <c r="G25" s="39">
        <v>157.44</v>
      </c>
      <c r="H25" s="40"/>
      <c r="I25" s="40"/>
      <c r="J25" s="40"/>
      <c r="K25" s="40"/>
      <c r="L25" s="40"/>
      <c r="M25" s="40"/>
      <c r="N25" s="7"/>
    </row>
    <row r="26" spans="1:14" s="11" customFormat="1" ht="43.5" x14ac:dyDescent="0.35">
      <c r="A26" s="38">
        <v>4.2</v>
      </c>
      <c r="B26" s="32" t="s">
        <v>75</v>
      </c>
      <c r="C26" s="35">
        <f t="shared" si="0"/>
        <v>32.388556799999996</v>
      </c>
      <c r="D26" s="9">
        <f>(6000+2000)/1000</f>
        <v>8</v>
      </c>
      <c r="E26" s="10">
        <f t="shared" si="11"/>
        <v>40.388556799999996</v>
      </c>
      <c r="F26" s="9">
        <f t="shared" ref="F26:F29" si="12">E26*1.28</f>
        <v>51.697352703999996</v>
      </c>
      <c r="G26" s="39">
        <v>157.44</v>
      </c>
      <c r="H26" s="40"/>
      <c r="I26" s="40"/>
      <c r="J26" s="40">
        <f>3*$C$40</f>
        <v>470</v>
      </c>
      <c r="K26" s="40">
        <f>4*$C$40</f>
        <v>626.66666666666663</v>
      </c>
      <c r="L26" s="40"/>
      <c r="M26" s="40"/>
      <c r="N26" s="7"/>
    </row>
    <row r="27" spans="1:14" s="11" customFormat="1" x14ac:dyDescent="0.35">
      <c r="B27" s="33"/>
      <c r="C27" s="35">
        <f t="shared" si="0"/>
        <v>0</v>
      </c>
      <c r="D27" s="9"/>
      <c r="E27" s="10">
        <f t="shared" si="11"/>
        <v>0</v>
      </c>
      <c r="F27" s="9">
        <f t="shared" si="12"/>
        <v>0</v>
      </c>
      <c r="G27" s="39"/>
      <c r="H27" s="40"/>
      <c r="I27" s="40"/>
      <c r="J27" s="40"/>
      <c r="K27" s="40"/>
      <c r="L27" s="40"/>
      <c r="M27" s="40"/>
      <c r="N27" s="7"/>
    </row>
    <row r="28" spans="1:14" s="11" customFormat="1" x14ac:dyDescent="0.35">
      <c r="B28" s="8"/>
      <c r="C28" s="35">
        <f t="shared" si="0"/>
        <v>0</v>
      </c>
      <c r="D28" s="9"/>
      <c r="E28" s="10">
        <f t="shared" si="11"/>
        <v>0</v>
      </c>
      <c r="F28" s="9">
        <f t="shared" si="12"/>
        <v>0</v>
      </c>
      <c r="G28" s="39"/>
      <c r="H28" s="40"/>
      <c r="I28" s="40"/>
      <c r="J28" s="40"/>
      <c r="K28" s="40"/>
      <c r="L28" s="40"/>
      <c r="M28" s="40"/>
      <c r="N28" s="7"/>
    </row>
    <row r="29" spans="1:14" s="11" customFormat="1" x14ac:dyDescent="0.35">
      <c r="B29" s="8"/>
      <c r="C29" s="35">
        <f t="shared" si="0"/>
        <v>0</v>
      </c>
      <c r="D29" s="9"/>
      <c r="E29" s="10">
        <f t="shared" si="11"/>
        <v>0</v>
      </c>
      <c r="F29" s="9">
        <f t="shared" si="12"/>
        <v>0</v>
      </c>
      <c r="G29" s="39"/>
      <c r="H29" s="40"/>
      <c r="I29" s="40"/>
      <c r="J29" s="40"/>
      <c r="K29" s="40"/>
      <c r="L29" s="40"/>
      <c r="M29" s="40"/>
      <c r="N29" s="7"/>
    </row>
    <row r="30" spans="1:14" s="11" customFormat="1" x14ac:dyDescent="0.35">
      <c r="B30" s="8" t="s">
        <v>80</v>
      </c>
      <c r="C30" s="35"/>
      <c r="D30" s="9"/>
      <c r="E30" s="10"/>
      <c r="F30" s="9"/>
      <c r="G30" s="49">
        <f>SUM(G4:G29)</f>
        <v>976.11000000000013</v>
      </c>
      <c r="H30" s="50">
        <f t="shared" ref="H30:M30" si="13">SUM(H4:H29)</f>
        <v>708.47</v>
      </c>
      <c r="I30" s="50">
        <f t="shared" si="13"/>
        <v>939.99999999999989</v>
      </c>
      <c r="J30" s="50">
        <f t="shared" si="13"/>
        <v>940</v>
      </c>
      <c r="K30" s="50">
        <f t="shared" si="13"/>
        <v>940</v>
      </c>
      <c r="L30" s="50">
        <f t="shared" si="13"/>
        <v>0</v>
      </c>
      <c r="M30" s="50">
        <f t="shared" si="13"/>
        <v>0</v>
      </c>
      <c r="N30" s="7"/>
    </row>
    <row r="31" spans="1:14" s="11" customFormat="1" x14ac:dyDescent="0.35">
      <c r="B31" s="12"/>
      <c r="C31" s="35"/>
      <c r="E31" s="13"/>
      <c r="F31" s="9"/>
      <c r="G31" s="34"/>
      <c r="H31" s="35"/>
      <c r="I31" s="35"/>
      <c r="J31" s="35"/>
      <c r="K31" s="35"/>
      <c r="L31" s="35"/>
      <c r="M31" s="35"/>
      <c r="N31" s="7"/>
    </row>
    <row r="32" spans="1:14" s="15" customFormat="1" x14ac:dyDescent="0.35">
      <c r="B32" s="14" t="s">
        <v>44</v>
      </c>
      <c r="C32" s="48">
        <f>SUM(C4:C30)*1.28</f>
        <v>443.58630092800001</v>
      </c>
      <c r="D32" s="16">
        <f>SUM(D4:D30)*1.28</f>
        <v>54.656000000000006</v>
      </c>
      <c r="E32" s="16">
        <f>SUM(C32:D32)</f>
        <v>498.24230092800002</v>
      </c>
      <c r="F32" s="44"/>
      <c r="G32" s="36"/>
      <c r="H32" s="37"/>
      <c r="I32" s="37"/>
      <c r="J32" s="37"/>
      <c r="K32" s="37"/>
      <c r="L32" s="37"/>
      <c r="M32" s="37"/>
      <c r="N32" s="17"/>
    </row>
    <row r="33" spans="2:7" s="11" customFormat="1" ht="16.5" x14ac:dyDescent="0.3">
      <c r="B33" s="12"/>
      <c r="C33" s="35"/>
      <c r="E33" s="26"/>
      <c r="F33" s="9"/>
      <c r="G33" s="7"/>
    </row>
    <row r="34" spans="2:7" s="11" customFormat="1" ht="16.5" x14ac:dyDescent="0.3">
      <c r="B34" s="12"/>
      <c r="C34" s="35"/>
      <c r="E34" s="26"/>
      <c r="F34" s="9"/>
      <c r="G34" s="7"/>
    </row>
    <row r="35" spans="2:7" s="11" customFormat="1" ht="16.5" x14ac:dyDescent="0.3">
      <c r="B35" s="12"/>
      <c r="C35" s="35"/>
      <c r="E35" s="26"/>
      <c r="F35" s="9"/>
      <c r="G35" s="7"/>
    </row>
    <row r="37" spans="2:7" x14ac:dyDescent="0.35">
      <c r="B37" s="6" t="s">
        <v>12</v>
      </c>
    </row>
    <row r="38" spans="2:7" x14ac:dyDescent="0.35">
      <c r="B38" s="6" t="s">
        <v>14</v>
      </c>
    </row>
    <row r="39" spans="2:7" x14ac:dyDescent="0.35">
      <c r="B39" s="6" t="s">
        <v>13</v>
      </c>
    </row>
    <row r="40" spans="2:7" ht="33.75" x14ac:dyDescent="0.35">
      <c r="B40" s="6" t="s">
        <v>82</v>
      </c>
      <c r="C40" s="45">
        <f>52*40*23.5/26*1/12</f>
        <v>156.66666666666666</v>
      </c>
    </row>
    <row r="43" spans="2:7" ht="78.75" x14ac:dyDescent="0.35">
      <c r="B43" s="27" t="s">
        <v>41</v>
      </c>
    </row>
  </sheetData>
  <mergeCells count="2">
    <mergeCell ref="G1:M1"/>
    <mergeCell ref="N1:O1"/>
  </mergeCells>
  <pageMargins left="0.7" right="0.7" top="0.75" bottom="0.75" header="0.3" footer="0.3"/>
  <pageSetup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abSelected="1" workbookViewId="0">
      <pane ySplit="1" topLeftCell="A2" activePane="bottomLeft" state="frozen"/>
      <selection pane="bottomLeft" activeCell="A22" sqref="A22"/>
    </sheetView>
  </sheetViews>
  <sheetFormatPr defaultRowHeight="16.5" x14ac:dyDescent="0.3"/>
  <cols>
    <col min="1" max="1" width="27" customWidth="1"/>
    <col min="2" max="2" width="14.125" style="6" customWidth="1"/>
    <col min="3" max="3" width="11.5" style="23" customWidth="1"/>
  </cols>
  <sheetData>
    <row r="1" spans="1:5" s="21" customFormat="1" x14ac:dyDescent="0.3">
      <c r="A1" s="21" t="s">
        <v>15</v>
      </c>
      <c r="B1" s="29" t="s">
        <v>16</v>
      </c>
      <c r="C1" s="22" t="s">
        <v>20</v>
      </c>
      <c r="D1" s="21" t="s">
        <v>21</v>
      </c>
      <c r="E1" s="21" t="s">
        <v>76</v>
      </c>
    </row>
    <row r="2" spans="1:5" x14ac:dyDescent="0.3">
      <c r="A2" t="s">
        <v>47</v>
      </c>
      <c r="B2" s="6" t="s">
        <v>49</v>
      </c>
      <c r="C2" s="23">
        <v>12000</v>
      </c>
      <c r="D2" t="s">
        <v>22</v>
      </c>
      <c r="E2">
        <v>3.6</v>
      </c>
    </row>
    <row r="3" spans="1:5" x14ac:dyDescent="0.3">
      <c r="A3" t="s">
        <v>18</v>
      </c>
      <c r="B3" s="6" t="s">
        <v>19</v>
      </c>
      <c r="C3" s="23">
        <v>600</v>
      </c>
      <c r="D3" t="s">
        <v>22</v>
      </c>
      <c r="E3">
        <v>1.4</v>
      </c>
    </row>
    <row r="4" spans="1:5" x14ac:dyDescent="0.3">
      <c r="A4" t="s">
        <v>48</v>
      </c>
      <c r="B4" s="6" t="s">
        <v>49</v>
      </c>
      <c r="C4" s="23">
        <v>6000</v>
      </c>
      <c r="D4" t="s">
        <v>24</v>
      </c>
      <c r="E4">
        <v>4.2</v>
      </c>
    </row>
    <row r="5" spans="1:5" x14ac:dyDescent="0.3">
      <c r="A5" t="s">
        <v>50</v>
      </c>
      <c r="B5" s="6" t="s">
        <v>51</v>
      </c>
      <c r="C5" s="23">
        <v>4000</v>
      </c>
      <c r="D5" t="s">
        <v>25</v>
      </c>
      <c r="E5">
        <v>3.6</v>
      </c>
    </row>
    <row r="6" spans="1:5" x14ac:dyDescent="0.3">
      <c r="A6" t="s">
        <v>54</v>
      </c>
      <c r="B6" s="6" t="s">
        <v>55</v>
      </c>
      <c r="C6" s="23">
        <f>209137/2</f>
        <v>104568.5</v>
      </c>
      <c r="D6" t="s">
        <v>22</v>
      </c>
      <c r="E6">
        <v>3.6</v>
      </c>
    </row>
    <row r="7" spans="1:5" x14ac:dyDescent="0.3">
      <c r="A7" t="s">
        <v>60</v>
      </c>
      <c r="B7" s="6" t="s">
        <v>61</v>
      </c>
      <c r="C7" s="23">
        <v>20000</v>
      </c>
      <c r="D7" t="s">
        <v>22</v>
      </c>
      <c r="E7" t="s">
        <v>77</v>
      </c>
    </row>
    <row r="9" spans="1:5" x14ac:dyDescent="0.3">
      <c r="A9" t="s">
        <v>33</v>
      </c>
      <c r="B9" s="6" t="s">
        <v>30</v>
      </c>
      <c r="C9" s="23">
        <v>4000</v>
      </c>
      <c r="D9" t="s">
        <v>22</v>
      </c>
      <c r="E9">
        <v>1.2</v>
      </c>
    </row>
    <row r="11" spans="1:5" x14ac:dyDescent="0.3">
      <c r="A11" t="s">
        <v>32</v>
      </c>
      <c r="B11" s="6" t="s">
        <v>26</v>
      </c>
      <c r="C11" s="23">
        <v>1100</v>
      </c>
      <c r="D11" t="s">
        <v>24</v>
      </c>
      <c r="E11">
        <v>2.2000000000000002</v>
      </c>
    </row>
    <row r="12" spans="1:5" x14ac:dyDescent="0.3">
      <c r="A12" t="s">
        <v>45</v>
      </c>
      <c r="B12" s="6" t="s">
        <v>19</v>
      </c>
      <c r="C12" s="23">
        <v>6000</v>
      </c>
      <c r="D12" t="s">
        <v>22</v>
      </c>
      <c r="E12">
        <v>1.4</v>
      </c>
    </row>
    <row r="13" spans="1:5" x14ac:dyDescent="0.3">
      <c r="A13" t="s">
        <v>45</v>
      </c>
      <c r="B13" s="6" t="s">
        <v>26</v>
      </c>
      <c r="C13" s="23">
        <v>6000</v>
      </c>
      <c r="D13" t="s">
        <v>22</v>
      </c>
      <c r="E13">
        <v>1.1000000000000001</v>
      </c>
    </row>
    <row r="14" spans="1:5" x14ac:dyDescent="0.3">
      <c r="A14" t="s">
        <v>46</v>
      </c>
      <c r="B14" s="6" t="s">
        <v>19</v>
      </c>
      <c r="C14" s="23">
        <v>6000</v>
      </c>
      <c r="D14" t="s">
        <v>22</v>
      </c>
      <c r="E14">
        <v>3.4</v>
      </c>
    </row>
    <row r="15" spans="1:5" x14ac:dyDescent="0.3">
      <c r="A15" t="s">
        <v>46</v>
      </c>
      <c r="B15" s="6" t="s">
        <v>26</v>
      </c>
      <c r="C15" s="23">
        <v>6000</v>
      </c>
      <c r="D15" t="s">
        <v>22</v>
      </c>
      <c r="E15">
        <v>4.0999999999999996</v>
      </c>
    </row>
    <row r="16" spans="1:5" x14ac:dyDescent="0.3">
      <c r="A16" t="s">
        <v>23</v>
      </c>
      <c r="B16" s="6" t="s">
        <v>19</v>
      </c>
      <c r="C16" s="23">
        <v>5000</v>
      </c>
      <c r="D16" t="s">
        <v>24</v>
      </c>
      <c r="E16">
        <v>1.4</v>
      </c>
    </row>
    <row r="17" spans="1:5" x14ac:dyDescent="0.3">
      <c r="A17" t="s">
        <v>52</v>
      </c>
      <c r="B17" s="6" t="s">
        <v>26</v>
      </c>
      <c r="C17" s="23">
        <v>2000</v>
      </c>
      <c r="D17" t="s">
        <v>24</v>
      </c>
      <c r="E17">
        <v>3.6</v>
      </c>
    </row>
    <row r="18" spans="1:5" x14ac:dyDescent="0.3">
      <c r="A18" t="s">
        <v>53</v>
      </c>
      <c r="B18" s="6" t="s">
        <v>17</v>
      </c>
      <c r="C18" s="23">
        <v>2000</v>
      </c>
      <c r="D18" t="s">
        <v>25</v>
      </c>
      <c r="E18">
        <v>4.2</v>
      </c>
    </row>
    <row r="19" spans="1:5" ht="33" x14ac:dyDescent="0.3">
      <c r="A19" t="s">
        <v>56</v>
      </c>
      <c r="B19" s="6" t="s">
        <v>57</v>
      </c>
      <c r="C19" s="23">
        <v>2000</v>
      </c>
      <c r="D19" t="s">
        <v>25</v>
      </c>
      <c r="E19">
        <v>4.3</v>
      </c>
    </row>
    <row r="20" spans="1:5" x14ac:dyDescent="0.3">
      <c r="A20" t="s">
        <v>58</v>
      </c>
      <c r="B20" s="6" t="s">
        <v>19</v>
      </c>
      <c r="C20" s="23">
        <v>2000</v>
      </c>
      <c r="D20" t="s">
        <v>24</v>
      </c>
      <c r="E20">
        <v>4.3</v>
      </c>
    </row>
    <row r="21" spans="1:5" x14ac:dyDescent="0.3">
      <c r="A21" t="s">
        <v>83</v>
      </c>
      <c r="C21" s="23">
        <v>331673</v>
      </c>
    </row>
    <row r="26" spans="1:5" x14ac:dyDescent="0.3">
      <c r="A26" t="s">
        <v>27</v>
      </c>
    </row>
    <row r="27" spans="1:5" ht="17.25" x14ac:dyDescent="0.35">
      <c r="A27" s="24" t="s">
        <v>22</v>
      </c>
      <c r="B27" s="30"/>
      <c r="C27" s="25">
        <f>SUMIF(D2:D24,"=High",C2:C24)</f>
        <v>165168.5</v>
      </c>
    </row>
    <row r="28" spans="1:5" ht="17.25" x14ac:dyDescent="0.35">
      <c r="A28" s="24" t="s">
        <v>28</v>
      </c>
      <c r="B28" s="30"/>
      <c r="C28" s="25">
        <f>SUMIF(D2:D24,"=Medium",C2:C24)+C27</f>
        <v>173168.5</v>
      </c>
    </row>
    <row r="29" spans="1:5" ht="17.25" x14ac:dyDescent="0.35">
      <c r="A29" s="24" t="s">
        <v>29</v>
      </c>
      <c r="B29" s="30"/>
      <c r="C29" s="25">
        <f>SUMIF(D2:D24,"=Low",C2:C24)+C28</f>
        <v>189268.5</v>
      </c>
    </row>
    <row r="31" spans="1:5" x14ac:dyDescent="0.3">
      <c r="A31" t="s">
        <v>31</v>
      </c>
      <c r="B31" s="6">
        <f>388-76</f>
        <v>312</v>
      </c>
    </row>
  </sheetData>
  <sortState ref="A2:D19">
    <sortCondition ref="A2:A19"/>
    <sortCondition ref="B2:B19"/>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A2" sqref="A2:H6"/>
    </sheetView>
  </sheetViews>
  <sheetFormatPr defaultRowHeight="16.5" x14ac:dyDescent="0.3"/>
  <cols>
    <col min="1" max="1" width="18.875" customWidth="1"/>
    <col min="2" max="2" width="12.625" customWidth="1"/>
    <col min="3" max="3" width="13.75" customWidth="1"/>
    <col min="7" max="7" width="11.875" customWidth="1"/>
    <col min="8" max="8" width="34.375" customWidth="1"/>
  </cols>
  <sheetData>
    <row r="1" spans="1:8" s="6" customFormat="1" ht="33" x14ac:dyDescent="0.3">
      <c r="A1" s="6" t="s">
        <v>34</v>
      </c>
      <c r="B1" s="6" t="s">
        <v>35</v>
      </c>
      <c r="C1" s="6" t="s">
        <v>36</v>
      </c>
      <c r="D1" s="6" t="s">
        <v>40</v>
      </c>
      <c r="E1" s="6" t="s">
        <v>38</v>
      </c>
      <c r="F1" s="6" t="s">
        <v>27</v>
      </c>
      <c r="G1" s="6" t="s">
        <v>37</v>
      </c>
      <c r="H1" s="6"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Overview</vt:lpstr>
      <vt:lpstr>Other Objects</vt:lpstr>
      <vt:lpstr>Travel</vt:lpstr>
      <vt:lpstr>Overview!Print_Area</vt:lpstr>
      <vt:lpstr>Overview!Print_Titles</vt:lpstr>
    </vt:vector>
  </TitlesOfParts>
  <Company>NIST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Balakirsky</dc:creator>
  <cp:lastModifiedBy>Stephen Balakirsky</cp:lastModifiedBy>
  <cp:lastPrinted>2012-07-12T13:38:10Z</cp:lastPrinted>
  <dcterms:created xsi:type="dcterms:W3CDTF">2011-08-01T20:42:30Z</dcterms:created>
  <dcterms:modified xsi:type="dcterms:W3CDTF">2012-08-24T16:44:02Z</dcterms:modified>
</cp:coreProperties>
</file>