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jkneifel\Desktop\PV2 Documents\"/>
    </mc:Choice>
  </mc:AlternateContent>
  <xr:revisionPtr revIDLastSave="0" documentId="13_ncr:1_{05DE45A3-7818-4AD9-824A-DFA00356F345}" xr6:coauthVersionLast="45" xr6:coauthVersionMax="45" xr10:uidLastSave="{00000000-0000-0000-0000-000000000000}"/>
  <bookViews>
    <workbookView xWindow="9975" yWindow="495" windowWidth="17775" windowHeight="14085" tabRatio="859" firstSheet="1" activeTab="4" xr2:uid="{00000000-000D-0000-FFFF-FFFF00000000}"/>
  </bookViews>
  <sheets>
    <sheet name="User Inputs - EX 1" sheetId="20" r:id="rId1"/>
    <sheet name="User Inputs - EX 2" sheetId="23" r:id="rId2"/>
    <sheet name="Electricity Costs" sheetId="21" r:id="rId3"/>
    <sheet name="PV Degrad. SPV SRECS" sheetId="19" r:id="rId4"/>
    <sheet name="Purch. Cash Net Metering" sheetId="18" r:id="rId5"/>
    <sheet name="Purch. Loan FIT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18" l="1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5" i="18"/>
  <c r="M40" i="21"/>
  <c r="M39" i="21"/>
  <c r="M38" i="21"/>
  <c r="M37" i="21"/>
  <c r="M36" i="21"/>
  <c r="X43" i="22"/>
  <c r="X42" i="22"/>
  <c r="X36" i="22"/>
  <c r="X35" i="22"/>
  <c r="X39" i="22"/>
  <c r="X40" i="22" s="1"/>
  <c r="X41" i="22" s="1"/>
  <c r="Y40" i="18"/>
  <c r="Y41" i="18" s="1"/>
  <c r="G35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6" i="22"/>
  <c r="S31" i="22"/>
  <c r="X33" i="22" s="1"/>
  <c r="X34" i="22" s="1"/>
  <c r="AA5" i="21"/>
  <c r="T5" i="22"/>
  <c r="Q31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6" i="22"/>
  <c r="T5" i="21"/>
  <c r="W6" i="22"/>
  <c r="Q5" i="22"/>
  <c r="D7" i="22"/>
  <c r="D8" i="22"/>
  <c r="D9" i="22"/>
  <c r="D10" i="22"/>
  <c r="D11" i="22"/>
  <c r="D12" i="22"/>
  <c r="D13" i="22"/>
  <c r="D14" i="22"/>
  <c r="D15" i="22"/>
  <c r="G19" i="22"/>
  <c r="G22" i="22"/>
  <c r="D6" i="22"/>
  <c r="D5" i="22"/>
  <c r="E27" i="23"/>
  <c r="H9" i="23"/>
  <c r="B25" i="23"/>
  <c r="B23" i="23"/>
  <c r="B20" i="23"/>
  <c r="H10" i="23"/>
  <c r="G34" i="22"/>
  <c r="P30" i="22"/>
  <c r="G30" i="22"/>
  <c r="F30" i="22"/>
  <c r="E30" i="22"/>
  <c r="C30" i="22"/>
  <c r="P29" i="22"/>
  <c r="F29" i="22"/>
  <c r="E29" i="22"/>
  <c r="C29" i="22"/>
  <c r="P28" i="22"/>
  <c r="F28" i="22"/>
  <c r="E28" i="22"/>
  <c r="C28" i="22"/>
  <c r="P27" i="22"/>
  <c r="G27" i="22"/>
  <c r="F27" i="22"/>
  <c r="E27" i="22"/>
  <c r="C27" i="22"/>
  <c r="P26" i="22"/>
  <c r="G26" i="22"/>
  <c r="F26" i="22"/>
  <c r="E26" i="22"/>
  <c r="C26" i="22"/>
  <c r="P25" i="22"/>
  <c r="F25" i="22"/>
  <c r="E25" i="22"/>
  <c r="G25" i="22" s="1"/>
  <c r="C25" i="22"/>
  <c r="P24" i="22"/>
  <c r="F24" i="22"/>
  <c r="E24" i="22"/>
  <c r="G24" i="22" s="1"/>
  <c r="C24" i="22"/>
  <c r="P23" i="22"/>
  <c r="G23" i="22"/>
  <c r="F23" i="22"/>
  <c r="E23" i="22"/>
  <c r="C23" i="22"/>
  <c r="P22" i="22"/>
  <c r="F22" i="22"/>
  <c r="E22" i="22"/>
  <c r="C22" i="22"/>
  <c r="P21" i="22"/>
  <c r="F21" i="22"/>
  <c r="E21" i="22"/>
  <c r="C21" i="22"/>
  <c r="P20" i="22"/>
  <c r="F20" i="22"/>
  <c r="E20" i="22"/>
  <c r="G20" i="22" s="1"/>
  <c r="C20" i="22"/>
  <c r="P19" i="22"/>
  <c r="F19" i="22"/>
  <c r="E19" i="22"/>
  <c r="C19" i="22"/>
  <c r="P18" i="22"/>
  <c r="G18" i="22"/>
  <c r="F18" i="22"/>
  <c r="E18" i="22"/>
  <c r="C18" i="22"/>
  <c r="P17" i="22"/>
  <c r="F17" i="22"/>
  <c r="E17" i="22"/>
  <c r="G17" i="22" s="1"/>
  <c r="C17" i="22"/>
  <c r="P16" i="22"/>
  <c r="F16" i="22"/>
  <c r="E16" i="22"/>
  <c r="G16" i="22" s="1"/>
  <c r="C16" i="22"/>
  <c r="P15" i="22"/>
  <c r="G15" i="22"/>
  <c r="F15" i="22"/>
  <c r="E15" i="22"/>
  <c r="C15" i="22"/>
  <c r="P14" i="22"/>
  <c r="G14" i="22"/>
  <c r="F14" i="22"/>
  <c r="E14" i="22"/>
  <c r="C14" i="22"/>
  <c r="P13" i="22"/>
  <c r="F13" i="22"/>
  <c r="E13" i="22"/>
  <c r="C13" i="22"/>
  <c r="P12" i="22"/>
  <c r="F12" i="22"/>
  <c r="E12" i="22"/>
  <c r="G12" i="22" s="1"/>
  <c r="C12" i="22"/>
  <c r="P11" i="22"/>
  <c r="G11" i="22"/>
  <c r="F11" i="22"/>
  <c r="E11" i="22"/>
  <c r="C11" i="22"/>
  <c r="P10" i="22"/>
  <c r="G10" i="22"/>
  <c r="F10" i="22"/>
  <c r="E10" i="22"/>
  <c r="C10" i="22"/>
  <c r="P9" i="22"/>
  <c r="F9" i="22"/>
  <c r="E9" i="22"/>
  <c r="G9" i="22" s="1"/>
  <c r="C9" i="22"/>
  <c r="P8" i="22"/>
  <c r="F8" i="22"/>
  <c r="E8" i="22"/>
  <c r="G8" i="22" s="1"/>
  <c r="C8" i="22"/>
  <c r="B8" i="22"/>
  <c r="B9" i="22" s="1"/>
  <c r="Y7" i="22"/>
  <c r="P7" i="22"/>
  <c r="O7" i="22"/>
  <c r="O8" i="22" s="1"/>
  <c r="G7" i="22"/>
  <c r="F7" i="22"/>
  <c r="E7" i="22"/>
  <c r="C7" i="22"/>
  <c r="B7" i="22"/>
  <c r="L7" i="22" s="1"/>
  <c r="Y6" i="22"/>
  <c r="N6" i="22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L6" i="22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S5" i="22"/>
  <c r="R5" i="22"/>
  <c r="P5" i="22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5" i="18"/>
  <c r="R5" i="18"/>
  <c r="S5" i="18"/>
  <c r="O7" i="18"/>
  <c r="O8" i="18" s="1"/>
  <c r="N7" i="18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Z6" i="18"/>
  <c r="N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D5" i="18"/>
  <c r="Q5" i="18" s="1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G21" i="18" s="1"/>
  <c r="E22" i="18"/>
  <c r="E23" i="18"/>
  <c r="E24" i="18"/>
  <c r="E25" i="18"/>
  <c r="E26" i="18"/>
  <c r="E27" i="18"/>
  <c r="E28" i="18"/>
  <c r="E29" i="18"/>
  <c r="E30" i="18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C3" i="19"/>
  <c r="D3" i="19" s="1"/>
  <c r="C4" i="19"/>
  <c r="D4" i="19" s="1"/>
  <c r="C5" i="19"/>
  <c r="C6" i="19"/>
  <c r="D6" i="19" s="1"/>
  <c r="C7" i="19"/>
  <c r="D7" i="19" s="1"/>
  <c r="C8" i="19"/>
  <c r="C9" i="19"/>
  <c r="C10" i="19"/>
  <c r="D10" i="19" s="1"/>
  <c r="C11" i="19"/>
  <c r="D11" i="19" s="1"/>
  <c r="C12" i="19"/>
  <c r="C13" i="19"/>
  <c r="C14" i="19"/>
  <c r="C15" i="19"/>
  <c r="D15" i="19" s="1"/>
  <c r="C16" i="19"/>
  <c r="C17" i="19"/>
  <c r="C18" i="19"/>
  <c r="C19" i="19"/>
  <c r="C20" i="19"/>
  <c r="C21" i="19"/>
  <c r="C22" i="19"/>
  <c r="C23" i="19"/>
  <c r="D23" i="19" s="1"/>
  <c r="C24" i="19"/>
  <c r="C25" i="19"/>
  <c r="C26" i="19"/>
  <c r="D26" i="19" s="1"/>
  <c r="C2" i="19"/>
  <c r="D8" i="19"/>
  <c r="D16" i="19"/>
  <c r="D17" i="19"/>
  <c r="D18" i="19"/>
  <c r="D22" i="19"/>
  <c r="D24" i="19"/>
  <c r="D2" i="19"/>
  <c r="O5" i="21"/>
  <c r="O6" i="21" s="1"/>
  <c r="O7" i="21" s="1"/>
  <c r="O8" i="21" s="1"/>
  <c r="O9" i="21" s="1"/>
  <c r="O10" i="21" s="1"/>
  <c r="D5" i="2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5" i="21"/>
  <c r="D12" i="19"/>
  <c r="D14" i="19"/>
  <c r="D20" i="19"/>
  <c r="D5" i="19"/>
  <c r="D9" i="19"/>
  <c r="D13" i="19"/>
  <c r="D19" i="19"/>
  <c r="D21" i="19"/>
  <c r="D25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5" i="21"/>
  <c r="U6" i="21"/>
  <c r="U7" i="21"/>
  <c r="U8" i="21"/>
  <c r="U9" i="21"/>
  <c r="U10" i="21"/>
  <c r="U5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G29" i="18" l="1"/>
  <c r="G13" i="18"/>
  <c r="G23" i="18"/>
  <c r="G15" i="18"/>
  <c r="G7" i="18"/>
  <c r="G25" i="18"/>
  <c r="G17" i="18"/>
  <c r="Y36" i="18"/>
  <c r="G26" i="18"/>
  <c r="G12" i="18"/>
  <c r="G27" i="18"/>
  <c r="G11" i="18"/>
  <c r="G10" i="18"/>
  <c r="G30" i="18"/>
  <c r="G22" i="18"/>
  <c r="G14" i="18"/>
  <c r="G5" i="18"/>
  <c r="G20" i="18"/>
  <c r="G9" i="18"/>
  <c r="G19" i="18"/>
  <c r="G18" i="18"/>
  <c r="G28" i="18"/>
  <c r="G24" i="18"/>
  <c r="G16" i="18"/>
  <c r="G8" i="18"/>
  <c r="G21" i="22"/>
  <c r="G13" i="22"/>
  <c r="G29" i="22"/>
  <c r="G28" i="22"/>
  <c r="L9" i="22"/>
  <c r="B10" i="22"/>
  <c r="Y8" i="22"/>
  <c r="O9" i="22"/>
  <c r="G5" i="22"/>
  <c r="L8" i="22"/>
  <c r="O9" i="18"/>
  <c r="Z8" i="18"/>
  <c r="Z7" i="18"/>
  <c r="T5" i="18"/>
  <c r="V5" i="18" s="1"/>
  <c r="H5" i="18"/>
  <c r="Q6" i="21"/>
  <c r="T6" i="21" s="1"/>
  <c r="Z30" i="21"/>
  <c r="G34" i="18"/>
  <c r="G35" i="18" s="1"/>
  <c r="U5" i="22" l="1"/>
  <c r="O10" i="22"/>
  <c r="Y9" i="22"/>
  <c r="L10" i="22"/>
  <c r="B11" i="22"/>
  <c r="H5" i="22"/>
  <c r="Z9" i="18"/>
  <c r="O10" i="18"/>
  <c r="Q7" i="21"/>
  <c r="T7" i="21" s="1"/>
  <c r="B3" i="19"/>
  <c r="L11" i="22" l="1"/>
  <c r="B12" i="22"/>
  <c r="O11" i="22"/>
  <c r="Y10" i="22"/>
  <c r="O11" i="18"/>
  <c r="Z10" i="18"/>
  <c r="Q8" i="21"/>
  <c r="T8" i="21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5" i="21"/>
  <c r="Q5" i="21" s="1"/>
  <c r="K7" i="21"/>
  <c r="K8" i="21"/>
  <c r="K9" i="21"/>
  <c r="K10" i="2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6" i="21"/>
  <c r="H7" i="2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H6" i="21"/>
  <c r="L5" i="21"/>
  <c r="J30" i="21"/>
  <c r="B6" i="2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A6" i="2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B25" i="20"/>
  <c r="B23" i="20"/>
  <c r="H10" i="20"/>
  <c r="B20" i="20"/>
  <c r="V5" i="21" l="1"/>
  <c r="S5" i="21"/>
  <c r="Y11" i="22"/>
  <c r="O12" i="22"/>
  <c r="B13" i="22"/>
  <c r="L12" i="22"/>
  <c r="Z11" i="18"/>
  <c r="O12" i="18"/>
  <c r="Q10" i="21"/>
  <c r="T10" i="21" s="1"/>
  <c r="Q9" i="21"/>
  <c r="T9" i="21" s="1"/>
  <c r="Y5" i="21"/>
  <c r="E6" i="21"/>
  <c r="F6" i="21" s="1"/>
  <c r="AB6" i="21" s="1"/>
  <c r="L6" i="21"/>
  <c r="L7" i="21"/>
  <c r="S30" i="21" l="1"/>
  <c r="E6" i="22"/>
  <c r="E6" i="18"/>
  <c r="V30" i="21"/>
  <c r="R6" i="18"/>
  <c r="Y12" i="22"/>
  <c r="O13" i="22"/>
  <c r="L13" i="22"/>
  <c r="B14" i="22"/>
  <c r="Z12" i="18"/>
  <c r="O13" i="18"/>
  <c r="Q30" i="21"/>
  <c r="T30" i="21"/>
  <c r="T32" i="21" s="1"/>
  <c r="E7" i="21"/>
  <c r="F7" i="21" s="1"/>
  <c r="AB7" i="21" s="1"/>
  <c r="Y6" i="21"/>
  <c r="AA6" i="21" s="1"/>
  <c r="AD6" i="21" s="1"/>
  <c r="V2" i="19"/>
  <c r="E5" i="21"/>
  <c r="C30" i="21"/>
  <c r="L11" i="21"/>
  <c r="L9" i="21"/>
  <c r="L8" i="21"/>
  <c r="L10" i="21"/>
  <c r="F2" i="19"/>
  <c r="A3" i="19"/>
  <c r="A4" i="19" s="1"/>
  <c r="A5" i="19" s="1"/>
  <c r="A6" i="19" s="1"/>
  <c r="A7" i="19" s="1"/>
  <c r="A8" i="19" s="1"/>
  <c r="B7" i="18"/>
  <c r="B8" i="18" s="1"/>
  <c r="B9" i="18" s="1"/>
  <c r="L6" i="18"/>
  <c r="G2" i="19" l="1"/>
  <c r="F6" i="22"/>
  <c r="F6" i="18"/>
  <c r="F5" i="21"/>
  <c r="C6" i="18"/>
  <c r="G6" i="18" s="1"/>
  <c r="C6" i="22"/>
  <c r="G6" i="22" s="1"/>
  <c r="L14" i="22"/>
  <c r="B15" i="22"/>
  <c r="O14" i="22"/>
  <c r="Y13" i="22"/>
  <c r="O14" i="18"/>
  <c r="Z13" i="18"/>
  <c r="L7" i="18"/>
  <c r="Y7" i="21"/>
  <c r="AA7" i="21" s="1"/>
  <c r="AD7" i="21" s="1"/>
  <c r="L12" i="21"/>
  <c r="L8" i="18"/>
  <c r="B10" i="18"/>
  <c r="L9" i="18"/>
  <c r="A9" i="19"/>
  <c r="H19" i="22" l="1"/>
  <c r="I19" i="22" s="1"/>
  <c r="H12" i="22"/>
  <c r="I12" i="22" s="1"/>
  <c r="H6" i="22"/>
  <c r="I6" i="22" s="1"/>
  <c r="H15" i="22"/>
  <c r="I15" i="22" s="1"/>
  <c r="H8" i="22"/>
  <c r="I8" i="22" s="1"/>
  <c r="H17" i="22"/>
  <c r="I17" i="22" s="1"/>
  <c r="H20" i="22"/>
  <c r="I20" i="22" s="1"/>
  <c r="H10" i="22"/>
  <c r="I10" i="22" s="1"/>
  <c r="H11" i="22"/>
  <c r="I11" i="22" s="1"/>
  <c r="H29" i="22"/>
  <c r="I29" i="22" s="1"/>
  <c r="H30" i="22"/>
  <c r="I30" i="22" s="1"/>
  <c r="H13" i="22"/>
  <c r="I13" i="22" s="1"/>
  <c r="H16" i="22"/>
  <c r="I16" i="22" s="1"/>
  <c r="H7" i="22"/>
  <c r="I7" i="22" s="1"/>
  <c r="H25" i="22"/>
  <c r="I25" i="22" s="1"/>
  <c r="H26" i="22"/>
  <c r="I26" i="22" s="1"/>
  <c r="H27" i="22"/>
  <c r="I27" i="22" s="1"/>
  <c r="H28" i="22"/>
  <c r="I28" i="22" s="1"/>
  <c r="H21" i="22"/>
  <c r="I21" i="22" s="1"/>
  <c r="H22" i="22"/>
  <c r="I22" i="22" s="1"/>
  <c r="H24" i="22"/>
  <c r="I24" i="22" s="1"/>
  <c r="H18" i="22"/>
  <c r="I18" i="22" s="1"/>
  <c r="H14" i="22"/>
  <c r="I14" i="22" s="1"/>
  <c r="H23" i="22"/>
  <c r="I23" i="22" s="1"/>
  <c r="H9" i="22"/>
  <c r="I9" i="22" s="1"/>
  <c r="H19" i="18"/>
  <c r="I19" i="18" s="1"/>
  <c r="H29" i="18"/>
  <c r="I29" i="18" s="1"/>
  <c r="H23" i="18"/>
  <c r="I23" i="18" s="1"/>
  <c r="H27" i="18"/>
  <c r="I27" i="18" s="1"/>
  <c r="H6" i="18"/>
  <c r="I6" i="18" s="1"/>
  <c r="H8" i="18"/>
  <c r="I8" i="18" s="1"/>
  <c r="H22" i="18"/>
  <c r="I22" i="18" s="1"/>
  <c r="H26" i="18"/>
  <c r="I26" i="18" s="1"/>
  <c r="H7" i="18"/>
  <c r="I7" i="18" s="1"/>
  <c r="H18" i="18"/>
  <c r="I18" i="18" s="1"/>
  <c r="H12" i="18"/>
  <c r="I12" i="18" s="1"/>
  <c r="H14" i="18"/>
  <c r="I14" i="18" s="1"/>
  <c r="H16" i="18"/>
  <c r="I16" i="18" s="1"/>
  <c r="H24" i="18"/>
  <c r="I24" i="18" s="1"/>
  <c r="H11" i="18"/>
  <c r="I11" i="18" s="1"/>
  <c r="H21" i="18"/>
  <c r="I21" i="18" s="1"/>
  <c r="H20" i="18"/>
  <c r="I20" i="18" s="1"/>
  <c r="H10" i="18"/>
  <c r="I10" i="18" s="1"/>
  <c r="H13" i="18"/>
  <c r="I13" i="18" s="1"/>
  <c r="H28" i="18"/>
  <c r="I28" i="18" s="1"/>
  <c r="H30" i="18"/>
  <c r="I30" i="18" s="1"/>
  <c r="H9" i="18"/>
  <c r="I9" i="18" s="1"/>
  <c r="H17" i="18"/>
  <c r="I17" i="18" s="1"/>
  <c r="H25" i="18"/>
  <c r="I25" i="18" s="1"/>
  <c r="H15" i="18"/>
  <c r="I15" i="18" s="1"/>
  <c r="AB5" i="21"/>
  <c r="AD5" i="21" s="1"/>
  <c r="P6" i="22"/>
  <c r="P6" i="18"/>
  <c r="P31" i="18" s="1"/>
  <c r="S6" i="18"/>
  <c r="S6" i="22"/>
  <c r="Y14" i="22"/>
  <c r="O15" i="22"/>
  <c r="L15" i="22"/>
  <c r="B16" i="22"/>
  <c r="Z14" i="18"/>
  <c r="O15" i="18"/>
  <c r="Y8" i="21"/>
  <c r="AA8" i="21" s="1"/>
  <c r="E8" i="21"/>
  <c r="F8" i="21" s="1"/>
  <c r="AB8" i="21" s="1"/>
  <c r="V4" i="19"/>
  <c r="V5" i="19"/>
  <c r="V3" i="19"/>
  <c r="V7" i="19"/>
  <c r="L13" i="21"/>
  <c r="A10" i="19"/>
  <c r="L10" i="18"/>
  <c r="B11" i="18"/>
  <c r="F3" i="19"/>
  <c r="G3" i="19" s="1"/>
  <c r="T6" i="22" l="1"/>
  <c r="U6" i="22" s="1"/>
  <c r="V6" i="22" s="1"/>
  <c r="S7" i="18"/>
  <c r="T7" i="18" s="1"/>
  <c r="S7" i="22"/>
  <c r="T7" i="22" s="1"/>
  <c r="T6" i="18"/>
  <c r="B17" i="22"/>
  <c r="L16" i="22"/>
  <c r="Y15" i="22"/>
  <c r="O16" i="22"/>
  <c r="O16" i="18"/>
  <c r="Z15" i="18"/>
  <c r="AD8" i="21"/>
  <c r="Y9" i="21"/>
  <c r="AA9" i="21" s="1"/>
  <c r="E9" i="21"/>
  <c r="F9" i="21" s="1"/>
  <c r="AB9" i="21" s="1"/>
  <c r="W8" i="19"/>
  <c r="V6" i="19"/>
  <c r="L14" i="21"/>
  <c r="A11" i="19"/>
  <c r="L11" i="18"/>
  <c r="B12" i="18"/>
  <c r="V6" i="18" l="1"/>
  <c r="V7" i="18"/>
  <c r="U7" i="22"/>
  <c r="V7" i="22" s="1"/>
  <c r="Y16" i="22"/>
  <c r="O17" i="22"/>
  <c r="L17" i="22"/>
  <c r="B18" i="22"/>
  <c r="O17" i="18"/>
  <c r="Z16" i="18"/>
  <c r="AD9" i="21"/>
  <c r="Y10" i="21"/>
  <c r="AA10" i="21" s="1"/>
  <c r="E10" i="21"/>
  <c r="F10" i="21" s="1"/>
  <c r="AB10" i="21" s="1"/>
  <c r="W9" i="19"/>
  <c r="L15" i="21"/>
  <c r="L12" i="18"/>
  <c r="B13" i="18"/>
  <c r="A12" i="19"/>
  <c r="F4" i="19"/>
  <c r="G4" i="19" s="1"/>
  <c r="W6" i="18" l="1"/>
  <c r="W7" i="18"/>
  <c r="S8" i="22"/>
  <c r="T8" i="22" s="1"/>
  <c r="S8" i="18"/>
  <c r="T8" i="18" s="1"/>
  <c r="L18" i="22"/>
  <c r="B19" i="22"/>
  <c r="O18" i="22"/>
  <c r="Y17" i="22"/>
  <c r="Z17" i="18"/>
  <c r="O18" i="18"/>
  <c r="AD10" i="21"/>
  <c r="Y11" i="21"/>
  <c r="AA11" i="21" s="1"/>
  <c r="R11" i="21"/>
  <c r="U11" i="21" s="1"/>
  <c r="E11" i="21"/>
  <c r="F11" i="21" s="1"/>
  <c r="AB11" i="21" s="1"/>
  <c r="W10" i="19"/>
  <c r="L16" i="21"/>
  <c r="A13" i="19"/>
  <c r="B14" i="18"/>
  <c r="L13" i="18"/>
  <c r="V8" i="18" l="1"/>
  <c r="U8" i="22"/>
  <c r="V8" i="22" s="1"/>
  <c r="O19" i="22"/>
  <c r="Y18" i="22"/>
  <c r="L19" i="22"/>
  <c r="B20" i="22"/>
  <c r="O19" i="18"/>
  <c r="Z18" i="18"/>
  <c r="AD11" i="21"/>
  <c r="Y12" i="21"/>
  <c r="AA12" i="21" s="1"/>
  <c r="E12" i="21"/>
  <c r="F12" i="21" s="1"/>
  <c r="AB12" i="21" s="1"/>
  <c r="R12" i="21"/>
  <c r="U12" i="21" s="1"/>
  <c r="W11" i="19"/>
  <c r="L17" i="21"/>
  <c r="L14" i="18"/>
  <c r="B15" i="18"/>
  <c r="A14" i="19"/>
  <c r="W8" i="18" l="1"/>
  <c r="B21" i="22"/>
  <c r="L20" i="22"/>
  <c r="Y19" i="22"/>
  <c r="O20" i="22"/>
  <c r="Z19" i="18"/>
  <c r="O20" i="18"/>
  <c r="AD12" i="21"/>
  <c r="Y13" i="21"/>
  <c r="AA13" i="21" s="1"/>
  <c r="E13" i="21"/>
  <c r="F13" i="21" s="1"/>
  <c r="AB13" i="21" s="1"/>
  <c r="R13" i="21"/>
  <c r="U13" i="21" s="1"/>
  <c r="W12" i="19"/>
  <c r="L18" i="21"/>
  <c r="A15" i="19"/>
  <c r="B16" i="18"/>
  <c r="L15" i="18"/>
  <c r="Y20" i="22" l="1"/>
  <c r="O21" i="22"/>
  <c r="L21" i="22"/>
  <c r="B22" i="22"/>
  <c r="Z20" i="18"/>
  <c r="O21" i="18"/>
  <c r="AD13" i="21"/>
  <c r="F5" i="19"/>
  <c r="G5" i="19" s="1"/>
  <c r="Y14" i="21"/>
  <c r="AA14" i="21" s="1"/>
  <c r="R14" i="21"/>
  <c r="U14" i="21" s="1"/>
  <c r="E14" i="21"/>
  <c r="F14" i="21" s="1"/>
  <c r="AB14" i="21" s="1"/>
  <c r="W13" i="19"/>
  <c r="L19" i="21"/>
  <c r="A16" i="19"/>
  <c r="B17" i="18"/>
  <c r="L16" i="18"/>
  <c r="S9" i="18" l="1"/>
  <c r="T9" i="18" s="1"/>
  <c r="S9" i="22"/>
  <c r="T9" i="22" s="1"/>
  <c r="O22" i="22"/>
  <c r="Y21" i="22"/>
  <c r="L22" i="22"/>
  <c r="B23" i="22"/>
  <c r="O22" i="18"/>
  <c r="Z21" i="18"/>
  <c r="AD14" i="21"/>
  <c r="F6" i="19"/>
  <c r="G6" i="19" s="1"/>
  <c r="Y15" i="21"/>
  <c r="AA15" i="21" s="1"/>
  <c r="R15" i="21"/>
  <c r="U15" i="21" s="1"/>
  <c r="E15" i="21"/>
  <c r="F15" i="21" s="1"/>
  <c r="AB15" i="21" s="1"/>
  <c r="W14" i="19"/>
  <c r="L20" i="21"/>
  <c r="A17" i="19"/>
  <c r="B18" i="18"/>
  <c r="L17" i="18"/>
  <c r="F7" i="19"/>
  <c r="G7" i="19" s="1"/>
  <c r="S10" i="18" l="1"/>
  <c r="T10" i="18" s="1"/>
  <c r="S10" i="22"/>
  <c r="T10" i="22" s="1"/>
  <c r="U10" i="22" s="1"/>
  <c r="V10" i="22" s="1"/>
  <c r="S11" i="22"/>
  <c r="T11" i="22" s="1"/>
  <c r="S11" i="18"/>
  <c r="T11" i="18" s="1"/>
  <c r="U9" i="22"/>
  <c r="V9" i="22" s="1"/>
  <c r="V9" i="18"/>
  <c r="L23" i="22"/>
  <c r="B24" i="22"/>
  <c r="Y22" i="22"/>
  <c r="O23" i="22"/>
  <c r="Z22" i="18"/>
  <c r="O23" i="18"/>
  <c r="AD15" i="21"/>
  <c r="Y16" i="21"/>
  <c r="AA16" i="21" s="1"/>
  <c r="R16" i="21"/>
  <c r="U16" i="21" s="1"/>
  <c r="E16" i="21"/>
  <c r="F16" i="21" s="1"/>
  <c r="AB16" i="21" s="1"/>
  <c r="W15" i="19"/>
  <c r="L21" i="21"/>
  <c r="L18" i="18"/>
  <c r="B19" i="18"/>
  <c r="A18" i="19"/>
  <c r="U11" i="22" l="1"/>
  <c r="V11" i="22" s="1"/>
  <c r="V10" i="18"/>
  <c r="V11" i="18"/>
  <c r="W9" i="18"/>
  <c r="Y23" i="22"/>
  <c r="O24" i="22"/>
  <c r="B25" i="22"/>
  <c r="L24" i="22"/>
  <c r="O24" i="18"/>
  <c r="Z23" i="18"/>
  <c r="AD16" i="21"/>
  <c r="Y17" i="21"/>
  <c r="AA17" i="21" s="1"/>
  <c r="E17" i="21"/>
  <c r="F17" i="21" s="1"/>
  <c r="AB17" i="21" s="1"/>
  <c r="R17" i="21"/>
  <c r="U17" i="21" s="1"/>
  <c r="W16" i="19"/>
  <c r="L22" i="21"/>
  <c r="F8" i="19"/>
  <c r="G8" i="19" s="1"/>
  <c r="A19" i="19"/>
  <c r="B20" i="18"/>
  <c r="L19" i="18"/>
  <c r="W11" i="18" l="1"/>
  <c r="S12" i="18"/>
  <c r="T12" i="18" s="1"/>
  <c r="S12" i="22"/>
  <c r="T12" i="22" s="1"/>
  <c r="W10" i="18"/>
  <c r="Y24" i="22"/>
  <c r="O25" i="22"/>
  <c r="L25" i="22"/>
  <c r="B26" i="22"/>
  <c r="O25" i="18"/>
  <c r="Z24" i="18"/>
  <c r="AD17" i="21"/>
  <c r="Y18" i="21"/>
  <c r="AA18" i="21" s="1"/>
  <c r="E18" i="21"/>
  <c r="F18" i="21" s="1"/>
  <c r="AB18" i="21" s="1"/>
  <c r="R18" i="21"/>
  <c r="U18" i="21" s="1"/>
  <c r="W17" i="19"/>
  <c r="L23" i="21"/>
  <c r="L20" i="18"/>
  <c r="B21" i="18"/>
  <c r="A20" i="19"/>
  <c r="U12" i="22" l="1"/>
  <c r="V12" i="22" s="1"/>
  <c r="V12" i="18"/>
  <c r="O26" i="22"/>
  <c r="Y25" i="22"/>
  <c r="L26" i="22"/>
  <c r="B27" i="22"/>
  <c r="Z25" i="18"/>
  <c r="O26" i="18"/>
  <c r="AD18" i="21"/>
  <c r="Y19" i="21"/>
  <c r="AA19" i="21" s="1"/>
  <c r="E19" i="21"/>
  <c r="F19" i="21" s="1"/>
  <c r="AB19" i="21" s="1"/>
  <c r="R19" i="21"/>
  <c r="U19" i="21" s="1"/>
  <c r="W18" i="19"/>
  <c r="L24" i="21"/>
  <c r="F9" i="19"/>
  <c r="G9" i="19" s="1"/>
  <c r="A21" i="19"/>
  <c r="L21" i="18"/>
  <c r="B22" i="18"/>
  <c r="W12" i="18" l="1"/>
  <c r="S13" i="18"/>
  <c r="T13" i="18" s="1"/>
  <c r="S13" i="22"/>
  <c r="T13" i="22" s="1"/>
  <c r="Y26" i="22"/>
  <c r="O27" i="22"/>
  <c r="B28" i="22"/>
  <c r="L27" i="22"/>
  <c r="O27" i="18"/>
  <c r="Z26" i="18"/>
  <c r="AD19" i="21"/>
  <c r="Y20" i="21"/>
  <c r="AA20" i="21" s="1"/>
  <c r="R20" i="21"/>
  <c r="U20" i="21" s="1"/>
  <c r="E20" i="21"/>
  <c r="F20" i="21" s="1"/>
  <c r="AB20" i="21" s="1"/>
  <c r="W19" i="19"/>
  <c r="L25" i="21"/>
  <c r="L22" i="18"/>
  <c r="B23" i="18"/>
  <c r="A22" i="19"/>
  <c r="U13" i="22" l="1"/>
  <c r="V13" i="22" s="1"/>
  <c r="V13" i="18"/>
  <c r="Y27" i="22"/>
  <c r="O28" i="22"/>
  <c r="B29" i="22"/>
  <c r="L28" i="22"/>
  <c r="Z27" i="18"/>
  <c r="O28" i="18"/>
  <c r="AD20" i="21"/>
  <c r="Y21" i="21"/>
  <c r="AA21" i="21" s="1"/>
  <c r="R21" i="21"/>
  <c r="U21" i="21" s="1"/>
  <c r="E21" i="21"/>
  <c r="F21" i="21" s="1"/>
  <c r="AB21" i="21" s="1"/>
  <c r="W20" i="19"/>
  <c r="L26" i="21"/>
  <c r="A23" i="19"/>
  <c r="L23" i="18"/>
  <c r="B24" i="18"/>
  <c r="W13" i="18" l="1"/>
  <c r="Y28" i="22"/>
  <c r="O29" i="22"/>
  <c r="L29" i="22"/>
  <c r="B30" i="22"/>
  <c r="Z28" i="18"/>
  <c r="O29" i="18"/>
  <c r="AD21" i="21"/>
  <c r="Y22" i="21"/>
  <c r="AA22" i="21" s="1"/>
  <c r="R22" i="21"/>
  <c r="U22" i="21" s="1"/>
  <c r="E22" i="21"/>
  <c r="F22" i="21" s="1"/>
  <c r="AB22" i="21" s="1"/>
  <c r="W21" i="19"/>
  <c r="L27" i="21"/>
  <c r="B25" i="18"/>
  <c r="L24" i="18"/>
  <c r="A24" i="19"/>
  <c r="L30" i="22" l="1"/>
  <c r="J11" i="22"/>
  <c r="K11" i="22" s="1"/>
  <c r="W16" i="22"/>
  <c r="W5" i="22"/>
  <c r="X5" i="22" s="1"/>
  <c r="W7" i="22"/>
  <c r="X7" i="22" s="1"/>
  <c r="J13" i="22"/>
  <c r="K13" i="22" s="1"/>
  <c r="W10" i="22"/>
  <c r="X10" i="22" s="1"/>
  <c r="J16" i="22"/>
  <c r="K16" i="22" s="1"/>
  <c r="J17" i="22"/>
  <c r="K17" i="22" s="1"/>
  <c r="J20" i="22"/>
  <c r="K20" i="22" s="1"/>
  <c r="W24" i="22"/>
  <c r="W15" i="22"/>
  <c r="J24" i="22"/>
  <c r="K24" i="22" s="1"/>
  <c r="J23" i="22"/>
  <c r="K23" i="22" s="1"/>
  <c r="J18" i="22"/>
  <c r="K18" i="22" s="1"/>
  <c r="J25" i="22"/>
  <c r="K25" i="22" s="1"/>
  <c r="J27" i="22"/>
  <c r="K27" i="22" s="1"/>
  <c r="J22" i="22"/>
  <c r="K22" i="22" s="1"/>
  <c r="J29" i="22"/>
  <c r="K29" i="22" s="1"/>
  <c r="W8" i="22"/>
  <c r="X8" i="22" s="1"/>
  <c r="W9" i="22"/>
  <c r="X9" i="22" s="1"/>
  <c r="J15" i="22"/>
  <c r="K15" i="22" s="1"/>
  <c r="W20" i="22"/>
  <c r="J10" i="22"/>
  <c r="K10" i="22" s="1"/>
  <c r="W11" i="22"/>
  <c r="X11" i="22" s="1"/>
  <c r="W14" i="22"/>
  <c r="J19" i="22"/>
  <c r="K19" i="22" s="1"/>
  <c r="J14" i="22"/>
  <c r="K14" i="22" s="1"/>
  <c r="J21" i="22"/>
  <c r="K21" i="22" s="1"/>
  <c r="W18" i="22"/>
  <c r="W28" i="22"/>
  <c r="W19" i="22"/>
  <c r="W22" i="22"/>
  <c r="W17" i="22"/>
  <c r="W23" i="22"/>
  <c r="W26" i="22"/>
  <c r="W25" i="22"/>
  <c r="W21" i="22"/>
  <c r="W27" i="22"/>
  <c r="W13" i="22"/>
  <c r="X13" i="22" s="1"/>
  <c r="J7" i="22"/>
  <c r="K7" i="22" s="1"/>
  <c r="J30" i="22"/>
  <c r="K30" i="22" s="1"/>
  <c r="J8" i="22"/>
  <c r="K8" i="22" s="1"/>
  <c r="J5" i="22"/>
  <c r="K5" i="22" s="1"/>
  <c r="J9" i="22"/>
  <c r="K9" i="22" s="1"/>
  <c r="J12" i="22"/>
  <c r="K12" i="22" s="1"/>
  <c r="J26" i="22"/>
  <c r="K26" i="22" s="1"/>
  <c r="J28" i="22"/>
  <c r="K28" i="22" s="1"/>
  <c r="W29" i="22"/>
  <c r="W12" i="22"/>
  <c r="X12" i="22" s="1"/>
  <c r="J6" i="22"/>
  <c r="K6" i="22" s="1"/>
  <c r="X6" i="22"/>
  <c r="O30" i="22"/>
  <c r="Y30" i="22" s="1"/>
  <c r="Y29" i="22"/>
  <c r="O30" i="18"/>
  <c r="Z29" i="18"/>
  <c r="AD22" i="21"/>
  <c r="F10" i="19"/>
  <c r="G10" i="19" s="1"/>
  <c r="Y23" i="21"/>
  <c r="AA23" i="21" s="1"/>
  <c r="R23" i="21"/>
  <c r="U23" i="21" s="1"/>
  <c r="E23" i="21"/>
  <c r="F23" i="21" s="1"/>
  <c r="AB23" i="21" s="1"/>
  <c r="F11" i="19"/>
  <c r="G11" i="19" s="1"/>
  <c r="W22" i="19"/>
  <c r="L29" i="21"/>
  <c r="L28" i="21"/>
  <c r="A25" i="19"/>
  <c r="B26" i="18"/>
  <c r="L25" i="18"/>
  <c r="S14" i="18" l="1"/>
  <c r="T14" i="18" s="1"/>
  <c r="V14" i="18" s="1"/>
  <c r="S14" i="22"/>
  <c r="T14" i="22" s="1"/>
  <c r="U14" i="22" s="1"/>
  <c r="V14" i="22" s="1"/>
  <c r="S15" i="18"/>
  <c r="T15" i="18" s="1"/>
  <c r="V15" i="18" s="1"/>
  <c r="S15" i="22"/>
  <c r="T15" i="22" s="1"/>
  <c r="U15" i="22" s="1"/>
  <c r="V15" i="22" s="1"/>
  <c r="W30" i="22"/>
  <c r="Z30" i="18"/>
  <c r="AD23" i="21"/>
  <c r="Y24" i="21"/>
  <c r="AA24" i="21" s="1"/>
  <c r="R24" i="21"/>
  <c r="U24" i="21" s="1"/>
  <c r="E24" i="21"/>
  <c r="F24" i="21" s="1"/>
  <c r="AB24" i="21" s="1"/>
  <c r="W23" i="19"/>
  <c r="M30" i="21"/>
  <c r="M32" i="21" s="1"/>
  <c r="B27" i="18"/>
  <c r="L26" i="18"/>
  <c r="A26" i="19"/>
  <c r="X15" i="22" l="1"/>
  <c r="W14" i="18"/>
  <c r="X14" i="22"/>
  <c r="W15" i="18"/>
  <c r="AD24" i="21"/>
  <c r="F12" i="19"/>
  <c r="G12" i="19" s="1"/>
  <c r="Y25" i="21"/>
  <c r="AA25" i="21" s="1"/>
  <c r="E25" i="21"/>
  <c r="F25" i="21" s="1"/>
  <c r="AB25" i="21" s="1"/>
  <c r="R25" i="21"/>
  <c r="U25" i="21" s="1"/>
  <c r="W24" i="19"/>
  <c r="B28" i="18"/>
  <c r="L27" i="18"/>
  <c r="S16" i="22" l="1"/>
  <c r="T16" i="22" s="1"/>
  <c r="U16" i="22" s="1"/>
  <c r="S16" i="18"/>
  <c r="T16" i="18" s="1"/>
  <c r="V16" i="18" s="1"/>
  <c r="AD25" i="21"/>
  <c r="Y26" i="21"/>
  <c r="AA26" i="21" s="1"/>
  <c r="R26" i="21"/>
  <c r="U26" i="21" s="1"/>
  <c r="E26" i="21"/>
  <c r="F26" i="21" s="1"/>
  <c r="AB26" i="21" s="1"/>
  <c r="W25" i="19"/>
  <c r="W26" i="19"/>
  <c r="B29" i="18"/>
  <c r="L28" i="18"/>
  <c r="W16" i="18" l="1"/>
  <c r="V16" i="22"/>
  <c r="X16" i="22"/>
  <c r="AD26" i="21"/>
  <c r="F13" i="19"/>
  <c r="G13" i="19" s="1"/>
  <c r="V27" i="19"/>
  <c r="Y27" i="21"/>
  <c r="AA27" i="21" s="1"/>
  <c r="R27" i="21"/>
  <c r="U27" i="21" s="1"/>
  <c r="E27" i="21"/>
  <c r="F27" i="21" s="1"/>
  <c r="AB27" i="21" s="1"/>
  <c r="F14" i="19"/>
  <c r="G14" i="19" s="1"/>
  <c r="L29" i="18"/>
  <c r="B30" i="18"/>
  <c r="X25" i="18" l="1"/>
  <c r="X10" i="18"/>
  <c r="Y10" i="18" s="1"/>
  <c r="X26" i="18"/>
  <c r="X17" i="18"/>
  <c r="X18" i="18"/>
  <c r="X8" i="18"/>
  <c r="Y8" i="18" s="1"/>
  <c r="X24" i="18"/>
  <c r="X7" i="18"/>
  <c r="Y7" i="18" s="1"/>
  <c r="X9" i="18"/>
  <c r="Y9" i="18" s="1"/>
  <c r="X13" i="18"/>
  <c r="Y13" i="18" s="1"/>
  <c r="X28" i="18"/>
  <c r="X15" i="18"/>
  <c r="Y15" i="18" s="1"/>
  <c r="X21" i="18"/>
  <c r="X19" i="18"/>
  <c r="X16" i="18"/>
  <c r="Y16" i="18" s="1"/>
  <c r="X6" i="18"/>
  <c r="Y6" i="18" s="1"/>
  <c r="X14" i="18"/>
  <c r="Y14" i="18" s="1"/>
  <c r="X23" i="18"/>
  <c r="X29" i="18"/>
  <c r="X11" i="18"/>
  <c r="Y11" i="18" s="1"/>
  <c r="X5" i="18"/>
  <c r="Y5" i="18" s="1"/>
  <c r="X22" i="18"/>
  <c r="X20" i="18"/>
  <c r="X12" i="18"/>
  <c r="Y12" i="18" s="1"/>
  <c r="X30" i="18"/>
  <c r="X27" i="18"/>
  <c r="S17" i="22"/>
  <c r="T17" i="22" s="1"/>
  <c r="U17" i="22" s="1"/>
  <c r="S17" i="18"/>
  <c r="T17" i="18" s="1"/>
  <c r="V17" i="18" s="1"/>
  <c r="S18" i="22"/>
  <c r="T18" i="22" s="1"/>
  <c r="S18" i="18"/>
  <c r="T18" i="18" s="1"/>
  <c r="V18" i="18" s="1"/>
  <c r="J6" i="18"/>
  <c r="K6" i="18" s="1"/>
  <c r="J19" i="18"/>
  <c r="K19" i="18" s="1"/>
  <c r="J9" i="18"/>
  <c r="K9" i="18" s="1"/>
  <c r="J30" i="18"/>
  <c r="K30" i="18" s="1"/>
  <c r="J29" i="18"/>
  <c r="K29" i="18" s="1"/>
  <c r="J11" i="18"/>
  <c r="K11" i="18" s="1"/>
  <c r="J24" i="18"/>
  <c r="K24" i="18" s="1"/>
  <c r="J22" i="18"/>
  <c r="K22" i="18" s="1"/>
  <c r="J18" i="18"/>
  <c r="K18" i="18" s="1"/>
  <c r="J8" i="18"/>
  <c r="K8" i="18" s="1"/>
  <c r="J7" i="18"/>
  <c r="K7" i="18" s="1"/>
  <c r="J21" i="18"/>
  <c r="K21" i="18" s="1"/>
  <c r="J26" i="18"/>
  <c r="K26" i="18" s="1"/>
  <c r="J16" i="18"/>
  <c r="K16" i="18" s="1"/>
  <c r="J14" i="18"/>
  <c r="K14" i="18" s="1"/>
  <c r="J23" i="18"/>
  <c r="K23" i="18" s="1"/>
  <c r="J12" i="18"/>
  <c r="K12" i="18" s="1"/>
  <c r="J13" i="18"/>
  <c r="K13" i="18" s="1"/>
  <c r="J27" i="18"/>
  <c r="K27" i="18" s="1"/>
  <c r="J28" i="18"/>
  <c r="K28" i="18" s="1"/>
  <c r="J10" i="18"/>
  <c r="K10" i="18" s="1"/>
  <c r="J5" i="18"/>
  <c r="K5" i="18" s="1"/>
  <c r="J20" i="18"/>
  <c r="K20" i="18" s="1"/>
  <c r="J25" i="18"/>
  <c r="K25" i="18" s="1"/>
  <c r="J15" i="18"/>
  <c r="K15" i="18" s="1"/>
  <c r="J17" i="18"/>
  <c r="K17" i="18" s="1"/>
  <c r="AD27" i="21"/>
  <c r="Y28" i="21"/>
  <c r="AA28" i="21" s="1"/>
  <c r="R28" i="21"/>
  <c r="U28" i="21" s="1"/>
  <c r="E28" i="21"/>
  <c r="F28" i="21" s="1"/>
  <c r="AB28" i="21" s="1"/>
  <c r="F15" i="19"/>
  <c r="G15" i="19" s="1"/>
  <c r="L30" i="18"/>
  <c r="U18" i="22" l="1"/>
  <c r="V18" i="22" s="1"/>
  <c r="S19" i="22"/>
  <c r="T19" i="22" s="1"/>
  <c r="U19" i="22" s="1"/>
  <c r="S19" i="18"/>
  <c r="T19" i="18" s="1"/>
  <c r="V19" i="18" s="1"/>
  <c r="W18" i="18"/>
  <c r="Y18" i="18"/>
  <c r="W17" i="18"/>
  <c r="Y17" i="18"/>
  <c r="V17" i="22"/>
  <c r="X17" i="22"/>
  <c r="AD28" i="21"/>
  <c r="Y29" i="21"/>
  <c r="R29" i="21"/>
  <c r="E29" i="21"/>
  <c r="X18" i="22" l="1"/>
  <c r="Y19" i="18"/>
  <c r="W19" i="18"/>
  <c r="V19" i="22"/>
  <c r="X19" i="22"/>
  <c r="F16" i="19"/>
  <c r="G16" i="19" s="1"/>
  <c r="Y30" i="21"/>
  <c r="AA29" i="21"/>
  <c r="F29" i="21"/>
  <c r="AB29" i="21" s="1"/>
  <c r="AB30" i="21" s="1"/>
  <c r="AA33" i="21" s="1"/>
  <c r="R30" i="21"/>
  <c r="U29" i="21"/>
  <c r="U30" i="21" s="1"/>
  <c r="T33" i="21" s="1"/>
  <c r="T34" i="21" s="1"/>
  <c r="M33" i="21" s="1"/>
  <c r="S20" i="18" l="1"/>
  <c r="T20" i="18" s="1"/>
  <c r="V20" i="18" s="1"/>
  <c r="S20" i="22"/>
  <c r="T20" i="22" s="1"/>
  <c r="U20" i="22" s="1"/>
  <c r="AA30" i="21"/>
  <c r="AA32" i="21" s="1"/>
  <c r="AA34" i="21" s="1"/>
  <c r="AD29" i="21"/>
  <c r="F30" i="21"/>
  <c r="F32" i="21" s="1"/>
  <c r="W20" i="18" l="1"/>
  <c r="Y20" i="18"/>
  <c r="V20" i="22"/>
  <c r="X20" i="22"/>
  <c r="M34" i="21"/>
  <c r="E34" i="18"/>
  <c r="E34" i="22"/>
  <c r="F17" i="19"/>
  <c r="G17" i="19" s="1"/>
  <c r="S21" i="22" l="1"/>
  <c r="T21" i="22" s="1"/>
  <c r="U21" i="22" s="1"/>
  <c r="S21" i="18"/>
  <c r="T21" i="18" s="1"/>
  <c r="V21" i="18" s="1"/>
  <c r="F18" i="19"/>
  <c r="G18" i="19" s="1"/>
  <c r="F19" i="19"/>
  <c r="G19" i="19" s="1"/>
  <c r="S23" i="22" l="1"/>
  <c r="T23" i="22" s="1"/>
  <c r="S23" i="18"/>
  <c r="T23" i="18" s="1"/>
  <c r="S22" i="22"/>
  <c r="T22" i="22" s="1"/>
  <c r="U22" i="22" s="1"/>
  <c r="S22" i="18"/>
  <c r="T22" i="18" s="1"/>
  <c r="V22" i="18" s="1"/>
  <c r="Y21" i="18"/>
  <c r="W21" i="18"/>
  <c r="V21" i="22"/>
  <c r="X21" i="22"/>
  <c r="F20" i="19"/>
  <c r="G20" i="19" s="1"/>
  <c r="F21" i="19"/>
  <c r="G21" i="19" s="1"/>
  <c r="U23" i="22" l="1"/>
  <c r="V23" i="22" s="1"/>
  <c r="V23" i="18"/>
  <c r="W23" i="18" s="1"/>
  <c r="S25" i="18"/>
  <c r="T25" i="18" s="1"/>
  <c r="S25" i="22"/>
  <c r="T25" i="22" s="1"/>
  <c r="S24" i="22"/>
  <c r="T24" i="22" s="1"/>
  <c r="U24" i="22" s="1"/>
  <c r="S24" i="18"/>
  <c r="T24" i="18" s="1"/>
  <c r="V24" i="18" s="1"/>
  <c r="Y22" i="18"/>
  <c r="W22" i="18"/>
  <c r="V22" i="22"/>
  <c r="X22" i="22"/>
  <c r="F22" i="19"/>
  <c r="G22" i="19" s="1"/>
  <c r="F23" i="19"/>
  <c r="G23" i="19" s="1"/>
  <c r="Y23" i="18" l="1"/>
  <c r="X23" i="22"/>
  <c r="U25" i="22"/>
  <c r="V25" i="22" s="1"/>
  <c r="V25" i="18"/>
  <c r="Y25" i="18"/>
  <c r="W25" i="18"/>
  <c r="Y24" i="18"/>
  <c r="W24" i="18"/>
  <c r="S26" i="22"/>
  <c r="T26" i="22" s="1"/>
  <c r="U26" i="22" s="1"/>
  <c r="S26" i="18"/>
  <c r="T26" i="18" s="1"/>
  <c r="V26" i="18" s="1"/>
  <c r="S27" i="22"/>
  <c r="T27" i="22" s="1"/>
  <c r="S27" i="18"/>
  <c r="T27" i="18" s="1"/>
  <c r="V27" i="18" s="1"/>
  <c r="V24" i="22"/>
  <c r="X24" i="22"/>
  <c r="F24" i="19"/>
  <c r="G24" i="19" s="1"/>
  <c r="X25" i="22" l="1"/>
  <c r="U27" i="22"/>
  <c r="X27" i="22" s="1"/>
  <c r="Y26" i="18"/>
  <c r="W26" i="18"/>
  <c r="V26" i="22"/>
  <c r="X26" i="22"/>
  <c r="Y27" i="18"/>
  <c r="W27" i="18"/>
  <c r="S28" i="18"/>
  <c r="T28" i="18" s="1"/>
  <c r="V28" i="18" s="1"/>
  <c r="S28" i="22"/>
  <c r="T28" i="22" s="1"/>
  <c r="U28" i="22" s="1"/>
  <c r="F25" i="19"/>
  <c r="G25" i="19" s="1"/>
  <c r="V27" i="22" l="1"/>
  <c r="Y28" i="18"/>
  <c r="W28" i="18"/>
  <c r="S29" i="18"/>
  <c r="T29" i="18" s="1"/>
  <c r="V29" i="18" s="1"/>
  <c r="S29" i="22"/>
  <c r="T29" i="22" s="1"/>
  <c r="U29" i="22" s="1"/>
  <c r="V28" i="22"/>
  <c r="X28" i="22"/>
  <c r="F26" i="19"/>
  <c r="G26" i="19" s="1"/>
  <c r="S30" i="18" l="1"/>
  <c r="S30" i="22"/>
  <c r="T30" i="22" s="1"/>
  <c r="V29" i="22"/>
  <c r="X29" i="22"/>
  <c r="Y29" i="18"/>
  <c r="W29" i="18"/>
  <c r="T30" i="18" l="1"/>
  <c r="T31" i="18" s="1"/>
  <c r="Y37" i="18" s="1"/>
  <c r="T32" i="18"/>
  <c r="Y32" i="18" s="1"/>
  <c r="U30" i="22"/>
  <c r="V30" i="18"/>
  <c r="Y34" i="18"/>
  <c r="Y35" i="18" l="1"/>
  <c r="V30" i="22"/>
  <c r="X30" i="22"/>
  <c r="X32" i="22" s="1"/>
  <c r="W30" i="18"/>
  <c r="Y30" i="18"/>
  <c r="Y33" i="18" s="1"/>
  <c r="Y42" i="18" s="1"/>
  <c r="Y44" i="18" l="1"/>
  <c r="Y43" i="18"/>
</calcChain>
</file>

<file path=xl/sharedStrings.xml><?xml version="1.0" encoding="utf-8"?>
<sst xmlns="http://schemas.openxmlformats.org/spreadsheetml/2006/main" count="327" uniqueCount="138">
  <si>
    <t>Year</t>
  </si>
  <si>
    <t>Energy</t>
  </si>
  <si>
    <t>Net Savings</t>
  </si>
  <si>
    <t>kWh</t>
  </si>
  <si>
    <t>Nominal</t>
  </si>
  <si>
    <t>System Size</t>
  </si>
  <si>
    <t>SREC Payments</t>
  </si>
  <si>
    <t>Costs</t>
  </si>
  <si>
    <t>Cumulative Costs</t>
  </si>
  <si>
    <t>Prod. Factor</t>
  </si>
  <si>
    <t>Payback Reached?</t>
  </si>
  <si>
    <t>SRECs</t>
  </si>
  <si>
    <t>Date</t>
  </si>
  <si>
    <t>State</t>
  </si>
  <si>
    <t>City</t>
  </si>
  <si>
    <t>ZIP</t>
  </si>
  <si>
    <t>Maryland</t>
  </si>
  <si>
    <t>Silver Spring</t>
  </si>
  <si>
    <t>Electric Utility</t>
  </si>
  <si>
    <t>Location</t>
  </si>
  <si>
    <t>Electricity Rate Info</t>
  </si>
  <si>
    <t>PEPCO</t>
  </si>
  <si>
    <t>Annual Consumption</t>
  </si>
  <si>
    <t>Monthly Charge</t>
  </si>
  <si>
    <t>Electricity Unit Price</t>
  </si>
  <si>
    <t>Metering</t>
  </si>
  <si>
    <t>Net Metering</t>
  </si>
  <si>
    <t>Excess Generation Price</t>
  </si>
  <si>
    <t>PV Grid Connection Fee</t>
  </si>
  <si>
    <t>Electricity Escalation Rate</t>
  </si>
  <si>
    <t>Economic Assumptions</t>
  </si>
  <si>
    <t>Discount Rate (real)</t>
  </si>
  <si>
    <t>Reinvestment Rate</t>
  </si>
  <si>
    <t>Study Period</t>
  </si>
  <si>
    <t>PV System Details</t>
  </si>
  <si>
    <t>Panel Brand/Type</t>
  </si>
  <si>
    <t>Inverter Type</t>
  </si>
  <si>
    <t>Est Annual Production</t>
  </si>
  <si>
    <t>Grid Elect. Costs</t>
  </si>
  <si>
    <t>Electric Utility Name</t>
  </si>
  <si>
    <t>PV System Costs</t>
  </si>
  <si>
    <t>Total Installation Costs</t>
  </si>
  <si>
    <t>Demand Charge</t>
  </si>
  <si>
    <t>Fed Tax Credit</t>
  </si>
  <si>
    <t>Consumption Rate</t>
  </si>
  <si>
    <t>State/Local Grants/Rebates</t>
  </si>
  <si>
    <t>Net or Gross Metering</t>
  </si>
  <si>
    <t>PPA Option</t>
  </si>
  <si>
    <t>Production Rate</t>
  </si>
  <si>
    <t>Further Details</t>
  </si>
  <si>
    <t>PPA Details</t>
  </si>
  <si>
    <t>Contract Length</t>
  </si>
  <si>
    <t>Purchase Price</t>
  </si>
  <si>
    <t>Analysis Assumptions</t>
  </si>
  <si>
    <t>Limitations</t>
  </si>
  <si>
    <t>Solar PV System</t>
  </si>
  <si>
    <t>Study period</t>
  </si>
  <si>
    <t>Panel lifetime</t>
  </si>
  <si>
    <t>Real discount rate</t>
  </si>
  <si>
    <t>Inverter lifetime</t>
  </si>
  <si>
    <t>General inflation rate</t>
  </si>
  <si>
    <t>Inverter replacement costs</t>
  </si>
  <si>
    <t>Residual value approach</t>
  </si>
  <si>
    <t>Annual maintenance costs</t>
  </si>
  <si>
    <t>Degradation rate</t>
  </si>
  <si>
    <t>Purchasing Details</t>
  </si>
  <si>
    <t>Loan or Cash</t>
  </si>
  <si>
    <t>Down payment</t>
  </si>
  <si>
    <t>Nominal interest rate</t>
  </si>
  <si>
    <t>Monthly payment (optional)</t>
  </si>
  <si>
    <t>SREC Details</t>
  </si>
  <si>
    <t>Upfront payment</t>
  </si>
  <si>
    <t>Payment by Year of Study Period</t>
  </si>
  <si>
    <t>Sunpower</t>
  </si>
  <si>
    <t>Microinverter</t>
  </si>
  <si>
    <t>YES</t>
  </si>
  <si>
    <t>Cash</t>
  </si>
  <si>
    <t>N/A</t>
  </si>
  <si>
    <t>Annual esc rates (array of this value)</t>
  </si>
  <si>
    <t>PPA</t>
  </si>
  <si>
    <t>Baseline</t>
  </si>
  <si>
    <t>Consumption</t>
  </si>
  <si>
    <t>Price</t>
  </si>
  <si>
    <t>PPA Cost</t>
  </si>
  <si>
    <t>Total Cost</t>
  </si>
  <si>
    <t>Savings</t>
  </si>
  <si>
    <t>Nominal Discount Rate</t>
  </si>
  <si>
    <t>Real Escalation Rate (constant)</t>
  </si>
  <si>
    <t>PPA Electricity Rate</t>
  </si>
  <si>
    <t>DPV</t>
  </si>
  <si>
    <t>Excess Prod.</t>
  </si>
  <si>
    <t>Nominal Costs</t>
  </si>
  <si>
    <t>Production</t>
  </si>
  <si>
    <t>Net Grid Costs</t>
  </si>
  <si>
    <t>Electricity Costs</t>
  </si>
  <si>
    <t>Grid Elect. Costs with Net Metering</t>
  </si>
  <si>
    <t>Grid Elect. Costs with Feed In Tariff</t>
  </si>
  <si>
    <t>Net Cons</t>
  </si>
  <si>
    <t>Feed In Tariff</t>
  </si>
  <si>
    <t xml:space="preserve">Alternative 0 = </t>
  </si>
  <si>
    <t>Baseline Cost</t>
  </si>
  <si>
    <t>SREC Price</t>
  </si>
  <si>
    <t>SREC Nominal $</t>
  </si>
  <si>
    <t>SREC NPV</t>
  </si>
  <si>
    <t>Real SPV</t>
  </si>
  <si>
    <t>Nom SPV</t>
  </si>
  <si>
    <t>Prod. (kWh)</t>
  </si>
  <si>
    <t>Nominal Cash Flows</t>
  </si>
  <si>
    <t xml:space="preserve">Energy </t>
  </si>
  <si>
    <t>Investment Costs</t>
  </si>
  <si>
    <t>Net Costs</t>
  </si>
  <si>
    <t>Linear Depreciation RV</t>
  </si>
  <si>
    <t>Residual Value</t>
  </si>
  <si>
    <t>Baseline Costs</t>
  </si>
  <si>
    <t>Net Install Costs</t>
  </si>
  <si>
    <t>Avoided Costs</t>
  </si>
  <si>
    <t>Annual Costs - Avoided Costs</t>
  </si>
  <si>
    <t>Real Cash Flows</t>
  </si>
  <si>
    <t>SIR</t>
  </si>
  <si>
    <t>NS</t>
  </si>
  <si>
    <t>AIRR</t>
  </si>
  <si>
    <t>NO</t>
  </si>
  <si>
    <t>Not Applicable</t>
  </si>
  <si>
    <t>Loan</t>
  </si>
  <si>
    <t>Invest Costs</t>
  </si>
  <si>
    <t>[400,400,400,300,300,300,300,300,300,300]</t>
  </si>
  <si>
    <t>Linear Depreciation</t>
  </si>
  <si>
    <t>totalCostInv</t>
  </si>
  <si>
    <t>totalCostNonInv</t>
  </si>
  <si>
    <t>SPP</t>
  </si>
  <si>
    <t>DPP</t>
  </si>
  <si>
    <t>quantSum</t>
  </si>
  <si>
    <t>deltaQuant</t>
  </si>
  <si>
    <t>nsDeltaQuant</t>
  </si>
  <si>
    <t>nsPercQuant</t>
  </si>
  <si>
    <t>nsElasticityQuant</t>
  </si>
  <si>
    <t>Total Costs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</si>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</sst>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&quot;$&quot;* #,##0_);_(&quot;$&quot;* \(#,##0\);_(&quot;$&quot;* &quot;-&quot;??_);_(@_)"/>
    <numFmt numFmtId="167" formatCode="0.0%"/>
    <numFmt numFmtId="168" formatCode="&quot;$&quot;#,##0.00"/>
    <numFmt numFmtId="169" formatCode="&quot;$&quot;#,##0"/>
    <numFmt numFmtId="170" formatCode="_(&quot;$&quot;* #,##0.000_);_(&quot;$&quot;* \(#,##0.000\);_(&quot;$&quot;* &quot;-&quot;??_);_(@_)"/>
    <numFmt numFmtId="171" formatCode="_(* #,##0_);_(* \(#,##0\);_(* &quot;-&quot;??_);_(@_)"/>
    <numFmt numFmtId="173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44" fontId="0" fillId="0" borderId="0" xfId="0" applyNumberFormat="1" applyFont="1"/>
    <xf numFmtId="1" fontId="0" fillId="0" borderId="0" xfId="0" applyNumberFormat="1"/>
    <xf numFmtId="2" fontId="0" fillId="0" borderId="0" xfId="0" applyNumberFormat="1" applyFont="1"/>
    <xf numFmtId="165" fontId="0" fillId="0" borderId="0" xfId="0" applyNumberFormat="1" applyFont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  <xf numFmtId="166" fontId="0" fillId="0" borderId="0" xfId="0" applyNumberFormat="1" applyFont="1"/>
    <xf numFmtId="166" fontId="0" fillId="0" borderId="0" xfId="1" applyNumberFormat="1" applyFont="1"/>
    <xf numFmtId="167" fontId="0" fillId="0" borderId="0" xfId="2" applyNumberFormat="1" applyFont="1"/>
    <xf numFmtId="168" fontId="0" fillId="0" borderId="0" xfId="0" applyNumberFormat="1"/>
    <xf numFmtId="169" fontId="0" fillId="0" borderId="0" xfId="0" applyNumberFormat="1"/>
    <xf numFmtId="1" fontId="2" fillId="0" borderId="0" xfId="0" applyNumberFormat="1" applyFont="1"/>
    <xf numFmtId="0" fontId="3" fillId="0" borderId="0" xfId="0" applyFont="1"/>
    <xf numFmtId="44" fontId="2" fillId="0" borderId="0" xfId="1" applyFont="1"/>
    <xf numFmtId="169" fontId="2" fillId="0" borderId="0" xfId="0" applyNumberFormat="1" applyFont="1"/>
    <xf numFmtId="169" fontId="3" fillId="0" borderId="0" xfId="0" applyNumberFormat="1" applyFont="1"/>
    <xf numFmtId="44" fontId="2" fillId="0" borderId="0" xfId="0" applyNumberFormat="1" applyFont="1"/>
    <xf numFmtId="170" fontId="0" fillId="2" borderId="0" xfId="1" applyNumberFormat="1" applyFont="1" applyFill="1"/>
    <xf numFmtId="44" fontId="0" fillId="2" borderId="0" xfId="1" applyFont="1" applyFill="1"/>
    <xf numFmtId="2" fontId="0" fillId="0" borderId="0" xfId="0" applyNumberFormat="1"/>
    <xf numFmtId="44" fontId="1" fillId="0" borderId="0" xfId="1" applyFont="1"/>
    <xf numFmtId="43" fontId="0" fillId="0" borderId="0" xfId="0" applyNumberFormat="1"/>
    <xf numFmtId="0" fontId="0" fillId="2" borderId="0" xfId="0" applyFill="1"/>
    <xf numFmtId="170" fontId="0" fillId="0" borderId="0" xfId="1" applyNumberFormat="1" applyFont="1" applyFill="1"/>
    <xf numFmtId="9" fontId="0" fillId="0" borderId="0" xfId="0" applyNumberFormat="1"/>
    <xf numFmtId="10" fontId="0" fillId="2" borderId="0" xfId="0" applyNumberFormat="1" applyFill="1"/>
    <xf numFmtId="9" fontId="0" fillId="2" borderId="0" xfId="0" applyNumberFormat="1" applyFill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0" fillId="0" borderId="0" xfId="0" applyFill="1"/>
    <xf numFmtId="44" fontId="0" fillId="0" borderId="0" xfId="1" applyFont="1" applyFill="1"/>
    <xf numFmtId="0" fontId="0" fillId="0" borderId="1" xfId="0" applyFill="1" applyBorder="1" applyAlignment="1">
      <alignment vertical="top" wrapText="1"/>
    </xf>
    <xf numFmtId="0" fontId="4" fillId="0" borderId="1" xfId="0" applyFont="1" applyFill="1" applyBorder="1" applyAlignment="1">
      <alignment vertical="center" wrapText="1"/>
    </xf>
    <xf numFmtId="10" fontId="0" fillId="0" borderId="0" xfId="0" applyNumberFormat="1" applyFill="1"/>
    <xf numFmtId="10" fontId="5" fillId="0" borderId="1" xfId="0" applyNumberFormat="1" applyFont="1" applyBorder="1" applyAlignment="1">
      <alignment vertical="center" wrapText="1"/>
    </xf>
    <xf numFmtId="9" fontId="0" fillId="0" borderId="0" xfId="2" applyFont="1"/>
    <xf numFmtId="173" fontId="0" fillId="0" borderId="0" xfId="0" applyNumberFormat="1"/>
    <xf numFmtId="170" fontId="0" fillId="0" borderId="0" xfId="0" applyNumberFormat="1"/>
    <xf numFmtId="171" fontId="0" fillId="0" borderId="0" xfId="3" applyNumberFormat="1" applyFont="1"/>
    <xf numFmtId="10" fontId="0" fillId="0" borderId="0" xfId="2" applyNumberFormat="1" applyFont="1"/>
    <xf numFmtId="171" fontId="0" fillId="0" borderId="0" xfId="0" applyNumberFormat="1"/>
    <xf numFmtId="2" fontId="0" fillId="0" borderId="0" xfId="2" applyNumberFormat="1" applyFont="1"/>
    <xf numFmtId="168" fontId="2" fillId="0" borderId="0" xfId="0" applyNumberFormat="1" applyFont="1"/>
    <xf numFmtId="43" fontId="2" fillId="0" borderId="0" xfId="0" applyNumberFormat="1" applyFont="1"/>
    <xf numFmtId="2" fontId="2" fillId="0" borderId="0" xfId="0" applyNumberFormat="1" applyFont="1"/>
    <xf numFmtId="166" fontId="1" fillId="0" borderId="0" xfId="1" applyNumberFormat="1" applyFont="1"/>
    <xf numFmtId="10" fontId="2" fillId="0" borderId="0" xfId="2" applyNumberFormat="1" applyFont="1"/>
    <xf numFmtId="44" fontId="5" fillId="0" borderId="1" xfId="1" applyFont="1" applyBorder="1" applyAlignment="1">
      <alignment vertical="center" wrapText="1"/>
    </xf>
    <xf numFmtId="166" fontId="5" fillId="0" borderId="1" xfId="1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/>
    <xf numFmtId="10" fontId="0" fillId="0" borderId="2" xfId="0" applyNumberFormat="1" applyFill="1" applyBorder="1"/>
    <xf numFmtId="0" fontId="2" fillId="0" borderId="0" xfId="0" applyFont="1" applyFill="1"/>
    <xf numFmtId="171" fontId="2" fillId="0" borderId="0" xfId="0" applyNumberFormat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4848-1704-4B09-BD79-EBC1116ABD3D}">
  <dimension ref="A1:H35"/>
  <sheetViews>
    <sheetView topLeftCell="A16" workbookViewId="0">
      <selection activeCell="E24" sqref="E24"/>
    </sheetView>
  </sheetViews>
  <sheetFormatPr defaultRowHeight="15" x14ac:dyDescent="0.25"/>
  <cols>
    <col min="1" max="1" width="23.7109375" customWidth="1"/>
    <col min="2" max="2" width="15.140625" bestFit="1" customWidth="1"/>
    <col min="4" max="4" width="31.28515625" customWidth="1"/>
    <col min="5" max="5" width="15.140625" customWidth="1"/>
    <col min="7" max="7" width="32.7109375" customWidth="1"/>
    <col min="8" max="8" width="14.7109375" customWidth="1"/>
  </cols>
  <sheetData>
    <row r="1" spans="1:8" x14ac:dyDescent="0.25">
      <c r="A1" s="8"/>
      <c r="B1" s="8"/>
    </row>
    <row r="2" spans="1:8" x14ac:dyDescent="0.25">
      <c r="A2" s="8"/>
      <c r="D2" s="32" t="s">
        <v>19</v>
      </c>
      <c r="E2" s="32"/>
      <c r="F2" s="33"/>
      <c r="G2" s="32" t="s">
        <v>34</v>
      </c>
      <c r="H2" s="33"/>
    </row>
    <row r="3" spans="1:8" x14ac:dyDescent="0.25">
      <c r="B3" s="36"/>
      <c r="D3" s="34" t="s">
        <v>13</v>
      </c>
      <c r="E3" s="36" t="s">
        <v>16</v>
      </c>
      <c r="F3" s="33"/>
      <c r="G3" s="34" t="s">
        <v>35</v>
      </c>
      <c r="H3" s="33" t="s">
        <v>73</v>
      </c>
    </row>
    <row r="4" spans="1:8" x14ac:dyDescent="0.25">
      <c r="B4" s="36"/>
      <c r="D4" s="34" t="s">
        <v>14</v>
      </c>
      <c r="E4" s="36" t="s">
        <v>17</v>
      </c>
      <c r="F4" s="33"/>
      <c r="G4" s="34" t="s">
        <v>36</v>
      </c>
      <c r="H4" s="33" t="s">
        <v>74</v>
      </c>
    </row>
    <row r="5" spans="1:8" x14ac:dyDescent="0.25">
      <c r="B5" s="36"/>
      <c r="D5" s="34" t="s">
        <v>15</v>
      </c>
      <c r="E5" s="36">
        <v>20910</v>
      </c>
      <c r="F5" s="33"/>
      <c r="G5" s="34" t="s">
        <v>5</v>
      </c>
      <c r="H5" s="33">
        <v>10080</v>
      </c>
    </row>
    <row r="6" spans="1:8" x14ac:dyDescent="0.25">
      <c r="B6" s="36"/>
      <c r="D6" s="33"/>
      <c r="E6" s="33"/>
      <c r="F6" s="33"/>
      <c r="G6" s="34" t="s">
        <v>37</v>
      </c>
      <c r="H6" s="33">
        <v>10300</v>
      </c>
    </row>
    <row r="7" spans="1:8" x14ac:dyDescent="0.25">
      <c r="D7" s="32" t="s">
        <v>38</v>
      </c>
      <c r="E7" s="32"/>
      <c r="F7" s="33"/>
      <c r="G7" s="33"/>
      <c r="H7" s="33"/>
    </row>
    <row r="8" spans="1:8" x14ac:dyDescent="0.25">
      <c r="A8" s="8" t="s">
        <v>20</v>
      </c>
      <c r="D8" s="34" t="s">
        <v>39</v>
      </c>
      <c r="E8" s="36" t="s">
        <v>21</v>
      </c>
      <c r="F8" s="33"/>
      <c r="G8" s="32" t="s">
        <v>40</v>
      </c>
      <c r="H8" s="33"/>
    </row>
    <row r="9" spans="1:8" x14ac:dyDescent="0.25">
      <c r="A9" t="s">
        <v>18</v>
      </c>
      <c r="B9" s="27" t="s">
        <v>21</v>
      </c>
      <c r="D9" s="34" t="s">
        <v>22</v>
      </c>
      <c r="E9" s="36">
        <v>10000</v>
      </c>
      <c r="F9" s="33"/>
      <c r="G9" s="34" t="s">
        <v>41</v>
      </c>
      <c r="H9" s="33">
        <v>35280</v>
      </c>
    </row>
    <row r="10" spans="1:8" x14ac:dyDescent="0.25">
      <c r="A10" t="s">
        <v>22</v>
      </c>
      <c r="B10" s="27">
        <v>10000</v>
      </c>
      <c r="D10" s="34" t="s">
        <v>42</v>
      </c>
      <c r="E10" s="37">
        <v>8.01</v>
      </c>
      <c r="F10" s="33"/>
      <c r="G10" s="34" t="s">
        <v>43</v>
      </c>
      <c r="H10" s="33">
        <f>H9*0.26</f>
        <v>9172.8000000000011</v>
      </c>
    </row>
    <row r="11" spans="1:8" x14ac:dyDescent="0.25">
      <c r="A11" t="s">
        <v>23</v>
      </c>
      <c r="B11" s="23">
        <v>8.01</v>
      </c>
      <c r="D11" s="34" t="s">
        <v>44</v>
      </c>
      <c r="E11" s="28">
        <v>0.126</v>
      </c>
      <c r="F11" s="33"/>
      <c r="G11" s="34" t="s">
        <v>45</v>
      </c>
      <c r="H11" s="33">
        <v>1000</v>
      </c>
    </row>
    <row r="12" spans="1:8" x14ac:dyDescent="0.25">
      <c r="A12" t="s">
        <v>24</v>
      </c>
      <c r="B12" s="22">
        <v>0.126</v>
      </c>
      <c r="D12" s="34" t="s">
        <v>46</v>
      </c>
      <c r="E12" s="36" t="s">
        <v>26</v>
      </c>
      <c r="F12" s="33"/>
      <c r="G12" s="34" t="s">
        <v>47</v>
      </c>
      <c r="H12" s="33" t="s">
        <v>75</v>
      </c>
    </row>
    <row r="13" spans="1:8" x14ac:dyDescent="0.25">
      <c r="A13" t="s">
        <v>25</v>
      </c>
      <c r="B13" s="27" t="s">
        <v>26</v>
      </c>
      <c r="D13" s="34" t="s">
        <v>48</v>
      </c>
      <c r="E13" s="28">
        <v>5.8999999999999997E-2</v>
      </c>
      <c r="F13" s="33"/>
      <c r="G13" s="33"/>
      <c r="H13" s="33"/>
    </row>
    <row r="14" spans="1:8" x14ac:dyDescent="0.25">
      <c r="A14" t="s">
        <v>27</v>
      </c>
      <c r="B14" s="22">
        <v>5.8999999999999997E-2</v>
      </c>
      <c r="D14" s="34" t="s">
        <v>28</v>
      </c>
      <c r="E14" s="37">
        <v>0</v>
      </c>
      <c r="F14" s="33"/>
      <c r="G14" s="33"/>
      <c r="H14" s="33"/>
    </row>
    <row r="15" spans="1:8" x14ac:dyDescent="0.25">
      <c r="A15" t="s">
        <v>28</v>
      </c>
      <c r="B15" s="23">
        <v>0</v>
      </c>
      <c r="D15" s="33"/>
      <c r="E15" s="38"/>
      <c r="F15" s="33"/>
      <c r="G15" s="33"/>
      <c r="H15" s="33"/>
    </row>
    <row r="16" spans="1:8" x14ac:dyDescent="0.25">
      <c r="A16" t="s">
        <v>29</v>
      </c>
      <c r="B16" s="30">
        <v>0.02</v>
      </c>
      <c r="D16" s="32" t="s">
        <v>49</v>
      </c>
      <c r="E16" s="39"/>
      <c r="F16" s="33"/>
      <c r="G16" s="33"/>
      <c r="H16" s="33"/>
    </row>
    <row r="17" spans="1:8" x14ac:dyDescent="0.25">
      <c r="D17" t="s">
        <v>29</v>
      </c>
      <c r="E17" s="40">
        <v>0.02</v>
      </c>
      <c r="F17" s="33"/>
      <c r="G17" s="33"/>
      <c r="H17" s="33"/>
    </row>
    <row r="18" spans="1:8" x14ac:dyDescent="0.25">
      <c r="A18" s="8" t="s">
        <v>30</v>
      </c>
    </row>
    <row r="19" spans="1:8" x14ac:dyDescent="0.25">
      <c r="A19" t="s">
        <v>31</v>
      </c>
      <c r="B19" s="31">
        <v>0.06</v>
      </c>
      <c r="D19" s="32" t="s">
        <v>53</v>
      </c>
      <c r="E19" s="32" t="s">
        <v>54</v>
      </c>
      <c r="F19" s="33"/>
      <c r="G19" s="32" t="s">
        <v>55</v>
      </c>
      <c r="H19" s="32" t="s">
        <v>54</v>
      </c>
    </row>
    <row r="20" spans="1:8" x14ac:dyDescent="0.25">
      <c r="A20" t="s">
        <v>32</v>
      </c>
      <c r="B20" s="29">
        <f>B19</f>
        <v>0.06</v>
      </c>
      <c r="D20" s="34" t="s">
        <v>56</v>
      </c>
      <c r="E20" s="34">
        <v>25</v>
      </c>
      <c r="F20" s="33"/>
      <c r="G20" s="34" t="s">
        <v>57</v>
      </c>
      <c r="H20" s="34">
        <v>25</v>
      </c>
    </row>
    <row r="21" spans="1:8" x14ac:dyDescent="0.25">
      <c r="A21" t="s">
        <v>33</v>
      </c>
      <c r="B21" s="27">
        <v>25</v>
      </c>
      <c r="D21" s="34" t="s">
        <v>58</v>
      </c>
      <c r="E21" s="35">
        <v>0.06</v>
      </c>
      <c r="F21" s="33"/>
      <c r="G21" s="34" t="s">
        <v>59</v>
      </c>
      <c r="H21" s="34">
        <v>25</v>
      </c>
    </row>
    <row r="22" spans="1:8" x14ac:dyDescent="0.25">
      <c r="D22" s="34" t="s">
        <v>60</v>
      </c>
      <c r="E22" s="35">
        <v>0.02</v>
      </c>
      <c r="F22" s="33"/>
      <c r="G22" s="34" t="s">
        <v>61</v>
      </c>
      <c r="H22" s="34">
        <v>0</v>
      </c>
    </row>
    <row r="23" spans="1:8" ht="30" x14ac:dyDescent="0.25">
      <c r="A23" t="s">
        <v>86</v>
      </c>
      <c r="B23">
        <f>(1.02*1.06)-1</f>
        <v>8.1200000000000161E-2</v>
      </c>
      <c r="D23" s="34" t="s">
        <v>62</v>
      </c>
      <c r="E23" s="33" t="s">
        <v>126</v>
      </c>
      <c r="F23" s="33"/>
      <c r="G23" s="34" t="s">
        <v>63</v>
      </c>
      <c r="H23" s="34">
        <v>0</v>
      </c>
    </row>
    <row r="24" spans="1:8" x14ac:dyDescent="0.25">
      <c r="D24" s="33"/>
      <c r="E24" s="33"/>
      <c r="F24" s="33"/>
      <c r="G24" s="34" t="s">
        <v>64</v>
      </c>
      <c r="H24" s="41">
        <v>5.0000000000000001E-4</v>
      </c>
    </row>
    <row r="25" spans="1:8" x14ac:dyDescent="0.25">
      <c r="B25">
        <f>8.01*12</f>
        <v>96.12</v>
      </c>
      <c r="D25" s="32" t="s">
        <v>65</v>
      </c>
      <c r="E25" s="33"/>
      <c r="F25" s="33"/>
      <c r="G25" s="33"/>
      <c r="H25" s="33"/>
    </row>
    <row r="26" spans="1:8" ht="13.5" customHeight="1" x14ac:dyDescent="0.25">
      <c r="D26" s="34" t="s">
        <v>66</v>
      </c>
      <c r="E26" s="33" t="s">
        <v>76</v>
      </c>
      <c r="F26" s="33"/>
      <c r="G26" s="34" t="s">
        <v>78</v>
      </c>
      <c r="H26" s="35">
        <v>0.02</v>
      </c>
    </row>
    <row r="27" spans="1:8" x14ac:dyDescent="0.25">
      <c r="D27" s="34" t="s">
        <v>67</v>
      </c>
      <c r="E27" s="35" t="s">
        <v>77</v>
      </c>
      <c r="F27" s="33"/>
      <c r="G27" s="33"/>
      <c r="H27" s="33"/>
    </row>
    <row r="28" spans="1:8" x14ac:dyDescent="0.25">
      <c r="D28" s="34" t="s">
        <v>68</v>
      </c>
      <c r="E28" s="34" t="s">
        <v>77</v>
      </c>
      <c r="F28" s="33"/>
      <c r="G28" s="33"/>
      <c r="H28" s="33"/>
    </row>
    <row r="29" spans="1:8" x14ac:dyDescent="0.25">
      <c r="D29" s="34" t="s">
        <v>69</v>
      </c>
      <c r="E29" s="34" t="s">
        <v>77</v>
      </c>
      <c r="F29" s="33"/>
      <c r="G29" s="33"/>
      <c r="H29" s="33"/>
    </row>
    <row r="31" spans="1:8" x14ac:dyDescent="0.25">
      <c r="D31" s="32" t="s">
        <v>70</v>
      </c>
      <c r="E31" s="33"/>
      <c r="G31" s="32" t="s">
        <v>50</v>
      </c>
      <c r="H31" s="33"/>
    </row>
    <row r="32" spans="1:8" x14ac:dyDescent="0.25">
      <c r="D32" s="34" t="s">
        <v>71</v>
      </c>
      <c r="E32" s="34" t="s">
        <v>77</v>
      </c>
      <c r="G32" s="34" t="s">
        <v>51</v>
      </c>
      <c r="H32" s="34">
        <v>25</v>
      </c>
    </row>
    <row r="33" spans="4:8" ht="45" x14ac:dyDescent="0.25">
      <c r="D33" s="34" t="s">
        <v>72</v>
      </c>
      <c r="E33" s="34" t="s">
        <v>125</v>
      </c>
      <c r="G33" s="34" t="s">
        <v>88</v>
      </c>
      <c r="H33" s="34">
        <v>0.1</v>
      </c>
    </row>
    <row r="34" spans="4:8" x14ac:dyDescent="0.25">
      <c r="G34" s="34" t="s">
        <v>87</v>
      </c>
      <c r="H34" s="35">
        <v>0.01</v>
      </c>
    </row>
    <row r="35" spans="4:8" x14ac:dyDescent="0.25">
      <c r="G35" s="34" t="s">
        <v>52</v>
      </c>
      <c r="H35" s="34">
        <v>1000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93B4-5608-4849-B636-065BC918DC87}">
  <dimension ref="A1:I35"/>
  <sheetViews>
    <sheetView topLeftCell="A4" workbookViewId="0">
      <selection activeCell="E24" sqref="E24"/>
    </sheetView>
  </sheetViews>
  <sheetFormatPr defaultRowHeight="15" x14ac:dyDescent="0.25"/>
  <cols>
    <col min="1" max="1" width="23.7109375" customWidth="1"/>
    <col min="2" max="2" width="15.140625" bestFit="1" customWidth="1"/>
    <col min="4" max="4" width="31.28515625" customWidth="1"/>
    <col min="5" max="5" width="15.140625" customWidth="1"/>
    <col min="7" max="7" width="32.7109375" customWidth="1"/>
    <col min="8" max="8" width="14.7109375" customWidth="1"/>
  </cols>
  <sheetData>
    <row r="1" spans="1:9" x14ac:dyDescent="0.25">
      <c r="A1" s="61"/>
      <c r="B1" s="61"/>
    </row>
    <row r="2" spans="1:9" x14ac:dyDescent="0.25">
      <c r="A2" s="61"/>
      <c r="B2" s="36"/>
      <c r="D2" s="32" t="s">
        <v>19</v>
      </c>
      <c r="E2" s="32"/>
      <c r="F2" s="33"/>
      <c r="G2" s="32" t="s">
        <v>34</v>
      </c>
      <c r="H2" s="33"/>
    </row>
    <row r="3" spans="1:9" x14ac:dyDescent="0.25">
      <c r="A3" s="36"/>
      <c r="B3" s="36"/>
      <c r="D3" s="34" t="s">
        <v>13</v>
      </c>
      <c r="E3" s="36" t="s">
        <v>16</v>
      </c>
      <c r="F3" s="33"/>
      <c r="G3" s="34" t="s">
        <v>35</v>
      </c>
      <c r="H3" s="33" t="s">
        <v>73</v>
      </c>
    </row>
    <row r="4" spans="1:9" x14ac:dyDescent="0.25">
      <c r="A4" s="36"/>
      <c r="B4" s="36"/>
      <c r="D4" s="34" t="s">
        <v>14</v>
      </c>
      <c r="E4" s="36" t="s">
        <v>17</v>
      </c>
      <c r="F4" s="33"/>
      <c r="G4" s="34" t="s">
        <v>36</v>
      </c>
      <c r="H4" s="33" t="s">
        <v>74</v>
      </c>
    </row>
    <row r="5" spans="1:9" x14ac:dyDescent="0.25">
      <c r="A5" s="36"/>
      <c r="B5" s="36"/>
      <c r="D5" s="34" t="s">
        <v>15</v>
      </c>
      <c r="E5" s="36">
        <v>20910</v>
      </c>
      <c r="F5" s="33"/>
      <c r="G5" s="34" t="s">
        <v>5</v>
      </c>
      <c r="H5" s="33">
        <v>10080</v>
      </c>
    </row>
    <row r="6" spans="1:9" x14ac:dyDescent="0.25">
      <c r="A6" s="36"/>
      <c r="B6" s="36"/>
      <c r="D6" s="33"/>
      <c r="E6" s="33"/>
      <c r="F6" s="33"/>
      <c r="G6" s="34" t="s">
        <v>37</v>
      </c>
      <c r="H6" s="33">
        <v>10300</v>
      </c>
    </row>
    <row r="7" spans="1:9" x14ac:dyDescent="0.25">
      <c r="A7" s="36"/>
      <c r="B7" s="36"/>
      <c r="D7" s="32" t="s">
        <v>38</v>
      </c>
      <c r="E7" s="32"/>
      <c r="F7" s="33"/>
      <c r="G7" s="33"/>
      <c r="H7" s="33"/>
    </row>
    <row r="8" spans="1:9" x14ac:dyDescent="0.25">
      <c r="A8" s="8" t="s">
        <v>20</v>
      </c>
      <c r="D8" s="34" t="s">
        <v>39</v>
      </c>
      <c r="E8" s="36" t="s">
        <v>21</v>
      </c>
      <c r="F8" s="33"/>
      <c r="G8" s="32" t="s">
        <v>40</v>
      </c>
      <c r="H8" s="33"/>
    </row>
    <row r="9" spans="1:9" x14ac:dyDescent="0.25">
      <c r="A9" t="s">
        <v>18</v>
      </c>
      <c r="B9" s="27" t="s">
        <v>21</v>
      </c>
      <c r="D9" s="34" t="s">
        <v>22</v>
      </c>
      <c r="E9" s="36">
        <v>10000</v>
      </c>
      <c r="F9" s="33"/>
      <c r="G9" s="34" t="s">
        <v>41</v>
      </c>
      <c r="H9" s="33">
        <f>'User Inputs - EX 1'!H9*1.05</f>
        <v>37044</v>
      </c>
      <c r="I9" s="9"/>
    </row>
    <row r="10" spans="1:9" x14ac:dyDescent="0.25">
      <c r="A10" t="s">
        <v>22</v>
      </c>
      <c r="B10" s="27">
        <v>10000</v>
      </c>
      <c r="D10" s="34" t="s">
        <v>42</v>
      </c>
      <c r="E10" s="37">
        <v>8.01</v>
      </c>
      <c r="F10" s="33"/>
      <c r="G10" s="34" t="s">
        <v>43</v>
      </c>
      <c r="H10" s="33">
        <f>H9*0.26</f>
        <v>9631.44</v>
      </c>
    </row>
    <row r="11" spans="1:9" x14ac:dyDescent="0.25">
      <c r="A11" t="s">
        <v>23</v>
      </c>
      <c r="B11" s="23">
        <v>8.01</v>
      </c>
      <c r="D11" s="34" t="s">
        <v>44</v>
      </c>
      <c r="E11" s="28">
        <v>0.126</v>
      </c>
      <c r="F11" s="33"/>
      <c r="G11" s="34" t="s">
        <v>45</v>
      </c>
      <c r="H11" s="33">
        <v>1000</v>
      </c>
    </row>
    <row r="12" spans="1:9" x14ac:dyDescent="0.25">
      <c r="A12" t="s">
        <v>24</v>
      </c>
      <c r="B12" s="22">
        <v>0.126</v>
      </c>
      <c r="D12" s="34" t="s">
        <v>46</v>
      </c>
      <c r="E12" s="36" t="s">
        <v>26</v>
      </c>
      <c r="F12" s="33"/>
      <c r="G12" s="34" t="s">
        <v>47</v>
      </c>
      <c r="H12" s="33" t="s">
        <v>121</v>
      </c>
    </row>
    <row r="13" spans="1:9" x14ac:dyDescent="0.25">
      <c r="A13" t="s">
        <v>25</v>
      </c>
      <c r="B13" s="27" t="s">
        <v>26</v>
      </c>
      <c r="D13" s="34" t="s">
        <v>48</v>
      </c>
      <c r="E13" s="28">
        <v>5.8999999999999997E-2</v>
      </c>
      <c r="F13" s="33"/>
      <c r="G13" s="33"/>
      <c r="H13" s="33"/>
    </row>
    <row r="14" spans="1:9" x14ac:dyDescent="0.25">
      <c r="A14" t="s">
        <v>27</v>
      </c>
      <c r="B14" s="22">
        <v>5.8999999999999997E-2</v>
      </c>
      <c r="D14" s="34" t="s">
        <v>28</v>
      </c>
      <c r="E14" s="37">
        <v>0</v>
      </c>
      <c r="F14" s="33"/>
      <c r="G14" s="33"/>
      <c r="H14" s="33"/>
    </row>
    <row r="15" spans="1:9" x14ac:dyDescent="0.25">
      <c r="A15" t="s">
        <v>28</v>
      </c>
      <c r="B15" s="23">
        <v>0</v>
      </c>
      <c r="D15" s="33"/>
      <c r="E15" s="38"/>
      <c r="F15" s="33"/>
      <c r="G15" s="33"/>
      <c r="H15" s="33"/>
    </row>
    <row r="16" spans="1:9" x14ac:dyDescent="0.25">
      <c r="A16" t="s">
        <v>29</v>
      </c>
      <c r="B16" s="30">
        <v>0.02</v>
      </c>
      <c r="D16" s="57" t="s">
        <v>49</v>
      </c>
      <c r="E16" s="58"/>
      <c r="F16" s="33"/>
      <c r="G16" s="33"/>
      <c r="H16" s="33"/>
    </row>
    <row r="17" spans="1:8" x14ac:dyDescent="0.25">
      <c r="D17" s="59" t="s">
        <v>29</v>
      </c>
      <c r="E17" s="60">
        <v>0.02</v>
      </c>
      <c r="F17" s="56"/>
      <c r="G17" s="33"/>
      <c r="H17" s="33"/>
    </row>
    <row r="18" spans="1:8" x14ac:dyDescent="0.25">
      <c r="A18" s="8" t="s">
        <v>30</v>
      </c>
    </row>
    <row r="19" spans="1:8" x14ac:dyDescent="0.25">
      <c r="A19" t="s">
        <v>31</v>
      </c>
      <c r="B19" s="31">
        <v>0.06</v>
      </c>
      <c r="D19" s="32" t="s">
        <v>53</v>
      </c>
      <c r="E19" s="32" t="s">
        <v>54</v>
      </c>
      <c r="F19" s="33"/>
      <c r="G19" s="32" t="s">
        <v>55</v>
      </c>
      <c r="H19" s="32" t="s">
        <v>54</v>
      </c>
    </row>
    <row r="20" spans="1:8" x14ac:dyDescent="0.25">
      <c r="A20" t="s">
        <v>32</v>
      </c>
      <c r="B20" s="29">
        <f>B19</f>
        <v>0.06</v>
      </c>
      <c r="D20" s="34" t="s">
        <v>56</v>
      </c>
      <c r="E20" s="34">
        <v>25</v>
      </c>
      <c r="F20" s="33"/>
      <c r="G20" s="34" t="s">
        <v>57</v>
      </c>
      <c r="H20" s="34">
        <v>25</v>
      </c>
    </row>
    <row r="21" spans="1:8" x14ac:dyDescent="0.25">
      <c r="A21" t="s">
        <v>33</v>
      </c>
      <c r="B21" s="27">
        <v>25</v>
      </c>
      <c r="D21" s="34" t="s">
        <v>58</v>
      </c>
      <c r="E21" s="35">
        <v>0.06</v>
      </c>
      <c r="F21" s="33"/>
      <c r="G21" s="34" t="s">
        <v>59</v>
      </c>
      <c r="H21" s="34">
        <v>25</v>
      </c>
    </row>
    <row r="22" spans="1:8" x14ac:dyDescent="0.25">
      <c r="D22" s="34" t="s">
        <v>60</v>
      </c>
      <c r="E22" s="35">
        <v>0.02</v>
      </c>
      <c r="F22" s="33"/>
      <c r="G22" s="34" t="s">
        <v>61</v>
      </c>
      <c r="H22" s="34">
        <v>0</v>
      </c>
    </row>
    <row r="23" spans="1:8" ht="30" x14ac:dyDescent="0.25">
      <c r="A23" t="s">
        <v>86</v>
      </c>
      <c r="B23">
        <f>(1.02*1.06)-1</f>
        <v>8.1200000000000161E-2</v>
      </c>
      <c r="D23" s="34" t="s">
        <v>62</v>
      </c>
      <c r="E23" s="33" t="s">
        <v>126</v>
      </c>
      <c r="F23" s="33"/>
      <c r="G23" s="34" t="s">
        <v>63</v>
      </c>
      <c r="H23" s="34">
        <v>0</v>
      </c>
    </row>
    <row r="24" spans="1:8" x14ac:dyDescent="0.25">
      <c r="D24" s="33"/>
      <c r="E24" s="33"/>
      <c r="F24" s="33"/>
      <c r="G24" s="34" t="s">
        <v>64</v>
      </c>
      <c r="H24" s="41">
        <v>5.0000000000000001E-4</v>
      </c>
    </row>
    <row r="25" spans="1:8" x14ac:dyDescent="0.25">
      <c r="B25">
        <f>8.01*12</f>
        <v>96.12</v>
      </c>
      <c r="D25" s="32" t="s">
        <v>65</v>
      </c>
      <c r="E25" s="33"/>
      <c r="F25" s="33"/>
      <c r="G25" s="33"/>
      <c r="H25" s="33"/>
    </row>
    <row r="26" spans="1:8" ht="13.5" customHeight="1" x14ac:dyDescent="0.25">
      <c r="D26" s="34" t="s">
        <v>66</v>
      </c>
      <c r="E26" s="33" t="s">
        <v>123</v>
      </c>
      <c r="F26" s="33"/>
      <c r="G26" s="34" t="s">
        <v>78</v>
      </c>
      <c r="H26" s="35">
        <v>0.02</v>
      </c>
    </row>
    <row r="27" spans="1:8" x14ac:dyDescent="0.25">
      <c r="D27" s="34" t="s">
        <v>67</v>
      </c>
      <c r="E27" s="55">
        <f>H9*0.1</f>
        <v>3704.4</v>
      </c>
      <c r="F27" s="33"/>
      <c r="G27" s="33"/>
      <c r="H27" s="33"/>
    </row>
    <row r="28" spans="1:8" x14ac:dyDescent="0.25">
      <c r="D28" s="34" t="s">
        <v>68</v>
      </c>
      <c r="E28" s="41">
        <v>4.99E-2</v>
      </c>
      <c r="F28" s="33"/>
      <c r="G28" s="33"/>
      <c r="H28" s="33"/>
    </row>
    <row r="29" spans="1:8" x14ac:dyDescent="0.25">
      <c r="D29" s="34" t="s">
        <v>69</v>
      </c>
      <c r="E29" s="54">
        <v>308.19</v>
      </c>
      <c r="F29" s="33"/>
      <c r="G29" s="33"/>
      <c r="H29" s="33"/>
    </row>
    <row r="31" spans="1:8" x14ac:dyDescent="0.25">
      <c r="D31" s="32" t="s">
        <v>70</v>
      </c>
      <c r="E31" s="33"/>
      <c r="G31" s="32" t="s">
        <v>50</v>
      </c>
      <c r="H31" s="33"/>
    </row>
    <row r="32" spans="1:8" x14ac:dyDescent="0.25">
      <c r="D32" s="34" t="s">
        <v>71</v>
      </c>
      <c r="E32" s="34" t="s">
        <v>77</v>
      </c>
      <c r="G32" s="34" t="s">
        <v>51</v>
      </c>
      <c r="H32" s="34" t="s">
        <v>122</v>
      </c>
    </row>
    <row r="33" spans="4:8" ht="45" x14ac:dyDescent="0.25">
      <c r="D33" s="34" t="s">
        <v>72</v>
      </c>
      <c r="E33" s="34" t="s">
        <v>125</v>
      </c>
      <c r="G33" s="34" t="s">
        <v>88</v>
      </c>
      <c r="H33" s="34" t="s">
        <v>122</v>
      </c>
    </row>
    <row r="34" spans="4:8" x14ac:dyDescent="0.25">
      <c r="G34" s="34" t="s">
        <v>87</v>
      </c>
      <c r="H34" s="34" t="s">
        <v>122</v>
      </c>
    </row>
    <row r="35" spans="4:8" x14ac:dyDescent="0.25">
      <c r="G35" s="34" t="s">
        <v>52</v>
      </c>
      <c r="H35" s="34" t="s">
        <v>122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24D1-0E82-4B48-9E6A-5E03FE5EA190}">
  <dimension ref="A1:AD48"/>
  <sheetViews>
    <sheetView topLeftCell="A28" workbookViewId="0">
      <selection activeCell="E45" sqref="E45"/>
    </sheetView>
  </sheetViews>
  <sheetFormatPr defaultRowHeight="15" x14ac:dyDescent="0.25"/>
  <cols>
    <col min="1" max="1" width="5.140625" bestFit="1" customWidth="1"/>
    <col min="2" max="2" width="6.85546875" customWidth="1"/>
    <col min="3" max="3" width="13.5703125" customWidth="1"/>
    <col min="4" max="5" width="9.28515625" bestFit="1" customWidth="1"/>
    <col min="6" max="6" width="10.5703125" bestFit="1" customWidth="1"/>
    <col min="7" max="9" width="9.5703125" bestFit="1" customWidth="1"/>
    <col min="10" max="10" width="13.28515625" bestFit="1" customWidth="1"/>
    <col min="11" max="11" width="9.5703125" bestFit="1" customWidth="1"/>
    <col min="12" max="12" width="11.140625" customWidth="1"/>
    <col min="13" max="13" width="10.5703125" bestFit="1" customWidth="1"/>
    <col min="14" max="14" width="10.140625" customWidth="1"/>
    <col min="15" max="15" width="9.5703125" bestFit="1" customWidth="1"/>
    <col min="16" max="16" width="10.5703125" bestFit="1" customWidth="1"/>
    <col min="17" max="17" width="12.28515625" bestFit="1" customWidth="1"/>
    <col min="18" max="18" width="14.28515625" bestFit="1" customWidth="1"/>
    <col min="19" max="19" width="13.85546875" customWidth="1"/>
    <col min="20" max="20" width="12.28515625" bestFit="1" customWidth="1"/>
    <col min="21" max="21" width="9.5703125" bestFit="1" customWidth="1"/>
    <col min="22" max="22" width="9" customWidth="1"/>
    <col min="23" max="24" width="9.5703125" bestFit="1" customWidth="1"/>
    <col min="25" max="25" width="11.42578125" customWidth="1"/>
    <col min="26" max="26" width="9.5703125" bestFit="1" customWidth="1"/>
    <col min="27" max="27" width="12.140625" customWidth="1"/>
    <col min="28" max="28" width="11.140625" customWidth="1"/>
    <col min="29" max="30" width="9.5703125" bestFit="1" customWidth="1"/>
  </cols>
  <sheetData>
    <row r="1" spans="1:30" x14ac:dyDescent="0.25">
      <c r="B1" s="8" t="s">
        <v>94</v>
      </c>
      <c r="E1" s="15"/>
    </row>
    <row r="2" spans="1:30" x14ac:dyDescent="0.25">
      <c r="B2" s="8" t="s">
        <v>80</v>
      </c>
      <c r="E2" s="15"/>
      <c r="J2" s="8" t="s">
        <v>79</v>
      </c>
      <c r="P2" s="8" t="s">
        <v>95</v>
      </c>
      <c r="X2" s="8" t="s">
        <v>96</v>
      </c>
    </row>
    <row r="3" spans="1:30" x14ac:dyDescent="0.25">
      <c r="C3" s="17" t="s">
        <v>81</v>
      </c>
      <c r="D3" s="17" t="s">
        <v>82</v>
      </c>
      <c r="E3" s="8" t="s">
        <v>7</v>
      </c>
      <c r="J3" s="17" t="s">
        <v>81</v>
      </c>
      <c r="K3" s="17" t="s">
        <v>82</v>
      </c>
      <c r="L3" s="8" t="s">
        <v>7</v>
      </c>
      <c r="Q3" s="8" t="s">
        <v>91</v>
      </c>
      <c r="T3" s="8" t="s">
        <v>89</v>
      </c>
      <c r="Y3" s="8" t="s">
        <v>91</v>
      </c>
      <c r="AA3" s="8" t="s">
        <v>89</v>
      </c>
    </row>
    <row r="4" spans="1:30" x14ac:dyDescent="0.25">
      <c r="A4" t="s">
        <v>12</v>
      </c>
      <c r="B4" s="10" t="s">
        <v>0</v>
      </c>
      <c r="E4" s="20" t="s">
        <v>4</v>
      </c>
      <c r="F4" s="17" t="s">
        <v>89</v>
      </c>
      <c r="H4" t="s">
        <v>12</v>
      </c>
      <c r="I4" s="10" t="s">
        <v>0</v>
      </c>
      <c r="L4" s="20" t="s">
        <v>4</v>
      </c>
      <c r="M4" s="17" t="s">
        <v>89</v>
      </c>
      <c r="N4" s="17"/>
      <c r="O4" s="8" t="s">
        <v>82</v>
      </c>
      <c r="P4" s="8" t="s">
        <v>3</v>
      </c>
      <c r="Q4" s="8" t="s">
        <v>90</v>
      </c>
      <c r="R4" s="8" t="s">
        <v>97</v>
      </c>
      <c r="S4" s="8" t="s">
        <v>110</v>
      </c>
      <c r="T4" s="8" t="s">
        <v>90</v>
      </c>
      <c r="U4" s="8" t="s">
        <v>97</v>
      </c>
      <c r="V4" s="8" t="s">
        <v>110</v>
      </c>
      <c r="X4" s="8" t="s">
        <v>3</v>
      </c>
      <c r="Y4" s="8" t="s">
        <v>92</v>
      </c>
      <c r="Z4" s="8" t="s">
        <v>81</v>
      </c>
      <c r="AA4" s="8" t="s">
        <v>92</v>
      </c>
      <c r="AB4" s="8" t="s">
        <v>81</v>
      </c>
    </row>
    <row r="5" spans="1:30" x14ac:dyDescent="0.25">
      <c r="A5">
        <v>2021</v>
      </c>
      <c r="B5" s="16">
        <v>1</v>
      </c>
      <c r="C5" s="45">
        <f>'User Inputs - EX 1'!$E$9</f>
        <v>10000</v>
      </c>
      <c r="D5" s="44">
        <f>'User Inputs - EX 1'!E11</f>
        <v>0.126</v>
      </c>
      <c r="E5" s="15">
        <f>C5*D5</f>
        <v>1260</v>
      </c>
      <c r="F5" s="14">
        <f>E5/(1+'User Inputs - EX 1'!$B$23)^'Electricity Costs'!B5</f>
        <v>1165.3718091009987</v>
      </c>
      <c r="H5">
        <v>2021</v>
      </c>
      <c r="I5" s="16">
        <v>1</v>
      </c>
      <c r="J5" s="45">
        <v>10300</v>
      </c>
      <c r="K5" s="44">
        <v>0.1</v>
      </c>
      <c r="L5" s="15">
        <f>J5*K5</f>
        <v>1030</v>
      </c>
      <c r="M5" s="14">
        <f>L5/(1+'User Inputs - EX 1'!$B$23)^'Electricity Costs'!I5</f>
        <v>952.6452090270069</v>
      </c>
      <c r="N5" s="14"/>
      <c r="O5">
        <f>'User Inputs - EX 1'!E13</f>
        <v>5.8999999999999997E-2</v>
      </c>
      <c r="P5" s="47">
        <f>10000-J5</f>
        <v>-300</v>
      </c>
      <c r="Q5" s="26">
        <f>P5*O5</f>
        <v>-17.7</v>
      </c>
      <c r="R5" s="1"/>
      <c r="S5" s="1">
        <f>Q5+R5</f>
        <v>-17.7</v>
      </c>
      <c r="T5" s="14">
        <f>Q5/(1+'User Inputs - EX 1'!$B$23)^'Electricity Costs'!I5</f>
        <v>-16.370699223085456</v>
      </c>
      <c r="U5" s="14">
        <f>R5/(1+'User Inputs - EX 1'!$B$23)^'Electricity Costs'!I5</f>
        <v>0</v>
      </c>
      <c r="V5" s="14">
        <f>T5+U5</f>
        <v>-16.370699223085456</v>
      </c>
      <c r="X5" s="47">
        <f>-J5</f>
        <v>-10300</v>
      </c>
      <c r="Y5" s="26">
        <f>X5*D5</f>
        <v>-1297.8</v>
      </c>
      <c r="Z5" s="15">
        <f>L5</f>
        <v>1030</v>
      </c>
      <c r="AA5" s="14">
        <f>Y5/(1+'User Inputs - EX 1'!$B$23)^'Electricity Costs'!I5</f>
        <v>-1200.3329633740286</v>
      </c>
      <c r="AB5" s="14">
        <f>F5</f>
        <v>1165.3718091009987</v>
      </c>
      <c r="AD5" s="14">
        <f>AA5+AB5</f>
        <v>-34.961154273029933</v>
      </c>
    </row>
    <row r="6" spans="1:30" x14ac:dyDescent="0.25">
      <c r="A6">
        <f>A5+1</f>
        <v>2022</v>
      </c>
      <c r="B6" s="16">
        <f t="shared" ref="B6:B29" si="0">B5+1</f>
        <v>2</v>
      </c>
      <c r="C6" s="45">
        <f>'User Inputs - EX 1'!$E$9</f>
        <v>10000</v>
      </c>
      <c r="D6" s="44">
        <f>D5*(1+'User Inputs - EX 1'!$E$17)</f>
        <v>0.12852</v>
      </c>
      <c r="E6" s="15">
        <f t="shared" ref="E6:E29" si="1">C6*D6</f>
        <v>1285.2</v>
      </c>
      <c r="F6" s="14">
        <f>E6/(1+'User Inputs - EX 1'!$B$23)^'Electricity Costs'!B6</f>
        <v>1099.4073670764137</v>
      </c>
      <c r="H6">
        <f>H5+1</f>
        <v>2022</v>
      </c>
      <c r="I6" s="16">
        <f t="shared" ref="I6:I29" si="2">I5+1</f>
        <v>2</v>
      </c>
      <c r="J6" s="45">
        <v>10248.5</v>
      </c>
      <c r="K6" s="44">
        <f>K5*(1+0.01)</f>
        <v>0.10100000000000001</v>
      </c>
      <c r="L6" s="15">
        <f t="shared" ref="L6:L29" si="3">J6*K6</f>
        <v>1035.0985000000001</v>
      </c>
      <c r="M6" s="14">
        <f>L6/(1+'User Inputs - EX 1'!$B$23)^'Electricity Costs'!I6</f>
        <v>885.46134185320977</v>
      </c>
      <c r="N6" s="14"/>
      <c r="O6">
        <f>O5*(1+'User Inputs - EX 1'!$H$26)</f>
        <v>6.0179999999999997E-2</v>
      </c>
      <c r="P6" s="47">
        <f t="shared" ref="P6:P29" si="4">10000-J6</f>
        <v>-248.5</v>
      </c>
      <c r="Q6" s="26">
        <f t="shared" ref="Q6:Q10" si="5">P6*O6</f>
        <v>-14.95473</v>
      </c>
      <c r="R6" s="1"/>
      <c r="S6" s="1">
        <f t="shared" ref="S6:S29" si="6">Q6+R6</f>
        <v>-14.95473</v>
      </c>
      <c r="T6" s="14">
        <f>Q6/(1+'User Inputs - EX 1'!$B$23)^'Electricity Costs'!I6</f>
        <v>-12.792826279675269</v>
      </c>
      <c r="U6" s="14">
        <f>R6/(1+'User Inputs - EX 1'!$B$23)^'Electricity Costs'!I6</f>
        <v>0</v>
      </c>
      <c r="V6" s="14">
        <f t="shared" ref="V6:V29" si="7">T6+U6</f>
        <v>-12.792826279675269</v>
      </c>
      <c r="X6" s="47">
        <f t="shared" ref="X6:X29" si="8">-J6</f>
        <v>-10248.5</v>
      </c>
      <c r="Y6" s="26">
        <f t="shared" ref="Y6:Y29" si="9">X6*D6</f>
        <v>-1317.1372199999998</v>
      </c>
      <c r="Z6" s="15">
        <f t="shared" ref="Z6:Z29" si="10">L6</f>
        <v>1035.0985000000001</v>
      </c>
      <c r="AA6" s="14">
        <f>Y6/(1+'User Inputs - EX 1'!$B$23)^'Electricity Costs'!I6</f>
        <v>-1126.7276401482625</v>
      </c>
      <c r="AB6" s="14">
        <f t="shared" ref="AB6:AB29" si="11">F6</f>
        <v>1099.4073670764137</v>
      </c>
      <c r="AD6" s="14">
        <f t="shared" ref="AD6:AD29" si="12">AA6+AB6</f>
        <v>-27.32027307184876</v>
      </c>
    </row>
    <row r="7" spans="1:30" x14ac:dyDescent="0.25">
      <c r="A7">
        <f t="shared" ref="A7:A29" si="13">A6+1</f>
        <v>2023</v>
      </c>
      <c r="B7" s="16">
        <f t="shared" si="0"/>
        <v>3</v>
      </c>
      <c r="C7" s="45">
        <f>'User Inputs - EX 1'!$E$9</f>
        <v>10000</v>
      </c>
      <c r="D7" s="44">
        <f>D6*(1+'User Inputs - EX 1'!$E$17)</f>
        <v>0.1310904</v>
      </c>
      <c r="E7" s="15">
        <f t="shared" si="1"/>
        <v>1310.904</v>
      </c>
      <c r="F7" s="14">
        <f>E7/(1+'User Inputs - EX 1'!$B$23)^'Electricity Costs'!B7</f>
        <v>1037.176761392843</v>
      </c>
      <c r="H7">
        <f t="shared" ref="H7:H29" si="14">H6+1</f>
        <v>2023</v>
      </c>
      <c r="I7" s="16">
        <f t="shared" si="2"/>
        <v>3</v>
      </c>
      <c r="J7" s="45">
        <v>10197</v>
      </c>
      <c r="K7" s="44">
        <f t="shared" ref="K7:K29" si="15">K6*(1+0.01)</f>
        <v>0.10201</v>
      </c>
      <c r="L7" s="15">
        <f t="shared" si="3"/>
        <v>1040.19597</v>
      </c>
      <c r="M7" s="14">
        <f>L7/(1+'User Inputs - EX 1'!$B$23)^'Electricity Costs'!I7</f>
        <v>822.99473293123435</v>
      </c>
      <c r="N7" s="14"/>
      <c r="O7">
        <f>O6*(1+'User Inputs - EX 1'!$H$26)</f>
        <v>6.1383599999999996E-2</v>
      </c>
      <c r="P7" s="47">
        <f t="shared" si="4"/>
        <v>-197</v>
      </c>
      <c r="Q7" s="26">
        <f t="shared" si="5"/>
        <v>-12.0925692</v>
      </c>
      <c r="R7" s="1"/>
      <c r="S7" s="1">
        <f t="shared" si="6"/>
        <v>-12.0925692</v>
      </c>
      <c r="T7" s="14">
        <f>Q7/(1+'User Inputs - EX 1'!$B$23)^'Electricity Costs'!I7</f>
        <v>-9.5675440457690595</v>
      </c>
      <c r="U7" s="14">
        <f>R7/(1+'User Inputs - EX 1'!$B$23)^'Electricity Costs'!I7</f>
        <v>0</v>
      </c>
      <c r="V7" s="14">
        <f t="shared" si="7"/>
        <v>-9.5675440457690595</v>
      </c>
      <c r="X7" s="47">
        <f t="shared" si="8"/>
        <v>-10197</v>
      </c>
      <c r="Y7" s="26">
        <f t="shared" si="9"/>
        <v>-1336.7288088</v>
      </c>
      <c r="Z7" s="15">
        <f t="shared" si="10"/>
        <v>1040.19597</v>
      </c>
      <c r="AA7" s="14">
        <f>Y7/(1+'User Inputs - EX 1'!$B$23)^'Electricity Costs'!I7</f>
        <v>-1057.609143592282</v>
      </c>
      <c r="AB7" s="14">
        <f t="shared" si="11"/>
        <v>1037.176761392843</v>
      </c>
      <c r="AD7" s="14">
        <f t="shared" si="12"/>
        <v>-20.432382199438962</v>
      </c>
    </row>
    <row r="8" spans="1:30" x14ac:dyDescent="0.25">
      <c r="A8">
        <f t="shared" si="13"/>
        <v>2024</v>
      </c>
      <c r="B8" s="16">
        <f t="shared" si="0"/>
        <v>4</v>
      </c>
      <c r="C8" s="45">
        <f>'User Inputs - EX 1'!$E$9</f>
        <v>10000</v>
      </c>
      <c r="D8" s="44">
        <f>D7*(1+'User Inputs - EX 1'!$E$17)</f>
        <v>0.133712208</v>
      </c>
      <c r="E8" s="15">
        <f t="shared" si="1"/>
        <v>1337.1220800000001</v>
      </c>
      <c r="F8" s="14">
        <f>E8/(1+'User Inputs - EX 1'!$B$23)^'Electricity Costs'!B8</f>
        <v>978.46864282343654</v>
      </c>
      <c r="H8">
        <f t="shared" si="14"/>
        <v>2024</v>
      </c>
      <c r="I8" s="16">
        <f t="shared" si="2"/>
        <v>4</v>
      </c>
      <c r="J8" s="45">
        <v>10145.5</v>
      </c>
      <c r="K8" s="44">
        <f t="shared" si="15"/>
        <v>0.1030301</v>
      </c>
      <c r="L8" s="15">
        <f t="shared" si="3"/>
        <v>1045.29187955</v>
      </c>
      <c r="M8" s="14">
        <f>L8/(1+'User Inputs - EX 1'!$B$23)^'Electricity Costs'!I8</f>
        <v>764.91544193006484</v>
      </c>
      <c r="N8" s="14"/>
      <c r="O8">
        <f>O7*(1+'User Inputs - EX 1'!$H$26)</f>
        <v>6.2611271999999996E-2</v>
      </c>
      <c r="P8" s="47">
        <f t="shared" si="4"/>
        <v>-145.5</v>
      </c>
      <c r="Q8" s="26">
        <f t="shared" si="5"/>
        <v>-9.1099400759999991</v>
      </c>
      <c r="R8" s="1"/>
      <c r="S8" s="1">
        <f t="shared" si="6"/>
        <v>-9.1099400759999991</v>
      </c>
      <c r="T8" s="14">
        <f>Q8/(1+'User Inputs - EX 1'!$B$23)^'Electricity Costs'!I8</f>
        <v>-6.6664000510458647</v>
      </c>
      <c r="U8" s="14">
        <f>R8/(1+'User Inputs - EX 1'!$B$23)^'Electricity Costs'!I8</f>
        <v>0</v>
      </c>
      <c r="V8" s="14">
        <f t="shared" si="7"/>
        <v>-6.6664000510458647</v>
      </c>
      <c r="X8" s="47">
        <f t="shared" si="8"/>
        <v>-10145.5</v>
      </c>
      <c r="Y8" s="26">
        <f t="shared" si="9"/>
        <v>-1356.5772062640001</v>
      </c>
      <c r="Z8" s="15">
        <f t="shared" si="10"/>
        <v>1045.29187955</v>
      </c>
      <c r="AA8" s="14">
        <f>Y8/(1+'User Inputs - EX 1'!$B$23)^'Electricity Costs'!I8</f>
        <v>-992.70536157651759</v>
      </c>
      <c r="AB8" s="14">
        <f t="shared" si="11"/>
        <v>978.46864282343654</v>
      </c>
      <c r="AD8" s="14">
        <f t="shared" si="12"/>
        <v>-14.23671875308105</v>
      </c>
    </row>
    <row r="9" spans="1:30" x14ac:dyDescent="0.25">
      <c r="A9">
        <f t="shared" si="13"/>
        <v>2025</v>
      </c>
      <c r="B9" s="16">
        <f t="shared" si="0"/>
        <v>5</v>
      </c>
      <c r="C9" s="45">
        <f>'User Inputs - EX 1'!$E$9</f>
        <v>10000</v>
      </c>
      <c r="D9" s="44">
        <f>D8*(1+'User Inputs - EX 1'!$E$17)</f>
        <v>0.13638645216</v>
      </c>
      <c r="E9" s="15">
        <f t="shared" si="1"/>
        <v>1363.8645216</v>
      </c>
      <c r="F9" s="14">
        <f>E9/(1+'User Inputs - EX 1'!$B$23)^'Electricity Costs'!B9</f>
        <v>923.08362530512863</v>
      </c>
      <c r="H9">
        <f t="shared" si="14"/>
        <v>2025</v>
      </c>
      <c r="I9" s="16">
        <f t="shared" si="2"/>
        <v>5</v>
      </c>
      <c r="J9" s="45">
        <v>10094</v>
      </c>
      <c r="K9" s="44">
        <f t="shared" si="15"/>
        <v>0.104060401</v>
      </c>
      <c r="L9" s="15">
        <f t="shared" si="3"/>
        <v>1050.3856876939999</v>
      </c>
      <c r="M9" s="14">
        <f>L9/(1+'User Inputs - EX 1'!$B$23)^'Electricity Costs'!I9</f>
        <v>710.91652668531299</v>
      </c>
      <c r="N9" s="14"/>
      <c r="O9">
        <f>O8*(1+'User Inputs - EX 1'!$H$26)</f>
        <v>6.386349744E-2</v>
      </c>
      <c r="P9" s="47">
        <f t="shared" si="4"/>
        <v>-94</v>
      </c>
      <c r="Q9" s="26">
        <f t="shared" si="5"/>
        <v>-6.0031687593600003</v>
      </c>
      <c r="R9" s="1"/>
      <c r="S9" s="1">
        <f t="shared" si="6"/>
        <v>-6.0031687593600003</v>
      </c>
      <c r="T9" s="14">
        <f>Q9/(1+'User Inputs - EX 1'!$B$23)^'Electricity Costs'!I9</f>
        <v>-4.0630331634462253</v>
      </c>
      <c r="U9" s="14">
        <f>R9/(1+'User Inputs - EX 1'!$B$23)^'Electricity Costs'!I9</f>
        <v>0</v>
      </c>
      <c r="V9" s="14">
        <f t="shared" si="7"/>
        <v>-4.0630331634462253</v>
      </c>
      <c r="X9" s="47">
        <f t="shared" si="8"/>
        <v>-10094</v>
      </c>
      <c r="Y9" s="26">
        <f t="shared" si="9"/>
        <v>-1376.6848481030399</v>
      </c>
      <c r="Z9" s="15">
        <f t="shared" si="10"/>
        <v>1050.3856876939999</v>
      </c>
      <c r="AA9" s="14">
        <f>Y9/(1+'User Inputs - EX 1'!$B$23)^'Electricity Costs'!I9</f>
        <v>-931.76061138299679</v>
      </c>
      <c r="AB9" s="14">
        <f t="shared" si="11"/>
        <v>923.08362530512863</v>
      </c>
      <c r="AD9" s="14">
        <f t="shared" si="12"/>
        <v>-8.6769860778681505</v>
      </c>
    </row>
    <row r="10" spans="1:30" x14ac:dyDescent="0.25">
      <c r="A10">
        <f t="shared" si="13"/>
        <v>2026</v>
      </c>
      <c r="B10" s="16">
        <f t="shared" si="0"/>
        <v>6</v>
      </c>
      <c r="C10" s="45">
        <f>'User Inputs - EX 1'!$E$9</f>
        <v>10000</v>
      </c>
      <c r="D10" s="44">
        <f>D9*(1+'User Inputs - EX 1'!$E$17)</f>
        <v>0.13911418120320002</v>
      </c>
      <c r="E10" s="15">
        <f t="shared" si="1"/>
        <v>1391.1418120320002</v>
      </c>
      <c r="F10" s="14">
        <f>E10/(1+'User Inputs - EX 1'!$B$23)^'Electricity Costs'!B10</f>
        <v>870.83360877842324</v>
      </c>
      <c r="H10">
        <f t="shared" si="14"/>
        <v>2026</v>
      </c>
      <c r="I10" s="16">
        <f t="shared" si="2"/>
        <v>6</v>
      </c>
      <c r="J10" s="45">
        <v>10042.5</v>
      </c>
      <c r="K10" s="44">
        <f t="shared" si="15"/>
        <v>0.10510100501</v>
      </c>
      <c r="L10" s="15">
        <f t="shared" si="3"/>
        <v>1055.476842812925</v>
      </c>
      <c r="M10" s="14">
        <f>L10/(1+'User Inputs - EX 1'!$B$23)^'Electricity Costs'!I10</f>
        <v>660.71244502835282</v>
      </c>
      <c r="N10" s="14"/>
      <c r="O10">
        <f>O9*(1+'User Inputs - EX 1'!$H$26)</f>
        <v>6.5140767388799994E-2</v>
      </c>
      <c r="P10" s="47">
        <f t="shared" si="4"/>
        <v>-42.5</v>
      </c>
      <c r="Q10" s="26">
        <f t="shared" si="5"/>
        <v>-2.7684826140239998</v>
      </c>
      <c r="R10" s="1"/>
      <c r="S10" s="1">
        <f t="shared" si="6"/>
        <v>-2.7684826140239998</v>
      </c>
      <c r="T10" s="14">
        <f>Q10/(1+'User Inputs - EX 1'!$B$23)^'Electricity Costs'!I10</f>
        <v>-1.7330279952475363</v>
      </c>
      <c r="U10" s="14">
        <f>R10/(1+'User Inputs - EX 1'!$B$23)^'Electricity Costs'!I10</f>
        <v>0</v>
      </c>
      <c r="V10" s="14">
        <f t="shared" si="7"/>
        <v>-1.7330279952475363</v>
      </c>
      <c r="X10" s="47">
        <f t="shared" si="8"/>
        <v>-10042.5</v>
      </c>
      <c r="Y10" s="26">
        <f t="shared" si="9"/>
        <v>-1397.0541647331361</v>
      </c>
      <c r="Z10" s="15">
        <f t="shared" si="10"/>
        <v>1055.476842812925</v>
      </c>
      <c r="AA10" s="14">
        <f>Y10/(1+'User Inputs - EX 1'!$B$23)^'Electricity Costs'!I10</f>
        <v>-874.53465161573149</v>
      </c>
      <c r="AB10" s="14">
        <f t="shared" si="11"/>
        <v>870.83360877842324</v>
      </c>
      <c r="AD10" s="14">
        <f t="shared" si="12"/>
        <v>-3.7010428373082505</v>
      </c>
    </row>
    <row r="11" spans="1:30" x14ac:dyDescent="0.25">
      <c r="A11">
        <f t="shared" si="13"/>
        <v>2027</v>
      </c>
      <c r="B11" s="16">
        <f t="shared" si="0"/>
        <v>7</v>
      </c>
      <c r="C11" s="45">
        <f>'User Inputs - EX 1'!$E$9</f>
        <v>10000</v>
      </c>
      <c r="D11" s="44">
        <f>D10*(1+'User Inputs - EX 1'!$E$17)</f>
        <v>0.14189646482726401</v>
      </c>
      <c r="E11" s="15">
        <f t="shared" si="1"/>
        <v>1418.96464827264</v>
      </c>
      <c r="F11" s="14">
        <f>E11/(1+'User Inputs - EX 1'!$B$23)^'Electricity Costs'!B11</f>
        <v>821.54114035700297</v>
      </c>
      <c r="H11">
        <f t="shared" si="14"/>
        <v>2027</v>
      </c>
      <c r="I11" s="16">
        <f t="shared" si="2"/>
        <v>7</v>
      </c>
      <c r="J11" s="45">
        <v>9991</v>
      </c>
      <c r="K11" s="44">
        <f t="shared" si="15"/>
        <v>0.1061520150601</v>
      </c>
      <c r="L11" s="15">
        <f t="shared" si="3"/>
        <v>1060.5647824654591</v>
      </c>
      <c r="M11" s="14">
        <f>L11/(1+'User Inputs - EX 1'!$B$23)^'Electricity Costs'!I11</f>
        <v>614.03756736985235</v>
      </c>
      <c r="N11" s="14"/>
      <c r="P11" s="47">
        <f t="shared" si="4"/>
        <v>9</v>
      </c>
      <c r="R11" s="1">
        <f>P11*D11</f>
        <v>1.2770681834453761</v>
      </c>
      <c r="S11" s="1">
        <f t="shared" si="6"/>
        <v>1.2770681834453761</v>
      </c>
      <c r="T11" s="14">
        <f>Q11/(1+'User Inputs - EX 1'!$B$23)^'Electricity Costs'!I11</f>
        <v>0</v>
      </c>
      <c r="U11" s="14">
        <f>R11/(1+'User Inputs - EX 1'!$B$23)^'Electricity Costs'!I11</f>
        <v>0.73938702632130271</v>
      </c>
      <c r="V11" s="14">
        <f t="shared" si="7"/>
        <v>0.73938702632130271</v>
      </c>
      <c r="X11" s="47">
        <f t="shared" si="8"/>
        <v>-9991</v>
      </c>
      <c r="Y11" s="26">
        <f t="shared" si="9"/>
        <v>-1417.6875800891946</v>
      </c>
      <c r="Z11" s="15">
        <f t="shared" si="10"/>
        <v>1060.5647824654591</v>
      </c>
      <c r="AA11" s="14">
        <f>Y11/(1+'User Inputs - EX 1'!$B$23)^'Electricity Costs'!I11</f>
        <v>-820.80175333068155</v>
      </c>
      <c r="AB11" s="14">
        <f t="shared" si="11"/>
        <v>821.54114035700297</v>
      </c>
      <c r="AD11" s="14">
        <f t="shared" si="12"/>
        <v>0.73938702632142395</v>
      </c>
    </row>
    <row r="12" spans="1:30" x14ac:dyDescent="0.25">
      <c r="A12">
        <f t="shared" si="13"/>
        <v>2028</v>
      </c>
      <c r="B12" s="16">
        <f t="shared" si="0"/>
        <v>8</v>
      </c>
      <c r="C12" s="45">
        <f>'User Inputs - EX 1'!$E$9</f>
        <v>10000</v>
      </c>
      <c r="D12" s="44">
        <f>D11*(1+'User Inputs - EX 1'!$E$17)</f>
        <v>0.14473439412380928</v>
      </c>
      <c r="E12" s="15">
        <f t="shared" si="1"/>
        <v>1447.3439412380928</v>
      </c>
      <c r="F12" s="14">
        <f>E12/(1+'User Inputs - EX 1'!$B$23)^'Electricity Costs'!B12</f>
        <v>775.03881165754967</v>
      </c>
      <c r="H12">
        <f t="shared" si="14"/>
        <v>2028</v>
      </c>
      <c r="I12" s="16">
        <f t="shared" si="2"/>
        <v>8</v>
      </c>
      <c r="J12" s="45">
        <v>9939.5</v>
      </c>
      <c r="K12" s="44">
        <f t="shared" si="15"/>
        <v>0.107213535210701</v>
      </c>
      <c r="L12" s="15">
        <f t="shared" si="3"/>
        <v>1065.6489332267627</v>
      </c>
      <c r="M12" s="14">
        <f>L12/(1+'User Inputs - EX 1'!$B$23)^'Electricity Costs'!I12</f>
        <v>570.64479238134265</v>
      </c>
      <c r="N12" s="14"/>
      <c r="P12" s="47">
        <f t="shared" si="4"/>
        <v>60.5</v>
      </c>
      <c r="R12" s="1">
        <f t="shared" ref="R12:R29" si="16">P12*D12</f>
        <v>8.7564308444904615</v>
      </c>
      <c r="S12" s="1">
        <f t="shared" si="6"/>
        <v>8.7564308444904615</v>
      </c>
      <c r="T12" s="14">
        <f>Q12/(1+'User Inputs - EX 1'!$B$23)^'Electricity Costs'!I12</f>
        <v>0</v>
      </c>
      <c r="U12" s="14">
        <f>R12/(1+'User Inputs - EX 1'!$B$23)^'Electricity Costs'!I12</f>
        <v>4.6889848105281757</v>
      </c>
      <c r="V12" s="14">
        <f t="shared" si="7"/>
        <v>4.6889848105281757</v>
      </c>
      <c r="X12" s="47">
        <f t="shared" si="8"/>
        <v>-9939.5</v>
      </c>
      <c r="Y12" s="26">
        <f t="shared" si="9"/>
        <v>-1438.5875103936023</v>
      </c>
      <c r="Z12" s="15">
        <f t="shared" si="10"/>
        <v>1065.6489332267627</v>
      </c>
      <c r="AA12" s="14">
        <f>Y12/(1+'User Inputs - EX 1'!$B$23)^'Electricity Costs'!I12</f>
        <v>-770.34982684702152</v>
      </c>
      <c r="AB12" s="14">
        <f t="shared" si="11"/>
        <v>775.03881165754967</v>
      </c>
      <c r="AD12" s="14">
        <f t="shared" si="12"/>
        <v>4.6889848105281544</v>
      </c>
    </row>
    <row r="13" spans="1:30" x14ac:dyDescent="0.25">
      <c r="A13">
        <f t="shared" si="13"/>
        <v>2029</v>
      </c>
      <c r="B13" s="16">
        <f t="shared" si="0"/>
        <v>9</v>
      </c>
      <c r="C13" s="45">
        <f>'User Inputs - EX 1'!$E$9</f>
        <v>10000</v>
      </c>
      <c r="D13" s="44">
        <f>D12*(1+'User Inputs - EX 1'!$E$17)</f>
        <v>0.14762908200628547</v>
      </c>
      <c r="E13" s="15">
        <f t="shared" si="1"/>
        <v>1476.2908200628547</v>
      </c>
      <c r="F13" s="14">
        <f>E13/(1+'User Inputs - EX 1'!$B$23)^'Electricity Costs'!B13</f>
        <v>731.16869024297114</v>
      </c>
      <c r="H13">
        <f t="shared" si="14"/>
        <v>2029</v>
      </c>
      <c r="I13" s="16">
        <f t="shared" si="2"/>
        <v>9</v>
      </c>
      <c r="J13" s="45">
        <v>9888</v>
      </c>
      <c r="K13" s="44">
        <f t="shared" si="15"/>
        <v>0.10828567056280801</v>
      </c>
      <c r="L13" s="15">
        <f t="shared" si="3"/>
        <v>1070.7287105250457</v>
      </c>
      <c r="M13" s="14">
        <f>L13/(1+'User Inputs - EX 1'!$B$23)^'Electricity Costs'!I13</f>
        <v>530.3042586465524</v>
      </c>
      <c r="N13" s="14"/>
      <c r="P13" s="47">
        <f t="shared" si="4"/>
        <v>112</v>
      </c>
      <c r="R13" s="1">
        <f t="shared" si="16"/>
        <v>16.534457184703971</v>
      </c>
      <c r="S13" s="1">
        <f t="shared" si="6"/>
        <v>16.534457184703971</v>
      </c>
      <c r="T13" s="14">
        <f>Q13/(1+'User Inputs - EX 1'!$B$23)^'Electricity Costs'!I13</f>
        <v>0</v>
      </c>
      <c r="U13" s="14">
        <f>R13/(1+'User Inputs - EX 1'!$B$23)^'Electricity Costs'!I13</f>
        <v>8.1890893307212771</v>
      </c>
      <c r="V13" s="14">
        <f t="shared" si="7"/>
        <v>8.1890893307212771</v>
      </c>
      <c r="X13" s="47">
        <f t="shared" si="8"/>
        <v>-9888</v>
      </c>
      <c r="Y13" s="26">
        <f t="shared" si="9"/>
        <v>-1459.7563628781506</v>
      </c>
      <c r="Z13" s="15">
        <f t="shared" si="10"/>
        <v>1070.7287105250457</v>
      </c>
      <c r="AA13" s="14">
        <f>Y13/(1+'User Inputs - EX 1'!$B$23)^'Electricity Costs'!I13</f>
        <v>-722.97960091224991</v>
      </c>
      <c r="AB13" s="14">
        <f t="shared" si="11"/>
        <v>731.16869024297114</v>
      </c>
      <c r="AD13" s="14">
        <f t="shared" si="12"/>
        <v>8.1890893307212309</v>
      </c>
    </row>
    <row r="14" spans="1:30" x14ac:dyDescent="0.25">
      <c r="A14">
        <f t="shared" si="13"/>
        <v>2030</v>
      </c>
      <c r="B14" s="16">
        <f t="shared" si="0"/>
        <v>10</v>
      </c>
      <c r="C14" s="45">
        <f>'User Inputs - EX 1'!$E$9</f>
        <v>10000</v>
      </c>
      <c r="D14" s="44">
        <f>D13*(1+'User Inputs - EX 1'!$E$17)</f>
        <v>0.15058166364641118</v>
      </c>
      <c r="E14" s="15">
        <f t="shared" si="1"/>
        <v>1505.8166364641118</v>
      </c>
      <c r="F14" s="14">
        <f>E14/(1+'User Inputs - EX 1'!$B$23)^'Electricity Costs'!B14</f>
        <v>689.78178324808596</v>
      </c>
      <c r="H14">
        <f t="shared" si="14"/>
        <v>2030</v>
      </c>
      <c r="I14" s="16">
        <f t="shared" si="2"/>
        <v>10</v>
      </c>
      <c r="J14" s="45">
        <v>9836.5</v>
      </c>
      <c r="K14" s="44">
        <f t="shared" si="15"/>
        <v>0.10936852726843609</v>
      </c>
      <c r="L14" s="15">
        <f t="shared" si="3"/>
        <v>1075.8035184759715</v>
      </c>
      <c r="M14" s="14">
        <f>L14/(1+'User Inputs - EX 1'!$B$23)^'Electricity Costs'!I14</f>
        <v>492.80214564597588</v>
      </c>
      <c r="N14" s="14"/>
      <c r="P14" s="47">
        <f t="shared" si="4"/>
        <v>163.5</v>
      </c>
      <c r="R14" s="1">
        <f t="shared" si="16"/>
        <v>24.620102006188226</v>
      </c>
      <c r="S14" s="1">
        <f t="shared" si="6"/>
        <v>24.620102006188226</v>
      </c>
      <c r="T14" s="14">
        <f>Q14/(1+'User Inputs - EX 1'!$B$23)^'Electricity Costs'!I14</f>
        <v>0</v>
      </c>
      <c r="U14" s="14">
        <f>R14/(1+'User Inputs - EX 1'!$B$23)^'Electricity Costs'!I14</f>
        <v>11.277932156106203</v>
      </c>
      <c r="V14" s="14">
        <f t="shared" si="7"/>
        <v>11.277932156106203</v>
      </c>
      <c r="X14" s="47">
        <f t="shared" si="8"/>
        <v>-9836.5</v>
      </c>
      <c r="Y14" s="26">
        <f t="shared" si="9"/>
        <v>-1481.1965344579235</v>
      </c>
      <c r="Z14" s="15">
        <f t="shared" si="10"/>
        <v>1075.8035184759715</v>
      </c>
      <c r="AA14" s="14">
        <f>Y14/(1+'User Inputs - EX 1'!$B$23)^'Electricity Costs'!I14</f>
        <v>-678.50385109197964</v>
      </c>
      <c r="AB14" s="14">
        <f t="shared" si="11"/>
        <v>689.78178324808596</v>
      </c>
      <c r="AD14" s="14">
        <f t="shared" si="12"/>
        <v>11.277932156106317</v>
      </c>
    </row>
    <row r="15" spans="1:30" x14ac:dyDescent="0.25">
      <c r="A15">
        <f t="shared" si="13"/>
        <v>2031</v>
      </c>
      <c r="B15" s="16">
        <f t="shared" si="0"/>
        <v>11</v>
      </c>
      <c r="C15" s="45">
        <f>'User Inputs - EX 1'!$E$9</f>
        <v>10000</v>
      </c>
      <c r="D15" s="44">
        <f>D14*(1+'User Inputs - EX 1'!$E$17)</f>
        <v>0.1535932969193394</v>
      </c>
      <c r="E15" s="15">
        <f t="shared" si="1"/>
        <v>1535.932969193394</v>
      </c>
      <c r="F15" s="14">
        <f>E15/(1+'User Inputs - EX 1'!$B$23)^'Electricity Costs'!B15</f>
        <v>650.73753136611879</v>
      </c>
      <c r="H15">
        <f t="shared" si="14"/>
        <v>2031</v>
      </c>
      <c r="I15" s="16">
        <f t="shared" si="2"/>
        <v>11</v>
      </c>
      <c r="J15" s="45">
        <v>9785</v>
      </c>
      <c r="K15" s="44">
        <f t="shared" si="15"/>
        <v>0.11046221254112044</v>
      </c>
      <c r="L15" s="15">
        <f t="shared" si="3"/>
        <v>1080.8727497148636</v>
      </c>
      <c r="M15" s="14">
        <f>L15/(1+'User Inputs - EX 1'!$B$23)^'Electricity Costs'!I15</f>
        <v>457.93955789602978</v>
      </c>
      <c r="N15" s="14"/>
      <c r="P15" s="47">
        <f t="shared" si="4"/>
        <v>215</v>
      </c>
      <c r="R15" s="1">
        <f t="shared" si="16"/>
        <v>33.022558837657968</v>
      </c>
      <c r="S15" s="1">
        <f t="shared" si="6"/>
        <v>33.022558837657968</v>
      </c>
      <c r="T15" s="14">
        <f>Q15/(1+'User Inputs - EX 1'!$B$23)^'Electricity Costs'!I15</f>
        <v>0</v>
      </c>
      <c r="U15" s="14">
        <f>R15/(1+'User Inputs - EX 1'!$B$23)^'Electricity Costs'!I15</f>
        <v>13.990856924371553</v>
      </c>
      <c r="V15" s="14">
        <f t="shared" si="7"/>
        <v>13.990856924371553</v>
      </c>
      <c r="X15" s="47">
        <f t="shared" si="8"/>
        <v>-9785</v>
      </c>
      <c r="Y15" s="26">
        <f t="shared" si="9"/>
        <v>-1502.9104103557361</v>
      </c>
      <c r="Z15" s="15">
        <f t="shared" si="10"/>
        <v>1080.8727497148636</v>
      </c>
      <c r="AA15" s="14">
        <f>Y15/(1+'User Inputs - EX 1'!$B$23)^'Electricity Costs'!I15</f>
        <v>-636.74667444174725</v>
      </c>
      <c r="AB15" s="14">
        <f t="shared" si="11"/>
        <v>650.73753136611879</v>
      </c>
      <c r="AD15" s="14">
        <f t="shared" si="12"/>
        <v>13.990856924371542</v>
      </c>
    </row>
    <row r="16" spans="1:30" x14ac:dyDescent="0.25">
      <c r="A16">
        <f t="shared" si="13"/>
        <v>2032</v>
      </c>
      <c r="B16" s="16">
        <f t="shared" si="0"/>
        <v>12</v>
      </c>
      <c r="C16" s="45">
        <f>'User Inputs - EX 1'!$E$9</f>
        <v>10000</v>
      </c>
      <c r="D16" s="44">
        <f>D15*(1+'User Inputs - EX 1'!$E$17)</f>
        <v>0.15666516285772619</v>
      </c>
      <c r="E16" s="15">
        <f t="shared" si="1"/>
        <v>1566.6516285772618</v>
      </c>
      <c r="F16" s="14">
        <f>E16/(1+'User Inputs - EX 1'!$B$23)^'Electricity Costs'!B16</f>
        <v>613.90333147747037</v>
      </c>
      <c r="H16">
        <f t="shared" si="14"/>
        <v>2032</v>
      </c>
      <c r="I16" s="16">
        <f t="shared" si="2"/>
        <v>12</v>
      </c>
      <c r="J16" s="45">
        <v>9733.5</v>
      </c>
      <c r="K16" s="44">
        <f t="shared" si="15"/>
        <v>0.11156683466653165</v>
      </c>
      <c r="L16" s="15">
        <f t="shared" si="3"/>
        <v>1085.9357852266858</v>
      </c>
      <c r="M16" s="14">
        <f>L16/(1+'User Inputs - EX 1'!$B$23)^'Electricity Costs'!I16</f>
        <v>425.53148649051292</v>
      </c>
      <c r="N16" s="14"/>
      <c r="P16" s="47">
        <f t="shared" si="4"/>
        <v>266.5</v>
      </c>
      <c r="R16" s="1">
        <f t="shared" si="16"/>
        <v>41.751265901584027</v>
      </c>
      <c r="S16" s="1">
        <f t="shared" si="6"/>
        <v>41.751265901584027</v>
      </c>
      <c r="T16" s="14">
        <f>Q16/(1+'User Inputs - EX 1'!$B$23)^'Electricity Costs'!I16</f>
        <v>0</v>
      </c>
      <c r="U16" s="14">
        <f>R16/(1+'User Inputs - EX 1'!$B$23)^'Electricity Costs'!I16</f>
        <v>16.360523783874587</v>
      </c>
      <c r="V16" s="14">
        <f t="shared" si="7"/>
        <v>16.360523783874587</v>
      </c>
      <c r="X16" s="47">
        <f t="shared" si="8"/>
        <v>-9733.5</v>
      </c>
      <c r="Y16" s="26">
        <f t="shared" si="9"/>
        <v>-1524.9003626756778</v>
      </c>
      <c r="Z16" s="15">
        <f t="shared" si="10"/>
        <v>1085.9357852266858</v>
      </c>
      <c r="AA16" s="14">
        <f>Y16/(1+'User Inputs - EX 1'!$B$23)^'Electricity Costs'!I16</f>
        <v>-597.54280769359582</v>
      </c>
      <c r="AB16" s="14">
        <f t="shared" si="11"/>
        <v>613.90333147747037</v>
      </c>
      <c r="AD16" s="14">
        <f t="shared" si="12"/>
        <v>16.360523783874555</v>
      </c>
    </row>
    <row r="17" spans="1:30" x14ac:dyDescent="0.25">
      <c r="A17">
        <f t="shared" si="13"/>
        <v>2033</v>
      </c>
      <c r="B17" s="16">
        <f t="shared" si="0"/>
        <v>13</v>
      </c>
      <c r="C17" s="45">
        <f>'User Inputs - EX 1'!$E$9</f>
        <v>10000</v>
      </c>
      <c r="D17" s="44">
        <f>D16*(1+'User Inputs - EX 1'!$E$17)</f>
        <v>0.15979846611488072</v>
      </c>
      <c r="E17" s="15">
        <f t="shared" si="1"/>
        <v>1597.9846611488072</v>
      </c>
      <c r="F17" s="14">
        <f>E17/(1+'User Inputs - EX 1'!$B$23)^'Electricity Costs'!B17</f>
        <v>579.15408629950025</v>
      </c>
      <c r="H17">
        <f t="shared" si="14"/>
        <v>2033</v>
      </c>
      <c r="I17" s="16">
        <f t="shared" si="2"/>
        <v>13</v>
      </c>
      <c r="J17" s="45">
        <v>9682</v>
      </c>
      <c r="K17" s="44">
        <f t="shared" si="15"/>
        <v>0.11268250301319697</v>
      </c>
      <c r="L17" s="15">
        <f t="shared" si="3"/>
        <v>1090.991994173773</v>
      </c>
      <c r="M17" s="14">
        <f>L17/(1+'User Inputs - EX 1'!$B$23)^'Electricity Costs'!I17</f>
        <v>395.40584268908827</v>
      </c>
      <c r="N17" s="14"/>
      <c r="P17" s="47">
        <f t="shared" si="4"/>
        <v>318</v>
      </c>
      <c r="R17" s="1">
        <f t="shared" si="16"/>
        <v>50.81591222453207</v>
      </c>
      <c r="S17" s="1">
        <f t="shared" si="6"/>
        <v>50.81591222453207</v>
      </c>
      <c r="T17" s="14">
        <f>Q17/(1+'User Inputs - EX 1'!$B$23)^'Electricity Costs'!I17</f>
        <v>0</v>
      </c>
      <c r="U17" s="14">
        <f>R17/(1+'User Inputs - EX 1'!$B$23)^'Electricity Costs'!I17</f>
        <v>18.417099944324111</v>
      </c>
      <c r="V17" s="14">
        <f t="shared" si="7"/>
        <v>18.417099944324111</v>
      </c>
      <c r="X17" s="47">
        <f t="shared" si="8"/>
        <v>-9682</v>
      </c>
      <c r="Y17" s="26">
        <f t="shared" si="9"/>
        <v>-1547.1687489242752</v>
      </c>
      <c r="Z17" s="15">
        <f t="shared" si="10"/>
        <v>1090.991994173773</v>
      </c>
      <c r="AA17" s="14">
        <f>Y17/(1+'User Inputs - EX 1'!$B$23)^'Electricity Costs'!I17</f>
        <v>-560.73698635517621</v>
      </c>
      <c r="AB17" s="14">
        <f t="shared" si="11"/>
        <v>579.15408629950025</v>
      </c>
      <c r="AD17" s="14">
        <f t="shared" si="12"/>
        <v>18.417099944324036</v>
      </c>
    </row>
    <row r="18" spans="1:30" x14ac:dyDescent="0.25">
      <c r="A18">
        <f t="shared" si="13"/>
        <v>2034</v>
      </c>
      <c r="B18" s="16">
        <f t="shared" si="0"/>
        <v>14</v>
      </c>
      <c r="C18" s="45">
        <f>'User Inputs - EX 1'!$E$9</f>
        <v>10000</v>
      </c>
      <c r="D18" s="44">
        <f>D17*(1+'User Inputs - EX 1'!$E$17)</f>
        <v>0.16299443543717834</v>
      </c>
      <c r="E18" s="15">
        <f t="shared" si="1"/>
        <v>1629.9443543717834</v>
      </c>
      <c r="F18" s="14">
        <f>E18/(1+'User Inputs - EX 1'!$B$23)^'Electricity Costs'!B18</f>
        <v>546.37177952783043</v>
      </c>
      <c r="H18">
        <f t="shared" si="14"/>
        <v>2034</v>
      </c>
      <c r="I18" s="16">
        <f t="shared" si="2"/>
        <v>14</v>
      </c>
      <c r="J18" s="45">
        <v>9630.5</v>
      </c>
      <c r="K18" s="44">
        <f t="shared" si="15"/>
        <v>0.11380932804332894</v>
      </c>
      <c r="L18" s="15">
        <f t="shared" si="3"/>
        <v>1096.0407337212794</v>
      </c>
      <c r="M18" s="14">
        <f>L18/(1+'User Inputs - EX 1'!$B$23)^'Electricity Costs'!I18</f>
        <v>367.40255856715589</v>
      </c>
      <c r="N18" s="14"/>
      <c r="P18" s="47">
        <f t="shared" si="4"/>
        <v>369.5</v>
      </c>
      <c r="R18" s="1">
        <f t="shared" si="16"/>
        <v>60.226443894037395</v>
      </c>
      <c r="S18" s="1">
        <f t="shared" si="6"/>
        <v>60.226443894037395</v>
      </c>
      <c r="T18" s="14">
        <f>Q18/(1+'User Inputs - EX 1'!$B$23)^'Electricity Costs'!I18</f>
        <v>0</v>
      </c>
      <c r="U18" s="14">
        <f>R18/(1+'User Inputs - EX 1'!$B$23)^'Electricity Costs'!I18</f>
        <v>20.188437253553332</v>
      </c>
      <c r="V18" s="14">
        <f t="shared" si="7"/>
        <v>20.188437253553332</v>
      </c>
      <c r="X18" s="47">
        <f t="shared" si="8"/>
        <v>-9630.5</v>
      </c>
      <c r="Y18" s="26">
        <f t="shared" si="9"/>
        <v>-1569.717910477746</v>
      </c>
      <c r="Z18" s="15">
        <f t="shared" si="10"/>
        <v>1096.0407337212794</v>
      </c>
      <c r="AA18" s="14">
        <f>Y18/(1+'User Inputs - EX 1'!$B$23)^'Electricity Costs'!I18</f>
        <v>-526.18334227427704</v>
      </c>
      <c r="AB18" s="14">
        <f t="shared" si="11"/>
        <v>546.37177952783043</v>
      </c>
      <c r="AD18" s="14">
        <f t="shared" si="12"/>
        <v>20.188437253553388</v>
      </c>
    </row>
    <row r="19" spans="1:30" x14ac:dyDescent="0.25">
      <c r="A19">
        <f t="shared" si="13"/>
        <v>2035</v>
      </c>
      <c r="B19" s="16">
        <f t="shared" si="0"/>
        <v>15</v>
      </c>
      <c r="C19" s="45">
        <f>'User Inputs - EX 1'!$E$9</f>
        <v>10000</v>
      </c>
      <c r="D19" s="44">
        <f>D18*(1+'User Inputs - EX 1'!$E$17)</f>
        <v>0.16625432414592192</v>
      </c>
      <c r="E19" s="15">
        <f t="shared" si="1"/>
        <v>1662.5432414592192</v>
      </c>
      <c r="F19" s="14">
        <f>E19/(1+'User Inputs - EX 1'!$B$23)^'Electricity Costs'!B19</f>
        <v>515.44507502625515</v>
      </c>
      <c r="H19">
        <f t="shared" si="14"/>
        <v>2035</v>
      </c>
      <c r="I19" s="16">
        <f t="shared" si="2"/>
        <v>15</v>
      </c>
      <c r="J19" s="45">
        <v>9579</v>
      </c>
      <c r="K19" s="44">
        <f t="shared" si="15"/>
        <v>0.11494742132376223</v>
      </c>
      <c r="L19" s="15">
        <f t="shared" si="3"/>
        <v>1101.0813488603185</v>
      </c>
      <c r="M19" s="14">
        <f>L19/(1+'User Inputs - EX 1'!$B$23)^'Electricity Costs'!I19</f>
        <v>341.37275008569361</v>
      </c>
      <c r="N19" s="14"/>
      <c r="P19" s="47">
        <f t="shared" si="4"/>
        <v>421</v>
      </c>
      <c r="R19" s="1">
        <f t="shared" si="16"/>
        <v>69.993070465433135</v>
      </c>
      <c r="S19" s="1">
        <f t="shared" si="6"/>
        <v>69.993070465433135</v>
      </c>
      <c r="T19" s="14">
        <f>Q19/(1+'User Inputs - EX 1'!$B$23)^'Electricity Costs'!I19</f>
        <v>0</v>
      </c>
      <c r="U19" s="14">
        <f>R19/(1+'User Inputs - EX 1'!$B$23)^'Electricity Costs'!I19</f>
        <v>21.700237658605342</v>
      </c>
      <c r="V19" s="14">
        <f t="shared" si="7"/>
        <v>21.700237658605342</v>
      </c>
      <c r="X19" s="47">
        <f t="shared" si="8"/>
        <v>-9579</v>
      </c>
      <c r="Y19" s="26">
        <f t="shared" si="9"/>
        <v>-1592.5501709937862</v>
      </c>
      <c r="Z19" s="15">
        <f t="shared" si="10"/>
        <v>1101.0813488603185</v>
      </c>
      <c r="AA19" s="14">
        <f>Y19/(1+'User Inputs - EX 1'!$B$23)^'Electricity Costs'!I19</f>
        <v>-493.74483736764984</v>
      </c>
      <c r="AB19" s="14">
        <f t="shared" si="11"/>
        <v>515.44507502625515</v>
      </c>
      <c r="AD19" s="14">
        <f t="shared" si="12"/>
        <v>21.700237658605317</v>
      </c>
    </row>
    <row r="20" spans="1:30" x14ac:dyDescent="0.25">
      <c r="A20">
        <f t="shared" si="13"/>
        <v>2036</v>
      </c>
      <c r="B20" s="16">
        <f t="shared" si="0"/>
        <v>16</v>
      </c>
      <c r="C20" s="45">
        <f>'User Inputs - EX 1'!$E$9</f>
        <v>10000</v>
      </c>
      <c r="D20" s="44">
        <f>D19*(1+'User Inputs - EX 1'!$E$17)</f>
        <v>0.16957941062884035</v>
      </c>
      <c r="E20" s="15">
        <f t="shared" si="1"/>
        <v>1695.7941062884036</v>
      </c>
      <c r="F20" s="14">
        <f>E20/(1+'User Inputs - EX 1'!$B$23)^'Electricity Costs'!B20</f>
        <v>486.26893870401409</v>
      </c>
      <c r="H20">
        <f t="shared" si="14"/>
        <v>2036</v>
      </c>
      <c r="I20" s="16">
        <f t="shared" si="2"/>
        <v>16</v>
      </c>
      <c r="J20" s="45">
        <v>9527.5</v>
      </c>
      <c r="K20" s="44">
        <f t="shared" si="15"/>
        <v>0.11609689553699985</v>
      </c>
      <c r="L20" s="15">
        <f t="shared" si="3"/>
        <v>1106.1131722287662</v>
      </c>
      <c r="M20" s="14">
        <f>L20/(1+'User Inputs - EX 1'!$B$23)^'Electricity Costs'!I20</f>
        <v>317.17793826011638</v>
      </c>
      <c r="N20" s="14"/>
      <c r="P20" s="47">
        <f t="shared" si="4"/>
        <v>472.5</v>
      </c>
      <c r="R20" s="1">
        <f t="shared" si="16"/>
        <v>80.12627152212707</v>
      </c>
      <c r="S20" s="1">
        <f t="shared" si="6"/>
        <v>80.12627152212707</v>
      </c>
      <c r="T20" s="14">
        <f>Q20/(1+'User Inputs - EX 1'!$B$23)^'Electricity Costs'!I20</f>
        <v>0</v>
      </c>
      <c r="U20" s="14">
        <f>R20/(1+'User Inputs - EX 1'!$B$23)^'Electricity Costs'!I20</f>
        <v>22.976207353764664</v>
      </c>
      <c r="V20" s="14">
        <f t="shared" si="7"/>
        <v>22.976207353764664</v>
      </c>
      <c r="X20" s="47">
        <f t="shared" si="8"/>
        <v>-9527.5</v>
      </c>
      <c r="Y20" s="26">
        <f t="shared" si="9"/>
        <v>-1615.6678347662764</v>
      </c>
      <c r="Z20" s="15">
        <f t="shared" si="10"/>
        <v>1106.1131722287662</v>
      </c>
      <c r="AA20" s="14">
        <f>Y20/(1+'User Inputs - EX 1'!$B$23)^'Electricity Costs'!I20</f>
        <v>-463.29273135024943</v>
      </c>
      <c r="AB20" s="14">
        <f t="shared" si="11"/>
        <v>486.26893870401409</v>
      </c>
      <c r="AD20" s="14">
        <f t="shared" si="12"/>
        <v>22.976207353764664</v>
      </c>
    </row>
    <row r="21" spans="1:30" x14ac:dyDescent="0.25">
      <c r="A21">
        <f t="shared" si="13"/>
        <v>2037</v>
      </c>
      <c r="B21" s="16">
        <f t="shared" si="0"/>
        <v>17</v>
      </c>
      <c r="C21" s="45">
        <f>'User Inputs - EX 1'!$E$9</f>
        <v>10000</v>
      </c>
      <c r="D21" s="44">
        <f>D20*(1+'User Inputs - EX 1'!$E$17)</f>
        <v>0.17297099884141717</v>
      </c>
      <c r="E21" s="15">
        <f t="shared" si="1"/>
        <v>1729.7099884141717</v>
      </c>
      <c r="F21" s="14">
        <f>E21/(1+'User Inputs - EX 1'!$B$23)^'Electricity Costs'!B21</f>
        <v>458.74428179623965</v>
      </c>
      <c r="H21">
        <f t="shared" si="14"/>
        <v>2037</v>
      </c>
      <c r="I21" s="16">
        <f t="shared" si="2"/>
        <v>17</v>
      </c>
      <c r="J21" s="45">
        <v>9476</v>
      </c>
      <c r="K21" s="44">
        <f t="shared" si="15"/>
        <v>0.11725786449236986</v>
      </c>
      <c r="L21" s="15">
        <f t="shared" si="3"/>
        <v>1111.1355239296968</v>
      </c>
      <c r="M21" s="14">
        <f>L21/(1+'User Inputs - EX 1'!$B$23)^'Electricity Costs'!I21</f>
        <v>294.68932440561548</v>
      </c>
      <c r="N21" s="14"/>
      <c r="P21" s="47">
        <f t="shared" si="4"/>
        <v>524</v>
      </c>
      <c r="R21" s="1">
        <f t="shared" si="16"/>
        <v>90.636803392902593</v>
      </c>
      <c r="S21" s="1">
        <f t="shared" si="6"/>
        <v>90.636803392902593</v>
      </c>
      <c r="T21" s="14">
        <f>Q21/(1+'User Inputs - EX 1'!$B$23)^'Electricity Costs'!I21</f>
        <v>0</v>
      </c>
      <c r="U21" s="14">
        <f>R21/(1+'User Inputs - EX 1'!$B$23)^'Electricity Costs'!I21</f>
        <v>24.038200366122958</v>
      </c>
      <c r="V21" s="14">
        <f t="shared" si="7"/>
        <v>24.038200366122958</v>
      </c>
      <c r="X21" s="47">
        <f t="shared" si="8"/>
        <v>-9476</v>
      </c>
      <c r="Y21" s="26">
        <f t="shared" si="9"/>
        <v>-1639.0731850212692</v>
      </c>
      <c r="Z21" s="15">
        <f t="shared" si="10"/>
        <v>1111.1355239296968</v>
      </c>
      <c r="AA21" s="14">
        <f>Y21/(1+'User Inputs - EX 1'!$B$23)^'Electricity Costs'!I21</f>
        <v>-434.70608143011674</v>
      </c>
      <c r="AB21" s="14">
        <f t="shared" si="11"/>
        <v>458.74428179623965</v>
      </c>
      <c r="AD21" s="14">
        <f t="shared" si="12"/>
        <v>24.038200366122908</v>
      </c>
    </row>
    <row r="22" spans="1:30" x14ac:dyDescent="0.25">
      <c r="A22">
        <f t="shared" si="13"/>
        <v>2038</v>
      </c>
      <c r="B22" s="16">
        <f t="shared" si="0"/>
        <v>18</v>
      </c>
      <c r="C22" s="45">
        <f>'User Inputs - EX 1'!$E$9</f>
        <v>10000</v>
      </c>
      <c r="D22" s="44">
        <f>D21*(1+'User Inputs - EX 1'!$E$17)</f>
        <v>0.17643041881824553</v>
      </c>
      <c r="E22" s="15">
        <f t="shared" si="1"/>
        <v>1764.3041881824554</v>
      </c>
      <c r="F22" s="14">
        <f>E22/(1+'User Inputs - EX 1'!$B$23)^'Electricity Costs'!B22</f>
        <v>432.77762433607512</v>
      </c>
      <c r="H22">
        <f t="shared" si="14"/>
        <v>2038</v>
      </c>
      <c r="I22" s="16">
        <f t="shared" si="2"/>
        <v>18</v>
      </c>
      <c r="J22" s="45">
        <v>9424.5</v>
      </c>
      <c r="K22" s="44">
        <f t="shared" si="15"/>
        <v>0.11843044313729356</v>
      </c>
      <c r="L22" s="15">
        <f t="shared" si="3"/>
        <v>1116.1477113474232</v>
      </c>
      <c r="M22" s="14">
        <f>L22/(1+'User Inputs - EX 1'!$B$23)^'Electricity Costs'!I22</f>
        <v>273.78711571427226</v>
      </c>
      <c r="N22" s="14"/>
      <c r="P22" s="47">
        <f t="shared" si="4"/>
        <v>575.5</v>
      </c>
      <c r="R22" s="1">
        <f t="shared" si="16"/>
        <v>101.53570602990031</v>
      </c>
      <c r="S22" s="1">
        <f t="shared" si="6"/>
        <v>101.53570602990031</v>
      </c>
      <c r="T22" s="14">
        <f>Q22/(1+'User Inputs - EX 1'!$B$23)^'Electricity Costs'!I22</f>
        <v>0</v>
      </c>
      <c r="U22" s="14">
        <f>R22/(1+'User Inputs - EX 1'!$B$23)^'Electricity Costs'!I22</f>
        <v>24.906352280541125</v>
      </c>
      <c r="V22" s="14">
        <f t="shared" si="7"/>
        <v>24.906352280541125</v>
      </c>
      <c r="X22" s="47">
        <f t="shared" si="8"/>
        <v>-9424.5</v>
      </c>
      <c r="Y22" s="26">
        <f t="shared" si="9"/>
        <v>-1662.768482152555</v>
      </c>
      <c r="Z22" s="15">
        <f t="shared" si="10"/>
        <v>1116.1477113474232</v>
      </c>
      <c r="AA22" s="14">
        <f>Y22/(1+'User Inputs - EX 1'!$B$23)^'Electricity Costs'!I22</f>
        <v>-407.87127205553395</v>
      </c>
      <c r="AB22" s="14">
        <f t="shared" si="11"/>
        <v>432.77762433607512</v>
      </c>
      <c r="AD22" s="14">
        <f t="shared" si="12"/>
        <v>24.906352280541171</v>
      </c>
    </row>
    <row r="23" spans="1:30" x14ac:dyDescent="0.25">
      <c r="A23">
        <f t="shared" si="13"/>
        <v>2039</v>
      </c>
      <c r="B23" s="16">
        <f t="shared" si="0"/>
        <v>19</v>
      </c>
      <c r="C23" s="45">
        <f>'User Inputs - EX 1'!$E$9</f>
        <v>10000</v>
      </c>
      <c r="D23" s="44">
        <f>D22*(1+'User Inputs - EX 1'!$E$17)</f>
        <v>0.17995902719461043</v>
      </c>
      <c r="E23" s="15">
        <f t="shared" si="1"/>
        <v>1799.5902719461044</v>
      </c>
      <c r="F23" s="14">
        <f>E23/(1+'User Inputs - EX 1'!$B$23)^'Electricity Costs'!B23</f>
        <v>408.28077767554254</v>
      </c>
      <c r="H23">
        <f t="shared" si="14"/>
        <v>2039</v>
      </c>
      <c r="I23" s="16">
        <f t="shared" si="2"/>
        <v>19</v>
      </c>
      <c r="J23" s="45">
        <v>9373</v>
      </c>
      <c r="K23" s="44">
        <f t="shared" si="15"/>
        <v>0.1196147475686665</v>
      </c>
      <c r="L23" s="15">
        <f t="shared" si="3"/>
        <v>1121.1490289611111</v>
      </c>
      <c r="M23" s="14">
        <f>L23/(1+'User Inputs - EX 1'!$B$23)^'Electricity Costs'!I23</f>
        <v>254.35989767793691</v>
      </c>
      <c r="N23" s="14"/>
      <c r="P23" s="47">
        <f t="shared" si="4"/>
        <v>627</v>
      </c>
      <c r="R23" s="1">
        <f t="shared" si="16"/>
        <v>112.83431005102074</v>
      </c>
      <c r="S23" s="1">
        <f t="shared" si="6"/>
        <v>112.83431005102074</v>
      </c>
      <c r="T23" s="14">
        <f>Q23/(1+'User Inputs - EX 1'!$B$23)^'Electricity Costs'!I23</f>
        <v>0</v>
      </c>
      <c r="U23" s="14">
        <f>R23/(1+'User Inputs - EX 1'!$B$23)^'Electricity Costs'!I23</f>
        <v>25.599204760256512</v>
      </c>
      <c r="V23" s="14">
        <f t="shared" si="7"/>
        <v>25.599204760256512</v>
      </c>
      <c r="X23" s="47">
        <f t="shared" si="8"/>
        <v>-9373</v>
      </c>
      <c r="Y23" s="26">
        <f t="shared" si="9"/>
        <v>-1686.7559618950836</v>
      </c>
      <c r="Z23" s="15">
        <f t="shared" si="10"/>
        <v>1121.1490289611111</v>
      </c>
      <c r="AA23" s="14">
        <f>Y23/(1+'User Inputs - EX 1'!$B$23)^'Electricity Costs'!I23</f>
        <v>-382.68157291528598</v>
      </c>
      <c r="AB23" s="14">
        <f t="shared" si="11"/>
        <v>408.28077767554254</v>
      </c>
      <c r="AD23" s="14">
        <f t="shared" si="12"/>
        <v>25.599204760256555</v>
      </c>
    </row>
    <row r="24" spans="1:30" x14ac:dyDescent="0.25">
      <c r="A24">
        <f t="shared" si="13"/>
        <v>2040</v>
      </c>
      <c r="B24" s="16">
        <f t="shared" si="0"/>
        <v>20</v>
      </c>
      <c r="C24" s="45">
        <f>'User Inputs - EX 1'!$E$9</f>
        <v>10000</v>
      </c>
      <c r="D24" s="44">
        <f>D23*(1+'User Inputs - EX 1'!$E$17)</f>
        <v>0.18355820773850265</v>
      </c>
      <c r="E24" s="15">
        <f t="shared" si="1"/>
        <v>1835.5820773850264</v>
      </c>
      <c r="F24" s="14">
        <f>E24/(1+'User Inputs - EX 1'!$B$23)^'Electricity Costs'!B24</f>
        <v>385.17054497692675</v>
      </c>
      <c r="H24">
        <f t="shared" si="14"/>
        <v>2040</v>
      </c>
      <c r="I24" s="16">
        <f t="shared" si="2"/>
        <v>20</v>
      </c>
      <c r="J24" s="45">
        <v>9321.5</v>
      </c>
      <c r="K24" s="44">
        <f t="shared" si="15"/>
        <v>0.12081089504435316</v>
      </c>
      <c r="L24" s="15">
        <f t="shared" si="3"/>
        <v>1126.1387581559379</v>
      </c>
      <c r="M24" s="14">
        <f>L24/(1+'User Inputs - EX 1'!$B$23)^'Electricity Costs'!I24</f>
        <v>236.30405011171766</v>
      </c>
      <c r="N24" s="14"/>
      <c r="P24" s="47">
        <f t="shared" si="4"/>
        <v>678.5</v>
      </c>
      <c r="R24" s="1">
        <f t="shared" si="16"/>
        <v>124.54424395057404</v>
      </c>
      <c r="S24" s="1">
        <f t="shared" si="6"/>
        <v>124.54424395057404</v>
      </c>
      <c r="T24" s="14">
        <f>Q24/(1+'User Inputs - EX 1'!$B$23)^'Electricity Costs'!I24</f>
        <v>0</v>
      </c>
      <c r="U24" s="14">
        <f>R24/(1+'User Inputs - EX 1'!$B$23)^'Electricity Costs'!I24</f>
        <v>26.133821476684478</v>
      </c>
      <c r="V24" s="14">
        <f t="shared" si="7"/>
        <v>26.133821476684478</v>
      </c>
      <c r="X24" s="47">
        <f t="shared" si="8"/>
        <v>-9321.5</v>
      </c>
      <c r="Y24" s="26">
        <f t="shared" si="9"/>
        <v>-1711.0378334344525</v>
      </c>
      <c r="Z24" s="15">
        <f t="shared" si="10"/>
        <v>1126.1387581559379</v>
      </c>
      <c r="AA24" s="14">
        <f>Y24/(1+'User Inputs - EX 1'!$B$23)^'Electricity Costs'!I24</f>
        <v>-359.03672350024226</v>
      </c>
      <c r="AB24" s="14">
        <f t="shared" si="11"/>
        <v>385.17054497692675</v>
      </c>
      <c r="AD24" s="14">
        <f t="shared" si="12"/>
        <v>26.133821476684489</v>
      </c>
    </row>
    <row r="25" spans="1:30" x14ac:dyDescent="0.25">
      <c r="A25">
        <f t="shared" si="13"/>
        <v>2041</v>
      </c>
      <c r="B25" s="16">
        <f t="shared" si="0"/>
        <v>21</v>
      </c>
      <c r="C25" s="45">
        <f>'User Inputs - EX 1'!$E$9</f>
        <v>10000</v>
      </c>
      <c r="D25" s="44">
        <f>D24*(1+'User Inputs - EX 1'!$E$17)</f>
        <v>0.18722937189327271</v>
      </c>
      <c r="E25" s="15">
        <f t="shared" si="1"/>
        <v>1872.2937189327272</v>
      </c>
      <c r="F25" s="14">
        <f>E25/(1+'User Inputs - EX 1'!$B$23)^'Electricity Costs'!B25</f>
        <v>363.36843865747807</v>
      </c>
      <c r="H25">
        <f t="shared" si="14"/>
        <v>2041</v>
      </c>
      <c r="I25" s="16">
        <f t="shared" si="2"/>
        <v>21</v>
      </c>
      <c r="J25" s="45">
        <v>9269.9999999999982</v>
      </c>
      <c r="K25" s="44">
        <f t="shared" si="15"/>
        <v>0.12201900399479669</v>
      </c>
      <c r="L25" s="15">
        <f t="shared" si="3"/>
        <v>1131.1161670317651</v>
      </c>
      <c r="M25" s="14">
        <f>L25/(1+'User Inputs - EX 1'!$B$23)^'Electricity Costs'!I25</f>
        <v>219.52320375718335</v>
      </c>
      <c r="N25" s="14"/>
      <c r="P25" s="47">
        <f t="shared" si="4"/>
        <v>730.00000000000182</v>
      </c>
      <c r="R25" s="1">
        <f t="shared" si="16"/>
        <v>136.67744148208942</v>
      </c>
      <c r="S25" s="1">
        <f t="shared" si="6"/>
        <v>136.67744148208942</v>
      </c>
      <c r="T25" s="14">
        <f>Q25/(1+'User Inputs - EX 1'!$B$23)^'Electricity Costs'!I25</f>
        <v>0</v>
      </c>
      <c r="U25" s="14">
        <f>R25/(1+'User Inputs - EX 1'!$B$23)^'Electricity Costs'!I25</f>
        <v>26.525896021995962</v>
      </c>
      <c r="V25" s="14">
        <f t="shared" si="7"/>
        <v>26.525896021995962</v>
      </c>
      <c r="X25" s="47">
        <f t="shared" si="8"/>
        <v>-9269.9999999999982</v>
      </c>
      <c r="Y25" s="26">
        <f t="shared" si="9"/>
        <v>-1735.6162774506377</v>
      </c>
      <c r="Z25" s="15">
        <f t="shared" si="10"/>
        <v>1131.1161670317651</v>
      </c>
      <c r="AA25" s="14">
        <f>Y25/(1+'User Inputs - EX 1'!$B$23)^'Electricity Costs'!I25</f>
        <v>-336.84254263548206</v>
      </c>
      <c r="AB25" s="14">
        <f t="shared" si="11"/>
        <v>363.36843865747807</v>
      </c>
      <c r="AD25" s="14">
        <f t="shared" si="12"/>
        <v>26.525896021996004</v>
      </c>
    </row>
    <row r="26" spans="1:30" x14ac:dyDescent="0.25">
      <c r="A26">
        <f t="shared" si="13"/>
        <v>2042</v>
      </c>
      <c r="B26" s="16">
        <f t="shared" si="0"/>
        <v>22</v>
      </c>
      <c r="C26" s="45">
        <f>'User Inputs - EX 1'!$E$9</f>
        <v>10000</v>
      </c>
      <c r="D26" s="44">
        <f>D25*(1+'User Inputs - EX 1'!$E$17)</f>
        <v>0.19097395933113817</v>
      </c>
      <c r="E26" s="15">
        <f t="shared" si="1"/>
        <v>1909.7395933113817</v>
      </c>
      <c r="F26" s="14">
        <f>E26/(1+'User Inputs - EX 1'!$B$23)^'Electricity Costs'!B26</f>
        <v>342.80041382780945</v>
      </c>
      <c r="H26">
        <f t="shared" si="14"/>
        <v>2042</v>
      </c>
      <c r="I26" s="16">
        <f t="shared" si="2"/>
        <v>22</v>
      </c>
      <c r="J26" s="45">
        <v>9218.4999999999982</v>
      </c>
      <c r="K26" s="44">
        <f t="shared" si="15"/>
        <v>0.12323919403474466</v>
      </c>
      <c r="L26" s="15">
        <f t="shared" si="3"/>
        <v>1136.0805102092934</v>
      </c>
      <c r="M26" s="14">
        <f>L26/(1+'User Inputs - EX 1'!$B$23)^'Electricity Costs'!I26</f>
        <v>203.92773465316918</v>
      </c>
      <c r="N26" s="14"/>
      <c r="P26" s="47">
        <f t="shared" si="4"/>
        <v>781.50000000000182</v>
      </c>
      <c r="R26" s="1">
        <f t="shared" si="16"/>
        <v>149.24614921728482</v>
      </c>
      <c r="S26" s="1">
        <f t="shared" si="6"/>
        <v>149.24614921728482</v>
      </c>
      <c r="T26" s="14">
        <f>Q26/(1+'User Inputs - EX 1'!$B$23)^'Electricity Costs'!I26</f>
        <v>0</v>
      </c>
      <c r="U26" s="14">
        <f>R26/(1+'User Inputs - EX 1'!$B$23)^'Electricity Costs'!I26</f>
        <v>26.789852340643371</v>
      </c>
      <c r="V26" s="14">
        <f t="shared" si="7"/>
        <v>26.789852340643371</v>
      </c>
      <c r="X26" s="47">
        <f t="shared" si="8"/>
        <v>-9218.4999999999982</v>
      </c>
      <c r="Y26" s="26">
        <f t="shared" si="9"/>
        <v>-1760.493444094097</v>
      </c>
      <c r="Z26" s="15">
        <f t="shared" si="10"/>
        <v>1136.0805102092934</v>
      </c>
      <c r="AA26" s="14">
        <f>Y26/(1+'User Inputs - EX 1'!$B$23)^'Electricity Costs'!I26</f>
        <v>-316.01056148716611</v>
      </c>
      <c r="AB26" s="14">
        <f t="shared" si="11"/>
        <v>342.80041382780945</v>
      </c>
      <c r="AD26" s="14">
        <f t="shared" si="12"/>
        <v>26.789852340643336</v>
      </c>
    </row>
    <row r="27" spans="1:30" x14ac:dyDescent="0.25">
      <c r="A27">
        <f t="shared" si="13"/>
        <v>2043</v>
      </c>
      <c r="B27" s="16">
        <f t="shared" si="0"/>
        <v>23</v>
      </c>
      <c r="C27" s="45">
        <f>'User Inputs - EX 1'!$E$9</f>
        <v>10000</v>
      </c>
      <c r="D27" s="44">
        <f>D26*(1+'User Inputs - EX 1'!$E$17)</f>
        <v>0.19479343851776093</v>
      </c>
      <c r="E27" s="15">
        <f t="shared" si="1"/>
        <v>1947.9343851776093</v>
      </c>
      <c r="F27" s="14">
        <f>E27/(1+'User Inputs - EX 1'!$B$23)^'Electricity Costs'!B27</f>
        <v>323.39661681868813</v>
      </c>
      <c r="H27">
        <f t="shared" si="14"/>
        <v>2043</v>
      </c>
      <c r="I27" s="16">
        <f t="shared" si="2"/>
        <v>23</v>
      </c>
      <c r="J27" s="45">
        <v>9166.9999999999982</v>
      </c>
      <c r="K27" s="44">
        <f t="shared" si="15"/>
        <v>0.12447158597509211</v>
      </c>
      <c r="L27" s="15">
        <f t="shared" si="3"/>
        <v>1141.0310286336692</v>
      </c>
      <c r="M27" s="14">
        <f>L27/(1+'User Inputs - EX 1'!$B$23)^'Electricity Costs'!I27</f>
        <v>189.43429365647293</v>
      </c>
      <c r="N27" s="14"/>
      <c r="P27" s="47">
        <f t="shared" si="4"/>
        <v>833.00000000000182</v>
      </c>
      <c r="R27" s="1">
        <f t="shared" si="16"/>
        <v>162.26293428529522</v>
      </c>
      <c r="S27" s="1">
        <f t="shared" si="6"/>
        <v>162.26293428529522</v>
      </c>
      <c r="T27" s="14">
        <f>Q27/(1+'User Inputs - EX 1'!$B$23)^'Electricity Costs'!I27</f>
        <v>0</v>
      </c>
      <c r="U27" s="14">
        <f>R27/(1+'User Inputs - EX 1'!$B$23)^'Electricity Costs'!I27</f>
        <v>26.938938180996782</v>
      </c>
      <c r="V27" s="14">
        <f t="shared" si="7"/>
        <v>26.938938180996782</v>
      </c>
      <c r="X27" s="47">
        <f t="shared" si="8"/>
        <v>-9166.9999999999982</v>
      </c>
      <c r="Y27" s="26">
        <f t="shared" si="9"/>
        <v>-1785.6714508923142</v>
      </c>
      <c r="Z27" s="15">
        <f t="shared" si="10"/>
        <v>1141.0310286336692</v>
      </c>
      <c r="AA27" s="14">
        <f>Y27/(1+'User Inputs - EX 1'!$B$23)^'Electricity Costs'!I27</f>
        <v>-296.4576786376914</v>
      </c>
      <c r="AB27" s="14">
        <f t="shared" si="11"/>
        <v>323.39661681868813</v>
      </c>
      <c r="AD27" s="14">
        <f t="shared" si="12"/>
        <v>26.938938180996729</v>
      </c>
    </row>
    <row r="28" spans="1:30" x14ac:dyDescent="0.25">
      <c r="A28">
        <f t="shared" si="13"/>
        <v>2044</v>
      </c>
      <c r="B28" s="16">
        <f t="shared" si="0"/>
        <v>24</v>
      </c>
      <c r="C28" s="45">
        <f>'User Inputs - EX 1'!$E$9</f>
        <v>10000</v>
      </c>
      <c r="D28" s="44">
        <f>D27*(1+'User Inputs - EX 1'!$E$17)</f>
        <v>0.19868930728811615</v>
      </c>
      <c r="E28" s="15">
        <f t="shared" si="1"/>
        <v>1986.8930728811615</v>
      </c>
      <c r="F28" s="14">
        <f>E28/(1+'User Inputs - EX 1'!$B$23)^'Electricity Costs'!B28</f>
        <v>305.0911479421585</v>
      </c>
      <c r="H28">
        <f t="shared" si="14"/>
        <v>2044</v>
      </c>
      <c r="I28" s="16">
        <f t="shared" si="2"/>
        <v>24</v>
      </c>
      <c r="J28" s="45">
        <v>9115.4999999999982</v>
      </c>
      <c r="K28" s="44">
        <f t="shared" si="15"/>
        <v>0.12571630183484303</v>
      </c>
      <c r="L28" s="15">
        <f t="shared" si="3"/>
        <v>1145.9669493755114</v>
      </c>
      <c r="M28" s="14">
        <f>L28/(1+'User Inputs - EX 1'!$B$23)^'Electricity Costs'!I28</f>
        <v>175.96536867571015</v>
      </c>
      <c r="N28" s="14"/>
      <c r="P28" s="47">
        <f t="shared" si="4"/>
        <v>884.50000000000182</v>
      </c>
      <c r="R28" s="1">
        <f t="shared" si="16"/>
        <v>175.74069229633909</v>
      </c>
      <c r="S28" s="1">
        <f t="shared" si="6"/>
        <v>175.74069229633909</v>
      </c>
      <c r="T28" s="14">
        <f>Q28/(1+'User Inputs - EX 1'!$B$23)^'Electricity Costs'!I28</f>
        <v>0</v>
      </c>
      <c r="U28" s="14">
        <f>R28/(1+'User Inputs - EX 1'!$B$23)^'Electricity Costs'!I28</f>
        <v>26.985312035483975</v>
      </c>
      <c r="V28" s="14">
        <f t="shared" si="7"/>
        <v>26.985312035483975</v>
      </c>
      <c r="X28" s="47">
        <f t="shared" si="8"/>
        <v>-9115.4999999999982</v>
      </c>
      <c r="Y28" s="26">
        <f t="shared" si="9"/>
        <v>-1811.1523805848224</v>
      </c>
      <c r="Z28" s="15">
        <f t="shared" si="10"/>
        <v>1145.9669493755114</v>
      </c>
      <c r="AA28" s="14">
        <f>Y28/(1+'User Inputs - EX 1'!$B$23)^'Electricity Costs'!I28</f>
        <v>-278.10583590667454</v>
      </c>
      <c r="AB28" s="14">
        <f t="shared" si="11"/>
        <v>305.0911479421585</v>
      </c>
      <c r="AD28" s="14">
        <f t="shared" si="12"/>
        <v>26.985312035483958</v>
      </c>
    </row>
    <row r="29" spans="1:30" x14ac:dyDescent="0.25">
      <c r="A29">
        <f t="shared" si="13"/>
        <v>2045</v>
      </c>
      <c r="B29" s="16">
        <f t="shared" si="0"/>
        <v>25</v>
      </c>
      <c r="C29" s="45">
        <f>'User Inputs - EX 1'!$E$9</f>
        <v>10000</v>
      </c>
      <c r="D29" s="44">
        <f>D28*(1+'User Inputs - EX 1'!$E$17)</f>
        <v>0.20266309343387848</v>
      </c>
      <c r="E29" s="15">
        <f t="shared" si="1"/>
        <v>2026.6309343387848</v>
      </c>
      <c r="F29" s="14">
        <f>E29/(1+'User Inputs - EX 1'!$B$23)^'Electricity Costs'!B29</f>
        <v>287.82183768128152</v>
      </c>
      <c r="H29">
        <f t="shared" si="14"/>
        <v>2045</v>
      </c>
      <c r="I29" s="16">
        <f t="shared" si="2"/>
        <v>25</v>
      </c>
      <c r="J29" s="45">
        <v>9063.9999999999982</v>
      </c>
      <c r="K29" s="44">
        <f t="shared" si="15"/>
        <v>0.12697346485319147</v>
      </c>
      <c r="L29" s="15">
        <f t="shared" si="3"/>
        <v>1150.8874854293272</v>
      </c>
      <c r="M29" s="14">
        <f>L29/(1+'User Inputs - EX 1'!$B$23)^'Electricity Costs'!I29</f>
        <v>163.44887735009974</v>
      </c>
      <c r="N29" s="14"/>
      <c r="P29" s="47">
        <f t="shared" si="4"/>
        <v>936.00000000000182</v>
      </c>
      <c r="R29" s="1">
        <f t="shared" si="16"/>
        <v>189.69265545411062</v>
      </c>
      <c r="S29" s="1">
        <f t="shared" si="6"/>
        <v>189.69265545411062</v>
      </c>
      <c r="T29" s="14">
        <f>Q29/(1+'User Inputs - EX 1'!$B$23)^'Electricity Costs'!I29</f>
        <v>0</v>
      </c>
      <c r="U29" s="14">
        <f>R29/(1+'User Inputs - EX 1'!$B$23)^'Electricity Costs'!I29</f>
        <v>26.940124006968006</v>
      </c>
      <c r="V29" s="14">
        <f t="shared" si="7"/>
        <v>26.940124006968006</v>
      </c>
      <c r="X29" s="47">
        <f t="shared" si="8"/>
        <v>-9063.9999999999982</v>
      </c>
      <c r="Y29" s="26">
        <f t="shared" si="9"/>
        <v>-1836.9382788846742</v>
      </c>
      <c r="Z29" s="15">
        <f t="shared" si="10"/>
        <v>1150.8874854293272</v>
      </c>
      <c r="AA29" s="14">
        <f>Y29/(1+'User Inputs - EX 1'!$B$23)^'Electricity Costs'!I29</f>
        <v>-260.88171367431357</v>
      </c>
      <c r="AB29" s="14">
        <f t="shared" si="11"/>
        <v>287.82183768128152</v>
      </c>
      <c r="AD29" s="14">
        <f t="shared" si="12"/>
        <v>26.940124006967949</v>
      </c>
    </row>
    <row r="30" spans="1:30" x14ac:dyDescent="0.25">
      <c r="C30" s="45">
        <f>SUM(C5:C29)</f>
        <v>250000</v>
      </c>
      <c r="F30" s="49">
        <f>SUM(F5:F29)</f>
        <v>15791.204666096246</v>
      </c>
      <c r="J30" s="45">
        <f>SUM(J5:J29)</f>
        <v>242050</v>
      </c>
      <c r="M30" s="14">
        <f>SUM(M5:M29)</f>
        <v>11321.704461489682</v>
      </c>
      <c r="N30" s="14"/>
      <c r="Q30" s="26">
        <f>SUM(Q5:Q29)</f>
        <v>-62.628890649384005</v>
      </c>
      <c r="R30" s="1">
        <f>SUM(R5:R29)</f>
        <v>1630.2945172237164</v>
      </c>
      <c r="S30" s="1">
        <f>SUM(S5:S29)</f>
        <v>1567.6656265743322</v>
      </c>
      <c r="T30" s="49">
        <f>SUM(T5:T29)</f>
        <v>-51.193530758269418</v>
      </c>
      <c r="U30" s="49">
        <f>SUM(U5:U29)</f>
        <v>373.38645771186373</v>
      </c>
      <c r="V30" s="49">
        <f>SUM(V5:V29)</f>
        <v>322.19292695359422</v>
      </c>
      <c r="Y30" s="26">
        <f>SUM(Y5:Y29)</f>
        <v>-38861.632968322447</v>
      </c>
      <c r="Z30">
        <f>SUM(Z5:Z29)</f>
        <v>27269.883771749584</v>
      </c>
      <c r="AA30" s="49">
        <f>SUM(AA5:AA29)</f>
        <v>-15527.146765596952</v>
      </c>
      <c r="AB30" s="49">
        <f>SUM(AB5:AB29)</f>
        <v>15791.204666096246</v>
      </c>
    </row>
    <row r="32" spans="1:30" x14ac:dyDescent="0.25">
      <c r="C32" s="8" t="s">
        <v>99</v>
      </c>
      <c r="D32" s="8" t="s">
        <v>100</v>
      </c>
      <c r="F32" s="49">
        <f>F30</f>
        <v>15791.204666096246</v>
      </c>
      <c r="L32" s="8" t="s">
        <v>83</v>
      </c>
      <c r="M32" s="49">
        <f>M30</f>
        <v>11321.704461489682</v>
      </c>
      <c r="N32" s="49"/>
      <c r="Q32" s="8" t="s">
        <v>26</v>
      </c>
      <c r="R32" s="50" t="s">
        <v>92</v>
      </c>
      <c r="S32" s="50"/>
      <c r="T32" s="49">
        <f>T30</f>
        <v>-51.193530758269418</v>
      </c>
      <c r="U32" s="8"/>
      <c r="V32" s="8"/>
      <c r="W32" s="8"/>
      <c r="X32" s="8"/>
      <c r="Y32" s="8" t="s">
        <v>98</v>
      </c>
      <c r="Z32" s="50" t="s">
        <v>92</v>
      </c>
      <c r="AA32" s="49">
        <f>AA30</f>
        <v>-15527.146765596952</v>
      </c>
    </row>
    <row r="33" spans="3:30" x14ac:dyDescent="0.25">
      <c r="L33" s="8" t="s">
        <v>84</v>
      </c>
      <c r="M33" s="49">
        <f>M32+T34</f>
        <v>11643.897388443276</v>
      </c>
      <c r="N33" s="49"/>
      <c r="Q33" s="8"/>
      <c r="R33" s="8" t="s">
        <v>81</v>
      </c>
      <c r="S33" s="8"/>
      <c r="T33" s="49">
        <f>U30</f>
        <v>373.38645771186373</v>
      </c>
      <c r="U33" s="8"/>
      <c r="V33" s="8"/>
      <c r="W33" s="8"/>
      <c r="X33" s="8"/>
      <c r="Y33" s="8"/>
      <c r="Z33" s="8" t="s">
        <v>81</v>
      </c>
      <c r="AA33" s="49">
        <f>AB30</f>
        <v>15791.204666096246</v>
      </c>
    </row>
    <row r="34" spans="3:30" x14ac:dyDescent="0.25">
      <c r="L34" s="8" t="s">
        <v>2</v>
      </c>
      <c r="M34" s="49">
        <f>F32-M33</f>
        <v>4147.3072776529698</v>
      </c>
      <c r="N34" s="49"/>
      <c r="P34" s="14"/>
      <c r="Q34" s="8"/>
      <c r="R34" s="8" t="s">
        <v>93</v>
      </c>
      <c r="S34" s="8"/>
      <c r="T34" s="49">
        <f>T32+T33</f>
        <v>322.19292695359434</v>
      </c>
      <c r="X34" s="14"/>
      <c r="Y34" s="8"/>
      <c r="Z34" s="8" t="s">
        <v>93</v>
      </c>
      <c r="AA34" s="49">
        <f>AA32+AA33</f>
        <v>264.05790049929419</v>
      </c>
    </row>
    <row r="35" spans="3:30" x14ac:dyDescent="0.25">
      <c r="L35" s="8" t="s">
        <v>11</v>
      </c>
      <c r="M35" s="18">
        <v>0</v>
      </c>
      <c r="N35" s="18"/>
      <c r="P35" s="14"/>
    </row>
    <row r="36" spans="3:30" x14ac:dyDescent="0.25">
      <c r="L36" s="8" t="s">
        <v>131</v>
      </c>
      <c r="M36" s="62">
        <f>C30-J30</f>
        <v>7950</v>
      </c>
    </row>
    <row r="37" spans="3:30" x14ac:dyDescent="0.25">
      <c r="L37" s="8" t="s">
        <v>132</v>
      </c>
      <c r="M37" s="62">
        <f>-J30</f>
        <v>-242050</v>
      </c>
      <c r="R37" s="14"/>
      <c r="S37" s="14"/>
    </row>
    <row r="38" spans="3:30" x14ac:dyDescent="0.25">
      <c r="L38" s="8" t="s">
        <v>133</v>
      </c>
      <c r="M38" s="21">
        <f>M34/M37</f>
        <v>-1.7134093276814581E-2</v>
      </c>
      <c r="R38" s="14"/>
      <c r="S38" s="14"/>
    </row>
    <row r="39" spans="3:30" x14ac:dyDescent="0.25">
      <c r="L39" s="8" t="s">
        <v>134</v>
      </c>
      <c r="M39" s="21">
        <f>M38*'Electricity Costs'!C30*0.01</f>
        <v>-42.835233192036448</v>
      </c>
    </row>
    <row r="40" spans="3:30" x14ac:dyDescent="0.25">
      <c r="L40" s="8" t="s">
        <v>135</v>
      </c>
      <c r="M40" s="51">
        <f>(M38*M34)/('Electricity Costs'!C30*0.01)</f>
        <v>-2.8424139897167175E-2</v>
      </c>
    </row>
    <row r="44" spans="3:30" x14ac:dyDescent="0.2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8" spans="3:30" x14ac:dyDescent="0.25"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workbookViewId="0">
      <selection activeCell="J3" sqref="J3"/>
    </sheetView>
  </sheetViews>
  <sheetFormatPr defaultRowHeight="15" x14ac:dyDescent="0.25"/>
  <cols>
    <col min="1" max="1" width="6.42578125" bestFit="1" customWidth="1"/>
    <col min="2" max="2" width="11.5703125" bestFit="1" customWidth="1"/>
    <col min="3" max="3" width="12.5703125" bestFit="1" customWidth="1"/>
    <col min="4" max="4" width="6.140625" bestFit="1" customWidth="1"/>
    <col min="5" max="5" width="10.140625" bestFit="1" customWidth="1"/>
    <col min="6" max="6" width="14.85546875" bestFit="1" customWidth="1"/>
    <col min="7" max="7" width="9.5703125" bestFit="1" customWidth="1"/>
    <col min="8" max="8" width="8.7109375" bestFit="1" customWidth="1"/>
    <col min="9" max="9" width="9.140625" bestFit="1" customWidth="1"/>
    <col min="12" max="12" width="5.5703125" bestFit="1" customWidth="1"/>
    <col min="13" max="13" width="6.140625" bestFit="1" customWidth="1"/>
  </cols>
  <sheetData>
    <row r="1" spans="1:23" x14ac:dyDescent="0.25">
      <c r="A1" s="10" t="s">
        <v>0</v>
      </c>
      <c r="B1" s="8" t="s">
        <v>9</v>
      </c>
      <c r="C1" s="8" t="s">
        <v>106</v>
      </c>
      <c r="D1" s="8" t="s">
        <v>11</v>
      </c>
      <c r="E1" s="8" t="s">
        <v>101</v>
      </c>
      <c r="F1" s="8" t="s">
        <v>102</v>
      </c>
      <c r="G1" s="8" t="s">
        <v>103</v>
      </c>
      <c r="H1" s="8" t="s">
        <v>104</v>
      </c>
      <c r="I1" s="8" t="s">
        <v>105</v>
      </c>
      <c r="K1" s="8"/>
      <c r="L1" s="8"/>
      <c r="M1" s="8"/>
    </row>
    <row r="2" spans="1:23" x14ac:dyDescent="0.25">
      <c r="A2" s="16">
        <v>1</v>
      </c>
      <c r="B2" s="13">
        <v>1</v>
      </c>
      <c r="C2" s="5">
        <f>'User Inputs - EX 1'!$H$6*B2</f>
        <v>10300</v>
      </c>
      <c r="D2" s="6">
        <f>C2/1000</f>
        <v>10.3</v>
      </c>
      <c r="E2" s="7">
        <v>400</v>
      </c>
      <c r="F2" s="7">
        <f>E2*D2</f>
        <v>4120</v>
      </c>
      <c r="G2" s="7">
        <f>F2*(1/(1+'User Inputs - EX 1'!$B$23)^'PV Degrad. SPV SRECS'!A2)</f>
        <v>3810.5808361080276</v>
      </c>
      <c r="H2" s="6">
        <f>1/(1+'User Inputs - EX 1'!$B$19)^A2</f>
        <v>0.94339622641509424</v>
      </c>
      <c r="I2" s="6">
        <f>1/(1+'User Inputs - EX 1'!$B$23)^A2</f>
        <v>0.92489826119126883</v>
      </c>
      <c r="K2" s="24"/>
      <c r="L2" s="24"/>
      <c r="M2" s="24"/>
      <c r="V2">
        <f>O2-10000</f>
        <v>-10000</v>
      </c>
    </row>
    <row r="3" spans="1:23" x14ac:dyDescent="0.25">
      <c r="A3" s="16">
        <f t="shared" ref="A3:A26" si="0">A2+1</f>
        <v>2</v>
      </c>
      <c r="B3" s="13">
        <f>B2*0.995</f>
        <v>0.995</v>
      </c>
      <c r="C3" s="5">
        <f>'User Inputs - EX 1'!$H$6*B3</f>
        <v>10248.5</v>
      </c>
      <c r="D3" s="6">
        <f t="shared" ref="D3:D26" si="1">C3/1000</f>
        <v>10.2485</v>
      </c>
      <c r="E3" s="7">
        <v>400</v>
      </c>
      <c r="F3" s="7">
        <f t="shared" ref="F3:F26" si="2">E3*D3</f>
        <v>4099.3999999999996</v>
      </c>
      <c r="G3" s="7">
        <f>F3*(1/(1+'User Inputs - EX 1'!$B$23)^'PV Degrad. SPV SRECS'!A3)</f>
        <v>3506.7775914978602</v>
      </c>
      <c r="H3" s="6">
        <f>1/(1+'User Inputs - EX 1'!$B$19)^A3</f>
        <v>0.88999644001423983</v>
      </c>
      <c r="I3" s="6">
        <f>1/(1+'User Inputs - EX 1'!$B$23)^A3</f>
        <v>0.85543679355463254</v>
      </c>
      <c r="K3" s="24"/>
      <c r="L3" s="24"/>
      <c r="M3" s="24"/>
      <c r="N3" s="3"/>
      <c r="Q3" s="43"/>
      <c r="S3" s="42"/>
      <c r="T3" s="42"/>
      <c r="V3">
        <f t="shared" ref="V3:V7" si="3">O3-10000</f>
        <v>-10000</v>
      </c>
    </row>
    <row r="4" spans="1:23" x14ac:dyDescent="0.25">
      <c r="A4" s="16">
        <f t="shared" si="0"/>
        <v>3</v>
      </c>
      <c r="B4" s="13">
        <f t="shared" ref="B4:B26" si="4">B3*0.995</f>
        <v>0.99002500000000004</v>
      </c>
      <c r="C4" s="5">
        <f>'User Inputs - EX 1'!$H$6*B4</f>
        <v>10197.2575</v>
      </c>
      <c r="D4" s="6">
        <f t="shared" si="1"/>
        <v>10.197257499999999</v>
      </c>
      <c r="E4" s="7">
        <v>400</v>
      </c>
      <c r="F4" s="7">
        <f t="shared" si="2"/>
        <v>4078.9029999999998</v>
      </c>
      <c r="G4" s="7">
        <f>F4*(1/(1+'User Inputs - EX 1'!$B$23)^'PV Degrad. SPV SRECS'!A4)</f>
        <v>3227.1954342770728</v>
      </c>
      <c r="H4" s="6">
        <f>1/(1+'User Inputs - EX 1'!$B$19)^A4</f>
        <v>0.8396192830323016</v>
      </c>
      <c r="I4" s="6">
        <f>1/(1+'User Inputs - EX 1'!$B$23)^A4</f>
        <v>0.79119200291771408</v>
      </c>
      <c r="K4" s="24"/>
      <c r="L4" s="24"/>
      <c r="M4" s="24"/>
      <c r="N4" s="3"/>
      <c r="Q4" s="43"/>
      <c r="S4" s="42"/>
      <c r="T4" s="42"/>
      <c r="V4">
        <f t="shared" si="3"/>
        <v>-10000</v>
      </c>
    </row>
    <row r="5" spans="1:23" x14ac:dyDescent="0.25">
      <c r="A5" s="16">
        <f t="shared" si="0"/>
        <v>4</v>
      </c>
      <c r="B5" s="13">
        <f t="shared" si="4"/>
        <v>0.98507487500000002</v>
      </c>
      <c r="C5" s="5">
        <f>'User Inputs - EX 1'!$H$6*B5</f>
        <v>10146.2712125</v>
      </c>
      <c r="D5" s="6">
        <f t="shared" si="1"/>
        <v>10.1462712125</v>
      </c>
      <c r="E5" s="7">
        <v>350</v>
      </c>
      <c r="F5" s="7">
        <f t="shared" si="2"/>
        <v>3551.194924375</v>
      </c>
      <c r="G5" s="7">
        <f>F5*(1/(1+'User Inputs - EX 1'!$B$23)^'PV Degrad. SPV SRECS'!A5)</f>
        <v>2598.6653949014758</v>
      </c>
      <c r="H5" s="6">
        <f>1/(1+'User Inputs - EX 1'!$B$19)^A5</f>
        <v>0.79209366323802044</v>
      </c>
      <c r="I5" s="6">
        <f>1/(1+'User Inputs - EX 1'!$B$23)^A5</f>
        <v>0.73177210776703094</v>
      </c>
      <c r="K5" s="24"/>
      <c r="L5" s="24"/>
      <c r="M5" s="24"/>
      <c r="N5" s="3"/>
      <c r="Q5" s="43"/>
      <c r="S5" s="42"/>
      <c r="T5" s="42"/>
      <c r="V5">
        <f t="shared" si="3"/>
        <v>-10000</v>
      </c>
    </row>
    <row r="6" spans="1:23" x14ac:dyDescent="0.25">
      <c r="A6" s="16">
        <f t="shared" si="0"/>
        <v>5</v>
      </c>
      <c r="B6" s="13">
        <f t="shared" si="4"/>
        <v>0.98014950062500006</v>
      </c>
      <c r="C6" s="5">
        <f>'User Inputs - EX 1'!$H$6*B6</f>
        <v>10095.539856437501</v>
      </c>
      <c r="D6" s="6">
        <f t="shared" si="1"/>
        <v>10.095539856437501</v>
      </c>
      <c r="E6" s="7">
        <v>350</v>
      </c>
      <c r="F6" s="7">
        <f t="shared" si="2"/>
        <v>3533.4389497531251</v>
      </c>
      <c r="G6" s="7">
        <f>F6*(1/(1+'User Inputs - EX 1'!$B$23)^'PV Degrad. SPV SRECS'!A6)</f>
        <v>2391.4835996364855</v>
      </c>
      <c r="H6" s="6">
        <f>1/(1+'User Inputs - EX 1'!$B$19)^A6</f>
        <v>0.74725817286605689</v>
      </c>
      <c r="I6" s="6">
        <f>1/(1+'User Inputs - EX 1'!$B$23)^A6</f>
        <v>0.67681475006199665</v>
      </c>
      <c r="K6" s="24"/>
      <c r="L6" s="24"/>
      <c r="M6" s="24"/>
      <c r="N6" s="3"/>
      <c r="Q6" s="43"/>
      <c r="S6" s="42"/>
      <c r="T6" s="42"/>
      <c r="V6">
        <f t="shared" si="3"/>
        <v>-10000</v>
      </c>
    </row>
    <row r="7" spans="1:23" x14ac:dyDescent="0.25">
      <c r="A7" s="16">
        <f t="shared" si="0"/>
        <v>6</v>
      </c>
      <c r="B7" s="13">
        <f t="shared" si="4"/>
        <v>0.97524875312187509</v>
      </c>
      <c r="C7" s="5">
        <f>'User Inputs - EX 1'!$H$6*B7</f>
        <v>10045.062157155313</v>
      </c>
      <c r="D7" s="6">
        <f t="shared" si="1"/>
        <v>10.045062157155312</v>
      </c>
      <c r="E7" s="7">
        <v>350</v>
      </c>
      <c r="F7" s="7">
        <f t="shared" si="2"/>
        <v>3515.7717550043594</v>
      </c>
      <c r="G7" s="7">
        <f>F7*(1/(1+'User Inputs - EX 1'!$B$23)^'PV Degrad. SPV SRECS'!A7)</f>
        <v>2200.8196278563655</v>
      </c>
      <c r="H7" s="6">
        <f>1/(1+'User Inputs - EX 1'!$B$19)^A7</f>
        <v>0.70496054043967626</v>
      </c>
      <c r="I7" s="6">
        <f>1/(1+'User Inputs - EX 1'!$B$23)^A7</f>
        <v>0.62598478548094394</v>
      </c>
      <c r="K7" s="24"/>
      <c r="L7" s="24"/>
      <c r="M7" s="24"/>
      <c r="N7" s="3"/>
      <c r="Q7" s="43"/>
      <c r="S7" s="42"/>
      <c r="T7" s="42"/>
      <c r="V7">
        <f t="shared" si="3"/>
        <v>-10000</v>
      </c>
    </row>
    <row r="8" spans="1:23" x14ac:dyDescent="0.25">
      <c r="A8" s="16">
        <f t="shared" si="0"/>
        <v>7</v>
      </c>
      <c r="B8" s="13">
        <f t="shared" si="4"/>
        <v>0.97037250935626573</v>
      </c>
      <c r="C8" s="5">
        <f>'User Inputs - EX 1'!$H$6*B8</f>
        <v>9994.8368463695369</v>
      </c>
      <c r="D8" s="6">
        <f t="shared" si="1"/>
        <v>9.9948368463695374</v>
      </c>
      <c r="E8" s="7">
        <v>350</v>
      </c>
      <c r="F8" s="7">
        <f t="shared" si="2"/>
        <v>3498.1928962293382</v>
      </c>
      <c r="G8" s="7">
        <f>F8*(1/(1+'User Inputs - EX 1'!$B$23)^'PV Degrad. SPV SRECS'!A8)</f>
        <v>2025.3565757649687</v>
      </c>
      <c r="H8" s="6">
        <f>1/(1+'User Inputs - EX 1'!$B$19)^A8</f>
        <v>0.66505711362233599</v>
      </c>
      <c r="I8" s="6">
        <f>1/(1+'User Inputs - EX 1'!$B$23)^A8</f>
        <v>0.57897223962351452</v>
      </c>
      <c r="K8" s="24"/>
      <c r="L8" s="24"/>
      <c r="M8" s="24"/>
      <c r="N8" s="3"/>
      <c r="Q8" s="43"/>
      <c r="S8" s="29"/>
      <c r="W8">
        <f>10000-O8</f>
        <v>10000</v>
      </c>
    </row>
    <row r="9" spans="1:23" x14ac:dyDescent="0.25">
      <c r="A9" s="16">
        <f t="shared" si="0"/>
        <v>8</v>
      </c>
      <c r="B9" s="13">
        <f t="shared" si="4"/>
        <v>0.96552064680948435</v>
      </c>
      <c r="C9" s="5">
        <f>'User Inputs - EX 1'!$H$6*B9</f>
        <v>9944.8626621376879</v>
      </c>
      <c r="D9" s="6">
        <f t="shared" si="1"/>
        <v>9.9448626621376874</v>
      </c>
      <c r="E9" s="7">
        <v>350</v>
      </c>
      <c r="F9" s="7">
        <f t="shared" si="2"/>
        <v>3480.7019317481904</v>
      </c>
      <c r="G9" s="7">
        <f>F9*(1/(1+'User Inputs - EX 1'!$B$23)^'PV Degrad. SPV SRECS'!A9)</f>
        <v>1863.8825313412342</v>
      </c>
      <c r="H9" s="6">
        <f>1/(1+'User Inputs - EX 1'!$B$19)^A9</f>
        <v>0.62741237134182648</v>
      </c>
      <c r="I9" s="6">
        <f>1/(1+'User Inputs - EX 1'!$B$23)^A9</f>
        <v>0.53549041770580308</v>
      </c>
      <c r="K9" s="24"/>
      <c r="L9" s="24"/>
      <c r="M9" s="24"/>
      <c r="N9" s="3"/>
      <c r="Q9" s="43"/>
      <c r="S9" s="42"/>
      <c r="T9" s="48"/>
      <c r="W9">
        <f t="shared" ref="W9:W26" si="5">10000-O9</f>
        <v>10000</v>
      </c>
    </row>
    <row r="10" spans="1:23" x14ac:dyDescent="0.25">
      <c r="A10" s="16">
        <f t="shared" si="0"/>
        <v>9</v>
      </c>
      <c r="B10" s="13">
        <f t="shared" si="4"/>
        <v>0.96069304357543694</v>
      </c>
      <c r="C10" s="5">
        <f>'User Inputs - EX 1'!$H$6*B10</f>
        <v>9895.1383488270003</v>
      </c>
      <c r="D10" s="6">
        <f t="shared" si="1"/>
        <v>9.8951383488270004</v>
      </c>
      <c r="E10" s="7">
        <v>350</v>
      </c>
      <c r="F10" s="7">
        <f t="shared" si="2"/>
        <v>3463.29842208945</v>
      </c>
      <c r="G10" s="7">
        <f>F10*(1/(1+'User Inputs - EX 1'!$B$23)^'PV Degrad. SPV SRECS'!A10)</f>
        <v>1715.2822037407768</v>
      </c>
      <c r="H10" s="6">
        <f>1/(1+'User Inputs - EX 1'!$B$19)^A10</f>
        <v>0.59189846353002495</v>
      </c>
      <c r="I10" s="6">
        <f>1/(1+'User Inputs - EX 1'!$B$23)^A10</f>
        <v>0.49527415622068344</v>
      </c>
      <c r="K10" s="24"/>
      <c r="L10" s="24"/>
      <c r="M10" s="24"/>
      <c r="N10" s="3"/>
      <c r="Q10" s="43"/>
      <c r="S10" s="42"/>
      <c r="T10" s="48"/>
      <c r="W10">
        <f t="shared" si="5"/>
        <v>10000</v>
      </c>
    </row>
    <row r="11" spans="1:23" x14ac:dyDescent="0.25">
      <c r="A11" s="16">
        <f t="shared" si="0"/>
        <v>10</v>
      </c>
      <c r="B11" s="13">
        <f t="shared" si="4"/>
        <v>0.95588957835755972</v>
      </c>
      <c r="C11" s="5">
        <f>'User Inputs - EX 1'!$H$6*B11</f>
        <v>9845.6626570828648</v>
      </c>
      <c r="D11" s="6">
        <f t="shared" si="1"/>
        <v>9.8456626570828654</v>
      </c>
      <c r="E11" s="7">
        <v>350</v>
      </c>
      <c r="F11" s="7">
        <f t="shared" si="2"/>
        <v>3445.9819299790029</v>
      </c>
      <c r="G11" s="7">
        <f>F11*(1/(1+'User Inputs - EX 1'!$B$23)^'PV Degrad. SPV SRECS'!A11)</f>
        <v>1578.5292200537112</v>
      </c>
      <c r="H11" s="6">
        <f>1/(1+'User Inputs - EX 1'!$B$19)^A11</f>
        <v>0.55839477691511785</v>
      </c>
      <c r="I11" s="6">
        <f>1/(1+'User Inputs - EX 1'!$B$23)^A11</f>
        <v>0.45807820590148296</v>
      </c>
      <c r="K11" s="24"/>
      <c r="L11" s="24"/>
      <c r="M11" s="24"/>
      <c r="N11" s="3"/>
      <c r="Q11" s="43"/>
      <c r="S11" s="42"/>
      <c r="T11" s="48"/>
      <c r="W11">
        <f t="shared" si="5"/>
        <v>10000</v>
      </c>
    </row>
    <row r="12" spans="1:23" x14ac:dyDescent="0.25">
      <c r="A12" s="16">
        <f t="shared" si="0"/>
        <v>11</v>
      </c>
      <c r="B12" s="13">
        <f t="shared" si="4"/>
        <v>0.95111013046577186</v>
      </c>
      <c r="C12" s="5">
        <f>'User Inputs - EX 1'!$H$6*B12</f>
        <v>9796.4343437974494</v>
      </c>
      <c r="D12" s="6">
        <f t="shared" si="1"/>
        <v>9.7964343437974488</v>
      </c>
      <c r="E12" s="7">
        <v>0</v>
      </c>
      <c r="F12" s="7">
        <f t="shared" si="2"/>
        <v>0</v>
      </c>
      <c r="G12" s="7">
        <f>F12*(1/(1+'User Inputs - EX 1'!$B$23)^'PV Degrad. SPV SRECS'!A12)</f>
        <v>0</v>
      </c>
      <c r="H12" s="6">
        <f>1/(1+'User Inputs - EX 1'!$B$19)^A12</f>
        <v>0.52678752539162055</v>
      </c>
      <c r="I12" s="6">
        <f>1/(1+'User Inputs - EX 1'!$B$23)^A12</f>
        <v>0.42367573612789772</v>
      </c>
      <c r="K12" s="24"/>
      <c r="L12" s="24"/>
      <c r="M12" s="24"/>
      <c r="N12" s="3"/>
      <c r="Q12" s="43"/>
      <c r="S12" s="42"/>
      <c r="T12" s="48"/>
      <c r="W12">
        <f t="shared" si="5"/>
        <v>10000</v>
      </c>
    </row>
    <row r="13" spans="1:23" x14ac:dyDescent="0.25">
      <c r="A13" s="16">
        <f t="shared" si="0"/>
        <v>12</v>
      </c>
      <c r="B13" s="13">
        <f t="shared" si="4"/>
        <v>0.94635457981344295</v>
      </c>
      <c r="C13" s="5">
        <f>'User Inputs - EX 1'!$H$6*B13</f>
        <v>9747.4521720784633</v>
      </c>
      <c r="D13" s="6">
        <f t="shared" si="1"/>
        <v>9.7474521720784626</v>
      </c>
      <c r="E13" s="7">
        <v>0</v>
      </c>
      <c r="F13" s="7">
        <f t="shared" si="2"/>
        <v>0</v>
      </c>
      <c r="G13" s="7">
        <f>F13*(1/(1+'User Inputs - EX 1'!$B$23)^'PV Degrad. SPV SRECS'!A13)</f>
        <v>0</v>
      </c>
      <c r="H13" s="6">
        <f>1/(1+'User Inputs - EX 1'!$B$19)^A13</f>
        <v>0.4969693635770005</v>
      </c>
      <c r="I13" s="6">
        <f>1/(1+'User Inputs - EX 1'!$B$23)^A13</f>
        <v>0.39185695165362339</v>
      </c>
      <c r="K13" s="24"/>
      <c r="L13" s="24"/>
      <c r="M13" s="24"/>
      <c r="N13" s="3"/>
      <c r="Q13" s="43"/>
      <c r="S13" s="42"/>
      <c r="T13" s="48"/>
      <c r="W13">
        <f t="shared" si="5"/>
        <v>10000</v>
      </c>
    </row>
    <row r="14" spans="1:23" x14ac:dyDescent="0.25">
      <c r="A14" s="16">
        <f t="shared" si="0"/>
        <v>13</v>
      </c>
      <c r="B14" s="13">
        <f t="shared" si="4"/>
        <v>0.94162280691437572</v>
      </c>
      <c r="C14" s="5">
        <f>'User Inputs - EX 1'!$H$6*B14</f>
        <v>9698.7149112180705</v>
      </c>
      <c r="D14" s="6">
        <f t="shared" si="1"/>
        <v>9.6987149112180706</v>
      </c>
      <c r="E14" s="7">
        <v>0</v>
      </c>
      <c r="F14" s="7">
        <f t="shared" si="2"/>
        <v>0</v>
      </c>
      <c r="G14" s="7">
        <f>F14*(1/(1+'User Inputs - EX 1'!$B$23)^'PV Degrad. SPV SRECS'!A14)</f>
        <v>0</v>
      </c>
      <c r="H14" s="6">
        <f>1/(1+'User Inputs - EX 1'!$B$19)^A14</f>
        <v>0.46883902224245327</v>
      </c>
      <c r="I14" s="6">
        <f>1/(1+'User Inputs - EX 1'!$B$23)^A14</f>
        <v>0.36242781322014733</v>
      </c>
      <c r="K14" s="24"/>
      <c r="L14" s="24"/>
      <c r="M14" s="24"/>
      <c r="N14" s="3"/>
      <c r="Q14" s="43"/>
      <c r="S14" s="42"/>
      <c r="T14" s="48"/>
      <c r="W14">
        <f t="shared" si="5"/>
        <v>10000</v>
      </c>
    </row>
    <row r="15" spans="1:23" x14ac:dyDescent="0.25">
      <c r="A15" s="16">
        <f t="shared" si="0"/>
        <v>14</v>
      </c>
      <c r="B15" s="13">
        <f t="shared" si="4"/>
        <v>0.93691469287980389</v>
      </c>
      <c r="C15" s="5">
        <f>'User Inputs - EX 1'!$H$6*B15</f>
        <v>9650.2213366619799</v>
      </c>
      <c r="D15" s="6">
        <f t="shared" si="1"/>
        <v>9.6502213366619802</v>
      </c>
      <c r="E15" s="7">
        <v>0</v>
      </c>
      <c r="F15" s="7">
        <f t="shared" si="2"/>
        <v>0</v>
      </c>
      <c r="G15" s="7">
        <f>F15*(1/(1+'User Inputs - EX 1'!$B$23)^'PV Degrad. SPV SRECS'!A15)</f>
        <v>0</v>
      </c>
      <c r="H15" s="6">
        <f>1/(1+'User Inputs - EX 1'!$B$19)^A15</f>
        <v>0.44230096437967292</v>
      </c>
      <c r="I15" s="6">
        <f>1/(1+'User Inputs - EX 1'!$B$23)^A15</f>
        <v>0.33520885425466818</v>
      </c>
      <c r="K15" s="24"/>
      <c r="L15" s="24"/>
      <c r="M15" s="24"/>
      <c r="N15" s="3"/>
      <c r="Q15" s="43"/>
      <c r="S15" s="42"/>
      <c r="T15" s="48"/>
      <c r="W15">
        <f t="shared" si="5"/>
        <v>10000</v>
      </c>
    </row>
    <row r="16" spans="1:23" x14ac:dyDescent="0.25">
      <c r="A16" s="16">
        <f t="shared" si="0"/>
        <v>15</v>
      </c>
      <c r="B16" s="13">
        <f t="shared" si="4"/>
        <v>0.9322301194154049</v>
      </c>
      <c r="C16" s="5">
        <f>'User Inputs - EX 1'!$H$6*B16</f>
        <v>9601.9702299786713</v>
      </c>
      <c r="D16" s="6">
        <f t="shared" si="1"/>
        <v>9.6019702299786722</v>
      </c>
      <c r="E16" s="7">
        <v>0</v>
      </c>
      <c r="F16" s="7">
        <f t="shared" si="2"/>
        <v>0</v>
      </c>
      <c r="G16" s="7">
        <f>F16*(1/(1+'User Inputs - EX 1'!$B$23)^'PV Degrad. SPV SRECS'!A16)</f>
        <v>0</v>
      </c>
      <c r="H16" s="6">
        <f>1/(1+'User Inputs - EX 1'!$B$19)^A16</f>
        <v>0.41726506073554037</v>
      </c>
      <c r="I16" s="6">
        <f>1/(1+'User Inputs - EX 1'!$B$23)^A16</f>
        <v>0.31003408643606012</v>
      </c>
      <c r="K16" s="24"/>
      <c r="L16" s="24"/>
      <c r="M16" s="24"/>
      <c r="N16" s="3"/>
      <c r="Q16" s="43"/>
      <c r="S16" s="42"/>
      <c r="T16" s="48"/>
      <c r="W16">
        <f t="shared" si="5"/>
        <v>10000</v>
      </c>
    </row>
    <row r="17" spans="1:23" x14ac:dyDescent="0.25">
      <c r="A17" s="16">
        <f t="shared" si="0"/>
        <v>16</v>
      </c>
      <c r="B17" s="13">
        <f t="shared" si="4"/>
        <v>0.92756896881832784</v>
      </c>
      <c r="C17" s="5">
        <f>'User Inputs - EX 1'!$H$6*B17</f>
        <v>9553.9603788287768</v>
      </c>
      <c r="D17" s="6">
        <f t="shared" si="1"/>
        <v>9.5539603788287764</v>
      </c>
      <c r="E17" s="7">
        <v>0</v>
      </c>
      <c r="F17" s="7">
        <f t="shared" si="2"/>
        <v>0</v>
      </c>
      <c r="G17" s="7">
        <f>F17*(1/(1+'User Inputs - EX 1'!$B$23)^'PV Degrad. SPV SRECS'!A17)</f>
        <v>0</v>
      </c>
      <c r="H17" s="6">
        <f>1/(1+'User Inputs - EX 1'!$B$19)^A17</f>
        <v>0.39364628371277405</v>
      </c>
      <c r="I17" s="6">
        <f>1/(1+'User Inputs - EX 1'!$B$23)^A17</f>
        <v>0.28674998745473546</v>
      </c>
      <c r="K17" s="24"/>
      <c r="L17" s="24"/>
      <c r="M17" s="24"/>
      <c r="N17" s="3"/>
      <c r="Q17" s="43"/>
      <c r="S17" s="42"/>
      <c r="T17" s="48"/>
      <c r="W17">
        <f t="shared" si="5"/>
        <v>10000</v>
      </c>
    </row>
    <row r="18" spans="1:23" x14ac:dyDescent="0.25">
      <c r="A18" s="16">
        <f t="shared" si="0"/>
        <v>17</v>
      </c>
      <c r="B18" s="13">
        <f t="shared" si="4"/>
        <v>0.92293112397423616</v>
      </c>
      <c r="C18" s="5">
        <f>'User Inputs - EX 1'!$H$6*B18</f>
        <v>9506.1905769346322</v>
      </c>
      <c r="D18" s="6">
        <f t="shared" si="1"/>
        <v>9.5061905769346318</v>
      </c>
      <c r="E18" s="7">
        <v>0</v>
      </c>
      <c r="F18" s="7">
        <f t="shared" si="2"/>
        <v>0</v>
      </c>
      <c r="G18" s="7">
        <f>F18*(1/(1+'User Inputs - EX 1'!$B$23)^'PV Degrad. SPV SRECS'!A18)</f>
        <v>0</v>
      </c>
      <c r="H18" s="6">
        <f>1/(1+'User Inputs - EX 1'!$B$19)^A18</f>
        <v>0.37136441859695657</v>
      </c>
      <c r="I18" s="6">
        <f>1/(1+'User Inputs - EX 1'!$B$23)^A18</f>
        <v>0.26521456479350297</v>
      </c>
      <c r="K18" s="24"/>
      <c r="L18" s="24"/>
      <c r="M18" s="24"/>
      <c r="N18" s="3"/>
      <c r="Q18" s="43"/>
      <c r="S18" s="42"/>
      <c r="T18" s="48"/>
      <c r="W18">
        <f t="shared" si="5"/>
        <v>10000</v>
      </c>
    </row>
    <row r="19" spans="1:23" x14ac:dyDescent="0.25">
      <c r="A19" s="16">
        <f t="shared" si="0"/>
        <v>18</v>
      </c>
      <c r="B19" s="13">
        <f t="shared" si="4"/>
        <v>0.91831646835436498</v>
      </c>
      <c r="C19" s="5">
        <f>'User Inputs - EX 1'!$H$6*B19</f>
        <v>9458.6596240499584</v>
      </c>
      <c r="D19" s="6">
        <f t="shared" si="1"/>
        <v>9.4586596240499592</v>
      </c>
      <c r="E19" s="7">
        <v>0</v>
      </c>
      <c r="F19" s="7">
        <f t="shared" si="2"/>
        <v>0</v>
      </c>
      <c r="G19" s="7">
        <f>F19*(1/(1+'User Inputs - EX 1'!$B$23)^'PV Degrad. SPV SRECS'!A19)</f>
        <v>0</v>
      </c>
      <c r="H19" s="6">
        <f>1/(1+'User Inputs - EX 1'!$B$19)^A19</f>
        <v>0.35034379112920433</v>
      </c>
      <c r="I19" s="6">
        <f>1/(1+'User Inputs - EX 1'!$B$23)^A19</f>
        <v>0.24529648982011001</v>
      </c>
      <c r="K19" s="24"/>
      <c r="L19" s="24"/>
      <c r="M19" s="24"/>
      <c r="N19" s="3"/>
      <c r="Q19" s="43"/>
      <c r="S19" s="42"/>
      <c r="T19" s="48"/>
      <c r="W19">
        <f t="shared" si="5"/>
        <v>10000</v>
      </c>
    </row>
    <row r="20" spans="1:23" x14ac:dyDescent="0.25">
      <c r="A20" s="16">
        <f t="shared" si="0"/>
        <v>19</v>
      </c>
      <c r="B20" s="13">
        <f t="shared" si="4"/>
        <v>0.91372488601259316</v>
      </c>
      <c r="C20" s="5">
        <f>'User Inputs - EX 1'!$H$6*B20</f>
        <v>9411.36632592971</v>
      </c>
      <c r="D20" s="6">
        <f t="shared" si="1"/>
        <v>9.4113663259297091</v>
      </c>
      <c r="E20" s="7">
        <v>0</v>
      </c>
      <c r="F20" s="7">
        <f t="shared" si="2"/>
        <v>0</v>
      </c>
      <c r="G20" s="7">
        <f>F20*(1/(1+'User Inputs - EX 1'!$B$23)^'PV Degrad. SPV SRECS'!A20)</f>
        <v>0</v>
      </c>
      <c r="H20" s="6">
        <f>1/(1+'User Inputs - EX 1'!$B$19)^A20</f>
        <v>0.3305130104992493</v>
      </c>
      <c r="I20" s="6">
        <f>1/(1+'User Inputs - EX 1'!$B$23)^A20</f>
        <v>0.22687429691094155</v>
      </c>
      <c r="K20" s="24"/>
      <c r="L20" s="24"/>
      <c r="M20" s="24"/>
      <c r="N20" s="3"/>
      <c r="Q20" s="43"/>
      <c r="S20" s="42"/>
      <c r="T20" s="48"/>
      <c r="W20">
        <f t="shared" si="5"/>
        <v>10000</v>
      </c>
    </row>
    <row r="21" spans="1:23" x14ac:dyDescent="0.25">
      <c r="A21" s="16">
        <f t="shared" si="0"/>
        <v>20</v>
      </c>
      <c r="B21" s="13">
        <f t="shared" si="4"/>
        <v>0.90915626158253016</v>
      </c>
      <c r="C21" s="5">
        <f>'User Inputs - EX 1'!$H$6*B21</f>
        <v>9364.3094943000615</v>
      </c>
      <c r="D21" s="6">
        <f t="shared" si="1"/>
        <v>9.3643094943000609</v>
      </c>
      <c r="E21" s="7">
        <v>0</v>
      </c>
      <c r="F21" s="7">
        <f t="shared" si="2"/>
        <v>0</v>
      </c>
      <c r="G21" s="7">
        <f>F21*(1/(1+'User Inputs - EX 1'!$B$23)^'PV Degrad. SPV SRECS'!A21)</f>
        <v>0</v>
      </c>
      <c r="H21" s="6">
        <f>1/(1+'User Inputs - EX 1'!$B$19)^A21</f>
        <v>0.31180472688608429</v>
      </c>
      <c r="I21" s="6">
        <f>1/(1+'User Inputs - EX 1'!$B$23)^A21</f>
        <v>0.20983564272192143</v>
      </c>
      <c r="K21" s="24"/>
      <c r="L21" s="24"/>
      <c r="M21" s="24"/>
      <c r="N21" s="3"/>
      <c r="Q21" s="43"/>
      <c r="S21" s="42"/>
      <c r="T21" s="48"/>
      <c r="W21">
        <f t="shared" si="5"/>
        <v>10000</v>
      </c>
    </row>
    <row r="22" spans="1:23" x14ac:dyDescent="0.25">
      <c r="A22" s="16">
        <f t="shared" si="0"/>
        <v>21</v>
      </c>
      <c r="B22" s="13">
        <f t="shared" si="4"/>
        <v>0.90461048027461755</v>
      </c>
      <c r="C22" s="5">
        <f>'User Inputs - EX 1'!$H$6*B22</f>
        <v>9317.4879468285599</v>
      </c>
      <c r="D22" s="6">
        <f t="shared" si="1"/>
        <v>9.3174879468285603</v>
      </c>
      <c r="E22" s="7">
        <v>0</v>
      </c>
      <c r="F22" s="7">
        <f t="shared" si="2"/>
        <v>0</v>
      </c>
      <c r="G22" s="7">
        <f>F22*(1/(1+'User Inputs - EX 1'!$B$23)^'PV Degrad. SPV SRECS'!A22)</f>
        <v>0</v>
      </c>
      <c r="H22" s="6">
        <f>1/(1+'User Inputs - EX 1'!$B$19)^A22</f>
        <v>0.29415540272272095</v>
      </c>
      <c r="I22" s="6">
        <f>1/(1+'User Inputs - EX 1'!$B$23)^A22</f>
        <v>0.19407662108945745</v>
      </c>
      <c r="K22" s="24"/>
      <c r="L22" s="24"/>
      <c r="M22" s="24"/>
      <c r="N22" s="3"/>
      <c r="Q22" s="43"/>
      <c r="S22" s="42"/>
      <c r="T22" s="48"/>
      <c r="W22">
        <f t="shared" si="5"/>
        <v>10000</v>
      </c>
    </row>
    <row r="23" spans="1:23" x14ac:dyDescent="0.25">
      <c r="A23" s="16">
        <f t="shared" si="0"/>
        <v>22</v>
      </c>
      <c r="B23" s="13">
        <f t="shared" si="4"/>
        <v>0.90008742787324447</v>
      </c>
      <c r="C23" s="5">
        <f>'User Inputs - EX 1'!$H$6*B23</f>
        <v>9270.9005070944186</v>
      </c>
      <c r="D23" s="6">
        <f t="shared" si="1"/>
        <v>9.270900507094419</v>
      </c>
      <c r="E23" s="7">
        <v>0</v>
      </c>
      <c r="F23" s="7">
        <f t="shared" si="2"/>
        <v>0</v>
      </c>
      <c r="G23" s="7">
        <f>F23*(1/(1+'User Inputs - EX 1'!$B$23)^'PV Degrad. SPV SRECS'!A23)</f>
        <v>0</v>
      </c>
      <c r="H23" s="6">
        <f>1/(1+'User Inputs - EX 1'!$B$19)^A23</f>
        <v>0.27750509690822728</v>
      </c>
      <c r="I23" s="6">
        <f>1/(1+'User Inputs - EX 1'!$B$23)^A23</f>
        <v>0.17950112938351595</v>
      </c>
      <c r="K23" s="24"/>
      <c r="L23" s="24"/>
      <c r="M23" s="24"/>
      <c r="N23" s="3"/>
      <c r="Q23" s="43"/>
      <c r="S23" s="42"/>
      <c r="T23" s="48"/>
      <c r="W23">
        <f t="shared" si="5"/>
        <v>10000</v>
      </c>
    </row>
    <row r="24" spans="1:23" x14ac:dyDescent="0.25">
      <c r="A24" s="16">
        <f t="shared" si="0"/>
        <v>23</v>
      </c>
      <c r="B24" s="13">
        <f t="shared" si="4"/>
        <v>0.89558699073387826</v>
      </c>
      <c r="C24" s="5">
        <f>'User Inputs - EX 1'!$H$6*B24</f>
        <v>9224.5460045589462</v>
      </c>
      <c r="D24" s="6">
        <f t="shared" si="1"/>
        <v>9.2245460045589454</v>
      </c>
      <c r="E24" s="7">
        <v>0</v>
      </c>
      <c r="F24" s="7">
        <f t="shared" si="2"/>
        <v>0</v>
      </c>
      <c r="G24" s="7">
        <f>F24*(1/(1+'User Inputs - EX 1'!$B$23)^'PV Degrad. SPV SRECS'!A24)</f>
        <v>0</v>
      </c>
      <c r="H24" s="6">
        <f>1/(1+'User Inputs - EX 1'!$B$19)^A24</f>
        <v>0.26179726123417668</v>
      </c>
      <c r="I24" s="6">
        <f>1/(1+'User Inputs - EX 1'!$B$23)^A24</f>
        <v>0.16602028244868289</v>
      </c>
      <c r="K24" s="24"/>
      <c r="L24" s="24"/>
      <c r="M24" s="24"/>
      <c r="N24" s="3"/>
      <c r="Q24" s="43"/>
      <c r="S24" s="42"/>
      <c r="T24" s="48"/>
      <c r="W24">
        <f t="shared" si="5"/>
        <v>10000</v>
      </c>
    </row>
    <row r="25" spans="1:23" x14ac:dyDescent="0.25">
      <c r="A25" s="16">
        <f t="shared" si="0"/>
        <v>24</v>
      </c>
      <c r="B25" s="13">
        <f t="shared" si="4"/>
        <v>0.89110905578020883</v>
      </c>
      <c r="C25" s="5">
        <f>'User Inputs - EX 1'!$H$6*B25</f>
        <v>9178.4232745361514</v>
      </c>
      <c r="D25" s="6">
        <f t="shared" si="1"/>
        <v>9.1784232745361507</v>
      </c>
      <c r="E25" s="7">
        <v>0</v>
      </c>
      <c r="F25" s="7">
        <f t="shared" si="2"/>
        <v>0</v>
      </c>
      <c r="G25" s="7">
        <f>F25*(1/(1+'User Inputs - EX 1'!$B$23)^'PV Degrad. SPV SRECS'!A25)</f>
        <v>0</v>
      </c>
      <c r="H25" s="6">
        <f>1/(1+'User Inputs - EX 1'!$B$19)^A25</f>
        <v>0.24697854833412897</v>
      </c>
      <c r="I25" s="6">
        <f>1/(1+'User Inputs - EX 1'!$B$23)^A25</f>
        <v>0.15355187055927011</v>
      </c>
      <c r="K25" s="24"/>
      <c r="L25" s="24"/>
      <c r="M25" s="24"/>
      <c r="N25" s="3"/>
      <c r="Q25" s="43"/>
      <c r="S25" s="42"/>
      <c r="T25" s="48"/>
      <c r="W25">
        <f t="shared" si="5"/>
        <v>10000</v>
      </c>
    </row>
    <row r="26" spans="1:23" x14ac:dyDescent="0.25">
      <c r="A26" s="16">
        <f t="shared" si="0"/>
        <v>25</v>
      </c>
      <c r="B26" s="13">
        <f t="shared" si="4"/>
        <v>0.88665351050130781</v>
      </c>
      <c r="C26" s="5">
        <f>'User Inputs - EX 1'!$H$6*B26</f>
        <v>9132.5311581634705</v>
      </c>
      <c r="D26" s="6">
        <f t="shared" si="1"/>
        <v>9.1325311581634701</v>
      </c>
      <c r="E26" s="7">
        <v>0</v>
      </c>
      <c r="F26" s="7">
        <f t="shared" si="2"/>
        <v>0</v>
      </c>
      <c r="G26" s="7">
        <f>F26*(1/(1+'User Inputs - EX 1'!$B$23)^'PV Degrad. SPV SRECS'!A26)</f>
        <v>0</v>
      </c>
      <c r="H26" s="6">
        <f>1/(1+'User Inputs - EX 1'!$B$19)^A26</f>
        <v>0.23299863050389524</v>
      </c>
      <c r="I26" s="6">
        <f>1/(1+'User Inputs - EX 1'!$B$23)^A26</f>
        <v>0.14201985808293568</v>
      </c>
      <c r="K26" s="24"/>
      <c r="L26" s="24"/>
      <c r="M26" s="24"/>
      <c r="N26" s="3"/>
      <c r="Q26" s="43"/>
      <c r="S26" s="42"/>
      <c r="T26" s="48"/>
      <c r="W26">
        <f t="shared" si="5"/>
        <v>10000</v>
      </c>
    </row>
    <row r="27" spans="1:23" x14ac:dyDescent="0.25">
      <c r="A27" s="16"/>
      <c r="B27" s="13"/>
      <c r="C27" s="24"/>
      <c r="D27" s="7"/>
      <c r="E27" s="7"/>
      <c r="F27" s="7"/>
      <c r="G27" s="7"/>
      <c r="H27" s="6"/>
      <c r="I27" s="6"/>
      <c r="K27" s="24"/>
      <c r="L27" s="24"/>
      <c r="V27">
        <f>SUM(W8:W26)-SUM(V2:V7)</f>
        <v>250000</v>
      </c>
    </row>
    <row r="28" spans="1:23" x14ac:dyDescent="0.25">
      <c r="A28" s="16"/>
      <c r="B28" s="13"/>
      <c r="C28" s="24"/>
      <c r="D28" s="7"/>
      <c r="E28" s="7"/>
      <c r="F28" s="7"/>
      <c r="G28" s="7"/>
      <c r="H28" s="6"/>
      <c r="I28" s="6"/>
      <c r="K28" s="24"/>
      <c r="L28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7"/>
  <sheetViews>
    <sheetView tabSelected="1" topLeftCell="A22" workbookViewId="0">
      <selection activeCell="H35" sqref="H35"/>
    </sheetView>
  </sheetViews>
  <sheetFormatPr defaultRowHeight="15" x14ac:dyDescent="0.25"/>
  <cols>
    <col min="2" max="2" width="6.5703125" customWidth="1"/>
    <col min="3" max="4" width="16.42578125" bestFit="1" customWidth="1"/>
    <col min="5" max="5" width="11.5703125" bestFit="1" customWidth="1"/>
    <col min="6" max="6" width="14.5703125" bestFit="1" customWidth="1"/>
    <col min="7" max="7" width="27.140625" bestFit="1" customWidth="1"/>
    <col min="8" max="8" width="16.42578125" customWidth="1"/>
    <col min="9" max="9" width="18.85546875" bestFit="1" customWidth="1"/>
    <col min="10" max="10" width="15.28515625" customWidth="1"/>
    <col min="11" max="11" width="12.7109375" bestFit="1" customWidth="1"/>
    <col min="12" max="12" width="6.42578125" bestFit="1" customWidth="1"/>
    <col min="16" max="16" width="11.28515625" bestFit="1" customWidth="1"/>
    <col min="17" max="17" width="11.5703125" bestFit="1" customWidth="1"/>
    <col min="18" max="18" width="9.28515625" bestFit="1" customWidth="1"/>
    <col min="19" max="19" width="11.28515625" bestFit="1" customWidth="1"/>
    <col min="20" max="20" width="9.7109375" bestFit="1" customWidth="1"/>
    <col min="21" max="21" width="9.7109375" customWidth="1"/>
    <col min="22" max="22" width="16.42578125" bestFit="1" customWidth="1"/>
    <col min="23" max="23" width="18.85546875" bestFit="1" customWidth="1"/>
    <col min="24" max="24" width="16.5703125" customWidth="1"/>
    <col min="25" max="25" width="12.7109375" bestFit="1" customWidth="1"/>
  </cols>
  <sheetData>
    <row r="1" spans="1:26" x14ac:dyDescent="0.25">
      <c r="B1" s="8" t="s">
        <v>107</v>
      </c>
      <c r="C1" s="8"/>
      <c r="E1" s="15"/>
      <c r="F1" s="15"/>
      <c r="I1" s="1"/>
      <c r="J1" s="1"/>
      <c r="K1" s="2"/>
      <c r="L1" s="2"/>
      <c r="O1" s="8" t="s">
        <v>117</v>
      </c>
      <c r="P1" s="8"/>
      <c r="R1" s="15"/>
      <c r="S1" s="15"/>
      <c r="W1" s="1"/>
      <c r="X1" s="1"/>
      <c r="Y1" s="2"/>
      <c r="Z1" s="2"/>
    </row>
    <row r="2" spans="1:26" x14ac:dyDescent="0.25">
      <c r="E2" s="15"/>
      <c r="F2" s="15"/>
      <c r="I2" s="1"/>
      <c r="J2" s="1"/>
      <c r="K2" s="2"/>
      <c r="L2" s="2"/>
      <c r="R2" s="15"/>
      <c r="S2" s="15"/>
      <c r="W2" s="1"/>
      <c r="X2" s="1"/>
      <c r="Y2" s="2"/>
      <c r="Z2" s="2"/>
    </row>
    <row r="3" spans="1:26" x14ac:dyDescent="0.25">
      <c r="C3" s="8"/>
      <c r="D3" s="17" t="s">
        <v>109</v>
      </c>
      <c r="E3" s="20" t="s">
        <v>108</v>
      </c>
      <c r="F3" s="15"/>
      <c r="I3" s="18" t="s">
        <v>4</v>
      </c>
      <c r="J3" s="18" t="s">
        <v>111</v>
      </c>
      <c r="K3" s="2"/>
      <c r="L3" s="2"/>
      <c r="P3" s="8"/>
      <c r="Q3" s="17" t="s">
        <v>109</v>
      </c>
      <c r="R3" s="20" t="s">
        <v>108</v>
      </c>
      <c r="S3" s="15"/>
      <c r="W3" s="18" t="s">
        <v>4</v>
      </c>
      <c r="X3" s="18" t="s">
        <v>111</v>
      </c>
      <c r="Y3" s="2"/>
      <c r="Z3" s="2"/>
    </row>
    <row r="4" spans="1:26" x14ac:dyDescent="0.25">
      <c r="A4" t="s">
        <v>12</v>
      </c>
      <c r="B4" s="10" t="s">
        <v>0</v>
      </c>
      <c r="C4" s="10" t="s">
        <v>115</v>
      </c>
      <c r="D4" s="8" t="s">
        <v>114</v>
      </c>
      <c r="E4" s="19" t="s">
        <v>1</v>
      </c>
      <c r="F4" s="19" t="s">
        <v>6</v>
      </c>
      <c r="G4" s="8" t="s">
        <v>116</v>
      </c>
      <c r="H4" s="8" t="s">
        <v>8</v>
      </c>
      <c r="I4" s="18" t="s">
        <v>10</v>
      </c>
      <c r="J4" s="18" t="s">
        <v>112</v>
      </c>
      <c r="K4" s="21" t="s">
        <v>2</v>
      </c>
      <c r="L4" s="21" t="s">
        <v>0</v>
      </c>
      <c r="N4" t="s">
        <v>12</v>
      </c>
      <c r="O4" s="10" t="s">
        <v>0</v>
      </c>
      <c r="P4" s="10" t="s">
        <v>115</v>
      </c>
      <c r="Q4" s="8" t="s">
        <v>114</v>
      </c>
      <c r="R4" s="19" t="s">
        <v>1</v>
      </c>
      <c r="S4" s="19" t="s">
        <v>6</v>
      </c>
      <c r="T4" s="8" t="s">
        <v>116</v>
      </c>
      <c r="U4" s="8" t="s">
        <v>137</v>
      </c>
      <c r="V4" s="8" t="s">
        <v>8</v>
      </c>
      <c r="W4" s="18" t="s">
        <v>10</v>
      </c>
      <c r="X4" s="18" t="s">
        <v>112</v>
      </c>
      <c r="Y4" s="21" t="s">
        <v>2</v>
      </c>
      <c r="Z4" s="21" t="s">
        <v>0</v>
      </c>
    </row>
    <row r="5" spans="1:26" x14ac:dyDescent="0.25">
      <c r="A5">
        <v>2021</v>
      </c>
      <c r="B5" s="16">
        <v>0</v>
      </c>
      <c r="C5" s="16"/>
      <c r="D5" s="9">
        <f>'User Inputs - EX 1'!H9-'User Inputs - EX 1'!H10-'User Inputs - EX 1'!H11</f>
        <v>25107.199999999997</v>
      </c>
      <c r="E5" s="19"/>
      <c r="F5" s="19"/>
      <c r="G5" s="11">
        <f>SUM(C5:F5)</f>
        <v>25107.199999999997</v>
      </c>
      <c r="H5" s="11">
        <f>SUM($G$5:G5)</f>
        <v>25107.199999999997</v>
      </c>
      <c r="I5" s="18"/>
      <c r="J5" s="25">
        <f>$D$5*($B$30-B5)/$B$30</f>
        <v>25107.199999999997</v>
      </c>
      <c r="K5" s="4">
        <f>-H5+J5</f>
        <v>0</v>
      </c>
      <c r="L5" s="21"/>
      <c r="N5">
        <v>2021</v>
      </c>
      <c r="O5" s="16">
        <v>0</v>
      </c>
      <c r="P5" s="12">
        <f>C5</f>
        <v>0</v>
      </c>
      <c r="Q5" s="12">
        <f t="shared" ref="Q5:S5" si="0">D5</f>
        <v>25107.199999999997</v>
      </c>
      <c r="R5" s="12">
        <f t="shared" si="0"/>
        <v>0</v>
      </c>
      <c r="S5" s="12">
        <f t="shared" si="0"/>
        <v>0</v>
      </c>
      <c r="T5" s="11">
        <f>SUM(P5:S5)</f>
        <v>25107.199999999997</v>
      </c>
      <c r="U5" s="11">
        <f>SUM(Q5:S5)</f>
        <v>25107.199999999997</v>
      </c>
      <c r="V5" s="11">
        <f>SUM($T$5:T5)</f>
        <v>25107.199999999997</v>
      </c>
      <c r="W5" s="18"/>
      <c r="X5" s="52">
        <f>$D$5*($B$30-O5)/$B$30</f>
        <v>25107.199999999997</v>
      </c>
      <c r="Y5" s="11">
        <f>-V5+X5</f>
        <v>0</v>
      </c>
      <c r="Z5" s="21"/>
    </row>
    <row r="6" spans="1:26" x14ac:dyDescent="0.25">
      <c r="A6">
        <f>A5+1</f>
        <v>2022</v>
      </c>
      <c r="B6" s="16">
        <v>1</v>
      </c>
      <c r="C6" s="52">
        <f>-'Electricity Costs'!E5</f>
        <v>-1260</v>
      </c>
      <c r="D6" s="9">
        <v>0</v>
      </c>
      <c r="E6" s="15">
        <f>'Electricity Costs'!S5</f>
        <v>-17.7</v>
      </c>
      <c r="F6" s="15">
        <f>-'PV Degrad. SPV SRECS'!F2</f>
        <v>-4120</v>
      </c>
      <c r="G6" s="11">
        <f t="shared" ref="G6:G30" si="1">SUM(C6:F6)</f>
        <v>-5397.7</v>
      </c>
      <c r="H6" s="11">
        <f>SUM($G$5:G6)</f>
        <v>19709.499999999996</v>
      </c>
      <c r="I6" s="1" t="str">
        <f>IF(H6&lt;0,"Yes","No")</f>
        <v>No</v>
      </c>
      <c r="J6" s="25">
        <f>$D$5*($B$30-B6)/$B$30</f>
        <v>24102.911999999997</v>
      </c>
      <c r="K6" s="4">
        <f>-H6+J6</f>
        <v>4393.4120000000003</v>
      </c>
      <c r="L6" s="16">
        <f>B6</f>
        <v>1</v>
      </c>
      <c r="N6">
        <f>N5+1</f>
        <v>2022</v>
      </c>
      <c r="O6" s="16">
        <v>1</v>
      </c>
      <c r="P6" s="12">
        <f>-'Electricity Costs'!F5</f>
        <v>-1165.3718091009987</v>
      </c>
      <c r="Q6" s="12">
        <v>0</v>
      </c>
      <c r="R6" s="12">
        <f>'Electricity Costs'!V5</f>
        <v>-16.370699223085456</v>
      </c>
      <c r="S6" s="12">
        <f>-'PV Degrad. SPV SRECS'!G2</f>
        <v>-3810.5808361080276</v>
      </c>
      <c r="T6" s="11">
        <f t="shared" ref="T6:T30" si="2">SUM(P6:S6)</f>
        <v>-4992.3233444321122</v>
      </c>
      <c r="U6" s="11">
        <f t="shared" ref="U6:U30" si="3">SUM(Q6:S6)</f>
        <v>-3826.9515353311131</v>
      </c>
      <c r="V6" s="11">
        <f>SUM($T$5:T6)</f>
        <v>20114.876655567885</v>
      </c>
      <c r="W6" s="1" t="str">
        <f>IF(V6&lt;0,"Yes","No")</f>
        <v>No</v>
      </c>
      <c r="X6" s="52">
        <f>($D$5*($B$30-O6)/$B$30)*'PV Degrad. SPV SRECS'!H2</f>
        <v>22738.596226415088</v>
      </c>
      <c r="Y6" s="11">
        <f>-V6+X6</f>
        <v>2623.7195708472027</v>
      </c>
      <c r="Z6" s="16">
        <f>O6</f>
        <v>1</v>
      </c>
    </row>
    <row r="7" spans="1:26" x14ac:dyDescent="0.25">
      <c r="A7">
        <f t="shared" ref="A7:A30" si="4">A6+1</f>
        <v>2023</v>
      </c>
      <c r="B7" s="16">
        <f t="shared" ref="B7:B30" si="5">B6+1</f>
        <v>2</v>
      </c>
      <c r="C7" s="52">
        <f>-'Electricity Costs'!E6</f>
        <v>-1285.2</v>
      </c>
      <c r="D7" s="9">
        <v>0</v>
      </c>
      <c r="E7" s="15">
        <f>'Electricity Costs'!S6</f>
        <v>-14.95473</v>
      </c>
      <c r="F7" s="15">
        <f>-'PV Degrad. SPV SRECS'!F3</f>
        <v>-4099.3999999999996</v>
      </c>
      <c r="G7" s="11">
        <f t="shared" si="1"/>
        <v>-5399.5547299999998</v>
      </c>
      <c r="H7" s="11">
        <f>SUM($G$5:G7)</f>
        <v>14309.945269999997</v>
      </c>
      <c r="I7" s="1" t="str">
        <f>IF(H7&lt;0,"Yes","No")</f>
        <v>No</v>
      </c>
      <c r="J7" s="25">
        <f>$D$5*($B$30-B7)/$B$30</f>
        <v>23098.624</v>
      </c>
      <c r="K7" s="4">
        <f>-H7+J7</f>
        <v>8788.6787300000033</v>
      </c>
      <c r="L7" s="16">
        <f>B7</f>
        <v>2</v>
      </c>
      <c r="N7">
        <f t="shared" ref="N7:O30" si="6">N6+1</f>
        <v>2023</v>
      </c>
      <c r="O7" s="16">
        <f t="shared" si="6"/>
        <v>2</v>
      </c>
      <c r="P7" s="12">
        <f>-'Electricity Costs'!F6</f>
        <v>-1099.4073670764137</v>
      </c>
      <c r="Q7" s="12">
        <v>0</v>
      </c>
      <c r="R7" s="12">
        <f>'Electricity Costs'!V6</f>
        <v>-12.792826279675269</v>
      </c>
      <c r="S7" s="12">
        <f>-'PV Degrad. SPV SRECS'!G3</f>
        <v>-3506.7775914978602</v>
      </c>
      <c r="T7" s="11">
        <f t="shared" si="2"/>
        <v>-4618.9777848539488</v>
      </c>
      <c r="U7" s="11">
        <f t="shared" si="3"/>
        <v>-3519.5704177775356</v>
      </c>
      <c r="V7" s="11">
        <f>SUM($T$5:T7)</f>
        <v>15495.898870713936</v>
      </c>
      <c r="W7" s="1" t="str">
        <f>IF(V7&lt;0,"Yes","No")</f>
        <v>No</v>
      </c>
      <c r="X7" s="52">
        <f>($D$5*($B$30-O7)/$B$30)*'PV Degrad. SPV SRECS'!H3</f>
        <v>20557.693129227482</v>
      </c>
      <c r="Y7" s="11">
        <f>-V7+X7</f>
        <v>5061.7942585135461</v>
      </c>
      <c r="Z7" s="16">
        <f>O7</f>
        <v>2</v>
      </c>
    </row>
    <row r="8" spans="1:26" x14ac:dyDescent="0.25">
      <c r="A8">
        <f t="shared" si="4"/>
        <v>2024</v>
      </c>
      <c r="B8" s="16">
        <f t="shared" si="5"/>
        <v>3</v>
      </c>
      <c r="C8" s="52">
        <f>-'Electricity Costs'!E7</f>
        <v>-1310.904</v>
      </c>
      <c r="D8" s="9">
        <v>0</v>
      </c>
      <c r="E8" s="15">
        <f>'Electricity Costs'!S7</f>
        <v>-12.0925692</v>
      </c>
      <c r="F8" s="15">
        <f>-'PV Degrad. SPV SRECS'!F4</f>
        <v>-4078.9029999999998</v>
      </c>
      <c r="G8" s="11">
        <f t="shared" si="1"/>
        <v>-5401.8995691999999</v>
      </c>
      <c r="H8" s="11">
        <f>SUM($G$5:G8)</f>
        <v>8908.0457007999976</v>
      </c>
      <c r="I8" s="1" t="str">
        <f>IF(H8&lt;0,"Yes","No")</f>
        <v>No</v>
      </c>
      <c r="J8" s="25">
        <f>$D$5*($B$30-B8)/$B$30</f>
        <v>22094.335999999996</v>
      </c>
      <c r="K8" s="4">
        <f>-H8+J8</f>
        <v>13186.290299199998</v>
      </c>
      <c r="L8" s="16">
        <f>B8</f>
        <v>3</v>
      </c>
      <c r="N8">
        <f t="shared" si="6"/>
        <v>2024</v>
      </c>
      <c r="O8" s="16">
        <f t="shared" si="6"/>
        <v>3</v>
      </c>
      <c r="P8" s="12">
        <f>-'Electricity Costs'!F7</f>
        <v>-1037.176761392843</v>
      </c>
      <c r="Q8" s="12">
        <v>0</v>
      </c>
      <c r="R8" s="12">
        <f>'Electricity Costs'!V7</f>
        <v>-9.5675440457690595</v>
      </c>
      <c r="S8" s="12">
        <f>-'PV Degrad. SPV SRECS'!G4</f>
        <v>-3227.1954342770728</v>
      </c>
      <c r="T8" s="11">
        <f t="shared" si="2"/>
        <v>-4273.9397397156845</v>
      </c>
      <c r="U8" s="11">
        <f t="shared" si="3"/>
        <v>-3236.7629783228417</v>
      </c>
      <c r="V8" s="11">
        <f>SUM($T$5:T8)</f>
        <v>11221.959130998252</v>
      </c>
      <c r="W8" s="1" t="str">
        <f>IF(V8&lt;0,"Yes","No")</f>
        <v>No</v>
      </c>
      <c r="X8" s="52">
        <f>($D$5*($B$30-O8)/$B$30)*'PV Degrad. SPV SRECS'!H4</f>
        <v>18550.830551394767</v>
      </c>
      <c r="Y8" s="11">
        <f>-V8+X8</f>
        <v>7328.8714203965155</v>
      </c>
      <c r="Z8" s="16">
        <f>O8</f>
        <v>3</v>
      </c>
    </row>
    <row r="9" spans="1:26" x14ac:dyDescent="0.25">
      <c r="A9">
        <f t="shared" si="4"/>
        <v>2025</v>
      </c>
      <c r="B9" s="16">
        <f t="shared" si="5"/>
        <v>4</v>
      </c>
      <c r="C9" s="52">
        <f>-'Electricity Costs'!E8</f>
        <v>-1337.1220800000001</v>
      </c>
      <c r="D9" s="9">
        <v>0</v>
      </c>
      <c r="E9" s="15">
        <f>'Electricity Costs'!S8</f>
        <v>-9.1099400759999991</v>
      </c>
      <c r="F9" s="15">
        <f>-'PV Degrad. SPV SRECS'!F5</f>
        <v>-3551.194924375</v>
      </c>
      <c r="G9" s="11">
        <f t="shared" si="1"/>
        <v>-4897.4269444510001</v>
      </c>
      <c r="H9" s="11">
        <f>SUM($G$5:G9)</f>
        <v>4010.6187563489975</v>
      </c>
      <c r="I9" s="1" t="str">
        <f>IF(H9&lt;0,"Yes","No")</f>
        <v>No</v>
      </c>
      <c r="J9" s="25">
        <f>$D$5*($B$30-B9)/$B$30</f>
        <v>21090.047999999999</v>
      </c>
      <c r="K9" s="4">
        <f>-H9+J9</f>
        <v>17079.429243651</v>
      </c>
      <c r="L9" s="16">
        <f>B9</f>
        <v>4</v>
      </c>
      <c r="N9">
        <f t="shared" si="6"/>
        <v>2025</v>
      </c>
      <c r="O9" s="16">
        <f t="shared" si="6"/>
        <v>4</v>
      </c>
      <c r="P9" s="12">
        <f>-'Electricity Costs'!F8</f>
        <v>-978.46864282343654</v>
      </c>
      <c r="Q9" s="12">
        <v>0</v>
      </c>
      <c r="R9" s="12">
        <f>'Electricity Costs'!V8</f>
        <v>-6.6664000510458647</v>
      </c>
      <c r="S9" s="12">
        <f>-'PV Degrad. SPV SRECS'!G5</f>
        <v>-2598.6653949014758</v>
      </c>
      <c r="T9" s="11">
        <f t="shared" si="2"/>
        <v>-3583.800437775958</v>
      </c>
      <c r="U9" s="11">
        <f t="shared" si="3"/>
        <v>-2605.3317949525217</v>
      </c>
      <c r="V9" s="11">
        <f>SUM($T$5:T9)</f>
        <v>7638.1586932222936</v>
      </c>
      <c r="W9" s="1" t="str">
        <f>IF(V9&lt;0,"Yes","No")</f>
        <v>No</v>
      </c>
      <c r="X9" s="52">
        <f>($D$5*($B$30-O9)/$B$30)*'PV Degrad. SPV SRECS'!H5</f>
        <v>16705.293378185685</v>
      </c>
      <c r="Y9" s="11">
        <f>-V9+X9</f>
        <v>9067.1346849633919</v>
      </c>
      <c r="Z9" s="16">
        <f>O9</f>
        <v>4</v>
      </c>
    </row>
    <row r="10" spans="1:26" x14ac:dyDescent="0.25">
      <c r="A10">
        <f t="shared" si="4"/>
        <v>2026</v>
      </c>
      <c r="B10" s="16">
        <f t="shared" si="5"/>
        <v>5</v>
      </c>
      <c r="C10" s="52">
        <f>-'Electricity Costs'!E9</f>
        <v>-1363.8645216</v>
      </c>
      <c r="D10" s="9">
        <v>0</v>
      </c>
      <c r="E10" s="15">
        <f>'Electricity Costs'!S9</f>
        <v>-6.0031687593600003</v>
      </c>
      <c r="F10" s="15">
        <f>-'PV Degrad. SPV SRECS'!F6</f>
        <v>-3533.4389497531251</v>
      </c>
      <c r="G10" s="11">
        <f t="shared" si="1"/>
        <v>-4903.3066401124852</v>
      </c>
      <c r="H10" s="11">
        <f>SUM($G$5:G10)</f>
        <v>-892.68788376348766</v>
      </c>
      <c r="I10" s="1" t="str">
        <f>IF(H10&lt;0,"Yes","No")</f>
        <v>Yes</v>
      </c>
      <c r="J10" s="25">
        <f>$D$5*($B$30-B10)/$B$30</f>
        <v>20085.759999999998</v>
      </c>
      <c r="K10" s="4">
        <f>-H10+J10</f>
        <v>20978.447883763485</v>
      </c>
      <c r="L10" s="16">
        <f>B10</f>
        <v>5</v>
      </c>
      <c r="N10">
        <f t="shared" si="6"/>
        <v>2026</v>
      </c>
      <c r="O10" s="16">
        <f t="shared" si="6"/>
        <v>5</v>
      </c>
      <c r="P10" s="12">
        <f>-'Electricity Costs'!F9</f>
        <v>-923.08362530512863</v>
      </c>
      <c r="Q10" s="12">
        <v>0</v>
      </c>
      <c r="R10" s="12">
        <f>'Electricity Costs'!V9</f>
        <v>-4.0630331634462253</v>
      </c>
      <c r="S10" s="12">
        <f>-'PV Degrad. SPV SRECS'!G6</f>
        <v>-2391.4835996364855</v>
      </c>
      <c r="T10" s="11">
        <f t="shared" si="2"/>
        <v>-3318.6302581050604</v>
      </c>
      <c r="U10" s="11">
        <f t="shared" si="3"/>
        <v>-2395.5466327999316</v>
      </c>
      <c r="V10" s="11">
        <f>SUM($T$5:T10)</f>
        <v>4319.5284351172331</v>
      </c>
      <c r="W10" s="1" t="str">
        <f>IF(V10&lt;0,"Yes","No")</f>
        <v>No</v>
      </c>
      <c r="X10" s="52">
        <f>($D$5*($B$30-O10)/$B$30)*'PV Degrad. SPV SRECS'!H6</f>
        <v>15009.248318226129</v>
      </c>
      <c r="Y10" s="11">
        <f>-V10+X10</f>
        <v>10689.719883108897</v>
      </c>
      <c r="Z10" s="16">
        <f>O10</f>
        <v>5</v>
      </c>
    </row>
    <row r="11" spans="1:26" x14ac:dyDescent="0.25">
      <c r="A11">
        <f t="shared" si="4"/>
        <v>2027</v>
      </c>
      <c r="B11" s="16">
        <f t="shared" si="5"/>
        <v>6</v>
      </c>
      <c r="C11" s="52">
        <f>-'Electricity Costs'!E10</f>
        <v>-1391.1418120320002</v>
      </c>
      <c r="D11" s="9">
        <v>0</v>
      </c>
      <c r="E11" s="15">
        <f>'Electricity Costs'!S10</f>
        <v>-2.7684826140239998</v>
      </c>
      <c r="F11" s="15">
        <f>-'PV Degrad. SPV SRECS'!F7</f>
        <v>-3515.7717550043594</v>
      </c>
      <c r="G11" s="11">
        <f t="shared" si="1"/>
        <v>-4909.6820496503833</v>
      </c>
      <c r="H11" s="11">
        <f>SUM($G$5:G11)</f>
        <v>-5802.369933413871</v>
      </c>
      <c r="I11" s="1" t="str">
        <f>IF(H11&lt;0,"Yes","No")</f>
        <v>Yes</v>
      </c>
      <c r="J11" s="25">
        <f>$D$5*($B$30-B11)/$B$30</f>
        <v>19081.471999999998</v>
      </c>
      <c r="K11" s="4">
        <f>-H11+J11</f>
        <v>24883.841933413867</v>
      </c>
      <c r="L11" s="16">
        <f>B11</f>
        <v>6</v>
      </c>
      <c r="N11">
        <f t="shared" si="6"/>
        <v>2027</v>
      </c>
      <c r="O11" s="16">
        <f t="shared" si="6"/>
        <v>6</v>
      </c>
      <c r="P11" s="12">
        <f>-'Electricity Costs'!F10</f>
        <v>-870.83360877842324</v>
      </c>
      <c r="Q11" s="12">
        <v>0</v>
      </c>
      <c r="R11" s="12">
        <f>'Electricity Costs'!V10</f>
        <v>-1.7330279952475363</v>
      </c>
      <c r="S11" s="12">
        <f>-'PV Degrad. SPV SRECS'!G7</f>
        <v>-2200.8196278563655</v>
      </c>
      <c r="T11" s="11">
        <f t="shared" si="2"/>
        <v>-3073.3862646300363</v>
      </c>
      <c r="U11" s="11">
        <f t="shared" si="3"/>
        <v>-2202.5526558516131</v>
      </c>
      <c r="V11" s="11">
        <f>SUM($T$5:T11)</f>
        <v>1246.1421704871968</v>
      </c>
      <c r="W11" s="1" t="str">
        <f>IF(V11&lt;0,"Yes","No")</f>
        <v>No</v>
      </c>
      <c r="X11" s="52">
        <f>($D$5*($B$30-O11)/$B$30)*'PV Degrad. SPV SRECS'!H7</f>
        <v>13451.684813504549</v>
      </c>
      <c r="Y11" s="11">
        <f>-V11+X11</f>
        <v>12205.542643017352</v>
      </c>
      <c r="Z11" s="16">
        <f>O11</f>
        <v>6</v>
      </c>
    </row>
    <row r="12" spans="1:26" x14ac:dyDescent="0.25">
      <c r="A12">
        <f t="shared" si="4"/>
        <v>2028</v>
      </c>
      <c r="B12" s="16">
        <f t="shared" si="5"/>
        <v>7</v>
      </c>
      <c r="C12" s="52">
        <f>-'Electricity Costs'!E11</f>
        <v>-1418.96464827264</v>
      </c>
      <c r="D12" s="9">
        <v>0</v>
      </c>
      <c r="E12" s="15">
        <f>'Electricity Costs'!S11</f>
        <v>1.2770681834453761</v>
      </c>
      <c r="F12" s="15">
        <f>-'PV Degrad. SPV SRECS'!F8</f>
        <v>-3498.1928962293382</v>
      </c>
      <c r="G12" s="11">
        <f t="shared" si="1"/>
        <v>-4915.8804763185326</v>
      </c>
      <c r="H12" s="11">
        <f>SUM($G$5:G12)</f>
        <v>-10718.250409732404</v>
      </c>
      <c r="I12" s="1" t="str">
        <f>IF(H12&lt;0,"Yes","No")</f>
        <v>Yes</v>
      </c>
      <c r="J12" s="25">
        <f>$D$5*($B$30-B12)/$B$30</f>
        <v>18077.183999999997</v>
      </c>
      <c r="K12" s="4">
        <f>-H12+J12</f>
        <v>28795.434409732399</v>
      </c>
      <c r="L12" s="16">
        <f>B12</f>
        <v>7</v>
      </c>
      <c r="N12">
        <f t="shared" si="6"/>
        <v>2028</v>
      </c>
      <c r="O12" s="16">
        <f t="shared" si="6"/>
        <v>7</v>
      </c>
      <c r="P12" s="12">
        <f>-'Electricity Costs'!F11</f>
        <v>-821.54114035700297</v>
      </c>
      <c r="Q12" s="12">
        <v>0</v>
      </c>
      <c r="R12" s="12">
        <f>'Electricity Costs'!V11</f>
        <v>0.73938702632130271</v>
      </c>
      <c r="S12" s="12">
        <f>-'PV Degrad. SPV SRECS'!G8</f>
        <v>-2025.3565757649687</v>
      </c>
      <c r="T12" s="11">
        <f t="shared" si="2"/>
        <v>-2846.1583290956505</v>
      </c>
      <c r="U12" s="11">
        <f t="shared" si="3"/>
        <v>-2024.6171887386474</v>
      </c>
      <c r="V12" s="11">
        <f>SUM($T$5:T12)</f>
        <v>-1600.0161586084537</v>
      </c>
      <c r="W12" s="1" t="str">
        <f>IF(V12&lt;0,"Yes","No")</f>
        <v>Yes</v>
      </c>
      <c r="X12" s="52">
        <f>($D$5*($B$30-O12)/$B$30)*'PV Degrad. SPV SRECS'!H8</f>
        <v>12022.359813459872</v>
      </c>
      <c r="Y12" s="11">
        <f>-V12+X12</f>
        <v>13622.375972068327</v>
      </c>
      <c r="Z12" s="16">
        <f>O12</f>
        <v>7</v>
      </c>
    </row>
    <row r="13" spans="1:26" x14ac:dyDescent="0.25">
      <c r="A13">
        <f t="shared" si="4"/>
        <v>2029</v>
      </c>
      <c r="B13" s="16">
        <f t="shared" si="5"/>
        <v>8</v>
      </c>
      <c r="C13" s="52">
        <f>-'Electricity Costs'!E12</f>
        <v>-1447.3439412380928</v>
      </c>
      <c r="D13" s="9">
        <v>0</v>
      </c>
      <c r="E13" s="15">
        <f>'Electricity Costs'!S12</f>
        <v>8.7564308444904615</v>
      </c>
      <c r="F13" s="15">
        <f>-'PV Degrad. SPV SRECS'!F9</f>
        <v>-3480.7019317481904</v>
      </c>
      <c r="G13" s="11">
        <f t="shared" si="1"/>
        <v>-4919.2894421417932</v>
      </c>
      <c r="H13" s="11">
        <f>SUM($G$5:G13)</f>
        <v>-15637.539851874197</v>
      </c>
      <c r="I13" s="1" t="str">
        <f>IF(H13&lt;0,"Yes","No")</f>
        <v>Yes</v>
      </c>
      <c r="J13" s="25">
        <f>$D$5*($B$30-B13)/$B$30</f>
        <v>17072.895999999997</v>
      </c>
      <c r="K13" s="4">
        <f>-H13+J13</f>
        <v>32710.435851874194</v>
      </c>
      <c r="L13" s="16">
        <f>B13</f>
        <v>8</v>
      </c>
      <c r="N13">
        <f t="shared" si="6"/>
        <v>2029</v>
      </c>
      <c r="O13" s="16">
        <f t="shared" si="6"/>
        <v>8</v>
      </c>
      <c r="P13" s="12">
        <f>-'Electricity Costs'!F12</f>
        <v>-775.03881165754967</v>
      </c>
      <c r="Q13" s="12">
        <v>0</v>
      </c>
      <c r="R13" s="12">
        <f>'Electricity Costs'!V12</f>
        <v>4.6889848105281757</v>
      </c>
      <c r="S13" s="12">
        <f>-'PV Degrad. SPV SRECS'!G9</f>
        <v>-1863.8825313412342</v>
      </c>
      <c r="T13" s="11">
        <f t="shared" si="2"/>
        <v>-2634.2323581882556</v>
      </c>
      <c r="U13" s="11">
        <f t="shared" si="3"/>
        <v>-1859.193546530706</v>
      </c>
      <c r="V13" s="11">
        <f>SUM($T$5:T13)</f>
        <v>-4234.2485167967097</v>
      </c>
      <c r="W13" s="1" t="str">
        <f>IF(V13&lt;0,"Yes","No")</f>
        <v>Yes</v>
      </c>
      <c r="X13" s="52">
        <f>($D$5*($B$30-O13)/$B$30)*'PV Degrad. SPV SRECS'!H9</f>
        <v>10711.746165032382</v>
      </c>
      <c r="Y13" s="11">
        <f>-V13+X13</f>
        <v>14945.994681829092</v>
      </c>
      <c r="Z13" s="16">
        <f>O13</f>
        <v>8</v>
      </c>
    </row>
    <row r="14" spans="1:26" x14ac:dyDescent="0.25">
      <c r="A14">
        <f t="shared" si="4"/>
        <v>2030</v>
      </c>
      <c r="B14" s="16">
        <f t="shared" si="5"/>
        <v>9</v>
      </c>
      <c r="C14" s="52">
        <f>-'Electricity Costs'!E13</f>
        <v>-1476.2908200628547</v>
      </c>
      <c r="D14" s="9">
        <v>0</v>
      </c>
      <c r="E14" s="15">
        <f>'Electricity Costs'!S13</f>
        <v>16.534457184703971</v>
      </c>
      <c r="F14" s="15">
        <f>-'PV Degrad. SPV SRECS'!F10</f>
        <v>-3463.29842208945</v>
      </c>
      <c r="G14" s="11">
        <f t="shared" si="1"/>
        <v>-4923.0547849676004</v>
      </c>
      <c r="H14" s="11">
        <f>SUM($G$5:G14)</f>
        <v>-20560.594636841797</v>
      </c>
      <c r="I14" s="1" t="str">
        <f>IF(H14&lt;0,"Yes","No")</f>
        <v>Yes</v>
      </c>
      <c r="J14" s="25">
        <f>$D$5*($B$30-B14)/$B$30</f>
        <v>16068.607999999998</v>
      </c>
      <c r="K14" s="4">
        <f>-H14+J14</f>
        <v>36629.202636841794</v>
      </c>
      <c r="L14" s="16">
        <f>B14</f>
        <v>9</v>
      </c>
      <c r="N14">
        <f t="shared" si="6"/>
        <v>2030</v>
      </c>
      <c r="O14" s="16">
        <f t="shared" si="6"/>
        <v>9</v>
      </c>
      <c r="P14" s="12">
        <f>-'Electricity Costs'!F13</f>
        <v>-731.16869024297114</v>
      </c>
      <c r="Q14" s="12">
        <v>0</v>
      </c>
      <c r="R14" s="12">
        <f>'Electricity Costs'!V13</f>
        <v>8.1890893307212771</v>
      </c>
      <c r="S14" s="12">
        <f>-'PV Degrad. SPV SRECS'!G10</f>
        <v>-1715.2822037407768</v>
      </c>
      <c r="T14" s="11">
        <f t="shared" si="2"/>
        <v>-2438.261804653027</v>
      </c>
      <c r="U14" s="11">
        <f t="shared" si="3"/>
        <v>-1707.0931144100555</v>
      </c>
      <c r="V14" s="11">
        <f>SUM($T$5:T14)</f>
        <v>-6672.5103214497367</v>
      </c>
      <c r="W14" s="1" t="str">
        <f>IF(V14&lt;0,"Yes","No")</f>
        <v>Yes</v>
      </c>
      <c r="X14" s="52">
        <f>($D$5*($B$30-O14)/$B$30)*'PV Degrad. SPV SRECS'!H10</f>
        <v>9510.9843862662656</v>
      </c>
      <c r="Y14" s="11">
        <f>-V14+X14</f>
        <v>16183.494707716003</v>
      </c>
      <c r="Z14" s="16">
        <f>O14</f>
        <v>9</v>
      </c>
    </row>
    <row r="15" spans="1:26" x14ac:dyDescent="0.25">
      <c r="A15">
        <f t="shared" si="4"/>
        <v>2031</v>
      </c>
      <c r="B15" s="16">
        <f t="shared" si="5"/>
        <v>10</v>
      </c>
      <c r="C15" s="52">
        <f>-'Electricity Costs'!E14</f>
        <v>-1505.8166364641118</v>
      </c>
      <c r="D15" s="9">
        <v>0</v>
      </c>
      <c r="E15" s="15">
        <f>'Electricity Costs'!S14</f>
        <v>24.620102006188226</v>
      </c>
      <c r="F15" s="15">
        <f>-'PV Degrad. SPV SRECS'!F11</f>
        <v>-3445.9819299790029</v>
      </c>
      <c r="G15" s="11">
        <f t="shared" si="1"/>
        <v>-4927.1784644369263</v>
      </c>
      <c r="H15" s="11">
        <f>SUM($G$5:G15)</f>
        <v>-25487.773101278723</v>
      </c>
      <c r="I15" s="1" t="str">
        <f>IF(H15&lt;0,"Yes","No")</f>
        <v>Yes</v>
      </c>
      <c r="J15" s="25">
        <f>$D$5*($B$30-B15)/$B$30</f>
        <v>15064.319999999998</v>
      </c>
      <c r="K15" s="4">
        <f>-H15+J15</f>
        <v>40552.093101278719</v>
      </c>
      <c r="L15" s="16">
        <f>B15</f>
        <v>10</v>
      </c>
      <c r="N15">
        <f t="shared" si="6"/>
        <v>2031</v>
      </c>
      <c r="O15" s="16">
        <f t="shared" si="6"/>
        <v>10</v>
      </c>
      <c r="P15" s="12">
        <f>-'Electricity Costs'!F14</f>
        <v>-689.78178324808596</v>
      </c>
      <c r="Q15" s="12">
        <v>0</v>
      </c>
      <c r="R15" s="12">
        <f>'Electricity Costs'!V14</f>
        <v>11.277932156106203</v>
      </c>
      <c r="S15" s="12">
        <f>-'PV Degrad. SPV SRECS'!G11</f>
        <v>-1578.5292200537112</v>
      </c>
      <c r="T15" s="11">
        <f t="shared" si="2"/>
        <v>-2257.0330711456909</v>
      </c>
      <c r="U15" s="11">
        <f t="shared" si="3"/>
        <v>-1567.2512878976049</v>
      </c>
      <c r="V15" s="11">
        <f>SUM($T$5:T15)</f>
        <v>-8929.5433925954276</v>
      </c>
      <c r="W15" s="1" t="str">
        <f>IF(V15&lt;0,"Yes","No")</f>
        <v>Yes</v>
      </c>
      <c r="X15" s="52">
        <f>($D$5*($B$30-O15)/$B$30)*'PV Degrad. SPV SRECS'!H11</f>
        <v>8411.8376057779478</v>
      </c>
      <c r="Y15" s="11">
        <f>-V15+X15</f>
        <v>17341.380998373374</v>
      </c>
      <c r="Z15" s="16">
        <f>O15</f>
        <v>10</v>
      </c>
    </row>
    <row r="16" spans="1:26" x14ac:dyDescent="0.25">
      <c r="A16">
        <f t="shared" si="4"/>
        <v>2032</v>
      </c>
      <c r="B16" s="16">
        <f t="shared" si="5"/>
        <v>11</v>
      </c>
      <c r="C16" s="52">
        <f>-'Electricity Costs'!E15</f>
        <v>-1535.932969193394</v>
      </c>
      <c r="D16" s="9">
        <v>0</v>
      </c>
      <c r="E16" s="15">
        <f>'Electricity Costs'!S15</f>
        <v>33.022558837657968</v>
      </c>
      <c r="F16" s="15">
        <f>-'PV Degrad. SPV SRECS'!F12</f>
        <v>0</v>
      </c>
      <c r="G16" s="11">
        <f t="shared" si="1"/>
        <v>-1502.9104103557361</v>
      </c>
      <c r="H16" s="11">
        <f>SUM($G$5:G16)</f>
        <v>-26990.683511634459</v>
      </c>
      <c r="I16" s="1" t="str">
        <f>IF(H16&lt;0,"Yes","No")</f>
        <v>Yes</v>
      </c>
      <c r="J16" s="25">
        <f>$D$5*($B$30-B16)/$B$30</f>
        <v>14060.031999999997</v>
      </c>
      <c r="K16" s="4">
        <f>-H16+J16</f>
        <v>41050.715511634458</v>
      </c>
      <c r="L16" s="16">
        <f>B16</f>
        <v>11</v>
      </c>
      <c r="N16">
        <f t="shared" si="6"/>
        <v>2032</v>
      </c>
      <c r="O16" s="16">
        <f t="shared" si="6"/>
        <v>11</v>
      </c>
      <c r="P16" s="12">
        <f>-'Electricity Costs'!F15</f>
        <v>-650.73753136611879</v>
      </c>
      <c r="Q16" s="12">
        <v>0</v>
      </c>
      <c r="R16" s="12">
        <f>'Electricity Costs'!V15</f>
        <v>13.990856924371553</v>
      </c>
      <c r="S16" s="12">
        <f>-'PV Degrad. SPV SRECS'!G12</f>
        <v>0</v>
      </c>
      <c r="T16" s="11">
        <f t="shared" si="2"/>
        <v>-636.74667444174725</v>
      </c>
      <c r="U16" s="11">
        <f t="shared" si="3"/>
        <v>13.990856924371553</v>
      </c>
      <c r="V16" s="11">
        <f>SUM($T$5:T16)</f>
        <v>-9566.2900670371746</v>
      </c>
      <c r="W16" s="1" t="str">
        <f>IF(V16&lt;0,"Yes","No")</f>
        <v>Yes</v>
      </c>
      <c r="X16" s="52">
        <f>($D$5*($B$30-O16)/$B$30)*'PV Degrad. SPV SRECS'!H12</f>
        <v>7406.6494642069965</v>
      </c>
      <c r="Y16" s="11">
        <f>-V16+X16</f>
        <v>16972.93953124417</v>
      </c>
      <c r="Z16" s="16">
        <f>O16</f>
        <v>11</v>
      </c>
    </row>
    <row r="17" spans="1:26" x14ac:dyDescent="0.25">
      <c r="A17">
        <f t="shared" si="4"/>
        <v>2033</v>
      </c>
      <c r="B17" s="16">
        <f t="shared" si="5"/>
        <v>12</v>
      </c>
      <c r="C17" s="52">
        <f>-'Electricity Costs'!E16</f>
        <v>-1566.6516285772618</v>
      </c>
      <c r="D17" s="9">
        <v>0</v>
      </c>
      <c r="E17" s="15">
        <f>'Electricity Costs'!S16</f>
        <v>41.751265901584027</v>
      </c>
      <c r="F17" s="15">
        <f>-'PV Degrad. SPV SRECS'!F13</f>
        <v>0</v>
      </c>
      <c r="G17" s="11">
        <f t="shared" si="1"/>
        <v>-1524.9003626756778</v>
      </c>
      <c r="H17" s="11">
        <f>SUM($G$5:G17)</f>
        <v>-28515.583874310138</v>
      </c>
      <c r="I17" s="1" t="str">
        <f>IF(H17&lt;0,"Yes","No")</f>
        <v>Yes</v>
      </c>
      <c r="J17" s="25">
        <f>$D$5*($B$30-B17)/$B$30</f>
        <v>13055.743999999999</v>
      </c>
      <c r="K17" s="4">
        <f>-H17+J17</f>
        <v>41571.32787431014</v>
      </c>
      <c r="L17" s="16">
        <f>B17</f>
        <v>12</v>
      </c>
      <c r="N17">
        <f t="shared" si="6"/>
        <v>2033</v>
      </c>
      <c r="O17" s="16">
        <f t="shared" si="6"/>
        <v>12</v>
      </c>
      <c r="P17" s="12">
        <f>-'Electricity Costs'!F16</f>
        <v>-613.90333147747037</v>
      </c>
      <c r="Q17" s="12">
        <v>0</v>
      </c>
      <c r="R17" s="12">
        <f>'Electricity Costs'!V16</f>
        <v>16.360523783874587</v>
      </c>
      <c r="S17" s="12">
        <f>-'PV Degrad. SPV SRECS'!G13</f>
        <v>0</v>
      </c>
      <c r="T17" s="11">
        <f t="shared" si="2"/>
        <v>-597.54280769359582</v>
      </c>
      <c r="U17" s="11">
        <f t="shared" si="3"/>
        <v>16.360523783874587</v>
      </c>
      <c r="V17" s="11">
        <f>SUM($T$5:T17)</f>
        <v>-10163.83287473077</v>
      </c>
      <c r="W17" s="1" t="str">
        <f>IF(V17&lt;0,"Yes","No")</f>
        <v>Yes</v>
      </c>
      <c r="X17" s="52">
        <f>($D$5*($B$30-O17)/$B$30)*'PV Degrad. SPV SRECS'!H13</f>
        <v>6488.3047867042424</v>
      </c>
      <c r="Y17" s="11">
        <f>-V17+X17</f>
        <v>16652.137661435012</v>
      </c>
      <c r="Z17" s="16">
        <f>O17</f>
        <v>12</v>
      </c>
    </row>
    <row r="18" spans="1:26" x14ac:dyDescent="0.25">
      <c r="A18">
        <f t="shared" si="4"/>
        <v>2034</v>
      </c>
      <c r="B18" s="16">
        <f t="shared" si="5"/>
        <v>13</v>
      </c>
      <c r="C18" s="52">
        <f>-'Electricity Costs'!E17</f>
        <v>-1597.9846611488072</v>
      </c>
      <c r="D18" s="9">
        <v>0</v>
      </c>
      <c r="E18" s="15">
        <f>'Electricity Costs'!S17</f>
        <v>50.81591222453207</v>
      </c>
      <c r="F18" s="15">
        <f>-'PV Degrad. SPV SRECS'!F14</f>
        <v>0</v>
      </c>
      <c r="G18" s="11">
        <f t="shared" si="1"/>
        <v>-1547.1687489242752</v>
      </c>
      <c r="H18" s="11">
        <f>SUM($G$5:G18)</f>
        <v>-30062.752623234413</v>
      </c>
      <c r="I18" s="1" t="str">
        <f>IF(H18&lt;0,"Yes","No")</f>
        <v>Yes</v>
      </c>
      <c r="J18" s="25">
        <f>$D$5*($B$30-B18)/$B$30</f>
        <v>12051.455999999998</v>
      </c>
      <c r="K18" s="4">
        <f>-H18+J18</f>
        <v>42114.208623234415</v>
      </c>
      <c r="L18" s="16">
        <f>B18</f>
        <v>13</v>
      </c>
      <c r="N18">
        <f t="shared" si="6"/>
        <v>2034</v>
      </c>
      <c r="O18" s="16">
        <f t="shared" si="6"/>
        <v>13</v>
      </c>
      <c r="P18" s="12">
        <f>-'Electricity Costs'!F17</f>
        <v>-579.15408629950025</v>
      </c>
      <c r="Q18" s="12">
        <v>0</v>
      </c>
      <c r="R18" s="12">
        <f>'Electricity Costs'!V17</f>
        <v>18.417099944324111</v>
      </c>
      <c r="S18" s="12">
        <f>-'PV Degrad. SPV SRECS'!G14</f>
        <v>0</v>
      </c>
      <c r="T18" s="11">
        <f t="shared" si="2"/>
        <v>-560.7369863551761</v>
      </c>
      <c r="U18" s="11">
        <f t="shared" si="3"/>
        <v>18.417099944324111</v>
      </c>
      <c r="V18" s="11">
        <f>SUM($T$5:T18)</f>
        <v>-10724.569861085945</v>
      </c>
      <c r="W18" s="1" t="str">
        <f>IF(V18&lt;0,"Yes","No")</f>
        <v>Yes</v>
      </c>
      <c r="X18" s="52">
        <f>($D$5*($B$30-O18)/$B$30)*'PV Degrad. SPV SRECS'!H14</f>
        <v>5650.1928476379462</v>
      </c>
      <c r="Y18" s="11">
        <f>-V18+X18</f>
        <v>16374.762708723891</v>
      </c>
      <c r="Z18" s="16">
        <f>O18</f>
        <v>13</v>
      </c>
    </row>
    <row r="19" spans="1:26" x14ac:dyDescent="0.25">
      <c r="A19">
        <f t="shared" si="4"/>
        <v>2035</v>
      </c>
      <c r="B19" s="16">
        <f t="shared" si="5"/>
        <v>14</v>
      </c>
      <c r="C19" s="52">
        <f>-'Electricity Costs'!E18</f>
        <v>-1629.9443543717834</v>
      </c>
      <c r="D19" s="9">
        <v>0</v>
      </c>
      <c r="E19" s="15">
        <f>'Electricity Costs'!S18</f>
        <v>60.226443894037395</v>
      </c>
      <c r="F19" s="15">
        <f>-'PV Degrad. SPV SRECS'!F15</f>
        <v>0</v>
      </c>
      <c r="G19" s="11">
        <f t="shared" si="1"/>
        <v>-1569.717910477746</v>
      </c>
      <c r="H19" s="11">
        <f>SUM($G$5:G19)</f>
        <v>-31632.47053371216</v>
      </c>
      <c r="I19" s="1" t="str">
        <f>IF(H19&lt;0,"Yes","No")</f>
        <v>Yes</v>
      </c>
      <c r="J19" s="25">
        <f>$D$5*($B$30-B19)/$B$30</f>
        <v>11047.167999999998</v>
      </c>
      <c r="K19" s="4">
        <f>-H19+J19</f>
        <v>42679.638533712161</v>
      </c>
      <c r="L19" s="16">
        <f>B19</f>
        <v>14</v>
      </c>
      <c r="N19">
        <f t="shared" si="6"/>
        <v>2035</v>
      </c>
      <c r="O19" s="16">
        <f t="shared" si="6"/>
        <v>14</v>
      </c>
      <c r="P19" s="12">
        <f>-'Electricity Costs'!F18</f>
        <v>-546.37177952783043</v>
      </c>
      <c r="Q19" s="12">
        <v>0</v>
      </c>
      <c r="R19" s="12">
        <f>'Electricity Costs'!V18</f>
        <v>20.188437253553332</v>
      </c>
      <c r="S19" s="12">
        <f>-'PV Degrad. SPV SRECS'!G15</f>
        <v>0</v>
      </c>
      <c r="T19" s="11">
        <f t="shared" si="2"/>
        <v>-526.18334227427704</v>
      </c>
      <c r="U19" s="11">
        <f t="shared" si="3"/>
        <v>20.188437253553332</v>
      </c>
      <c r="V19" s="11">
        <f>SUM($T$5:T19)</f>
        <v>-11250.753203360222</v>
      </c>
      <c r="W19" s="1" t="str">
        <f>IF(V19&lt;0,"Yes","No")</f>
        <v>Yes</v>
      </c>
      <c r="X19" s="52">
        <f>($D$5*($B$30-O19)/$B$30)*'PV Degrad. SPV SRECS'!H15</f>
        <v>4886.1730600642613</v>
      </c>
      <c r="Y19" s="11">
        <f>-V19+X19</f>
        <v>16136.926263424484</v>
      </c>
      <c r="Z19" s="16">
        <f>O19</f>
        <v>14</v>
      </c>
    </row>
    <row r="20" spans="1:26" x14ac:dyDescent="0.25">
      <c r="A20">
        <f t="shared" si="4"/>
        <v>2036</v>
      </c>
      <c r="B20" s="16">
        <f t="shared" si="5"/>
        <v>15</v>
      </c>
      <c r="C20" s="52">
        <f>-'Electricity Costs'!E19</f>
        <v>-1662.5432414592192</v>
      </c>
      <c r="D20" s="9">
        <v>0</v>
      </c>
      <c r="E20" s="15">
        <f>'Electricity Costs'!S19</f>
        <v>69.993070465433135</v>
      </c>
      <c r="F20" s="15">
        <f>-'PV Degrad. SPV SRECS'!F16</f>
        <v>0</v>
      </c>
      <c r="G20" s="11">
        <f t="shared" si="1"/>
        <v>-1592.550170993786</v>
      </c>
      <c r="H20" s="11">
        <f>SUM($G$5:G20)</f>
        <v>-33225.020704705945</v>
      </c>
      <c r="I20" s="1" t="str">
        <f>IF(H20&lt;0,"Yes","No")</f>
        <v>Yes</v>
      </c>
      <c r="J20" s="25">
        <f>$D$5*($B$30-B20)/$B$30</f>
        <v>10042.879999999999</v>
      </c>
      <c r="K20" s="4">
        <f>-H20+J20</f>
        <v>43267.900704705942</v>
      </c>
      <c r="L20" s="16">
        <f>B20</f>
        <v>15</v>
      </c>
      <c r="N20">
        <f t="shared" si="6"/>
        <v>2036</v>
      </c>
      <c r="O20" s="16">
        <f t="shared" si="6"/>
        <v>15</v>
      </c>
      <c r="P20" s="12">
        <f>-'Electricity Costs'!F19</f>
        <v>-515.44507502625515</v>
      </c>
      <c r="Q20" s="12">
        <v>0</v>
      </c>
      <c r="R20" s="12">
        <f>'Electricity Costs'!V19</f>
        <v>21.700237658605342</v>
      </c>
      <c r="S20" s="12">
        <f>-'PV Degrad. SPV SRECS'!G16</f>
        <v>0</v>
      </c>
      <c r="T20" s="11">
        <f t="shared" si="2"/>
        <v>-493.74483736764984</v>
      </c>
      <c r="U20" s="11">
        <f t="shared" si="3"/>
        <v>21.700237658605342</v>
      </c>
      <c r="V20" s="11">
        <f>SUM($T$5:T20)</f>
        <v>-11744.498040727873</v>
      </c>
      <c r="W20" s="1" t="str">
        <f>IF(V20&lt;0,"Yes","No")</f>
        <v>Yes</v>
      </c>
      <c r="X20" s="52">
        <f>($D$5*($B$30-O20)/$B$30)*'PV Degrad. SPV SRECS'!H16</f>
        <v>4190.5429331597434</v>
      </c>
      <c r="Y20" s="11">
        <f>-V20+X20</f>
        <v>15935.040973887615</v>
      </c>
      <c r="Z20" s="16">
        <f>O20</f>
        <v>15</v>
      </c>
    </row>
    <row r="21" spans="1:26" x14ac:dyDescent="0.25">
      <c r="A21">
        <f t="shared" si="4"/>
        <v>2037</v>
      </c>
      <c r="B21" s="16">
        <f t="shared" si="5"/>
        <v>16</v>
      </c>
      <c r="C21" s="52">
        <f>-'Electricity Costs'!E20</f>
        <v>-1695.7941062884036</v>
      </c>
      <c r="D21" s="9">
        <v>0</v>
      </c>
      <c r="E21" s="15">
        <f>'Electricity Costs'!S20</f>
        <v>80.12627152212707</v>
      </c>
      <c r="F21" s="15">
        <f>-'PV Degrad. SPV SRECS'!F17</f>
        <v>0</v>
      </c>
      <c r="G21" s="11">
        <f t="shared" si="1"/>
        <v>-1615.6678347662764</v>
      </c>
      <c r="H21" s="11">
        <f>SUM($G$5:G21)</f>
        <v>-34840.688539472219</v>
      </c>
      <c r="I21" s="1" t="str">
        <f>IF(H21&lt;0,"Yes","No")</f>
        <v>Yes</v>
      </c>
      <c r="J21" s="25">
        <f>$D$5*($B$30-B21)/$B$30</f>
        <v>9038.5919999999987</v>
      </c>
      <c r="K21" s="4">
        <f>-H21+J21</f>
        <v>43879.280539472216</v>
      </c>
      <c r="L21" s="16">
        <f>B21</f>
        <v>16</v>
      </c>
      <c r="N21">
        <f t="shared" si="6"/>
        <v>2037</v>
      </c>
      <c r="O21" s="16">
        <f t="shared" si="6"/>
        <v>16</v>
      </c>
      <c r="P21" s="12">
        <f>-'Electricity Costs'!F20</f>
        <v>-486.26893870401409</v>
      </c>
      <c r="Q21" s="12">
        <v>0</v>
      </c>
      <c r="R21" s="12">
        <f>'Electricity Costs'!V20</f>
        <v>22.976207353764664</v>
      </c>
      <c r="S21" s="12">
        <f>-'PV Degrad. SPV SRECS'!G17</f>
        <v>0</v>
      </c>
      <c r="T21" s="11">
        <f t="shared" si="2"/>
        <v>-463.29273135024943</v>
      </c>
      <c r="U21" s="11">
        <f t="shared" si="3"/>
        <v>22.976207353764664</v>
      </c>
      <c r="V21" s="11">
        <f>SUM($T$5:T21)</f>
        <v>-12207.790772078122</v>
      </c>
      <c r="W21" s="1" t="str">
        <f>IF(V21&lt;0,"Yes","No")</f>
        <v>Yes</v>
      </c>
      <c r="X21" s="52">
        <f>($D$5*($B$30-O21)/$B$30)*'PV Degrad. SPV SRECS'!H17</f>
        <v>3558.0081507960094</v>
      </c>
      <c r="Y21" s="11">
        <f>-V21+X21</f>
        <v>15765.798922874132</v>
      </c>
      <c r="Z21" s="16">
        <f>O21</f>
        <v>16</v>
      </c>
    </row>
    <row r="22" spans="1:26" x14ac:dyDescent="0.25">
      <c r="A22">
        <f t="shared" si="4"/>
        <v>2038</v>
      </c>
      <c r="B22" s="16">
        <f t="shared" si="5"/>
        <v>17</v>
      </c>
      <c r="C22" s="52">
        <f>-'Electricity Costs'!E21</f>
        <v>-1729.7099884141717</v>
      </c>
      <c r="D22" s="9">
        <v>0</v>
      </c>
      <c r="E22" s="15">
        <f>'Electricity Costs'!S21</f>
        <v>90.636803392902593</v>
      </c>
      <c r="F22" s="15">
        <f>-'PV Degrad. SPV SRECS'!F18</f>
        <v>0</v>
      </c>
      <c r="G22" s="11">
        <f t="shared" si="1"/>
        <v>-1639.0731850212692</v>
      </c>
      <c r="H22" s="11">
        <f>SUM($G$5:G22)</f>
        <v>-36479.761724493488</v>
      </c>
      <c r="I22" s="1" t="str">
        <f>IF(H22&lt;0,"Yes","No")</f>
        <v>Yes</v>
      </c>
      <c r="J22" s="25">
        <f>$D$5*($B$30-B22)/$B$30</f>
        <v>8034.3039999999992</v>
      </c>
      <c r="K22" s="4">
        <f>-H22+J22</f>
        <v>44514.065724493485</v>
      </c>
      <c r="L22" s="16">
        <f>B22</f>
        <v>17</v>
      </c>
      <c r="N22">
        <f t="shared" si="6"/>
        <v>2038</v>
      </c>
      <c r="O22" s="16">
        <f t="shared" si="6"/>
        <v>17</v>
      </c>
      <c r="P22" s="12">
        <f>-'Electricity Costs'!F21</f>
        <v>-458.74428179623965</v>
      </c>
      <c r="Q22" s="12">
        <v>0</v>
      </c>
      <c r="R22" s="12">
        <f>'Electricity Costs'!V21</f>
        <v>24.038200366122958</v>
      </c>
      <c r="S22" s="12">
        <f>-'PV Degrad. SPV SRECS'!G18</f>
        <v>0</v>
      </c>
      <c r="T22" s="11">
        <f t="shared" si="2"/>
        <v>-434.70608143011668</v>
      </c>
      <c r="U22" s="11">
        <f t="shared" si="3"/>
        <v>24.038200366122958</v>
      </c>
      <c r="V22" s="11">
        <f>SUM($T$5:T22)</f>
        <v>-12642.496853508239</v>
      </c>
      <c r="W22" s="1" t="str">
        <f>IF(V22&lt;0,"Yes","No")</f>
        <v>Yes</v>
      </c>
      <c r="X22" s="52">
        <f>($D$5*($B$30-O22)/$B$30)*'PV Degrad. SPV SRECS'!H18</f>
        <v>2983.6546337912023</v>
      </c>
      <c r="Y22" s="11">
        <f>-V22+X22</f>
        <v>15626.151487299441</v>
      </c>
      <c r="Z22" s="16">
        <f>O22</f>
        <v>17</v>
      </c>
    </row>
    <row r="23" spans="1:26" x14ac:dyDescent="0.25">
      <c r="A23">
        <f t="shared" si="4"/>
        <v>2039</v>
      </c>
      <c r="B23" s="16">
        <f t="shared" si="5"/>
        <v>18</v>
      </c>
      <c r="C23" s="52">
        <f>-'Electricity Costs'!E22</f>
        <v>-1764.3041881824554</v>
      </c>
      <c r="D23" s="9">
        <v>0</v>
      </c>
      <c r="E23" s="15">
        <f>'Electricity Costs'!S22</f>
        <v>101.53570602990031</v>
      </c>
      <c r="F23" s="15">
        <f>-'PV Degrad. SPV SRECS'!F19</f>
        <v>0</v>
      </c>
      <c r="G23" s="11">
        <f t="shared" si="1"/>
        <v>-1662.7684821525552</v>
      </c>
      <c r="H23" s="11">
        <f>SUM($G$5:G23)</f>
        <v>-38142.530206646043</v>
      </c>
      <c r="I23" s="1" t="str">
        <f>IF(H23&lt;0,"Yes","No")</f>
        <v>Yes</v>
      </c>
      <c r="J23" s="25">
        <f>$D$5*($B$30-B23)/$B$30</f>
        <v>7030.0159999999987</v>
      </c>
      <c r="K23" s="4">
        <f>-H23+J23</f>
        <v>45172.546206646039</v>
      </c>
      <c r="L23" s="16">
        <f>B23</f>
        <v>18</v>
      </c>
      <c r="N23">
        <f t="shared" si="6"/>
        <v>2039</v>
      </c>
      <c r="O23" s="16">
        <f t="shared" si="6"/>
        <v>18</v>
      </c>
      <c r="P23" s="12">
        <f>-'Electricity Costs'!F22</f>
        <v>-432.77762433607512</v>
      </c>
      <c r="Q23" s="12">
        <v>0</v>
      </c>
      <c r="R23" s="12">
        <f>'Electricity Costs'!V22</f>
        <v>24.906352280541125</v>
      </c>
      <c r="S23" s="12">
        <f>-'PV Degrad. SPV SRECS'!G19</f>
        <v>0</v>
      </c>
      <c r="T23" s="11">
        <f t="shared" si="2"/>
        <v>-407.87127205553401</v>
      </c>
      <c r="U23" s="11">
        <f t="shared" si="3"/>
        <v>24.906352280541125</v>
      </c>
      <c r="V23" s="11">
        <f>SUM($T$5:T23)</f>
        <v>-13050.368125563773</v>
      </c>
      <c r="W23" s="1" t="str">
        <f>IF(V23&lt;0,"Yes","No")</f>
        <v>Yes</v>
      </c>
      <c r="X23" s="52">
        <f>($D$5*($B$30-O23)/$B$30)*'PV Degrad. SPV SRECS'!H19</f>
        <v>2462.9224571389641</v>
      </c>
      <c r="Y23" s="11">
        <f>-V23+X23</f>
        <v>15513.290582702737</v>
      </c>
      <c r="Z23" s="16">
        <f>O23</f>
        <v>18</v>
      </c>
    </row>
    <row r="24" spans="1:26" x14ac:dyDescent="0.25">
      <c r="A24">
        <f t="shared" si="4"/>
        <v>2040</v>
      </c>
      <c r="B24" s="16">
        <f t="shared" si="5"/>
        <v>19</v>
      </c>
      <c r="C24" s="52">
        <f>-'Electricity Costs'!E23</f>
        <v>-1799.5902719461044</v>
      </c>
      <c r="D24" s="9">
        <v>0</v>
      </c>
      <c r="E24" s="15">
        <f>'Electricity Costs'!S23</f>
        <v>112.83431005102074</v>
      </c>
      <c r="F24" s="15">
        <f>-'PV Degrad. SPV SRECS'!F20</f>
        <v>0</v>
      </c>
      <c r="G24" s="11">
        <f t="shared" si="1"/>
        <v>-1686.7559618950836</v>
      </c>
      <c r="H24" s="11">
        <f>SUM($G$5:G24)</f>
        <v>-39829.286168541126</v>
      </c>
      <c r="I24" s="1" t="str">
        <f>IF(H24&lt;0,"Yes","No")</f>
        <v>Yes</v>
      </c>
      <c r="J24" s="25">
        <f>$D$5*($B$30-B24)/$B$30</f>
        <v>6025.7279999999992</v>
      </c>
      <c r="K24" s="4">
        <f>-H24+J24</f>
        <v>45855.014168541122</v>
      </c>
      <c r="L24" s="16">
        <f>B24</f>
        <v>19</v>
      </c>
      <c r="N24">
        <f t="shared" si="6"/>
        <v>2040</v>
      </c>
      <c r="O24" s="16">
        <f t="shared" si="6"/>
        <v>19</v>
      </c>
      <c r="P24" s="12">
        <f>-'Electricity Costs'!F23</f>
        <v>-408.28077767554254</v>
      </c>
      <c r="Q24" s="12">
        <v>0</v>
      </c>
      <c r="R24" s="12">
        <f>'Electricity Costs'!V23</f>
        <v>25.599204760256512</v>
      </c>
      <c r="S24" s="12">
        <f>-'PV Degrad. SPV SRECS'!G20</f>
        <v>0</v>
      </c>
      <c r="T24" s="11">
        <f t="shared" si="2"/>
        <v>-382.68157291528604</v>
      </c>
      <c r="U24" s="11">
        <f t="shared" si="3"/>
        <v>25.599204760256512</v>
      </c>
      <c r="V24" s="11">
        <f>SUM($T$5:T24)</f>
        <v>-13433.049698479059</v>
      </c>
      <c r="W24" s="1" t="str">
        <f>IF(V24&lt;0,"Yes","No")</f>
        <v>Yes</v>
      </c>
      <c r="X24" s="52">
        <f>($D$5*($B$30-O24)/$B$30)*'PV Degrad. SPV SRECS'!H20</f>
        <v>1991.5815017296202</v>
      </c>
      <c r="Y24" s="11">
        <f>-V24+X24</f>
        <v>15424.63120020868</v>
      </c>
      <c r="Z24" s="16">
        <f>O24</f>
        <v>19</v>
      </c>
    </row>
    <row r="25" spans="1:26" x14ac:dyDescent="0.25">
      <c r="A25">
        <f t="shared" si="4"/>
        <v>2041</v>
      </c>
      <c r="B25" s="16">
        <f t="shared" si="5"/>
        <v>20</v>
      </c>
      <c r="C25" s="52">
        <f>-'Electricity Costs'!E24</f>
        <v>-1835.5820773850264</v>
      </c>
      <c r="D25" s="9">
        <v>0</v>
      </c>
      <c r="E25" s="15">
        <f>'Electricity Costs'!S24</f>
        <v>124.54424395057404</v>
      </c>
      <c r="F25" s="15">
        <f>-'PV Degrad. SPV SRECS'!F21</f>
        <v>0</v>
      </c>
      <c r="G25" s="11">
        <f t="shared" si="1"/>
        <v>-1711.0378334344523</v>
      </c>
      <c r="H25" s="11">
        <f>SUM($G$5:G25)</f>
        <v>-41540.324001975576</v>
      </c>
      <c r="I25" s="1" t="str">
        <f>IF(H25&lt;0,"Yes","No")</f>
        <v>Yes</v>
      </c>
      <c r="J25" s="25">
        <f>$D$5*($B$30-B25)/$B$30</f>
        <v>5021.4399999999996</v>
      </c>
      <c r="K25" s="4">
        <f>-H25+J25</f>
        <v>46561.764001975578</v>
      </c>
      <c r="L25" s="16">
        <f>B25</f>
        <v>20</v>
      </c>
      <c r="N25">
        <f t="shared" si="6"/>
        <v>2041</v>
      </c>
      <c r="O25" s="16">
        <f t="shared" si="6"/>
        <v>20</v>
      </c>
      <c r="P25" s="12">
        <f>-'Electricity Costs'!F24</f>
        <v>-385.17054497692675</v>
      </c>
      <c r="Q25" s="12">
        <v>0</v>
      </c>
      <c r="R25" s="12">
        <f>'Electricity Costs'!V24</f>
        <v>26.133821476684478</v>
      </c>
      <c r="S25" s="12">
        <f>-'PV Degrad. SPV SRECS'!G21</f>
        <v>0</v>
      </c>
      <c r="T25" s="11">
        <f t="shared" si="2"/>
        <v>-359.03672350024226</v>
      </c>
      <c r="U25" s="11">
        <f t="shared" si="3"/>
        <v>26.133821476684478</v>
      </c>
      <c r="V25" s="11">
        <f>SUM($T$5:T25)</f>
        <v>-13792.0864219793</v>
      </c>
      <c r="W25" s="1" t="str">
        <f>IF(V25&lt;0,"Yes","No")</f>
        <v>Yes</v>
      </c>
      <c r="X25" s="52">
        <f>($D$5*($B$30-O25)/$B$30)*'PV Degrad. SPV SRECS'!H21</f>
        <v>1565.708727774859</v>
      </c>
      <c r="Y25" s="11">
        <f>-V25+X25</f>
        <v>15357.79514975416</v>
      </c>
      <c r="Z25" s="16">
        <f>O25</f>
        <v>20</v>
      </c>
    </row>
    <row r="26" spans="1:26" x14ac:dyDescent="0.25">
      <c r="A26">
        <f t="shared" si="4"/>
        <v>2042</v>
      </c>
      <c r="B26" s="16">
        <f t="shared" si="5"/>
        <v>21</v>
      </c>
      <c r="C26" s="52">
        <f>-'Electricity Costs'!E25</f>
        <v>-1872.2937189327272</v>
      </c>
      <c r="D26" s="9">
        <v>0</v>
      </c>
      <c r="E26" s="15">
        <f>'Electricity Costs'!S25</f>
        <v>136.67744148208942</v>
      </c>
      <c r="F26" s="15">
        <f>-'PV Degrad. SPV SRECS'!F22</f>
        <v>0</v>
      </c>
      <c r="G26" s="11">
        <f t="shared" si="1"/>
        <v>-1735.6162774506379</v>
      </c>
      <c r="H26" s="11">
        <f>SUM($G$5:G26)</f>
        <v>-43275.940279426213</v>
      </c>
      <c r="I26" s="1" t="str">
        <f>IF(H26&lt;0,"Yes","No")</f>
        <v>Yes</v>
      </c>
      <c r="J26" s="25">
        <f>$D$5*($B$30-B26)/$B$30</f>
        <v>4017.1519999999996</v>
      </c>
      <c r="K26" s="4">
        <f>-H26+J26</f>
        <v>47293.092279426215</v>
      </c>
      <c r="L26" s="16">
        <f>B26</f>
        <v>21</v>
      </c>
      <c r="N26">
        <f t="shared" si="6"/>
        <v>2042</v>
      </c>
      <c r="O26" s="16">
        <f t="shared" si="6"/>
        <v>21</v>
      </c>
      <c r="P26" s="12">
        <f>-'Electricity Costs'!F25</f>
        <v>-363.36843865747807</v>
      </c>
      <c r="Q26" s="12">
        <v>0</v>
      </c>
      <c r="R26" s="12">
        <f>'Electricity Costs'!V25</f>
        <v>26.525896021995962</v>
      </c>
      <c r="S26" s="12">
        <f>-'PV Degrad. SPV SRECS'!G22</f>
        <v>0</v>
      </c>
      <c r="T26" s="11">
        <f t="shared" si="2"/>
        <v>-336.84254263548212</v>
      </c>
      <c r="U26" s="11">
        <f t="shared" si="3"/>
        <v>26.525896021995962</v>
      </c>
      <c r="V26" s="11">
        <f>SUM($T$5:T26)</f>
        <v>-14128.928964614783</v>
      </c>
      <c r="W26" s="1" t="str">
        <f>IF(V26&lt;0,"Yes","No")</f>
        <v>Yes</v>
      </c>
      <c r="X26" s="52">
        <f>($D$5*($B$30-O26)/$B$30)*'PV Degrad. SPV SRECS'!H22</f>
        <v>1181.6669643583839</v>
      </c>
      <c r="Y26" s="11">
        <f>-V26+X26</f>
        <v>15310.595928973167</v>
      </c>
      <c r="Z26" s="16">
        <f>O26</f>
        <v>21</v>
      </c>
    </row>
    <row r="27" spans="1:26" x14ac:dyDescent="0.25">
      <c r="A27">
        <f t="shared" si="4"/>
        <v>2043</v>
      </c>
      <c r="B27" s="16">
        <f t="shared" si="5"/>
        <v>22</v>
      </c>
      <c r="C27" s="52">
        <f>-'Electricity Costs'!E26</f>
        <v>-1909.7395933113817</v>
      </c>
      <c r="D27" s="9">
        <v>0</v>
      </c>
      <c r="E27" s="15">
        <f>'Electricity Costs'!S26</f>
        <v>149.24614921728482</v>
      </c>
      <c r="F27" s="15">
        <f>-'PV Degrad. SPV SRECS'!F23</f>
        <v>0</v>
      </c>
      <c r="G27" s="11">
        <f t="shared" si="1"/>
        <v>-1760.493444094097</v>
      </c>
      <c r="H27" s="11">
        <f>SUM($G$5:G27)</f>
        <v>-45036.433723520313</v>
      </c>
      <c r="I27" s="1" t="str">
        <f>IF(H27&lt;0,"Yes","No")</f>
        <v>Yes</v>
      </c>
      <c r="J27" s="25">
        <f>$D$5*($B$30-B27)/$B$30</f>
        <v>3012.8639999999996</v>
      </c>
      <c r="K27" s="4">
        <f>-H27+J27</f>
        <v>48049.297723520314</v>
      </c>
      <c r="L27" s="16">
        <f>B27</f>
        <v>22</v>
      </c>
      <c r="N27">
        <f t="shared" si="6"/>
        <v>2043</v>
      </c>
      <c r="O27" s="16">
        <f t="shared" si="6"/>
        <v>22</v>
      </c>
      <c r="P27" s="12">
        <f>-'Electricity Costs'!F26</f>
        <v>-342.80041382780945</v>
      </c>
      <c r="Q27" s="12">
        <v>0</v>
      </c>
      <c r="R27" s="12">
        <f>'Electricity Costs'!V26</f>
        <v>26.789852340643371</v>
      </c>
      <c r="S27" s="12">
        <f>-'PV Degrad. SPV SRECS'!G23</f>
        <v>0</v>
      </c>
      <c r="T27" s="11">
        <f t="shared" si="2"/>
        <v>-316.01056148716606</v>
      </c>
      <c r="U27" s="11">
        <f t="shared" si="3"/>
        <v>26.789852340643371</v>
      </c>
      <c r="V27" s="11">
        <f>SUM($T$5:T27)</f>
        <v>-14444.939526101949</v>
      </c>
      <c r="W27" s="1" t="str">
        <f>IF(V27&lt;0,"Yes","No")</f>
        <v>Yes</v>
      </c>
      <c r="X27" s="52">
        <f>($D$5*($B$30-O27)/$B$30)*'PV Degrad. SPV SRECS'!H23</f>
        <v>836.08511629130919</v>
      </c>
      <c r="Y27" s="11">
        <f>-V27+X27</f>
        <v>15281.024642393259</v>
      </c>
      <c r="Z27" s="16">
        <f>O27</f>
        <v>22</v>
      </c>
    </row>
    <row r="28" spans="1:26" x14ac:dyDescent="0.25">
      <c r="A28">
        <f t="shared" si="4"/>
        <v>2044</v>
      </c>
      <c r="B28" s="16">
        <f t="shared" si="5"/>
        <v>23</v>
      </c>
      <c r="C28" s="52">
        <f>-'Electricity Costs'!E27</f>
        <v>-1947.9343851776093</v>
      </c>
      <c r="D28" s="9">
        <v>0</v>
      </c>
      <c r="E28" s="15">
        <f>'Electricity Costs'!S27</f>
        <v>162.26293428529522</v>
      </c>
      <c r="F28" s="15">
        <f>-'PV Degrad. SPV SRECS'!F24</f>
        <v>0</v>
      </c>
      <c r="G28" s="11">
        <f t="shared" si="1"/>
        <v>-1785.6714508923142</v>
      </c>
      <c r="H28" s="11">
        <f>SUM($G$5:G28)</f>
        <v>-46822.105174412631</v>
      </c>
      <c r="I28" s="1" t="str">
        <f>IF(H28&lt;0,"Yes","No")</f>
        <v>Yes</v>
      </c>
      <c r="J28" s="25">
        <f>$D$5*($B$30-B28)/$B$30</f>
        <v>2008.5759999999998</v>
      </c>
      <c r="K28" s="4">
        <f>-H28+J28</f>
        <v>48830.681174412632</v>
      </c>
      <c r="L28" s="16">
        <f>B28</f>
        <v>23</v>
      </c>
      <c r="N28">
        <f t="shared" si="6"/>
        <v>2044</v>
      </c>
      <c r="O28" s="16">
        <f t="shared" si="6"/>
        <v>23</v>
      </c>
      <c r="P28" s="12">
        <f>-'Electricity Costs'!F27</f>
        <v>-323.39661681868813</v>
      </c>
      <c r="Q28" s="12">
        <v>0</v>
      </c>
      <c r="R28" s="12">
        <f>'Electricity Costs'!V27</f>
        <v>26.938938180996782</v>
      </c>
      <c r="S28" s="12">
        <f>-'PV Degrad. SPV SRECS'!G24</f>
        <v>0</v>
      </c>
      <c r="T28" s="11">
        <f t="shared" si="2"/>
        <v>-296.45767863769134</v>
      </c>
      <c r="U28" s="11">
        <f t="shared" si="3"/>
        <v>26.938938180996782</v>
      </c>
      <c r="V28" s="11">
        <f>SUM($T$5:T28)</f>
        <v>-14741.39720473964</v>
      </c>
      <c r="W28" s="1" t="str">
        <f>IF(V28&lt;0,"Yes","No")</f>
        <v>Yes</v>
      </c>
      <c r="X28" s="52">
        <f>($D$5*($B$30-O28)/$B$30)*'PV Degrad. SPV SRECS'!H24</f>
        <v>525.83969578069764</v>
      </c>
      <c r="Y28" s="11">
        <f>-V28+X28</f>
        <v>15267.236900520338</v>
      </c>
      <c r="Z28" s="16">
        <f>O28</f>
        <v>23</v>
      </c>
    </row>
    <row r="29" spans="1:26" x14ac:dyDescent="0.25">
      <c r="A29">
        <f t="shared" si="4"/>
        <v>2045</v>
      </c>
      <c r="B29" s="16">
        <f t="shared" si="5"/>
        <v>24</v>
      </c>
      <c r="C29" s="52">
        <f>-'Electricity Costs'!E28</f>
        <v>-1986.8930728811615</v>
      </c>
      <c r="D29" s="9">
        <v>0</v>
      </c>
      <c r="E29" s="15">
        <f>'Electricity Costs'!S28</f>
        <v>175.74069229633909</v>
      </c>
      <c r="F29" s="15">
        <f>-'PV Degrad. SPV SRECS'!F25</f>
        <v>0</v>
      </c>
      <c r="G29" s="11">
        <f t="shared" si="1"/>
        <v>-1811.1523805848224</v>
      </c>
      <c r="H29" s="11">
        <f>SUM($G$5:G29)</f>
        <v>-48633.25755499745</v>
      </c>
      <c r="I29" s="1" t="str">
        <f>IF(H29&lt;0,"Yes","No")</f>
        <v>Yes</v>
      </c>
      <c r="J29" s="25">
        <f>$D$5*($B$30-B29)/$B$30</f>
        <v>1004.2879999999999</v>
      </c>
      <c r="K29" s="4">
        <f>-H29+J29</f>
        <v>49637.54555499745</v>
      </c>
      <c r="L29" s="16">
        <f>B29</f>
        <v>24</v>
      </c>
      <c r="N29">
        <f t="shared" si="6"/>
        <v>2045</v>
      </c>
      <c r="O29" s="16">
        <f t="shared" si="6"/>
        <v>24</v>
      </c>
      <c r="P29" s="12">
        <f>-'Electricity Costs'!F28</f>
        <v>-305.0911479421585</v>
      </c>
      <c r="Q29" s="12">
        <v>0</v>
      </c>
      <c r="R29" s="12">
        <f>'Electricity Costs'!V28</f>
        <v>26.985312035483975</v>
      </c>
      <c r="S29" s="12">
        <f>-'PV Degrad. SPV SRECS'!G25</f>
        <v>0</v>
      </c>
      <c r="T29" s="11">
        <f t="shared" si="2"/>
        <v>-278.10583590667454</v>
      </c>
      <c r="U29" s="11">
        <f t="shared" si="3"/>
        <v>26.985312035483975</v>
      </c>
      <c r="V29" s="11">
        <f>SUM($T$5:T29)</f>
        <v>-15019.503040646314</v>
      </c>
      <c r="W29" s="1" t="str">
        <f>IF(V29&lt;0,"Yes","No")</f>
        <v>Yes</v>
      </c>
      <c r="X29" s="52">
        <f>($D$5*($B$30-O29)/$B$30)*'PV Degrad. SPV SRECS'!H25</f>
        <v>248.03759234938568</v>
      </c>
      <c r="Y29" s="11">
        <f>-V29+X29</f>
        <v>15267.540632995699</v>
      </c>
      <c r="Z29" s="16">
        <f>O29</f>
        <v>24</v>
      </c>
    </row>
    <row r="30" spans="1:26" x14ac:dyDescent="0.25">
      <c r="A30">
        <f t="shared" si="4"/>
        <v>2046</v>
      </c>
      <c r="B30" s="16">
        <f t="shared" si="5"/>
        <v>25</v>
      </c>
      <c r="C30" s="52">
        <f>-'Electricity Costs'!E29</f>
        <v>-2026.6309343387848</v>
      </c>
      <c r="D30" s="9">
        <v>0</v>
      </c>
      <c r="E30" s="15">
        <f>'Electricity Costs'!S29</f>
        <v>189.69265545411062</v>
      </c>
      <c r="F30" s="15">
        <f>-'PV Degrad. SPV SRECS'!F26</f>
        <v>0</v>
      </c>
      <c r="G30" s="11">
        <f t="shared" si="1"/>
        <v>-1836.9382788846742</v>
      </c>
      <c r="H30" s="11">
        <f>SUM($G$5:G30)</f>
        <v>-50470.195833882128</v>
      </c>
      <c r="I30" s="1" t="str">
        <f>IF(H30&lt;0,"Yes","No")</f>
        <v>Yes</v>
      </c>
      <c r="J30" s="25">
        <f>$D$5*($B$30-B30)/$B$30</f>
        <v>0</v>
      </c>
      <c r="K30" s="4">
        <f>-H30+J30</f>
        <v>50470.195833882128</v>
      </c>
      <c r="L30" s="16">
        <f>B30</f>
        <v>25</v>
      </c>
      <c r="N30">
        <f t="shared" si="6"/>
        <v>2046</v>
      </c>
      <c r="O30" s="16">
        <f t="shared" si="6"/>
        <v>25</v>
      </c>
      <c r="P30" s="12">
        <f>-'Electricity Costs'!F29</f>
        <v>-287.82183768128152</v>
      </c>
      <c r="Q30" s="12">
        <v>0</v>
      </c>
      <c r="R30" s="12">
        <f>'Electricity Costs'!V29</f>
        <v>26.940124006968006</v>
      </c>
      <c r="S30" s="12">
        <f>-'PV Degrad. SPV SRECS'!G26</f>
        <v>0</v>
      </c>
      <c r="T30" s="11">
        <f t="shared" si="2"/>
        <v>-260.88171367431352</v>
      </c>
      <c r="U30" s="11">
        <f t="shared" si="3"/>
        <v>26.940124006968006</v>
      </c>
      <c r="V30" s="11">
        <f>SUM($T$5:T30)</f>
        <v>-15280.384754320627</v>
      </c>
      <c r="W30" s="1" t="str">
        <f>IF(V30&lt;0,"Yes","No")</f>
        <v>Yes</v>
      </c>
      <c r="X30" s="52">
        <f>($D$5*($B$30-O30)/$B$30)*'PV Degrad. SPV SRECS'!H26</f>
        <v>0</v>
      </c>
      <c r="Y30" s="11">
        <f>-V30+X30</f>
        <v>15280.384754320627</v>
      </c>
      <c r="Z30" s="16">
        <f>O30</f>
        <v>25</v>
      </c>
    </row>
    <row r="31" spans="1:26" x14ac:dyDescent="0.25">
      <c r="B31" s="16"/>
      <c r="C31" s="16"/>
      <c r="P31" s="9">
        <f>SUM(P6:P30)</f>
        <v>-15791.204666096246</v>
      </c>
      <c r="S31" s="8" t="s">
        <v>85</v>
      </c>
      <c r="T31" s="10">
        <f>SUM(T6:T30)</f>
        <v>-40387.584754320633</v>
      </c>
      <c r="U31" s="10"/>
    </row>
    <row r="32" spans="1:26" x14ac:dyDescent="0.25">
      <c r="S32" s="8" t="s">
        <v>136</v>
      </c>
      <c r="T32" s="10">
        <f>SUM(Q5:S30)</f>
        <v>510.81991177561514</v>
      </c>
      <c r="U32" s="10"/>
      <c r="X32" s="8" t="s">
        <v>136</v>
      </c>
      <c r="Y32" s="10">
        <f>T32</f>
        <v>510.81991177561514</v>
      </c>
    </row>
    <row r="33" spans="4:45" x14ac:dyDescent="0.25">
      <c r="X33" s="8" t="s">
        <v>119</v>
      </c>
      <c r="Y33" s="10">
        <f>Y30</f>
        <v>15280.384754320627</v>
      </c>
    </row>
    <row r="34" spans="4:45" x14ac:dyDescent="0.25">
      <c r="D34" s="8" t="s">
        <v>113</v>
      </c>
      <c r="E34" s="18">
        <f>'Electricity Costs'!F32</f>
        <v>15791.204666096246</v>
      </c>
      <c r="G34">
        <f>56198.84/25107</f>
        <v>2.2383733620105946</v>
      </c>
      <c r="X34" s="8" t="s">
        <v>118</v>
      </c>
      <c r="Y34" s="21">
        <f>-T31/Q5</f>
        <v>1.6086056889784857</v>
      </c>
    </row>
    <row r="35" spans="4:45" x14ac:dyDescent="0.25">
      <c r="G35" s="46">
        <f>(1+'User Inputs - EX 1'!B23)*(G34)^(1/25)-1</f>
        <v>0.1166146928799654</v>
      </c>
      <c r="X35" s="8" t="s">
        <v>120</v>
      </c>
      <c r="Y35" s="53">
        <f>(1+'User Inputs - EX 1'!$B$20)*'Purch. Cash Net Metering'!Y34^(1/'Purch. Cash Net Metering'!$O$30)-1</f>
        <v>8.0348440297442592E-2</v>
      </c>
    </row>
    <row r="36" spans="4:45" x14ac:dyDescent="0.25">
      <c r="X36" s="8" t="s">
        <v>127</v>
      </c>
      <c r="Y36" s="10">
        <f>Q5</f>
        <v>25107.199999999997</v>
      </c>
    </row>
    <row r="37" spans="4:45" x14ac:dyDescent="0.25">
      <c r="X37" s="8" t="s">
        <v>128</v>
      </c>
      <c r="Y37" s="10">
        <f>T31</f>
        <v>-40387.584754320633</v>
      </c>
    </row>
    <row r="38" spans="4:45" x14ac:dyDescent="0.25">
      <c r="X38" s="8" t="s">
        <v>129</v>
      </c>
      <c r="Y38" s="8">
        <v>5</v>
      </c>
    </row>
    <row r="39" spans="4:45" x14ac:dyDescent="0.25">
      <c r="X39" s="8" t="s">
        <v>130</v>
      </c>
      <c r="Y39" s="8">
        <v>7</v>
      </c>
    </row>
    <row r="40" spans="4:45" x14ac:dyDescent="0.25">
      <c r="X40" s="8" t="s">
        <v>131</v>
      </c>
      <c r="Y40" s="8">
        <f>SUM('Electricity Costs'!P5:P29)</f>
        <v>7950.0000000000091</v>
      </c>
    </row>
    <row r="41" spans="4:45" x14ac:dyDescent="0.25">
      <c r="X41" s="8" t="s">
        <v>132</v>
      </c>
      <c r="Y41" s="8">
        <f>Y40-'Electricity Costs'!C30</f>
        <v>-242050</v>
      </c>
    </row>
    <row r="42" spans="4:45" x14ac:dyDescent="0.25">
      <c r="X42" s="8" t="s">
        <v>133</v>
      </c>
      <c r="Y42" s="21">
        <f>Y33/Y41</f>
        <v>-6.3129042571041627E-2</v>
      </c>
    </row>
    <row r="43" spans="4:45" x14ac:dyDescent="0.25">
      <c r="X43" s="8" t="s">
        <v>134</v>
      </c>
      <c r="Y43" s="21">
        <f>Y42*'Electricity Costs'!C30*0.01</f>
        <v>-157.82260642760406</v>
      </c>
    </row>
    <row r="44" spans="4:45" x14ac:dyDescent="0.25">
      <c r="X44" s="8" t="s">
        <v>135</v>
      </c>
      <c r="Y44" s="51">
        <f>(Y42*Y33)/('Electricity Costs'!C30*0.01)</f>
        <v>-0.38585442386296093</v>
      </c>
    </row>
    <row r="47" spans="4:45" x14ac:dyDescent="0.25"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</row>
  </sheetData>
  <conditionalFormatting sqref="I6:I30">
    <cfRule type="containsText" dxfId="5" priority="5" operator="containsText" text="Yes">
      <formula>NOT(ISERROR(SEARCH("Yes",I6)))</formula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:W30">
    <cfRule type="containsText" dxfId="4" priority="1" operator="containsText" text="Yes">
      <formula>NOT(ISERROR(SEARCH("Yes",W6)))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3F12-885D-40AC-910E-66C0D580C8A8}">
  <dimension ref="A1:Y43"/>
  <sheetViews>
    <sheetView topLeftCell="M1" workbookViewId="0">
      <selection activeCell="R34" sqref="R34"/>
    </sheetView>
  </sheetViews>
  <sheetFormatPr defaultRowHeight="15" x14ac:dyDescent="0.25"/>
  <cols>
    <col min="2" max="2" width="6.5703125" customWidth="1"/>
    <col min="3" max="4" width="16.42578125" bestFit="1" customWidth="1"/>
    <col min="5" max="5" width="11.5703125" bestFit="1" customWidth="1"/>
    <col min="6" max="6" width="14.5703125" bestFit="1" customWidth="1"/>
    <col min="7" max="7" width="27.140625" bestFit="1" customWidth="1"/>
    <col min="8" max="8" width="16.42578125" customWidth="1"/>
    <col min="9" max="9" width="18.85546875" bestFit="1" customWidth="1"/>
    <col min="10" max="10" width="15.28515625" customWidth="1"/>
    <col min="11" max="11" width="12.7109375" bestFit="1" customWidth="1"/>
    <col min="12" max="12" width="6.42578125" bestFit="1" customWidth="1"/>
    <col min="16" max="16" width="11.28515625" bestFit="1" customWidth="1"/>
    <col min="17" max="17" width="11.5703125" bestFit="1" customWidth="1"/>
    <col min="18" max="18" width="9.28515625" bestFit="1" customWidth="1"/>
    <col min="19" max="19" width="11.28515625" bestFit="1" customWidth="1"/>
    <col min="20" max="20" width="9.7109375" bestFit="1" customWidth="1"/>
    <col min="21" max="21" width="16.42578125" bestFit="1" customWidth="1"/>
    <col min="22" max="22" width="18.85546875" bestFit="1" customWidth="1"/>
    <col min="23" max="23" width="14.42578125" customWidth="1"/>
    <col min="24" max="24" width="12.7109375" bestFit="1" customWidth="1"/>
  </cols>
  <sheetData>
    <row r="1" spans="1:25" x14ac:dyDescent="0.25">
      <c r="B1" s="8" t="s">
        <v>107</v>
      </c>
      <c r="C1" s="8"/>
      <c r="D1" s="8"/>
      <c r="E1" s="15"/>
      <c r="G1" s="15"/>
      <c r="H1" s="12"/>
      <c r="I1" s="1"/>
      <c r="J1" s="1"/>
      <c r="K1" s="2"/>
      <c r="L1" s="2"/>
      <c r="O1" s="8" t="s">
        <v>117</v>
      </c>
      <c r="P1" s="8"/>
      <c r="R1" s="15"/>
      <c r="S1" s="15"/>
      <c r="V1" s="1"/>
      <c r="W1" s="1"/>
      <c r="X1" s="2"/>
      <c r="Y1" s="2"/>
    </row>
    <row r="2" spans="1:25" x14ac:dyDescent="0.25">
      <c r="E2" s="15"/>
      <c r="F2" s="15"/>
      <c r="I2" s="1"/>
      <c r="J2" s="1"/>
      <c r="K2" s="2"/>
      <c r="L2" s="2"/>
      <c r="R2" s="15"/>
      <c r="S2" s="15"/>
      <c r="V2" s="1"/>
      <c r="W2" s="1"/>
      <c r="X2" s="2"/>
      <c r="Y2" s="2"/>
    </row>
    <row r="3" spans="1:25" x14ac:dyDescent="0.25">
      <c r="C3" s="8"/>
      <c r="D3" s="17" t="s">
        <v>109</v>
      </c>
      <c r="E3" s="20" t="s">
        <v>108</v>
      </c>
      <c r="F3" s="15"/>
      <c r="I3" s="18" t="s">
        <v>4</v>
      </c>
      <c r="J3" s="18" t="s">
        <v>111</v>
      </c>
      <c r="K3" s="2"/>
      <c r="L3" s="2"/>
      <c r="P3" s="8"/>
      <c r="Q3" s="17" t="s">
        <v>109</v>
      </c>
      <c r="R3" s="20" t="s">
        <v>108</v>
      </c>
      <c r="S3" s="15"/>
      <c r="V3" s="18" t="s">
        <v>4</v>
      </c>
      <c r="W3" s="18" t="s">
        <v>111</v>
      </c>
      <c r="X3" s="2"/>
      <c r="Y3" s="2"/>
    </row>
    <row r="4" spans="1:25" x14ac:dyDescent="0.25">
      <c r="A4" t="s">
        <v>12</v>
      </c>
      <c r="B4" s="10" t="s">
        <v>0</v>
      </c>
      <c r="C4" s="10" t="s">
        <v>115</v>
      </c>
      <c r="D4" s="8" t="s">
        <v>114</v>
      </c>
      <c r="E4" s="19" t="s">
        <v>1</v>
      </c>
      <c r="F4" s="19" t="s">
        <v>6</v>
      </c>
      <c r="G4" s="8" t="s">
        <v>116</v>
      </c>
      <c r="H4" s="8" t="s">
        <v>8</v>
      </c>
      <c r="I4" s="18" t="s">
        <v>10</v>
      </c>
      <c r="J4" s="18" t="s">
        <v>112</v>
      </c>
      <c r="K4" s="21" t="s">
        <v>2</v>
      </c>
      <c r="L4" s="21" t="s">
        <v>0</v>
      </c>
      <c r="N4" t="s">
        <v>12</v>
      </c>
      <c r="O4" s="10" t="s">
        <v>0</v>
      </c>
      <c r="P4" s="10" t="s">
        <v>115</v>
      </c>
      <c r="Q4" s="8" t="s">
        <v>114</v>
      </c>
      <c r="R4" s="19" t="s">
        <v>1</v>
      </c>
      <c r="S4" s="19" t="s">
        <v>6</v>
      </c>
      <c r="T4" s="8" t="s">
        <v>116</v>
      </c>
      <c r="U4" s="8" t="s">
        <v>8</v>
      </c>
      <c r="V4" s="18" t="s">
        <v>10</v>
      </c>
      <c r="W4" s="18" t="s">
        <v>112</v>
      </c>
      <c r="X4" s="21" t="s">
        <v>2</v>
      </c>
      <c r="Y4" s="21" t="s">
        <v>0</v>
      </c>
    </row>
    <row r="5" spans="1:25" x14ac:dyDescent="0.25">
      <c r="A5">
        <v>2021</v>
      </c>
      <c r="B5" s="16">
        <v>0</v>
      </c>
      <c r="C5" s="16"/>
      <c r="D5" s="9">
        <f>'User Inputs - EX 2'!E27-'User Inputs - EX 2'!H10-'User Inputs - EX 2'!H11</f>
        <v>-6927.0400000000009</v>
      </c>
      <c r="E5" s="19"/>
      <c r="F5" s="19"/>
      <c r="G5" s="11">
        <f>SUM(C5:F5)</f>
        <v>-6927.0400000000009</v>
      </c>
      <c r="H5" s="11">
        <f>SUM($G$5:G5)</f>
        <v>-6927.0400000000009</v>
      </c>
      <c r="I5" s="18"/>
      <c r="J5" s="25">
        <f>$D$5*($B$30-B5)/$B$30</f>
        <v>-6927.0400000000009</v>
      </c>
      <c r="K5" s="4">
        <f>-H5+J5</f>
        <v>0</v>
      </c>
      <c r="L5" s="21"/>
      <c r="N5">
        <v>2021</v>
      </c>
      <c r="O5" s="16">
        <v>0</v>
      </c>
      <c r="P5" s="12">
        <f>C5</f>
        <v>0</v>
      </c>
      <c r="Q5" s="12">
        <f>D5</f>
        <v>-6927.0400000000009</v>
      </c>
      <c r="R5" s="12">
        <f t="shared" ref="Q5:S5" si="0">E5</f>
        <v>0</v>
      </c>
      <c r="S5" s="12">
        <f t="shared" si="0"/>
        <v>0</v>
      </c>
      <c r="T5" s="11">
        <f>SUM(P5:S5)</f>
        <v>-6927.0400000000009</v>
      </c>
      <c r="U5" s="11">
        <f>SUM($T$5:T5)</f>
        <v>-6927.0400000000009</v>
      </c>
      <c r="V5" s="18"/>
      <c r="W5" s="52">
        <f>$D$5*($B$30-O5)/$B$30</f>
        <v>-6927.0400000000009</v>
      </c>
      <c r="X5" s="11">
        <f>-U5+W5</f>
        <v>0</v>
      </c>
      <c r="Y5" s="21"/>
    </row>
    <row r="6" spans="1:25" x14ac:dyDescent="0.25">
      <c r="A6">
        <f>A5+1</f>
        <v>2022</v>
      </c>
      <c r="B6" s="16">
        <v>1</v>
      </c>
      <c r="C6" s="52">
        <f>-'Electricity Costs'!E5</f>
        <v>-1260</v>
      </c>
      <c r="D6" s="9">
        <f>'User Inputs - EX 2'!$E$29*12</f>
        <v>3698.2799999999997</v>
      </c>
      <c r="E6" s="15">
        <f>'Electricity Costs'!S5</f>
        <v>-17.7</v>
      </c>
      <c r="F6" s="15">
        <f>-'PV Degrad. SPV SRECS'!F2</f>
        <v>-4120</v>
      </c>
      <c r="G6" s="11">
        <f t="shared" ref="G6:G30" si="1">SUM(C6:F6)</f>
        <v>-1699.42</v>
      </c>
      <c r="H6" s="11">
        <f>SUM($G$5:G6)</f>
        <v>-8626.4600000000009</v>
      </c>
      <c r="I6" s="1" t="str">
        <f>IF(H6&lt;0,"Yes","No")</f>
        <v>Yes</v>
      </c>
      <c r="J6" s="25">
        <f>$D$5*($B$30-B6)/$B$30</f>
        <v>-6649.9584000000004</v>
      </c>
      <c r="K6" s="4">
        <f>-H6+J6</f>
        <v>1976.5016000000005</v>
      </c>
      <c r="L6" s="16">
        <f>B6</f>
        <v>1</v>
      </c>
      <c r="N6">
        <f>N5+1</f>
        <v>2022</v>
      </c>
      <c r="O6" s="16">
        <v>1</v>
      </c>
      <c r="P6" s="12">
        <f>-'Electricity Costs'!F5</f>
        <v>-1165.3718091009987</v>
      </c>
      <c r="Q6" s="12">
        <f>D6/(1+'User Inputs - EX 1'!$B$23)^O6</f>
        <v>3420.5327413984455</v>
      </c>
      <c r="R6" s="12">
        <f>'Electricity Costs'!AD5</f>
        <v>-34.961154273029933</v>
      </c>
      <c r="S6" s="12">
        <f>-'PV Degrad. SPV SRECS'!G2</f>
        <v>-3810.5808361080276</v>
      </c>
      <c r="T6" s="11">
        <f t="shared" ref="T6:T30" si="2">SUM(P6:S6)</f>
        <v>-1590.3810580836107</v>
      </c>
      <c r="U6" s="11">
        <f>SUM($T$5:T6)</f>
        <v>-8517.4210580836116</v>
      </c>
      <c r="V6" s="1" t="str">
        <f>IF(U6&lt;0,"Yes","No")</f>
        <v>Yes</v>
      </c>
      <c r="W6" s="52">
        <f>($D$5*($B$30-O6)/$B$30)*'PV Degrad. SPV SRECS'!H2</f>
        <v>-6273.5456603773582</v>
      </c>
      <c r="X6" s="11">
        <f>-U6+W6</f>
        <v>2243.8753977062534</v>
      </c>
      <c r="Y6" s="16">
        <f>O6</f>
        <v>1</v>
      </c>
    </row>
    <row r="7" spans="1:25" x14ac:dyDescent="0.25">
      <c r="A7">
        <f t="shared" ref="A7:B30" si="3">A6+1</f>
        <v>2023</v>
      </c>
      <c r="B7" s="16">
        <f t="shared" si="3"/>
        <v>2</v>
      </c>
      <c r="C7" s="52">
        <f>-'Electricity Costs'!E6</f>
        <v>-1285.2</v>
      </c>
      <c r="D7" s="9">
        <f>'User Inputs - EX 2'!$E$29*12</f>
        <v>3698.2799999999997</v>
      </c>
      <c r="E7" s="15">
        <f>'Electricity Costs'!S6</f>
        <v>-14.95473</v>
      </c>
      <c r="F7" s="15">
        <f>-'PV Degrad. SPV SRECS'!F3</f>
        <v>-4099.3999999999996</v>
      </c>
      <c r="G7" s="11">
        <f t="shared" si="1"/>
        <v>-1701.2747299999996</v>
      </c>
      <c r="H7" s="11">
        <f>SUM($G$5:G7)</f>
        <v>-10327.73473</v>
      </c>
      <c r="I7" s="1" t="str">
        <f>IF(H7&lt;0,"Yes","No")</f>
        <v>Yes</v>
      </c>
      <c r="J7" s="25">
        <f>$D$5*($B$30-B7)/$B$30</f>
        <v>-6372.8768000000009</v>
      </c>
      <c r="K7" s="4">
        <f>-H7+J7</f>
        <v>3954.8579299999992</v>
      </c>
      <c r="L7" s="16">
        <f>B7</f>
        <v>2</v>
      </c>
      <c r="N7">
        <f t="shared" ref="N7:O30" si="4">N6+1</f>
        <v>2023</v>
      </c>
      <c r="O7" s="16">
        <f t="shared" si="4"/>
        <v>2</v>
      </c>
      <c r="P7" s="12">
        <f>-'Electricity Costs'!F6</f>
        <v>-1099.4073670764137</v>
      </c>
      <c r="Q7" s="12">
        <f>D7/(1+'User Inputs - EX 1'!$B$23)^O7</f>
        <v>3163.644784867226</v>
      </c>
      <c r="R7" s="12">
        <f>'Electricity Costs'!AD6</f>
        <v>-27.32027307184876</v>
      </c>
      <c r="S7" s="12">
        <f>-'PV Degrad. SPV SRECS'!G3</f>
        <v>-3506.7775914978602</v>
      </c>
      <c r="T7" s="11">
        <f t="shared" si="2"/>
        <v>-1469.8604467788966</v>
      </c>
      <c r="U7" s="11">
        <f>SUM($T$5:T7)</f>
        <v>-9987.2815048625089</v>
      </c>
      <c r="V7" s="1" t="str">
        <f>IF(U7&lt;0,"Yes","No")</f>
        <v>Yes</v>
      </c>
      <c r="W7" s="52">
        <f>($D$5*($B$30-O7)/$B$30)*'PV Degrad. SPV SRECS'!H3</f>
        <v>-5671.8376646493416</v>
      </c>
      <c r="X7" s="11">
        <f>-U7+W7</f>
        <v>4315.4438402131673</v>
      </c>
      <c r="Y7" s="16">
        <f>O7</f>
        <v>2</v>
      </c>
    </row>
    <row r="8" spans="1:25" x14ac:dyDescent="0.25">
      <c r="A8">
        <f t="shared" si="3"/>
        <v>2024</v>
      </c>
      <c r="B8" s="16">
        <f t="shared" si="3"/>
        <v>3</v>
      </c>
      <c r="C8" s="52">
        <f>-'Electricity Costs'!E7</f>
        <v>-1310.904</v>
      </c>
      <c r="D8" s="9">
        <f>'User Inputs - EX 2'!$E$29*12</f>
        <v>3698.2799999999997</v>
      </c>
      <c r="E8" s="15">
        <f>'Electricity Costs'!S7</f>
        <v>-12.0925692</v>
      </c>
      <c r="F8" s="15">
        <f>-'PV Degrad. SPV SRECS'!F4</f>
        <v>-4078.9029999999998</v>
      </c>
      <c r="G8" s="11">
        <f t="shared" si="1"/>
        <v>-1703.6195692000001</v>
      </c>
      <c r="H8" s="11">
        <f>SUM($G$5:G8)</f>
        <v>-12031.3542992</v>
      </c>
      <c r="I8" s="1" t="str">
        <f>IF(H8&lt;0,"Yes","No")</f>
        <v>Yes</v>
      </c>
      <c r="J8" s="25">
        <f>$D$5*($B$30-B8)/$B$30</f>
        <v>-6095.7952000000005</v>
      </c>
      <c r="K8" s="4">
        <f>-H8+J8</f>
        <v>5935.5590991999998</v>
      </c>
      <c r="L8" s="16">
        <f>B8</f>
        <v>3</v>
      </c>
      <c r="N8">
        <f t="shared" si="4"/>
        <v>2024</v>
      </c>
      <c r="O8" s="16">
        <f t="shared" si="4"/>
        <v>3</v>
      </c>
      <c r="P8" s="12">
        <f>-'Electricity Costs'!F7</f>
        <v>-1037.176761392843</v>
      </c>
      <c r="Q8" s="12">
        <f>D8/(1+'User Inputs - EX 1'!$B$23)^O8</f>
        <v>2926.0495605505234</v>
      </c>
      <c r="R8" s="12">
        <f>'Electricity Costs'!AD7</f>
        <v>-20.432382199438962</v>
      </c>
      <c r="S8" s="12">
        <f>-'PV Degrad. SPV SRECS'!G4</f>
        <v>-3227.1954342770728</v>
      </c>
      <c r="T8" s="11">
        <f t="shared" si="2"/>
        <v>-1358.7550173188313</v>
      </c>
      <c r="U8" s="11">
        <f>SUM($T$5:T8)</f>
        <v>-11346.036522181341</v>
      </c>
      <c r="V8" s="1" t="str">
        <f>IF(U8&lt;0,"Yes","No")</f>
        <v>Yes</v>
      </c>
      <c r="W8" s="52">
        <f>($D$5*($B$30-O8)/$B$30)*'PV Degrad. SPV SRECS'!H4</f>
        <v>-5118.1471953357459</v>
      </c>
      <c r="X8" s="11">
        <f>-U8+W8</f>
        <v>6227.889326845595</v>
      </c>
      <c r="Y8" s="16">
        <f>O8</f>
        <v>3</v>
      </c>
    </row>
    <row r="9" spans="1:25" x14ac:dyDescent="0.25">
      <c r="A9">
        <f t="shared" si="3"/>
        <v>2025</v>
      </c>
      <c r="B9" s="16">
        <f t="shared" si="3"/>
        <v>4</v>
      </c>
      <c r="C9" s="52">
        <f>-'Electricity Costs'!E8</f>
        <v>-1337.1220800000001</v>
      </c>
      <c r="D9" s="9">
        <f>'User Inputs - EX 2'!$E$29*12</f>
        <v>3698.2799999999997</v>
      </c>
      <c r="E9" s="15">
        <f>'Electricity Costs'!S8</f>
        <v>-9.1099400759999991</v>
      </c>
      <c r="F9" s="15">
        <f>-'PV Degrad. SPV SRECS'!F5</f>
        <v>-3551.194924375</v>
      </c>
      <c r="G9" s="11">
        <f t="shared" si="1"/>
        <v>-1199.1469444510003</v>
      </c>
      <c r="H9" s="11">
        <f>SUM($G$5:G9)</f>
        <v>-13230.501243651001</v>
      </c>
      <c r="I9" s="1" t="str">
        <f>IF(H9&lt;0,"Yes","No")</f>
        <v>Yes</v>
      </c>
      <c r="J9" s="25">
        <f>$D$5*($B$30-B9)/$B$30</f>
        <v>-5818.713600000001</v>
      </c>
      <c r="K9" s="4">
        <f>-H9+J9</f>
        <v>7411.7876436509996</v>
      </c>
      <c r="L9" s="16">
        <f>B9</f>
        <v>4</v>
      </c>
      <c r="N9">
        <f t="shared" si="4"/>
        <v>2025</v>
      </c>
      <c r="O9" s="16">
        <f t="shared" si="4"/>
        <v>4</v>
      </c>
      <c r="P9" s="12">
        <f>-'Electricity Costs'!F8</f>
        <v>-978.46864282343654</v>
      </c>
      <c r="Q9" s="12">
        <f>D9/(1+'User Inputs - EX 1'!$B$23)^O9</f>
        <v>2706.2981507126547</v>
      </c>
      <c r="R9" s="12">
        <f>'Electricity Costs'!AD8</f>
        <v>-14.23671875308105</v>
      </c>
      <c r="S9" s="12">
        <f>-'PV Degrad. SPV SRECS'!G5</f>
        <v>-2598.6653949014758</v>
      </c>
      <c r="T9" s="11">
        <f t="shared" si="2"/>
        <v>-885.07260576533872</v>
      </c>
      <c r="U9" s="11">
        <f>SUM($T$5:T9)</f>
        <v>-12231.10912794668</v>
      </c>
      <c r="V9" s="1" t="str">
        <f>IF(U9&lt;0,"Yes","No")</f>
        <v>Yes</v>
      </c>
      <c r="W9" s="52">
        <f>($D$5*($B$30-O9)/$B$30)*'PV Degrad. SPV SRECS'!H5</f>
        <v>-4608.9661707568903</v>
      </c>
      <c r="X9" s="11">
        <f>-U9+W9</f>
        <v>7622.1429571897897</v>
      </c>
      <c r="Y9" s="16">
        <f>O9</f>
        <v>4</v>
      </c>
    </row>
    <row r="10" spans="1:25" x14ac:dyDescent="0.25">
      <c r="A10">
        <f t="shared" si="3"/>
        <v>2026</v>
      </c>
      <c r="B10" s="16">
        <f t="shared" si="3"/>
        <v>5</v>
      </c>
      <c r="C10" s="52">
        <f>-'Electricity Costs'!E9</f>
        <v>-1363.8645216</v>
      </c>
      <c r="D10" s="9">
        <f>'User Inputs - EX 2'!$E$29*12</f>
        <v>3698.2799999999997</v>
      </c>
      <c r="E10" s="15">
        <f>'Electricity Costs'!S9</f>
        <v>-6.0031687593600003</v>
      </c>
      <c r="F10" s="15">
        <f>-'PV Degrad. SPV SRECS'!F6</f>
        <v>-3533.4389497531251</v>
      </c>
      <c r="G10" s="11">
        <f t="shared" si="1"/>
        <v>-1205.0266401124854</v>
      </c>
      <c r="H10" s="11">
        <f>SUM($G$5:G10)</f>
        <v>-14435.527883763487</v>
      </c>
      <c r="I10" s="1" t="str">
        <f>IF(H10&lt;0,"Yes","No")</f>
        <v>Yes</v>
      </c>
      <c r="J10" s="25">
        <f>$D$5*($B$30-B10)/$B$30</f>
        <v>-5541.6320000000005</v>
      </c>
      <c r="K10" s="4">
        <f>-H10+J10</f>
        <v>8893.8958837634855</v>
      </c>
      <c r="L10" s="16">
        <f>B10</f>
        <v>5</v>
      </c>
      <c r="N10">
        <f t="shared" si="4"/>
        <v>2026</v>
      </c>
      <c r="O10" s="16">
        <f t="shared" si="4"/>
        <v>5</v>
      </c>
      <c r="P10" s="12">
        <f>-'Electricity Costs'!F9</f>
        <v>-923.08362530512863</v>
      </c>
      <c r="Q10" s="12">
        <f>D10/(1+'User Inputs - EX 1'!$B$23)^O10</f>
        <v>2503.0504538592809</v>
      </c>
      <c r="R10" s="12">
        <f>'Electricity Costs'!AD9</f>
        <v>-8.6769860778681505</v>
      </c>
      <c r="S10" s="12">
        <f>-'PV Degrad. SPV SRECS'!G6</f>
        <v>-2391.4835996364855</v>
      </c>
      <c r="T10" s="11">
        <f t="shared" si="2"/>
        <v>-820.19375716020136</v>
      </c>
      <c r="U10" s="11">
        <f>SUM($T$5:T10)</f>
        <v>-13051.302885106881</v>
      </c>
      <c r="V10" s="1" t="str">
        <f>IF(U10&lt;0,"Yes","No")</f>
        <v>Yes</v>
      </c>
      <c r="W10" s="52">
        <f>($D$5*($B$30-O10)/$B$30)*'PV Degrad. SPV SRECS'!H6</f>
        <v>-4141.0298030160729</v>
      </c>
      <c r="X10" s="11">
        <f>-U10+W10</f>
        <v>8910.2730820908073</v>
      </c>
      <c r="Y10" s="16">
        <f>O10</f>
        <v>5</v>
      </c>
    </row>
    <row r="11" spans="1:25" x14ac:dyDescent="0.25">
      <c r="A11">
        <f t="shared" si="3"/>
        <v>2027</v>
      </c>
      <c r="B11" s="16">
        <f t="shared" si="3"/>
        <v>6</v>
      </c>
      <c r="C11" s="52">
        <f>-'Electricity Costs'!E10</f>
        <v>-1391.1418120320002</v>
      </c>
      <c r="D11" s="9">
        <f>'User Inputs - EX 2'!$E$29*12</f>
        <v>3698.2799999999997</v>
      </c>
      <c r="E11" s="15">
        <f>'Electricity Costs'!S10</f>
        <v>-2.7684826140239998</v>
      </c>
      <c r="F11" s="15">
        <f>-'PV Degrad. SPV SRECS'!F7</f>
        <v>-3515.7717550043594</v>
      </c>
      <c r="G11" s="11">
        <f t="shared" si="1"/>
        <v>-1211.402049650384</v>
      </c>
      <c r="H11" s="11">
        <f>SUM($G$5:G11)</f>
        <v>-15646.92993341387</v>
      </c>
      <c r="I11" s="1" t="str">
        <f>IF(H11&lt;0,"Yes","No")</f>
        <v>Yes</v>
      </c>
      <c r="J11" s="25">
        <f>$D$5*($B$30-B11)/$B$30</f>
        <v>-5264.5504000000001</v>
      </c>
      <c r="K11" s="4">
        <f>-H11+J11</f>
        <v>10382.37953341387</v>
      </c>
      <c r="L11" s="16">
        <f>B11</f>
        <v>6</v>
      </c>
      <c r="N11">
        <f t="shared" si="4"/>
        <v>2027</v>
      </c>
      <c r="O11" s="16">
        <f t="shared" si="4"/>
        <v>6</v>
      </c>
      <c r="P11" s="12">
        <f>-'Electricity Costs'!F10</f>
        <v>-870.83360877842324</v>
      </c>
      <c r="Q11" s="12">
        <f>D11/(1+'User Inputs - EX 1'!$B$23)^O11</f>
        <v>2315.067012448465</v>
      </c>
      <c r="R11" s="12">
        <f>'Electricity Costs'!AD10</f>
        <v>-3.7010428373082505</v>
      </c>
      <c r="S11" s="12">
        <f>-'PV Degrad. SPV SRECS'!G7</f>
        <v>-2200.8196278563655</v>
      </c>
      <c r="T11" s="11">
        <f t="shared" si="2"/>
        <v>-760.28726702363201</v>
      </c>
      <c r="U11" s="11">
        <f>SUM($T$5:T11)</f>
        <v>-13811.590152130513</v>
      </c>
      <c r="V11" s="1" t="str">
        <f>IF(U11&lt;0,"Yes","No")</f>
        <v>Yes</v>
      </c>
      <c r="W11" s="52">
        <f>($D$5*($B$30-O11)/$B$30)*'PV Degrad. SPV SRECS'!H7</f>
        <v>-3711.3002951559138</v>
      </c>
      <c r="X11" s="11">
        <f>-U11+W11</f>
        <v>10100.289856974599</v>
      </c>
      <c r="Y11" s="16">
        <f>O11</f>
        <v>6</v>
      </c>
    </row>
    <row r="12" spans="1:25" x14ac:dyDescent="0.25">
      <c r="A12">
        <f t="shared" si="3"/>
        <v>2028</v>
      </c>
      <c r="B12" s="16">
        <f t="shared" si="3"/>
        <v>7</v>
      </c>
      <c r="C12" s="52">
        <f>-'Electricity Costs'!E11</f>
        <v>-1418.96464827264</v>
      </c>
      <c r="D12" s="9">
        <f>'User Inputs - EX 2'!$E$29*12</f>
        <v>3698.2799999999997</v>
      </c>
      <c r="E12" s="15">
        <f>'Electricity Costs'!S11</f>
        <v>1.2770681834453761</v>
      </c>
      <c r="F12" s="15">
        <f>-'PV Degrad. SPV SRECS'!F8</f>
        <v>-3498.1928962293382</v>
      </c>
      <c r="G12" s="11">
        <f t="shared" si="1"/>
        <v>-1217.6004763185333</v>
      </c>
      <c r="H12" s="11">
        <f>SUM($G$5:G12)</f>
        <v>-16864.530409732404</v>
      </c>
      <c r="I12" s="1" t="str">
        <f>IF(H12&lt;0,"Yes","No")</f>
        <v>Yes</v>
      </c>
      <c r="J12" s="25">
        <f>$D$5*($B$30-B12)/$B$30</f>
        <v>-4987.4688000000006</v>
      </c>
      <c r="K12" s="4">
        <f>-H12+J12</f>
        <v>11877.061609732404</v>
      </c>
      <c r="L12" s="16">
        <f>B12</f>
        <v>7</v>
      </c>
      <c r="N12">
        <f t="shared" si="4"/>
        <v>2028</v>
      </c>
      <c r="O12" s="16">
        <f t="shared" si="4"/>
        <v>7</v>
      </c>
      <c r="P12" s="12">
        <f>-'Electricity Costs'!F11</f>
        <v>-821.54114035700297</v>
      </c>
      <c r="Q12" s="12">
        <f>D12/(1+'User Inputs - EX 1'!$B$23)^O12</f>
        <v>2141.2014543548512</v>
      </c>
      <c r="R12" s="12">
        <f>'Electricity Costs'!AD11</f>
        <v>0.73938702632142395</v>
      </c>
      <c r="S12" s="12">
        <f>-'PV Degrad. SPV SRECS'!G8</f>
        <v>-2025.3565757649687</v>
      </c>
      <c r="T12" s="11">
        <f t="shared" si="2"/>
        <v>-704.95687474079909</v>
      </c>
      <c r="U12" s="11">
        <f>SUM($T$5:T12)</f>
        <v>-14516.547026871312</v>
      </c>
      <c r="V12" s="1" t="str">
        <f>IF(U12&lt;0,"Yes","No")</f>
        <v>Yes</v>
      </c>
      <c r="W12" s="52">
        <f>($D$5*($B$30-O12)/$B$30)*'PV Degrad. SPV SRECS'!H8</f>
        <v>-3316.9516044094562</v>
      </c>
      <c r="X12" s="11">
        <f>-U12+W12</f>
        <v>11199.595422461856</v>
      </c>
      <c r="Y12" s="16">
        <f>O12</f>
        <v>7</v>
      </c>
    </row>
    <row r="13" spans="1:25" x14ac:dyDescent="0.25">
      <c r="A13">
        <f t="shared" si="3"/>
        <v>2029</v>
      </c>
      <c r="B13" s="16">
        <f t="shared" si="3"/>
        <v>8</v>
      </c>
      <c r="C13" s="52">
        <f>-'Electricity Costs'!E12</f>
        <v>-1447.3439412380928</v>
      </c>
      <c r="D13" s="9">
        <f>'User Inputs - EX 2'!$E$29*12</f>
        <v>3698.2799999999997</v>
      </c>
      <c r="E13" s="15">
        <f>'Electricity Costs'!S12</f>
        <v>8.7564308444904615</v>
      </c>
      <c r="F13" s="15">
        <f>-'PV Degrad. SPV SRECS'!F9</f>
        <v>-3480.7019317481904</v>
      </c>
      <c r="G13" s="11">
        <f t="shared" si="1"/>
        <v>-1221.0094421417934</v>
      </c>
      <c r="H13" s="11">
        <f>SUM($G$5:G13)</f>
        <v>-18085.539851874197</v>
      </c>
      <c r="I13" s="1" t="str">
        <f>IF(H13&lt;0,"Yes","No")</f>
        <v>Yes</v>
      </c>
      <c r="J13" s="25">
        <f>$D$5*($B$30-B13)/$B$30</f>
        <v>-4710.387200000001</v>
      </c>
      <c r="K13" s="4">
        <f>-H13+J13</f>
        <v>13375.152651874196</v>
      </c>
      <c r="L13" s="16">
        <f>B13</f>
        <v>8</v>
      </c>
      <c r="N13">
        <f t="shared" si="4"/>
        <v>2029</v>
      </c>
      <c r="O13" s="16">
        <f t="shared" si="4"/>
        <v>8</v>
      </c>
      <c r="P13" s="12">
        <f>-'Electricity Costs'!F12</f>
        <v>-775.03881165754967</v>
      </c>
      <c r="Q13" s="12">
        <f>D13/(1+'User Inputs - EX 1'!$B$23)^O13</f>
        <v>1980.3935019930173</v>
      </c>
      <c r="R13" s="12">
        <f>'Electricity Costs'!AD12</f>
        <v>4.6889848105281544</v>
      </c>
      <c r="S13" s="12">
        <f>-'PV Degrad. SPV SRECS'!G9</f>
        <v>-1863.8825313412342</v>
      </c>
      <c r="T13" s="11">
        <f t="shared" si="2"/>
        <v>-653.83885619523835</v>
      </c>
      <c r="U13" s="11">
        <f>SUM($T$5:T13)</f>
        <v>-15170.38588306655</v>
      </c>
      <c r="V13" s="1" t="str">
        <f>IF(U13&lt;0,"Yes","No")</f>
        <v>Yes</v>
      </c>
      <c r="W13" s="52">
        <f>($D$5*($B$30-O13)/$B$30)*'PV Degrad. SPV SRECS'!H9</f>
        <v>-2955.3552030901869</v>
      </c>
      <c r="X13" s="11">
        <f>-U13+W13</f>
        <v>12215.030679976364</v>
      </c>
      <c r="Y13" s="16">
        <f>O13</f>
        <v>8</v>
      </c>
    </row>
    <row r="14" spans="1:25" x14ac:dyDescent="0.25">
      <c r="A14">
        <f t="shared" si="3"/>
        <v>2030</v>
      </c>
      <c r="B14" s="16">
        <f t="shared" si="3"/>
        <v>9</v>
      </c>
      <c r="C14" s="52">
        <f>-'Electricity Costs'!E13</f>
        <v>-1476.2908200628547</v>
      </c>
      <c r="D14" s="9">
        <f>'User Inputs - EX 2'!$E$29*12</f>
        <v>3698.2799999999997</v>
      </c>
      <c r="E14" s="15">
        <f>'Electricity Costs'!S13</f>
        <v>16.534457184703971</v>
      </c>
      <c r="F14" s="15">
        <f>-'PV Degrad. SPV SRECS'!F10</f>
        <v>-3463.29842208945</v>
      </c>
      <c r="G14" s="11">
        <f t="shared" si="1"/>
        <v>-1224.7747849676007</v>
      </c>
      <c r="H14" s="11">
        <f>SUM($G$5:G14)</f>
        <v>-19310.314636841798</v>
      </c>
      <c r="I14" s="1" t="str">
        <f>IF(H14&lt;0,"Yes","No")</f>
        <v>Yes</v>
      </c>
      <c r="J14" s="25">
        <f>$D$5*($B$30-B14)/$B$30</f>
        <v>-4433.3056000000006</v>
      </c>
      <c r="K14" s="4">
        <f>-H14+J14</f>
        <v>14877.009036841799</v>
      </c>
      <c r="L14" s="16">
        <f>B14</f>
        <v>9</v>
      </c>
      <c r="N14">
        <f t="shared" si="4"/>
        <v>2030</v>
      </c>
      <c r="O14" s="16">
        <f t="shared" si="4"/>
        <v>9</v>
      </c>
      <c r="P14" s="12">
        <f>-'Electricity Costs'!F13</f>
        <v>-731.16869024297114</v>
      </c>
      <c r="Q14" s="12">
        <f>D14/(1+'User Inputs - EX 1'!$B$23)^O14</f>
        <v>1831.6625064678292</v>
      </c>
      <c r="R14" s="12">
        <f>'Electricity Costs'!AD13</f>
        <v>8.1890893307212309</v>
      </c>
      <c r="S14" s="12">
        <f>-'PV Degrad. SPV SRECS'!G10</f>
        <v>-1715.2822037407768</v>
      </c>
      <c r="T14" s="11">
        <f t="shared" si="2"/>
        <v>-606.59929818519731</v>
      </c>
      <c r="U14" s="11">
        <f>SUM($T$5:T14)</f>
        <v>-15776.985181251748</v>
      </c>
      <c r="V14" s="1" t="str">
        <f>IF(U14&lt;0,"Yes","No")</f>
        <v>Yes</v>
      </c>
      <c r="W14" s="52">
        <f>($D$5*($B$30-O14)/$B$30)*'PV Degrad. SPV SRECS'!H10</f>
        <v>-2624.066772999056</v>
      </c>
      <c r="X14" s="11">
        <f>-U14+W14</f>
        <v>13152.918408252692</v>
      </c>
      <c r="Y14" s="16">
        <f>O14</f>
        <v>9</v>
      </c>
    </row>
    <row r="15" spans="1:25" x14ac:dyDescent="0.25">
      <c r="A15">
        <f t="shared" si="3"/>
        <v>2031</v>
      </c>
      <c r="B15" s="16">
        <f t="shared" si="3"/>
        <v>10</v>
      </c>
      <c r="C15" s="52">
        <f>-'Electricity Costs'!E14</f>
        <v>-1505.8166364641118</v>
      </c>
      <c r="D15" s="9">
        <f>'User Inputs - EX 2'!$E$29*12</f>
        <v>3698.2799999999997</v>
      </c>
      <c r="E15" s="15">
        <f>'Electricity Costs'!S14</f>
        <v>24.620102006188226</v>
      </c>
      <c r="F15" s="15">
        <f>-'PV Degrad. SPV SRECS'!F11</f>
        <v>-3445.9819299790029</v>
      </c>
      <c r="G15" s="11">
        <f t="shared" si="1"/>
        <v>-1228.898464436927</v>
      </c>
      <c r="H15" s="11">
        <f>SUM($G$5:G15)</f>
        <v>-20539.213101278725</v>
      </c>
      <c r="I15" s="1" t="str">
        <f>IF(H15&lt;0,"Yes","No")</f>
        <v>Yes</v>
      </c>
      <c r="J15" s="25">
        <f>$D$5*($B$30-B15)/$B$30</f>
        <v>-4156.2240000000002</v>
      </c>
      <c r="K15" s="4">
        <f>-H15+J15</f>
        <v>16382.989101278725</v>
      </c>
      <c r="L15" s="16">
        <f>B15</f>
        <v>10</v>
      </c>
      <c r="N15">
        <f t="shared" si="4"/>
        <v>2031</v>
      </c>
      <c r="O15" s="16">
        <f t="shared" si="4"/>
        <v>10</v>
      </c>
      <c r="P15" s="12">
        <f>-'Electricity Costs'!F14</f>
        <v>-689.78178324808596</v>
      </c>
      <c r="Q15" s="12">
        <f>D15/(1+'User Inputs - EX 1'!$B$23)^O15</f>
        <v>1694.1014673213363</v>
      </c>
      <c r="R15" s="12">
        <f>'Electricity Costs'!AD14</f>
        <v>11.277932156106317</v>
      </c>
      <c r="S15" s="12">
        <f>-'PV Degrad. SPV SRECS'!G11</f>
        <v>-1578.5292200537112</v>
      </c>
      <c r="T15" s="11">
        <f t="shared" si="2"/>
        <v>-562.93160382435462</v>
      </c>
      <c r="U15" s="11">
        <f>SUM($T$5:T15)</f>
        <v>-16339.916785076102</v>
      </c>
      <c r="V15" s="1" t="str">
        <f>IF(U15&lt;0,"Yes","No")</f>
        <v>Yes</v>
      </c>
      <c r="W15" s="52">
        <f>($D$5*($B$30-O15)/$B$30)*'PV Degrad. SPV SRECS'!H11</f>
        <v>-2320.8137732892587</v>
      </c>
      <c r="X15" s="11">
        <f>-U15+W15</f>
        <v>14019.103011786843</v>
      </c>
      <c r="Y15" s="16">
        <f>O15</f>
        <v>10</v>
      </c>
    </row>
    <row r="16" spans="1:25" x14ac:dyDescent="0.25">
      <c r="A16">
        <f t="shared" si="3"/>
        <v>2032</v>
      </c>
      <c r="B16" s="16">
        <f t="shared" si="3"/>
        <v>11</v>
      </c>
      <c r="C16" s="52">
        <f>-'Electricity Costs'!E15</f>
        <v>-1535.932969193394</v>
      </c>
      <c r="D16" s="9">
        <v>0</v>
      </c>
      <c r="E16" s="15">
        <f>'Electricity Costs'!S15</f>
        <v>33.022558837657968</v>
      </c>
      <c r="F16" s="15">
        <f>-'PV Degrad. SPV SRECS'!F12</f>
        <v>0</v>
      </c>
      <c r="G16" s="11">
        <f t="shared" si="1"/>
        <v>-1502.9104103557361</v>
      </c>
      <c r="H16" s="11">
        <f>SUM($G$5:G16)</f>
        <v>-22042.123511634461</v>
      </c>
      <c r="I16" s="1" t="str">
        <f>IF(H16&lt;0,"Yes","No")</f>
        <v>Yes</v>
      </c>
      <c r="J16" s="25">
        <f>$D$5*($B$30-B16)/$B$30</f>
        <v>-3879.1424000000006</v>
      </c>
      <c r="K16" s="4">
        <f>-H16+J16</f>
        <v>18162.981111634461</v>
      </c>
      <c r="L16" s="16">
        <f>B16</f>
        <v>11</v>
      </c>
      <c r="N16">
        <f t="shared" si="4"/>
        <v>2032</v>
      </c>
      <c r="O16" s="16">
        <f t="shared" si="4"/>
        <v>11</v>
      </c>
      <c r="P16" s="12">
        <f>-'Electricity Costs'!F15</f>
        <v>-650.73753136611879</v>
      </c>
      <c r="Q16" s="12">
        <f>D16/(1+'User Inputs - EX 1'!$B$23)^O16</f>
        <v>0</v>
      </c>
      <c r="R16" s="12">
        <f>'Electricity Costs'!AD15</f>
        <v>13.990856924371542</v>
      </c>
      <c r="S16" s="12">
        <f>-'PV Degrad. SPV SRECS'!G12</f>
        <v>0</v>
      </c>
      <c r="T16" s="11">
        <f t="shared" si="2"/>
        <v>-636.74667444174725</v>
      </c>
      <c r="U16" s="11">
        <f>SUM($T$5:T16)</f>
        <v>-16976.663459517851</v>
      </c>
      <c r="V16" s="1" t="str">
        <f>IF(U16&lt;0,"Yes","No")</f>
        <v>Yes</v>
      </c>
      <c r="W16" s="52">
        <f>($D$5*($B$30-O16)/$B$30)*'PV Degrad. SPV SRECS'!H12</f>
        <v>-2043.4838255377122</v>
      </c>
      <c r="X16" s="11">
        <f>-U16+W16</f>
        <v>14933.179633980139</v>
      </c>
      <c r="Y16" s="16">
        <f>O16</f>
        <v>11</v>
      </c>
    </row>
    <row r="17" spans="1:25" x14ac:dyDescent="0.25">
      <c r="A17">
        <f t="shared" si="3"/>
        <v>2033</v>
      </c>
      <c r="B17" s="16">
        <f t="shared" si="3"/>
        <v>12</v>
      </c>
      <c r="C17" s="52">
        <f>-'Electricity Costs'!E16</f>
        <v>-1566.6516285772618</v>
      </c>
      <c r="D17" s="9">
        <v>0</v>
      </c>
      <c r="E17" s="15">
        <f>'Electricity Costs'!S16</f>
        <v>41.751265901584027</v>
      </c>
      <c r="F17" s="15">
        <f>-'PV Degrad. SPV SRECS'!F13</f>
        <v>0</v>
      </c>
      <c r="G17" s="11">
        <f t="shared" si="1"/>
        <v>-1524.9003626756778</v>
      </c>
      <c r="H17" s="11">
        <f>SUM($G$5:G17)</f>
        <v>-23567.02387431014</v>
      </c>
      <c r="I17" s="1" t="str">
        <f>IF(H17&lt;0,"Yes","No")</f>
        <v>Yes</v>
      </c>
      <c r="J17" s="25">
        <f>$D$5*($B$30-B17)/$B$30</f>
        <v>-3602.0608000000007</v>
      </c>
      <c r="K17" s="4">
        <f>-H17+J17</f>
        <v>19964.963074310141</v>
      </c>
      <c r="L17" s="16">
        <f>B17</f>
        <v>12</v>
      </c>
      <c r="N17">
        <f t="shared" si="4"/>
        <v>2033</v>
      </c>
      <c r="O17" s="16">
        <f t="shared" si="4"/>
        <v>12</v>
      </c>
      <c r="P17" s="12">
        <f>-'Electricity Costs'!F16</f>
        <v>-613.90333147747037</v>
      </c>
      <c r="Q17" s="12">
        <f>D17/(1+'User Inputs - EX 1'!$B$23)^O17</f>
        <v>0</v>
      </c>
      <c r="R17" s="12">
        <f>'Electricity Costs'!AD16</f>
        <v>16.360523783874555</v>
      </c>
      <c r="S17" s="12">
        <f>-'PV Degrad. SPV SRECS'!G13</f>
        <v>0</v>
      </c>
      <c r="T17" s="11">
        <f t="shared" si="2"/>
        <v>-597.54280769359582</v>
      </c>
      <c r="U17" s="11">
        <f>SUM($T$5:T17)</f>
        <v>-17574.206267211448</v>
      </c>
      <c r="V17" s="1" t="str">
        <f>IF(U17&lt;0,"Yes","No")</f>
        <v>Yes</v>
      </c>
      <c r="W17" s="52">
        <f>($D$5*($B$30-O17)/$B$30)*'PV Degrad. SPV SRECS'!H13</f>
        <v>-1790.1138633416615</v>
      </c>
      <c r="X17" s="11">
        <f>-U17+W17</f>
        <v>15784.092403869787</v>
      </c>
      <c r="Y17" s="16">
        <f>O17</f>
        <v>12</v>
      </c>
    </row>
    <row r="18" spans="1:25" x14ac:dyDescent="0.25">
      <c r="A18">
        <f t="shared" si="3"/>
        <v>2034</v>
      </c>
      <c r="B18" s="16">
        <f t="shared" si="3"/>
        <v>13</v>
      </c>
      <c r="C18" s="52">
        <f>-'Electricity Costs'!E17</f>
        <v>-1597.9846611488072</v>
      </c>
      <c r="D18" s="9">
        <v>0</v>
      </c>
      <c r="E18" s="15">
        <f>'Electricity Costs'!S17</f>
        <v>50.81591222453207</v>
      </c>
      <c r="F18" s="15">
        <f>-'PV Degrad. SPV SRECS'!F14</f>
        <v>0</v>
      </c>
      <c r="G18" s="11">
        <f t="shared" si="1"/>
        <v>-1547.1687489242752</v>
      </c>
      <c r="H18" s="11">
        <f>SUM($G$5:G18)</f>
        <v>-25114.192623234416</v>
      </c>
      <c r="I18" s="1" t="str">
        <f>IF(H18&lt;0,"Yes","No")</f>
        <v>Yes</v>
      </c>
      <c r="J18" s="25">
        <f>$D$5*($B$30-B18)/$B$30</f>
        <v>-3324.9792000000002</v>
      </c>
      <c r="K18" s="4">
        <f>-H18+J18</f>
        <v>21789.213423234414</v>
      </c>
      <c r="L18" s="16">
        <f>B18</f>
        <v>13</v>
      </c>
      <c r="N18">
        <f t="shared" si="4"/>
        <v>2034</v>
      </c>
      <c r="O18" s="16">
        <f t="shared" si="4"/>
        <v>13</v>
      </c>
      <c r="P18" s="12">
        <f>-'Electricity Costs'!F17</f>
        <v>-579.15408629950025</v>
      </c>
      <c r="Q18" s="12">
        <f>D18/(1+'User Inputs - EX 1'!$B$23)^O18</f>
        <v>0</v>
      </c>
      <c r="R18" s="12">
        <f>'Electricity Costs'!AD17</f>
        <v>18.417099944324036</v>
      </c>
      <c r="S18" s="12">
        <f>-'PV Degrad. SPV SRECS'!G14</f>
        <v>0</v>
      </c>
      <c r="T18" s="11">
        <f t="shared" si="2"/>
        <v>-560.73698635517621</v>
      </c>
      <c r="U18" s="11">
        <f>SUM($T$5:T18)</f>
        <v>-18134.943253566624</v>
      </c>
      <c r="V18" s="1" t="str">
        <f>IF(U18&lt;0,"Yes","No")</f>
        <v>Yes</v>
      </c>
      <c r="W18" s="52">
        <f>($D$5*($B$30-O18)/$B$30)*'PV Degrad. SPV SRECS'!H14</f>
        <v>-1558.8799971044946</v>
      </c>
      <c r="X18" s="11">
        <f>-U18+W18</f>
        <v>16576.06325646213</v>
      </c>
      <c r="Y18" s="16">
        <f>O18</f>
        <v>13</v>
      </c>
    </row>
    <row r="19" spans="1:25" x14ac:dyDescent="0.25">
      <c r="A19">
        <f t="shared" si="3"/>
        <v>2035</v>
      </c>
      <c r="B19" s="16">
        <f t="shared" si="3"/>
        <v>14</v>
      </c>
      <c r="C19" s="52">
        <f>-'Electricity Costs'!E18</f>
        <v>-1629.9443543717834</v>
      </c>
      <c r="D19" s="9">
        <v>0</v>
      </c>
      <c r="E19" s="15">
        <f>'Electricity Costs'!S18</f>
        <v>60.226443894037395</v>
      </c>
      <c r="F19" s="15">
        <f>-'PV Degrad. SPV SRECS'!F15</f>
        <v>0</v>
      </c>
      <c r="G19" s="11">
        <f t="shared" si="1"/>
        <v>-1569.717910477746</v>
      </c>
      <c r="H19" s="11">
        <f>SUM($G$5:G19)</f>
        <v>-26683.910533712162</v>
      </c>
      <c r="I19" s="1" t="str">
        <f>IF(H19&lt;0,"Yes","No")</f>
        <v>Yes</v>
      </c>
      <c r="J19" s="25">
        <f>$D$5*($B$30-B19)/$B$30</f>
        <v>-3047.8976000000002</v>
      </c>
      <c r="K19" s="4">
        <f>-H19+J19</f>
        <v>23636.012933712162</v>
      </c>
      <c r="L19" s="16">
        <f>B19</f>
        <v>14</v>
      </c>
      <c r="N19">
        <f t="shared" si="4"/>
        <v>2035</v>
      </c>
      <c r="O19" s="16">
        <f t="shared" si="4"/>
        <v>14</v>
      </c>
      <c r="P19" s="12">
        <f>-'Electricity Costs'!F18</f>
        <v>-546.37177952783043</v>
      </c>
      <c r="Q19" s="12">
        <f>D19/(1+'User Inputs - EX 1'!$B$23)^O19</f>
        <v>0</v>
      </c>
      <c r="R19" s="12">
        <f>'Electricity Costs'!AD18</f>
        <v>20.188437253553388</v>
      </c>
      <c r="S19" s="12">
        <f>-'PV Degrad. SPV SRECS'!G15</f>
        <v>0</v>
      </c>
      <c r="T19" s="11">
        <f t="shared" si="2"/>
        <v>-526.18334227427704</v>
      </c>
      <c r="U19" s="11">
        <f>SUM($T$5:T19)</f>
        <v>-18661.126595840902</v>
      </c>
      <c r="V19" s="1" t="str">
        <f>IF(U19&lt;0,"Yes","No")</f>
        <v>Yes</v>
      </c>
      <c r="W19" s="52">
        <f>($D$5*($B$30-O19)/$B$30)*'PV Degrad. SPV SRECS'!H15</f>
        <v>-1348.0880478104907</v>
      </c>
      <c r="X19" s="11">
        <f>-U19+W19</f>
        <v>17313.03854803041</v>
      </c>
      <c r="Y19" s="16">
        <f>O19</f>
        <v>14</v>
      </c>
    </row>
    <row r="20" spans="1:25" x14ac:dyDescent="0.25">
      <c r="A20">
        <f t="shared" si="3"/>
        <v>2036</v>
      </c>
      <c r="B20" s="16">
        <f t="shared" si="3"/>
        <v>15</v>
      </c>
      <c r="C20" s="52">
        <f>-'Electricity Costs'!E19</f>
        <v>-1662.5432414592192</v>
      </c>
      <c r="D20" s="9">
        <v>0</v>
      </c>
      <c r="E20" s="15">
        <f>'Electricity Costs'!S19</f>
        <v>69.993070465433135</v>
      </c>
      <c r="F20" s="15">
        <f>-'PV Degrad. SPV SRECS'!F16</f>
        <v>0</v>
      </c>
      <c r="G20" s="11">
        <f t="shared" si="1"/>
        <v>-1592.550170993786</v>
      </c>
      <c r="H20" s="11">
        <f>SUM($G$5:G20)</f>
        <v>-28276.460704705947</v>
      </c>
      <c r="I20" s="1" t="str">
        <f>IF(H20&lt;0,"Yes","No")</f>
        <v>Yes</v>
      </c>
      <c r="J20" s="25">
        <f>$D$5*($B$30-B20)/$B$30</f>
        <v>-2770.8160000000003</v>
      </c>
      <c r="K20" s="4">
        <f>-H20+J20</f>
        <v>25505.644704705948</v>
      </c>
      <c r="L20" s="16">
        <f>B20</f>
        <v>15</v>
      </c>
      <c r="N20">
        <f t="shared" si="4"/>
        <v>2036</v>
      </c>
      <c r="O20" s="16">
        <f t="shared" si="4"/>
        <v>15</v>
      </c>
      <c r="P20" s="12">
        <f>-'Electricity Costs'!F19</f>
        <v>-515.44507502625515</v>
      </c>
      <c r="Q20" s="12">
        <f>D20/(1+'User Inputs - EX 1'!$B$23)^O20</f>
        <v>0</v>
      </c>
      <c r="R20" s="12">
        <f>'Electricity Costs'!AD19</f>
        <v>21.700237658605317</v>
      </c>
      <c r="S20" s="12">
        <f>-'PV Degrad. SPV SRECS'!G16</f>
        <v>0</v>
      </c>
      <c r="T20" s="11">
        <f t="shared" si="2"/>
        <v>-493.74483736764984</v>
      </c>
      <c r="U20" s="11">
        <f>SUM($T$5:T20)</f>
        <v>-19154.871433208551</v>
      </c>
      <c r="V20" s="1" t="str">
        <f>IF(U20&lt;0,"Yes","No")</f>
        <v>Yes</v>
      </c>
      <c r="W20" s="52">
        <f>($D$5*($B$30-O20)/$B$30)*'PV Degrad. SPV SRECS'!H16</f>
        <v>-1156.1647065270072</v>
      </c>
      <c r="X20" s="11">
        <f>-U20+W20</f>
        <v>17998.706726681543</v>
      </c>
      <c r="Y20" s="16">
        <f>O20</f>
        <v>15</v>
      </c>
    </row>
    <row r="21" spans="1:25" x14ac:dyDescent="0.25">
      <c r="A21">
        <f t="shared" si="3"/>
        <v>2037</v>
      </c>
      <c r="B21" s="16">
        <f t="shared" si="3"/>
        <v>16</v>
      </c>
      <c r="C21" s="52">
        <f>-'Electricity Costs'!E20</f>
        <v>-1695.7941062884036</v>
      </c>
      <c r="D21" s="9">
        <v>0</v>
      </c>
      <c r="E21" s="15">
        <f>'Electricity Costs'!S20</f>
        <v>80.12627152212707</v>
      </c>
      <c r="F21" s="15">
        <f>-'PV Degrad. SPV SRECS'!F17</f>
        <v>0</v>
      </c>
      <c r="G21" s="11">
        <f t="shared" si="1"/>
        <v>-1615.6678347662764</v>
      </c>
      <c r="H21" s="11">
        <f>SUM($G$5:G21)</f>
        <v>-29892.128539472222</v>
      </c>
      <c r="I21" s="1" t="str">
        <f>IF(H21&lt;0,"Yes","No")</f>
        <v>Yes</v>
      </c>
      <c r="J21" s="25">
        <f>$D$5*($B$30-B21)/$B$30</f>
        <v>-2493.7344000000003</v>
      </c>
      <c r="K21" s="4">
        <f>-H21+J21</f>
        <v>27398.394139472221</v>
      </c>
      <c r="L21" s="16">
        <f>B21</f>
        <v>16</v>
      </c>
      <c r="N21">
        <f t="shared" si="4"/>
        <v>2037</v>
      </c>
      <c r="O21" s="16">
        <f t="shared" si="4"/>
        <v>16</v>
      </c>
      <c r="P21" s="12">
        <f>-'Electricity Costs'!F20</f>
        <v>-486.26893870401409</v>
      </c>
      <c r="Q21" s="12">
        <f>D21/(1+'User Inputs - EX 1'!$B$23)^O21</f>
        <v>0</v>
      </c>
      <c r="R21" s="12">
        <f>'Electricity Costs'!AD20</f>
        <v>22.976207353764664</v>
      </c>
      <c r="S21" s="12">
        <f>-'PV Degrad. SPV SRECS'!G17</f>
        <v>0</v>
      </c>
      <c r="T21" s="11">
        <f t="shared" si="2"/>
        <v>-463.29273135024943</v>
      </c>
      <c r="U21" s="11">
        <f>SUM($T$5:T21)</f>
        <v>-19618.164164558799</v>
      </c>
      <c r="V21" s="1" t="str">
        <f>IF(U21&lt;0,"Yes","No")</f>
        <v>Yes</v>
      </c>
      <c r="W21" s="52">
        <f>($D$5*($B$30-O21)/$B$30)*'PV Degrad. SPV SRECS'!H17</f>
        <v>-981.64927912670453</v>
      </c>
      <c r="X21" s="11">
        <f>-U21+W21</f>
        <v>18636.514885432094</v>
      </c>
      <c r="Y21" s="16">
        <f>O21</f>
        <v>16</v>
      </c>
    </row>
    <row r="22" spans="1:25" x14ac:dyDescent="0.25">
      <c r="A22">
        <f t="shared" si="3"/>
        <v>2038</v>
      </c>
      <c r="B22" s="16">
        <f t="shared" si="3"/>
        <v>17</v>
      </c>
      <c r="C22" s="52">
        <f>-'Electricity Costs'!E21</f>
        <v>-1729.7099884141717</v>
      </c>
      <c r="D22" s="9">
        <v>0</v>
      </c>
      <c r="E22" s="15">
        <f>'Electricity Costs'!S21</f>
        <v>90.636803392902593</v>
      </c>
      <c r="F22" s="15">
        <f>-'PV Degrad. SPV SRECS'!F18</f>
        <v>0</v>
      </c>
      <c r="G22" s="11">
        <f t="shared" si="1"/>
        <v>-1639.0731850212692</v>
      </c>
      <c r="H22" s="11">
        <f>SUM($G$5:G22)</f>
        <v>-31531.20172449349</v>
      </c>
      <c r="I22" s="1" t="str">
        <f>IF(H22&lt;0,"Yes","No")</f>
        <v>Yes</v>
      </c>
      <c r="J22" s="25">
        <f>$D$5*($B$30-B22)/$B$30</f>
        <v>-2216.6528000000003</v>
      </c>
      <c r="K22" s="4">
        <f>-H22+J22</f>
        <v>29314.548924493491</v>
      </c>
      <c r="L22" s="16">
        <f>B22</f>
        <v>17</v>
      </c>
      <c r="N22">
        <f t="shared" si="4"/>
        <v>2038</v>
      </c>
      <c r="O22" s="16">
        <f t="shared" si="4"/>
        <v>17</v>
      </c>
      <c r="P22" s="12">
        <f>-'Electricity Costs'!F21</f>
        <v>-458.74428179623965</v>
      </c>
      <c r="Q22" s="12">
        <f>D22/(1+'User Inputs - EX 1'!$B$23)^O22</f>
        <v>0</v>
      </c>
      <c r="R22" s="12">
        <f>'Electricity Costs'!AD21</f>
        <v>24.038200366122908</v>
      </c>
      <c r="S22" s="12">
        <f>-'PV Degrad. SPV SRECS'!G18</f>
        <v>0</v>
      </c>
      <c r="T22" s="11">
        <f t="shared" si="2"/>
        <v>-434.70608143011674</v>
      </c>
      <c r="U22" s="11">
        <f>SUM($T$5:T22)</f>
        <v>-20052.870245988917</v>
      </c>
      <c r="V22" s="1" t="str">
        <f>IF(U22&lt;0,"Yes","No")</f>
        <v>Yes</v>
      </c>
      <c r="W22" s="52">
        <f>($D$5*($B$30-O22)/$B$30)*'PV Degrad. SPV SRECS'!H18</f>
        <v>-823.18597830331601</v>
      </c>
      <c r="X22" s="11">
        <f>-U22+W22</f>
        <v>19229.684267685603</v>
      </c>
      <c r="Y22" s="16">
        <f>O22</f>
        <v>17</v>
      </c>
    </row>
    <row r="23" spans="1:25" x14ac:dyDescent="0.25">
      <c r="A23">
        <f t="shared" si="3"/>
        <v>2039</v>
      </c>
      <c r="B23" s="16">
        <f t="shared" si="3"/>
        <v>18</v>
      </c>
      <c r="C23" s="52">
        <f>-'Electricity Costs'!E22</f>
        <v>-1764.3041881824554</v>
      </c>
      <c r="D23" s="9">
        <v>0</v>
      </c>
      <c r="E23" s="15">
        <f>'Electricity Costs'!S22</f>
        <v>101.53570602990031</v>
      </c>
      <c r="F23" s="15">
        <f>-'PV Degrad. SPV SRECS'!F19</f>
        <v>0</v>
      </c>
      <c r="G23" s="11">
        <f t="shared" si="1"/>
        <v>-1662.7684821525552</v>
      </c>
      <c r="H23" s="11">
        <f>SUM($G$5:G23)</f>
        <v>-33193.970206646045</v>
      </c>
      <c r="I23" s="1" t="str">
        <f>IF(H23&lt;0,"Yes","No")</f>
        <v>Yes</v>
      </c>
      <c r="J23" s="25">
        <f>$D$5*($B$30-B23)/$B$30</f>
        <v>-1939.5712000000003</v>
      </c>
      <c r="K23" s="4">
        <f>-H23+J23</f>
        <v>31254.399006646046</v>
      </c>
      <c r="L23" s="16">
        <f>B23</f>
        <v>18</v>
      </c>
      <c r="N23">
        <f t="shared" si="4"/>
        <v>2039</v>
      </c>
      <c r="O23" s="16">
        <f t="shared" si="4"/>
        <v>18</v>
      </c>
      <c r="P23" s="12">
        <f>-'Electricity Costs'!F22</f>
        <v>-432.77762433607512</v>
      </c>
      <c r="Q23" s="12">
        <f>D23/(1+'User Inputs - EX 1'!$B$23)^O23</f>
        <v>0</v>
      </c>
      <c r="R23" s="12">
        <f>'Electricity Costs'!AD22</f>
        <v>24.906352280541171</v>
      </c>
      <c r="S23" s="12">
        <f>-'PV Degrad. SPV SRECS'!G19</f>
        <v>0</v>
      </c>
      <c r="T23" s="11">
        <f t="shared" si="2"/>
        <v>-407.87127205553395</v>
      </c>
      <c r="U23" s="11">
        <f>SUM($T$5:T23)</f>
        <v>-20460.741518044451</v>
      </c>
      <c r="V23" s="1" t="str">
        <f>IF(U23&lt;0,"Yes","No")</f>
        <v>Yes</v>
      </c>
      <c r="W23" s="52">
        <f>($D$5*($B$30-O23)/$B$30)*'PV Degrad. SPV SRECS'!H19</f>
        <v>-679.51672737302033</v>
      </c>
      <c r="X23" s="11">
        <f>-U23+W23</f>
        <v>19781.224790671433</v>
      </c>
      <c r="Y23" s="16">
        <f>O23</f>
        <v>18</v>
      </c>
    </row>
    <row r="24" spans="1:25" x14ac:dyDescent="0.25">
      <c r="A24">
        <f t="shared" si="3"/>
        <v>2040</v>
      </c>
      <c r="B24" s="16">
        <f t="shared" si="3"/>
        <v>19</v>
      </c>
      <c r="C24" s="52">
        <f>-'Electricity Costs'!E23</f>
        <v>-1799.5902719461044</v>
      </c>
      <c r="D24" s="9">
        <v>0</v>
      </c>
      <c r="E24" s="15">
        <f>'Electricity Costs'!S23</f>
        <v>112.83431005102074</v>
      </c>
      <c r="F24" s="15">
        <f>-'PV Degrad. SPV SRECS'!F20</f>
        <v>0</v>
      </c>
      <c r="G24" s="11">
        <f t="shared" si="1"/>
        <v>-1686.7559618950836</v>
      </c>
      <c r="H24" s="11">
        <f>SUM($G$5:G24)</f>
        <v>-34880.726168541129</v>
      </c>
      <c r="I24" s="1" t="str">
        <f>IF(H24&lt;0,"Yes","No")</f>
        <v>Yes</v>
      </c>
      <c r="J24" s="25">
        <f>$D$5*($B$30-B24)/$B$30</f>
        <v>-1662.4896000000001</v>
      </c>
      <c r="K24" s="4">
        <f>-H24+J24</f>
        <v>33218.236568541128</v>
      </c>
      <c r="L24" s="16">
        <f>B24</f>
        <v>19</v>
      </c>
      <c r="N24">
        <f t="shared" si="4"/>
        <v>2040</v>
      </c>
      <c r="O24" s="16">
        <f t="shared" si="4"/>
        <v>19</v>
      </c>
      <c r="P24" s="12">
        <f>-'Electricity Costs'!F23</f>
        <v>-408.28077767554254</v>
      </c>
      <c r="Q24" s="12">
        <f>D24/(1+'User Inputs - EX 1'!$B$23)^O24</f>
        <v>0</v>
      </c>
      <c r="R24" s="12">
        <f>'Electricity Costs'!AD23</f>
        <v>25.599204760256555</v>
      </c>
      <c r="S24" s="12">
        <f>-'PV Degrad. SPV SRECS'!G20</f>
        <v>0</v>
      </c>
      <c r="T24" s="11">
        <f t="shared" si="2"/>
        <v>-382.68157291528598</v>
      </c>
      <c r="U24" s="11">
        <f>SUM($T$5:T24)</f>
        <v>-20843.423090959739</v>
      </c>
      <c r="V24" s="1" t="str">
        <f>IF(U24&lt;0,"Yes","No")</f>
        <v>Yes</v>
      </c>
      <c r="W24" s="52">
        <f>($D$5*($B$30-O24)/$B$30)*'PV Degrad. SPV SRECS'!H20</f>
        <v>-549.47444261969281</v>
      </c>
      <c r="X24" s="11">
        <f>-U24+W24</f>
        <v>20293.948648340047</v>
      </c>
      <c r="Y24" s="16">
        <f>O24</f>
        <v>19</v>
      </c>
    </row>
    <row r="25" spans="1:25" x14ac:dyDescent="0.25">
      <c r="A25">
        <f t="shared" si="3"/>
        <v>2041</v>
      </c>
      <c r="B25" s="16">
        <f t="shared" si="3"/>
        <v>20</v>
      </c>
      <c r="C25" s="52">
        <f>-'Electricity Costs'!E24</f>
        <v>-1835.5820773850264</v>
      </c>
      <c r="D25" s="9">
        <v>0</v>
      </c>
      <c r="E25" s="15">
        <f>'Electricity Costs'!S24</f>
        <v>124.54424395057404</v>
      </c>
      <c r="F25" s="15">
        <f>-'PV Degrad. SPV SRECS'!F21</f>
        <v>0</v>
      </c>
      <c r="G25" s="11">
        <f t="shared" si="1"/>
        <v>-1711.0378334344523</v>
      </c>
      <c r="H25" s="11">
        <f>SUM($G$5:G25)</f>
        <v>-36591.764001975578</v>
      </c>
      <c r="I25" s="1" t="str">
        <f>IF(H25&lt;0,"Yes","No")</f>
        <v>Yes</v>
      </c>
      <c r="J25" s="25">
        <f>$D$5*($B$30-B25)/$B$30</f>
        <v>-1385.4080000000001</v>
      </c>
      <c r="K25" s="4">
        <f>-H25+J25</f>
        <v>35206.356001975575</v>
      </c>
      <c r="L25" s="16">
        <f>B25</f>
        <v>20</v>
      </c>
      <c r="N25">
        <f t="shared" si="4"/>
        <v>2041</v>
      </c>
      <c r="O25" s="16">
        <f t="shared" si="4"/>
        <v>20</v>
      </c>
      <c r="P25" s="12">
        <f>-'Electricity Costs'!F24</f>
        <v>-385.17054497692675</v>
      </c>
      <c r="Q25" s="12">
        <f>D25/(1+'User Inputs - EX 1'!$B$23)^O25</f>
        <v>0</v>
      </c>
      <c r="R25" s="12">
        <f>'Electricity Costs'!AD24</f>
        <v>26.133821476684489</v>
      </c>
      <c r="S25" s="12">
        <f>-'PV Degrad. SPV SRECS'!G21</f>
        <v>0</v>
      </c>
      <c r="T25" s="11">
        <f t="shared" si="2"/>
        <v>-359.03672350024226</v>
      </c>
      <c r="U25" s="11">
        <f>SUM($T$5:T25)</f>
        <v>-21202.45981445998</v>
      </c>
      <c r="V25" s="1" t="str">
        <f>IF(U25&lt;0,"Yes","No")</f>
        <v>Yes</v>
      </c>
      <c r="W25" s="52">
        <f>($D$5*($B$30-O25)/$B$30)*'PV Degrad. SPV SRECS'!H21</f>
        <v>-431.97676306579632</v>
      </c>
      <c r="X25" s="11">
        <f>-U25+W25</f>
        <v>20770.483051394185</v>
      </c>
      <c r="Y25" s="16">
        <f>O25</f>
        <v>20</v>
      </c>
    </row>
    <row r="26" spans="1:25" x14ac:dyDescent="0.25">
      <c r="A26">
        <f t="shared" si="3"/>
        <v>2042</v>
      </c>
      <c r="B26" s="16">
        <f t="shared" si="3"/>
        <v>21</v>
      </c>
      <c r="C26" s="52">
        <f>-'Electricity Costs'!E25</f>
        <v>-1872.2937189327272</v>
      </c>
      <c r="D26" s="9">
        <v>0</v>
      </c>
      <c r="E26" s="15">
        <f>'Electricity Costs'!S25</f>
        <v>136.67744148208942</v>
      </c>
      <c r="F26" s="15">
        <f>-'PV Degrad. SPV SRECS'!F22</f>
        <v>0</v>
      </c>
      <c r="G26" s="11">
        <f t="shared" si="1"/>
        <v>-1735.6162774506379</v>
      </c>
      <c r="H26" s="11">
        <f>SUM($G$5:G26)</f>
        <v>-38327.380279426216</v>
      </c>
      <c r="I26" s="1" t="str">
        <f>IF(H26&lt;0,"Yes","No")</f>
        <v>Yes</v>
      </c>
      <c r="J26" s="25">
        <f>$D$5*($B$30-B26)/$B$30</f>
        <v>-1108.3264000000001</v>
      </c>
      <c r="K26" s="4">
        <f>-H26+J26</f>
        <v>37219.053879426217</v>
      </c>
      <c r="L26" s="16">
        <f>B26</f>
        <v>21</v>
      </c>
      <c r="N26">
        <f t="shared" si="4"/>
        <v>2042</v>
      </c>
      <c r="O26" s="16">
        <f t="shared" si="4"/>
        <v>21</v>
      </c>
      <c r="P26" s="12">
        <f>-'Electricity Costs'!F25</f>
        <v>-363.36843865747807</v>
      </c>
      <c r="Q26" s="12">
        <f>D26/(1+'User Inputs - EX 1'!$B$23)^O26</f>
        <v>0</v>
      </c>
      <c r="R26" s="12">
        <f>'Electricity Costs'!AD25</f>
        <v>26.525896021996004</v>
      </c>
      <c r="S26" s="12">
        <f>-'PV Degrad. SPV SRECS'!G22</f>
        <v>0</v>
      </c>
      <c r="T26" s="11">
        <f t="shared" si="2"/>
        <v>-336.84254263548206</v>
      </c>
      <c r="U26" s="11">
        <f>SUM($T$5:T26)</f>
        <v>-21539.302357095461</v>
      </c>
      <c r="V26" s="1" t="str">
        <f>IF(U26&lt;0,"Yes","No")</f>
        <v>Yes</v>
      </c>
      <c r="W26" s="52">
        <f>($D$5*($B$30-O26)/$B$30)*'PV Degrad. SPV SRECS'!H22</f>
        <v>-326.02019854022353</v>
      </c>
      <c r="X26" s="11">
        <f>-U26+W26</f>
        <v>21213.282158555237</v>
      </c>
      <c r="Y26" s="16">
        <f>O26</f>
        <v>21</v>
      </c>
    </row>
    <row r="27" spans="1:25" x14ac:dyDescent="0.25">
      <c r="A27">
        <f t="shared" si="3"/>
        <v>2043</v>
      </c>
      <c r="B27" s="16">
        <f t="shared" si="3"/>
        <v>22</v>
      </c>
      <c r="C27" s="52">
        <f>-'Electricity Costs'!E26</f>
        <v>-1909.7395933113817</v>
      </c>
      <c r="D27" s="9">
        <v>0</v>
      </c>
      <c r="E27" s="15">
        <f>'Electricity Costs'!S26</f>
        <v>149.24614921728482</v>
      </c>
      <c r="F27" s="15">
        <f>-'PV Degrad. SPV SRECS'!F23</f>
        <v>0</v>
      </c>
      <c r="G27" s="11">
        <f t="shared" si="1"/>
        <v>-1760.493444094097</v>
      </c>
      <c r="H27" s="11">
        <f>SUM($G$5:G27)</f>
        <v>-40087.873723520315</v>
      </c>
      <c r="I27" s="1" t="str">
        <f>IF(H27&lt;0,"Yes","No")</f>
        <v>Yes</v>
      </c>
      <c r="J27" s="25">
        <f>$D$5*($B$30-B27)/$B$30</f>
        <v>-831.24480000000005</v>
      </c>
      <c r="K27" s="4">
        <f>-H27+J27</f>
        <v>39256.628923520315</v>
      </c>
      <c r="L27" s="16">
        <f>B27</f>
        <v>22</v>
      </c>
      <c r="N27">
        <f t="shared" si="4"/>
        <v>2043</v>
      </c>
      <c r="O27" s="16">
        <f t="shared" si="4"/>
        <v>22</v>
      </c>
      <c r="P27" s="12">
        <f>-'Electricity Costs'!F26</f>
        <v>-342.80041382780945</v>
      </c>
      <c r="Q27" s="12">
        <f>D27/(1+'User Inputs - EX 1'!$B$23)^O27</f>
        <v>0</v>
      </c>
      <c r="R27" s="12">
        <f>'Electricity Costs'!AD26</f>
        <v>26.789852340643336</v>
      </c>
      <c r="S27" s="12">
        <f>-'PV Degrad. SPV SRECS'!G23</f>
        <v>0</v>
      </c>
      <c r="T27" s="11">
        <f t="shared" si="2"/>
        <v>-316.01056148716611</v>
      </c>
      <c r="U27" s="11">
        <f>SUM($T$5:T27)</f>
        <v>-21855.312918582626</v>
      </c>
      <c r="V27" s="1" t="str">
        <f>IF(U27&lt;0,"Yes","No")</f>
        <v>Yes</v>
      </c>
      <c r="W27" s="52">
        <f>($D$5*($B$30-O27)/$B$30)*'PV Degrad. SPV SRECS'!H23</f>
        <v>-230.67466877846002</v>
      </c>
      <c r="X27" s="11">
        <f>-U27+W27</f>
        <v>21624.638249804164</v>
      </c>
      <c r="Y27" s="16">
        <f>O27</f>
        <v>22</v>
      </c>
    </row>
    <row r="28" spans="1:25" x14ac:dyDescent="0.25">
      <c r="A28">
        <f t="shared" si="3"/>
        <v>2044</v>
      </c>
      <c r="B28" s="16">
        <f t="shared" si="3"/>
        <v>23</v>
      </c>
      <c r="C28" s="52">
        <f>-'Electricity Costs'!E27</f>
        <v>-1947.9343851776093</v>
      </c>
      <c r="D28" s="9">
        <v>0</v>
      </c>
      <c r="E28" s="15">
        <f>'Electricity Costs'!S27</f>
        <v>162.26293428529522</v>
      </c>
      <c r="F28" s="15">
        <f>-'PV Degrad. SPV SRECS'!F24</f>
        <v>0</v>
      </c>
      <c r="G28" s="11">
        <f t="shared" si="1"/>
        <v>-1785.6714508923142</v>
      </c>
      <c r="H28" s="11">
        <f>SUM($G$5:G28)</f>
        <v>-41873.545174412633</v>
      </c>
      <c r="I28" s="1" t="str">
        <f>IF(H28&lt;0,"Yes","No")</f>
        <v>Yes</v>
      </c>
      <c r="J28" s="25">
        <f>$D$5*($B$30-B28)/$B$30</f>
        <v>-554.16320000000007</v>
      </c>
      <c r="K28" s="4">
        <f>-H28+J28</f>
        <v>41319.38197441263</v>
      </c>
      <c r="L28" s="16">
        <f>B28</f>
        <v>23</v>
      </c>
      <c r="N28">
        <f t="shared" si="4"/>
        <v>2044</v>
      </c>
      <c r="O28" s="16">
        <f t="shared" si="4"/>
        <v>23</v>
      </c>
      <c r="P28" s="12">
        <f>-'Electricity Costs'!F27</f>
        <v>-323.39661681868813</v>
      </c>
      <c r="Q28" s="12">
        <f>D28/(1+'User Inputs - EX 1'!$B$23)^O28</f>
        <v>0</v>
      </c>
      <c r="R28" s="12">
        <f>'Electricity Costs'!AD27</f>
        <v>26.938938180996729</v>
      </c>
      <c r="S28" s="12">
        <f>-'PV Degrad. SPV SRECS'!G24</f>
        <v>0</v>
      </c>
      <c r="T28" s="11">
        <f t="shared" si="2"/>
        <v>-296.4576786376914</v>
      </c>
      <c r="U28" s="11">
        <f>SUM($T$5:T28)</f>
        <v>-22151.770597220318</v>
      </c>
      <c r="V28" s="1" t="str">
        <f>IF(U28&lt;0,"Yes","No")</f>
        <v>Yes</v>
      </c>
      <c r="W28" s="52">
        <f>($D$5*($B$30-O28)/$B$30)*'PV Degrad. SPV SRECS'!H24</f>
        <v>-145.07840803676731</v>
      </c>
      <c r="X28" s="11">
        <f>-U28+W28</f>
        <v>22006.692189183552</v>
      </c>
      <c r="Y28" s="16">
        <f>O28</f>
        <v>23</v>
      </c>
    </row>
    <row r="29" spans="1:25" x14ac:dyDescent="0.25">
      <c r="A29">
        <f t="shared" si="3"/>
        <v>2045</v>
      </c>
      <c r="B29" s="16">
        <f t="shared" si="3"/>
        <v>24</v>
      </c>
      <c r="C29" s="52">
        <f>-'Electricity Costs'!E28</f>
        <v>-1986.8930728811615</v>
      </c>
      <c r="D29" s="9">
        <v>0</v>
      </c>
      <c r="E29" s="15">
        <f>'Electricity Costs'!S28</f>
        <v>175.74069229633909</v>
      </c>
      <c r="F29" s="15">
        <f>-'PV Degrad. SPV SRECS'!F25</f>
        <v>0</v>
      </c>
      <c r="G29" s="11">
        <f t="shared" si="1"/>
        <v>-1811.1523805848224</v>
      </c>
      <c r="H29" s="11">
        <f>SUM($G$5:G29)</f>
        <v>-43684.697554997452</v>
      </c>
      <c r="I29" s="1" t="str">
        <f>IF(H29&lt;0,"Yes","No")</f>
        <v>Yes</v>
      </c>
      <c r="J29" s="25">
        <f>$D$5*($B$30-B29)/$B$30</f>
        <v>-277.08160000000004</v>
      </c>
      <c r="K29" s="4">
        <f>-H29+J29</f>
        <v>43407.615954997455</v>
      </c>
      <c r="L29" s="16">
        <f>B29</f>
        <v>24</v>
      </c>
      <c r="N29">
        <f t="shared" si="4"/>
        <v>2045</v>
      </c>
      <c r="O29" s="16">
        <f t="shared" si="4"/>
        <v>24</v>
      </c>
      <c r="P29" s="12">
        <f>-'Electricity Costs'!F28</f>
        <v>-305.0911479421585</v>
      </c>
      <c r="Q29" s="12">
        <f>D29/(1+'User Inputs - EX 1'!$B$23)^O29</f>
        <v>0</v>
      </c>
      <c r="R29" s="12">
        <f>'Electricity Costs'!AD28</f>
        <v>26.985312035483958</v>
      </c>
      <c r="S29" s="12">
        <f>-'PV Degrad. SPV SRECS'!G25</f>
        <v>0</v>
      </c>
      <c r="T29" s="11">
        <f t="shared" si="2"/>
        <v>-278.10583590667454</v>
      </c>
      <c r="U29" s="11">
        <f>SUM($T$5:T29)</f>
        <v>-22429.876433126992</v>
      </c>
      <c r="V29" s="1" t="str">
        <f>IF(U29&lt;0,"Yes","No")</f>
        <v>Yes</v>
      </c>
      <c r="W29" s="52">
        <f>($D$5*($B$30-O29)/$B$30)*'PV Degrad. SPV SRECS'!H25</f>
        <v>-68.433211338097792</v>
      </c>
      <c r="X29" s="11">
        <f>-U29+W29</f>
        <v>22361.443221788893</v>
      </c>
      <c r="Y29" s="16">
        <f>O29</f>
        <v>24</v>
      </c>
    </row>
    <row r="30" spans="1:25" x14ac:dyDescent="0.25">
      <c r="A30">
        <f t="shared" si="3"/>
        <v>2046</v>
      </c>
      <c r="B30" s="16">
        <f t="shared" si="3"/>
        <v>25</v>
      </c>
      <c r="C30" s="52">
        <f>-'Electricity Costs'!E29</f>
        <v>-2026.6309343387848</v>
      </c>
      <c r="D30" s="9">
        <v>0</v>
      </c>
      <c r="E30" s="15">
        <f>'Electricity Costs'!S29</f>
        <v>189.69265545411062</v>
      </c>
      <c r="F30" s="15">
        <f>-'PV Degrad. SPV SRECS'!F26</f>
        <v>0</v>
      </c>
      <c r="G30" s="11">
        <f t="shared" si="1"/>
        <v>-1836.9382788846742</v>
      </c>
      <c r="H30" s="11">
        <f>SUM($G$5:G30)</f>
        <v>-45521.63583388213</v>
      </c>
      <c r="I30" s="1" t="str">
        <f>IF(H30&lt;0,"Yes","No")</f>
        <v>Yes</v>
      </c>
      <c r="J30" s="25">
        <f>$D$5*($B$30-B30)/$B$30</f>
        <v>0</v>
      </c>
      <c r="K30" s="4">
        <f>-H30+J30</f>
        <v>45521.63583388213</v>
      </c>
      <c r="L30" s="16">
        <f>B30</f>
        <v>25</v>
      </c>
      <c r="N30">
        <f t="shared" si="4"/>
        <v>2046</v>
      </c>
      <c r="O30" s="16">
        <f t="shared" si="4"/>
        <v>25</v>
      </c>
      <c r="P30" s="12">
        <f>-'Electricity Costs'!F29</f>
        <v>-287.82183768128152</v>
      </c>
      <c r="Q30" s="12">
        <f>D30/(1+'User Inputs - EX 1'!$B$23)^O30</f>
        <v>0</v>
      </c>
      <c r="R30" s="12">
        <f>'Electricity Costs'!AD29</f>
        <v>26.940124006967949</v>
      </c>
      <c r="S30" s="12">
        <f>-'PV Degrad. SPV SRECS'!G26</f>
        <v>0</v>
      </c>
      <c r="T30" s="11">
        <f t="shared" si="2"/>
        <v>-260.88171367431357</v>
      </c>
      <c r="U30" s="11">
        <f>SUM($T$5:T30)</f>
        <v>-22690.758146801305</v>
      </c>
      <c r="V30" s="1" t="str">
        <f>IF(U30&lt;0,"Yes","No")</f>
        <v>Yes</v>
      </c>
      <c r="W30" s="52">
        <f>($D$5*($B$30-O30)/$B$30)*'PV Degrad. SPV SRECS'!H26</f>
        <v>0</v>
      </c>
      <c r="X30" s="11">
        <f>-U30+W30</f>
        <v>22690.758146801305</v>
      </c>
      <c r="Y30" s="16">
        <f>O30</f>
        <v>25</v>
      </c>
    </row>
    <row r="31" spans="1:25" x14ac:dyDescent="0.25">
      <c r="B31" s="16"/>
      <c r="C31" s="16"/>
      <c r="P31" s="8" t="s">
        <v>124</v>
      </c>
      <c r="Q31" s="10">
        <f>SUM(Q5:Q15)</f>
        <v>17754.961633973628</v>
      </c>
      <c r="R31" s="8" t="s">
        <v>85</v>
      </c>
      <c r="S31" s="10">
        <f>SUM(P5:P30)+SUM(R5:R30)+SUM(S5:S30)</f>
        <v>-40445.71978077494</v>
      </c>
    </row>
    <row r="32" spans="1:25" x14ac:dyDescent="0.25">
      <c r="W32" s="8" t="s">
        <v>119</v>
      </c>
      <c r="X32" s="10">
        <f>X30</f>
        <v>22690.758146801305</v>
      </c>
    </row>
    <row r="33" spans="4:24" x14ac:dyDescent="0.25">
      <c r="W33" s="8" t="s">
        <v>118</v>
      </c>
      <c r="X33" s="21">
        <f>-S31/Q31</f>
        <v>2.2779953353085918</v>
      </c>
    </row>
    <row r="34" spans="4:24" x14ac:dyDescent="0.25">
      <c r="D34" s="8" t="s">
        <v>113</v>
      </c>
      <c r="E34" s="18">
        <f>'Electricity Costs'!F32</f>
        <v>15791.204666096246</v>
      </c>
      <c r="G34">
        <f>56198.84/25107</f>
        <v>2.2383733620105946</v>
      </c>
      <c r="W34" s="8" t="s">
        <v>120</v>
      </c>
      <c r="X34" s="53">
        <f>(1+'User Inputs - EX 1'!$B$20)*X33^(1/$O$30)-1</f>
        <v>9.5488892522140656E-2</v>
      </c>
    </row>
    <row r="35" spans="4:24" x14ac:dyDescent="0.25">
      <c r="G35" s="46">
        <f>(1+'User Inputs - EX 2'!B23)*(G34)^(1/25)-1</f>
        <v>0.1166146928799654</v>
      </c>
      <c r="W35" s="8" t="s">
        <v>127</v>
      </c>
      <c r="X35" s="10">
        <f>Q31</f>
        <v>17754.961633973628</v>
      </c>
    </row>
    <row r="36" spans="4:24" x14ac:dyDescent="0.25">
      <c r="W36" s="8" t="s">
        <v>128</v>
      </c>
      <c r="X36" s="10">
        <f>S31</f>
        <v>-40445.71978077494</v>
      </c>
    </row>
    <row r="37" spans="4:24" x14ac:dyDescent="0.25">
      <c r="W37" s="8" t="s">
        <v>129</v>
      </c>
      <c r="X37" s="8">
        <v>0</v>
      </c>
    </row>
    <row r="38" spans="4:24" x14ac:dyDescent="0.25">
      <c r="W38" s="8" t="s">
        <v>130</v>
      </c>
      <c r="X38" s="8">
        <v>0</v>
      </c>
    </row>
    <row r="39" spans="4:24" x14ac:dyDescent="0.25">
      <c r="W39" s="8" t="s">
        <v>131</v>
      </c>
      <c r="X39" s="8">
        <f>SUM('Electricity Costs'!P5:P29)</f>
        <v>7950.0000000000091</v>
      </c>
    </row>
    <row r="40" spans="4:24" x14ac:dyDescent="0.25">
      <c r="W40" s="8" t="s">
        <v>132</v>
      </c>
      <c r="X40" s="8">
        <f>X39-'Electricity Costs'!C30</f>
        <v>-242050</v>
      </c>
    </row>
    <row r="41" spans="4:24" x14ac:dyDescent="0.25">
      <c r="W41" s="8" t="s">
        <v>133</v>
      </c>
      <c r="X41" s="21">
        <f>X32/X40</f>
        <v>-9.374409480190582E-2</v>
      </c>
    </row>
    <row r="42" spans="4:24" x14ac:dyDescent="0.25">
      <c r="W42" s="8" t="s">
        <v>134</v>
      </c>
      <c r="X42" s="21">
        <f>X41*'Electricity Costs'!C30*0.01</f>
        <v>-234.36023700476454</v>
      </c>
    </row>
    <row r="43" spans="4:24" x14ac:dyDescent="0.25">
      <c r="W43" s="8" t="s">
        <v>135</v>
      </c>
      <c r="X43" s="51">
        <f>(X41*X32)/('Electricity Costs'!C30*0.01)</f>
        <v>-0.85084983313634333</v>
      </c>
    </row>
  </sheetData>
  <conditionalFormatting sqref="I6:I30">
    <cfRule type="containsText" dxfId="1" priority="3" operator="containsText" text="Yes">
      <formula>NOT(ISERROR(SEARCH("Yes",I6)))</formula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:V30">
    <cfRule type="containsText" dxfId="0" priority="1" operator="containsText" text="Yes">
      <formula>NOT(ISERROR(SEARCH("Yes",V6)))</formula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Inputs - EX 1</vt:lpstr>
      <vt:lpstr>User Inputs - EX 2</vt:lpstr>
      <vt:lpstr>Electricity Costs</vt:lpstr>
      <vt:lpstr>PV Degrad. SPV SRECS</vt:lpstr>
      <vt:lpstr>Purch. Cash Net Metering</vt:lpstr>
      <vt:lpstr>Purch. Loan 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Kneifel, Joshua D</dc:creator>
  <cp:lastModifiedBy>Kneifel, Joshua D (Fed)</cp:lastModifiedBy>
  <cp:lastPrinted>2017-04-03T16:59:05Z</cp:lastPrinted>
  <dcterms:created xsi:type="dcterms:W3CDTF">2017-03-29T11:17:02Z</dcterms:created>
  <dcterms:modified xsi:type="dcterms:W3CDTF">2021-04-20T14:00:03Z</dcterms:modified>
</cp:coreProperties>
</file>